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Recuperare date!!!\Partitia 2\Locale\Lucrari\Anul 2016\Anexa 24  anul 2015\"/>
    </mc:Choice>
  </mc:AlternateContent>
  <bookViews>
    <workbookView xWindow="0" yWindow="0" windowWidth="28800" windowHeight="12435"/>
  </bookViews>
  <sheets>
    <sheet name="total TARA" sheetId="15" r:id="rId1"/>
    <sheet name="total COMUNE" sheetId="14" r:id="rId2"/>
    <sheet name="totalORASE" sheetId="13" r:id="rId3"/>
    <sheet name="total MUNICIPII" sheetId="12" r:id="rId4"/>
    <sheet name="totalCJ" sheetId="11" r:id="rId5"/>
    <sheet name="1" sheetId="18" r:id="rId6"/>
    <sheet name="2" sheetId="19" r:id="rId7"/>
    <sheet name="3" sheetId="21" r:id="rId8"/>
    <sheet name="4" sheetId="20" r:id="rId9"/>
    <sheet name="5" sheetId="17" r:id="rId10"/>
    <sheet name="6" sheetId="16" r:id="rId11"/>
    <sheet name="7" sheetId="22" r:id="rId12"/>
    <sheet name="8" sheetId="3" r:id="rId13"/>
    <sheet name="9" sheetId="24" r:id="rId14"/>
    <sheet name="10" sheetId="23" r:id="rId15"/>
    <sheet name="11" sheetId="7" r:id="rId16"/>
    <sheet name="12" sheetId="26" r:id="rId17"/>
    <sheet name="13" sheetId="27" r:id="rId18"/>
    <sheet name="14" sheetId="25" r:id="rId19"/>
    <sheet name="15" sheetId="28" r:id="rId20"/>
    <sheet name="16" sheetId="29" r:id="rId21"/>
    <sheet name="17" sheetId="30" r:id="rId22"/>
    <sheet name="18" sheetId="8" r:id="rId23"/>
    <sheet name="19" sheetId="41" r:id="rId24"/>
    <sheet name="20" sheetId="42" r:id="rId25"/>
    <sheet name="21" sheetId="43" r:id="rId26"/>
    <sheet name="22" sheetId="44" r:id="rId27"/>
    <sheet name="23" sheetId="45" r:id="rId28"/>
    <sheet name="24" sheetId="46" r:id="rId29"/>
    <sheet name="25" sheetId="48" r:id="rId30"/>
    <sheet name="26" sheetId="47" r:id="rId31"/>
    <sheet name="27" sheetId="6" r:id="rId32"/>
    <sheet name="28" sheetId="38" r:id="rId33"/>
    <sheet name="29" sheetId="37" r:id="rId34"/>
    <sheet name="30" sheetId="39" r:id="rId35"/>
    <sheet name="31" sheetId="36" r:id="rId36"/>
    <sheet name="32" sheetId="40" r:id="rId37"/>
    <sheet name="33" sheetId="2" r:id="rId38"/>
    <sheet name="34" sheetId="5" r:id="rId39"/>
    <sheet name="35" sheetId="4" r:id="rId40"/>
    <sheet name="36" sheetId="33" r:id="rId41"/>
    <sheet name="37" sheetId="9" r:id="rId42"/>
    <sheet name="38" sheetId="35" r:id="rId43"/>
    <sheet name="39" sheetId="34" r:id="rId44"/>
    <sheet name="40" sheetId="10" r:id="rId45"/>
    <sheet name="41" sheetId="32" r:id="rId46"/>
    <sheet name="42" sheetId="31" r:id="rId47"/>
    <sheet name="macheta" sheetId="1" r:id="rId48"/>
  </sheets>
  <definedNames>
    <definedName name="Excel_BuiltIn_Print_Titles_1_1">#REF!</definedName>
    <definedName name="Excel_BuiltIn_Print_Titles_1_1_1">#REF!</definedName>
    <definedName name="Excel_BuiltIn_Print_Titles_1_1_1_1">#REF!</definedName>
    <definedName name="Excel_BuiltIn_Print_Titles_1_1_1_1_1">#REF!</definedName>
    <definedName name="_xlnm.Print_Titles" localSheetId="5">'1'!$9:$13</definedName>
    <definedName name="_xlnm.Print_Titles" localSheetId="14">'10'!$9:$13</definedName>
    <definedName name="_xlnm.Print_Titles" localSheetId="15">'11'!$9:$13</definedName>
    <definedName name="_xlnm.Print_Titles" localSheetId="16">'12'!$9:$13</definedName>
    <definedName name="_xlnm.Print_Titles" localSheetId="17">'13'!$9:$13</definedName>
    <definedName name="_xlnm.Print_Titles" localSheetId="18">'14'!$9:$13</definedName>
    <definedName name="_xlnm.Print_Titles" localSheetId="19">'15'!$9:$13</definedName>
    <definedName name="_xlnm.Print_Titles" localSheetId="20">'16'!$9:$13</definedName>
    <definedName name="_xlnm.Print_Titles" localSheetId="21">'17'!$9:$13</definedName>
    <definedName name="_xlnm.Print_Titles" localSheetId="22">'18'!$9:$13</definedName>
    <definedName name="_xlnm.Print_Titles" localSheetId="23">'19'!$9:$13</definedName>
    <definedName name="_xlnm.Print_Titles" localSheetId="6">'2'!$9:$13</definedName>
    <definedName name="_xlnm.Print_Titles" localSheetId="24">'20'!$9:$13</definedName>
    <definedName name="_xlnm.Print_Titles" localSheetId="25">'21'!$9:$13</definedName>
    <definedName name="_xlnm.Print_Titles" localSheetId="26">'22'!$9:$13</definedName>
    <definedName name="_xlnm.Print_Titles" localSheetId="27">'23'!$9:$13</definedName>
    <definedName name="_xlnm.Print_Titles" localSheetId="28">'24'!$9:$13</definedName>
    <definedName name="_xlnm.Print_Titles" localSheetId="29">'25'!$9:$13</definedName>
    <definedName name="_xlnm.Print_Titles" localSheetId="30">'26'!$9:$13</definedName>
    <definedName name="_xlnm.Print_Titles" localSheetId="31">'27'!$9:$13</definedName>
    <definedName name="_xlnm.Print_Titles" localSheetId="32">'28'!$9:$13</definedName>
    <definedName name="_xlnm.Print_Titles" localSheetId="33">'29'!$9:$13</definedName>
    <definedName name="_xlnm.Print_Titles" localSheetId="7">'3'!$9:$13</definedName>
    <definedName name="_xlnm.Print_Titles" localSheetId="34">'30'!$9:$13</definedName>
    <definedName name="_xlnm.Print_Titles" localSheetId="35">'31'!$9:$13</definedName>
    <definedName name="_xlnm.Print_Titles" localSheetId="36">'32'!$9:$13</definedName>
    <definedName name="_xlnm.Print_Titles" localSheetId="37">'33'!$9:$13</definedName>
    <definedName name="_xlnm.Print_Titles" localSheetId="38">'34'!$9:$13</definedName>
    <definedName name="_xlnm.Print_Titles" localSheetId="39">'35'!$9:$13</definedName>
    <definedName name="_xlnm.Print_Titles" localSheetId="40">'36'!$9:$13</definedName>
    <definedName name="_xlnm.Print_Titles" localSheetId="41">'37'!$9:$13</definedName>
    <definedName name="_xlnm.Print_Titles" localSheetId="42">'38'!$9:$13</definedName>
    <definedName name="_xlnm.Print_Titles" localSheetId="43">'39'!$9:$13</definedName>
    <definedName name="_xlnm.Print_Titles" localSheetId="8">'4'!$9:$13</definedName>
    <definedName name="_xlnm.Print_Titles" localSheetId="44">'40'!$9:$13</definedName>
    <definedName name="_xlnm.Print_Titles" localSheetId="45">'41'!$9:$13</definedName>
    <definedName name="_xlnm.Print_Titles" localSheetId="46">'42'!$9:$13</definedName>
    <definedName name="_xlnm.Print_Titles" localSheetId="9">'5'!$9:$13</definedName>
    <definedName name="_xlnm.Print_Titles" localSheetId="10">'6'!$9:$13</definedName>
    <definedName name="_xlnm.Print_Titles" localSheetId="11">'7'!$9:$13</definedName>
    <definedName name="_xlnm.Print_Titles" localSheetId="12">'8'!$9:$13</definedName>
    <definedName name="_xlnm.Print_Titles" localSheetId="13">'9'!$9:$13</definedName>
    <definedName name="_xlnm.Print_Titles" localSheetId="47">macheta!$9:$13</definedName>
    <definedName name="_xlnm.Print_Titles" localSheetId="1">'total COMUNE'!$A:$B</definedName>
    <definedName name="_xlnm.Print_Titles" localSheetId="3">'total MUNICIPII'!$A:$B</definedName>
    <definedName name="_xlnm.Print_Titles" localSheetId="0">'total TARA'!$A:$B</definedName>
    <definedName name="_xlnm.Print_Titles" localSheetId="4">totalCJ!$A:$B</definedName>
    <definedName name="_xlnm.Print_Titles" localSheetId="2">totalORASE!$A:$B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86" i="48" l="1"/>
  <c r="D86" i="48"/>
  <c r="P85" i="48"/>
  <c r="D85" i="48"/>
  <c r="P84" i="48"/>
  <c r="D84" i="48"/>
  <c r="P83" i="48"/>
  <c r="D83" i="48"/>
  <c r="P82" i="48"/>
  <c r="D82" i="48"/>
  <c r="P81" i="48"/>
  <c r="D81" i="48"/>
  <c r="P80" i="48"/>
  <c r="D80" i="48"/>
  <c r="P79" i="48"/>
  <c r="D79" i="48"/>
  <c r="P78" i="48"/>
  <c r="D78" i="48"/>
  <c r="P77" i="48"/>
  <c r="D77" i="48"/>
  <c r="P76" i="48"/>
  <c r="D76" i="48"/>
  <c r="P75" i="48"/>
  <c r="D75" i="48"/>
  <c r="P74" i="48"/>
  <c r="D74" i="48"/>
  <c r="P73" i="48"/>
  <c r="D73" i="48"/>
  <c r="P72" i="48"/>
  <c r="D72" i="48"/>
  <c r="P71" i="48"/>
  <c r="D71" i="48"/>
  <c r="P70" i="48"/>
  <c r="D70" i="48"/>
  <c r="P69" i="48"/>
  <c r="D69" i="48"/>
  <c r="P68" i="48"/>
  <c r="D68" i="48"/>
  <c r="P67" i="48"/>
  <c r="D67" i="48"/>
  <c r="P66" i="48"/>
  <c r="D66" i="48"/>
  <c r="P65" i="48"/>
  <c r="D65" i="48"/>
  <c r="P64" i="48"/>
  <c r="D64" i="48"/>
  <c r="P63" i="48"/>
  <c r="D63" i="48"/>
  <c r="P62" i="48"/>
  <c r="D62" i="48"/>
  <c r="P61" i="48"/>
  <c r="D61" i="48"/>
  <c r="P60" i="48"/>
  <c r="D60" i="48"/>
  <c r="P59" i="48"/>
  <c r="D59" i="48"/>
  <c r="P58" i="48"/>
  <c r="D58" i="48"/>
  <c r="P57" i="48"/>
  <c r="D57" i="48"/>
  <c r="P56" i="48"/>
  <c r="D56" i="48"/>
  <c r="P55" i="48"/>
  <c r="D55" i="48"/>
  <c r="P41" i="48"/>
  <c r="D41" i="48"/>
  <c r="P40" i="48"/>
  <c r="D40" i="48"/>
  <c r="P39" i="48"/>
  <c r="D39" i="48"/>
  <c r="P38" i="48"/>
  <c r="D38" i="48"/>
  <c r="P37" i="48"/>
  <c r="D37" i="48"/>
  <c r="P36" i="48"/>
  <c r="D36" i="48"/>
  <c r="P35" i="48"/>
  <c r="D35" i="48"/>
  <c r="P34" i="48"/>
  <c r="D34" i="48"/>
  <c r="D18" i="48"/>
  <c r="P18" i="48"/>
  <c r="D19" i="48"/>
  <c r="P19" i="48"/>
  <c r="D20" i="48"/>
  <c r="P20" i="48"/>
  <c r="D21" i="48"/>
  <c r="P21" i="48"/>
  <c r="D22" i="48"/>
  <c r="P22" i="48"/>
  <c r="D23" i="48"/>
  <c r="P23" i="48"/>
  <c r="D24" i="48"/>
  <c r="P24" i="48"/>
  <c r="D25" i="48"/>
  <c r="P25" i="48"/>
  <c r="P15" i="48"/>
  <c r="P24" i="31" l="1"/>
  <c r="P23" i="31"/>
  <c r="D23" i="31"/>
  <c r="P22" i="31"/>
  <c r="D22" i="31"/>
  <c r="P21" i="31"/>
  <c r="D21" i="31"/>
  <c r="P20" i="31"/>
  <c r="D20" i="31"/>
  <c r="P19" i="31"/>
  <c r="D19" i="31"/>
  <c r="P18" i="31"/>
  <c r="D18" i="31"/>
  <c r="E54" i="2" l="1"/>
  <c r="E33" i="2"/>
  <c r="W62" i="44" l="1"/>
  <c r="X62" i="44"/>
  <c r="X62" i="29"/>
  <c r="P15" i="2" l="1"/>
  <c r="D15" i="2"/>
  <c r="P111" i="2"/>
  <c r="D111" i="2"/>
  <c r="P110" i="2"/>
  <c r="D110" i="2"/>
  <c r="P109" i="2"/>
  <c r="D109" i="2"/>
  <c r="P108" i="2"/>
  <c r="D108" i="2"/>
  <c r="P107" i="2"/>
  <c r="D107" i="2"/>
  <c r="P106" i="2"/>
  <c r="D106" i="2"/>
  <c r="P105" i="2"/>
  <c r="D105" i="2"/>
  <c r="P104" i="2"/>
  <c r="D104" i="2"/>
  <c r="P103" i="2"/>
  <c r="D103" i="2"/>
  <c r="P102" i="2"/>
  <c r="D102" i="2"/>
  <c r="P101" i="2"/>
  <c r="D101" i="2"/>
  <c r="P100" i="2"/>
  <c r="D100" i="2"/>
  <c r="P99" i="2"/>
  <c r="D99" i="2"/>
  <c r="P98" i="2"/>
  <c r="D98" i="2"/>
  <c r="P97" i="2"/>
  <c r="D97" i="2"/>
  <c r="P96" i="2"/>
  <c r="D96" i="2"/>
  <c r="P95" i="2"/>
  <c r="D95" i="2"/>
  <c r="P94" i="2"/>
  <c r="D94" i="2"/>
  <c r="P93" i="2"/>
  <c r="D93" i="2"/>
  <c r="P92" i="2"/>
  <c r="D92" i="2"/>
  <c r="W91" i="2"/>
  <c r="P91" i="2"/>
  <c r="D91" i="2"/>
  <c r="P90" i="2"/>
  <c r="D90" i="2"/>
  <c r="P89" i="2"/>
  <c r="D89" i="2"/>
  <c r="P88" i="2"/>
  <c r="D88" i="2"/>
  <c r="P87" i="2"/>
  <c r="D87" i="2"/>
  <c r="P86" i="2"/>
  <c r="D86" i="2"/>
  <c r="P85" i="2"/>
  <c r="D85" i="2"/>
  <c r="P84" i="2"/>
  <c r="D84" i="2"/>
  <c r="P83" i="2"/>
  <c r="D83" i="2"/>
  <c r="P82" i="2"/>
  <c r="D82" i="2"/>
  <c r="P81" i="2"/>
  <c r="D81" i="2"/>
  <c r="P80" i="2"/>
  <c r="D80" i="2"/>
  <c r="P79" i="2"/>
  <c r="D79" i="2"/>
  <c r="P78" i="2"/>
  <c r="D78" i="2"/>
  <c r="P77" i="2"/>
  <c r="D77" i="2"/>
  <c r="P76" i="2"/>
  <c r="D76" i="2"/>
  <c r="P75" i="2"/>
  <c r="D75" i="2"/>
  <c r="P74" i="2"/>
  <c r="D74" i="2"/>
  <c r="P73" i="2"/>
  <c r="D73" i="2"/>
  <c r="P72" i="2"/>
  <c r="D72" i="2"/>
  <c r="P71" i="2"/>
  <c r="D71" i="2"/>
  <c r="P70" i="2"/>
  <c r="D70" i="2"/>
  <c r="P69" i="2"/>
  <c r="D69" i="2"/>
  <c r="P68" i="2"/>
  <c r="D68" i="2"/>
  <c r="P67" i="2"/>
  <c r="D67" i="2"/>
  <c r="P66" i="2"/>
  <c r="D66" i="2"/>
  <c r="P65" i="2"/>
  <c r="D65" i="2"/>
  <c r="P64" i="2"/>
  <c r="D64" i="2"/>
  <c r="P63" i="2"/>
  <c r="D63" i="2"/>
  <c r="P62" i="2"/>
  <c r="D62" i="2"/>
  <c r="P61" i="2"/>
  <c r="D61" i="2"/>
  <c r="P60" i="2"/>
  <c r="D60" i="2"/>
  <c r="P59" i="2"/>
  <c r="D59" i="2"/>
  <c r="P58" i="2"/>
  <c r="D58" i="2"/>
  <c r="P57" i="2"/>
  <c r="D57" i="2"/>
  <c r="P56" i="2"/>
  <c r="D56" i="2"/>
  <c r="P55" i="2"/>
  <c r="D55" i="2"/>
  <c r="P36" i="2"/>
  <c r="D36" i="2"/>
  <c r="P35" i="2"/>
  <c r="D35" i="2"/>
  <c r="P34" i="2"/>
  <c r="D34" i="2"/>
  <c r="P18" i="2"/>
  <c r="D18" i="2"/>
  <c r="P122" i="32" l="1"/>
  <c r="D122" i="32"/>
  <c r="P121" i="32"/>
  <c r="D121" i="32"/>
  <c r="P120" i="32"/>
  <c r="D120" i="32"/>
  <c r="P119" i="32"/>
  <c r="D119" i="32"/>
  <c r="P118" i="32"/>
  <c r="D118" i="32"/>
  <c r="P117" i="32"/>
  <c r="D117" i="32"/>
  <c r="P116" i="32"/>
  <c r="D116" i="32"/>
  <c r="P115" i="32"/>
  <c r="D115" i="32"/>
  <c r="P114" i="32"/>
  <c r="D114" i="32"/>
  <c r="P113" i="32"/>
  <c r="D113" i="32"/>
  <c r="P112" i="32"/>
  <c r="D112" i="32"/>
  <c r="P111" i="32"/>
  <c r="D111" i="32"/>
  <c r="P110" i="32"/>
  <c r="D110" i="32"/>
  <c r="P109" i="32"/>
  <c r="D109" i="32"/>
  <c r="P108" i="32"/>
  <c r="D108" i="32"/>
  <c r="P107" i="32"/>
  <c r="D107" i="32"/>
  <c r="P106" i="32"/>
  <c r="D106" i="32"/>
  <c r="P105" i="32"/>
  <c r="D105" i="32"/>
  <c r="P104" i="32"/>
  <c r="D104" i="32"/>
  <c r="P103" i="32"/>
  <c r="D103" i="32"/>
  <c r="P102" i="32"/>
  <c r="D102" i="32"/>
  <c r="P101" i="32"/>
  <c r="D101" i="32"/>
  <c r="P100" i="32"/>
  <c r="D100" i="32"/>
  <c r="P99" i="32"/>
  <c r="D99" i="32"/>
  <c r="P98" i="32"/>
  <c r="D98" i="32"/>
  <c r="P97" i="32"/>
  <c r="D97" i="32"/>
  <c r="P96" i="32"/>
  <c r="D96" i="32"/>
  <c r="P95" i="32"/>
  <c r="D95" i="32"/>
  <c r="P94" i="32"/>
  <c r="D94" i="32"/>
  <c r="P93" i="32"/>
  <c r="D93" i="32"/>
  <c r="P92" i="32"/>
  <c r="D92" i="32"/>
  <c r="P91" i="32"/>
  <c r="D91" i="32"/>
  <c r="P90" i="32"/>
  <c r="D90" i="32"/>
  <c r="P89" i="32"/>
  <c r="D89" i="32"/>
  <c r="P88" i="32"/>
  <c r="D88" i="32"/>
  <c r="P87" i="32"/>
  <c r="D87" i="32"/>
  <c r="P86" i="32"/>
  <c r="D86" i="32"/>
  <c r="P85" i="32"/>
  <c r="D85" i="32"/>
  <c r="P84" i="32"/>
  <c r="D84" i="32"/>
  <c r="P83" i="32"/>
  <c r="D83" i="32"/>
  <c r="P82" i="32"/>
  <c r="D82" i="32"/>
  <c r="P81" i="32"/>
  <c r="D81" i="32"/>
  <c r="P80" i="32"/>
  <c r="D80" i="32"/>
  <c r="P79" i="32"/>
  <c r="D79" i="32"/>
  <c r="P78" i="32"/>
  <c r="D78" i="32"/>
  <c r="P77" i="32"/>
  <c r="D77" i="32"/>
  <c r="P76" i="32"/>
  <c r="D76" i="32"/>
  <c r="P75" i="32"/>
  <c r="D75" i="32"/>
  <c r="P74" i="32"/>
  <c r="D74" i="32"/>
  <c r="P73" i="32"/>
  <c r="D73" i="32"/>
  <c r="P72" i="32"/>
  <c r="D72" i="32"/>
  <c r="P71" i="32"/>
  <c r="D71" i="32"/>
  <c r="P70" i="32"/>
  <c r="D70" i="32"/>
  <c r="P69" i="32"/>
  <c r="D69" i="32"/>
  <c r="P68" i="32"/>
  <c r="D68" i="32"/>
  <c r="P67" i="32"/>
  <c r="D67" i="32"/>
  <c r="P66" i="32"/>
  <c r="D66" i="32"/>
  <c r="P65" i="32"/>
  <c r="D65" i="32"/>
  <c r="P64" i="32"/>
  <c r="D64" i="32"/>
  <c r="P63" i="32"/>
  <c r="D63" i="32"/>
  <c r="P62" i="32"/>
  <c r="D62" i="32"/>
  <c r="P61" i="32"/>
  <c r="D61" i="32"/>
  <c r="P60" i="32"/>
  <c r="D60" i="32"/>
  <c r="P59" i="32"/>
  <c r="D59" i="32"/>
  <c r="P58" i="32"/>
  <c r="D58" i="32"/>
  <c r="P57" i="32"/>
  <c r="D57" i="32"/>
  <c r="P56" i="32"/>
  <c r="D56" i="32"/>
  <c r="P55" i="32"/>
  <c r="D55" i="32"/>
  <c r="P36" i="32"/>
  <c r="D36" i="32"/>
  <c r="P35" i="32"/>
  <c r="D35" i="32"/>
  <c r="P34" i="32"/>
  <c r="D34" i="32"/>
  <c r="P19" i="32"/>
  <c r="D19" i="32"/>
  <c r="P18" i="32"/>
  <c r="D18" i="32"/>
  <c r="P135" i="34" l="1"/>
  <c r="D135" i="34"/>
  <c r="P134" i="34"/>
  <c r="D134" i="34"/>
  <c r="P133" i="34"/>
  <c r="D133" i="34"/>
  <c r="P132" i="34"/>
  <c r="D132" i="34"/>
  <c r="P131" i="34"/>
  <c r="D131" i="34"/>
  <c r="P130" i="34"/>
  <c r="D130" i="34"/>
  <c r="P129" i="34"/>
  <c r="D129" i="34"/>
  <c r="P128" i="34"/>
  <c r="D128" i="34"/>
  <c r="P127" i="34"/>
  <c r="D127" i="34"/>
  <c r="P126" i="34"/>
  <c r="D126" i="34"/>
  <c r="P125" i="34"/>
  <c r="D125" i="34"/>
  <c r="P124" i="34"/>
  <c r="D124" i="34"/>
  <c r="P123" i="34"/>
  <c r="D123" i="34"/>
  <c r="P122" i="34"/>
  <c r="D122" i="34"/>
  <c r="P121" i="34"/>
  <c r="D121" i="34"/>
  <c r="P120" i="34"/>
  <c r="D120" i="34"/>
  <c r="P119" i="34"/>
  <c r="D119" i="34"/>
  <c r="P118" i="34"/>
  <c r="D118" i="34"/>
  <c r="P117" i="34"/>
  <c r="D117" i="34"/>
  <c r="P116" i="34"/>
  <c r="D116" i="34"/>
  <c r="P115" i="34"/>
  <c r="D115" i="34"/>
  <c r="P114" i="34"/>
  <c r="D114" i="34"/>
  <c r="P113" i="34"/>
  <c r="D113" i="34"/>
  <c r="P112" i="34"/>
  <c r="D112" i="34"/>
  <c r="P111" i="34"/>
  <c r="D111" i="34"/>
  <c r="P110" i="34"/>
  <c r="D110" i="34"/>
  <c r="P109" i="34"/>
  <c r="D109" i="34"/>
  <c r="P108" i="34"/>
  <c r="D108" i="34"/>
  <c r="P107" i="34"/>
  <c r="D107" i="34"/>
  <c r="P106" i="34"/>
  <c r="D106" i="34"/>
  <c r="P105" i="34"/>
  <c r="D105" i="34"/>
  <c r="P104" i="34"/>
  <c r="D104" i="34"/>
  <c r="P103" i="34"/>
  <c r="D103" i="34"/>
  <c r="P102" i="34"/>
  <c r="D102" i="34"/>
  <c r="P101" i="34"/>
  <c r="D101" i="34"/>
  <c r="P100" i="34"/>
  <c r="D100" i="34"/>
  <c r="P99" i="34"/>
  <c r="D99" i="34"/>
  <c r="P98" i="34"/>
  <c r="D98" i="34"/>
  <c r="P97" i="34"/>
  <c r="D97" i="34"/>
  <c r="P96" i="34"/>
  <c r="D96" i="34"/>
  <c r="P95" i="34"/>
  <c r="D95" i="34"/>
  <c r="P94" i="34"/>
  <c r="D94" i="34"/>
  <c r="P93" i="34"/>
  <c r="D93" i="34"/>
  <c r="P92" i="34"/>
  <c r="D92" i="34"/>
  <c r="P91" i="34"/>
  <c r="D91" i="34"/>
  <c r="P90" i="34"/>
  <c r="D90" i="34"/>
  <c r="P89" i="34"/>
  <c r="D89" i="34"/>
  <c r="P88" i="34"/>
  <c r="D88" i="34"/>
  <c r="P87" i="34"/>
  <c r="D87" i="34"/>
  <c r="P86" i="34"/>
  <c r="D86" i="34"/>
  <c r="P85" i="34"/>
  <c r="D85" i="34"/>
  <c r="P84" i="34"/>
  <c r="D84" i="34"/>
  <c r="P83" i="34"/>
  <c r="D83" i="34"/>
  <c r="P82" i="34"/>
  <c r="D82" i="34"/>
  <c r="P81" i="34"/>
  <c r="D81" i="34"/>
  <c r="P80" i="34"/>
  <c r="D80" i="34"/>
  <c r="P79" i="34"/>
  <c r="D79" i="34"/>
  <c r="P78" i="34"/>
  <c r="D78" i="34"/>
  <c r="P77" i="34"/>
  <c r="D77" i="34"/>
  <c r="P76" i="34"/>
  <c r="D76" i="34"/>
  <c r="P75" i="34"/>
  <c r="D75" i="34"/>
  <c r="P74" i="34"/>
  <c r="D74" i="34"/>
  <c r="P73" i="34"/>
  <c r="D73" i="34"/>
  <c r="P72" i="34"/>
  <c r="D72" i="34"/>
  <c r="P71" i="34"/>
  <c r="D71" i="34"/>
  <c r="P70" i="34"/>
  <c r="D70" i="34"/>
  <c r="P69" i="34"/>
  <c r="D69" i="34"/>
  <c r="P68" i="34"/>
  <c r="D68" i="34"/>
  <c r="P67" i="34"/>
  <c r="D67" i="34"/>
  <c r="P66" i="34"/>
  <c r="D66" i="34"/>
  <c r="P65" i="34"/>
  <c r="D65" i="34"/>
  <c r="P64" i="34"/>
  <c r="D64" i="34"/>
  <c r="P63" i="34"/>
  <c r="D63" i="34"/>
  <c r="P62" i="34"/>
  <c r="D62" i="34"/>
  <c r="P61" i="34"/>
  <c r="D61" i="34"/>
  <c r="P60" i="34"/>
  <c r="D60" i="34"/>
  <c r="P59" i="34"/>
  <c r="D59" i="34"/>
  <c r="P58" i="34"/>
  <c r="D58" i="34"/>
  <c r="P57" i="34"/>
  <c r="D57" i="34"/>
  <c r="P56" i="34"/>
  <c r="D56" i="34"/>
  <c r="P55" i="34"/>
  <c r="D55" i="34"/>
  <c r="P35" i="34"/>
  <c r="D35" i="34"/>
  <c r="P34" i="34"/>
  <c r="D34" i="34"/>
  <c r="P20" i="34"/>
  <c r="D20" i="34"/>
  <c r="P19" i="34"/>
  <c r="D19" i="34"/>
  <c r="P18" i="34"/>
  <c r="D18" i="34"/>
  <c r="P15" i="34"/>
  <c r="F54" i="38"/>
  <c r="G54" i="38"/>
  <c r="H54" i="38"/>
  <c r="I54" i="38"/>
  <c r="J54" i="38"/>
  <c r="K54" i="38"/>
  <c r="L54" i="38"/>
  <c r="M54" i="38"/>
  <c r="N54" i="38"/>
  <c r="O54" i="38"/>
  <c r="P54" i="38"/>
  <c r="Q54" i="38"/>
  <c r="R54" i="38"/>
  <c r="S54" i="38"/>
  <c r="T54" i="38"/>
  <c r="U54" i="38"/>
  <c r="V54" i="38"/>
  <c r="W54" i="38"/>
  <c r="X54" i="38"/>
  <c r="Y54" i="38"/>
  <c r="Z54" i="38"/>
  <c r="AA54" i="38"/>
  <c r="AB54" i="38"/>
  <c r="AC54" i="38"/>
  <c r="AD54" i="38"/>
  <c r="AE54" i="38"/>
  <c r="AF54" i="38"/>
  <c r="AG54" i="38"/>
  <c r="AH54" i="38"/>
  <c r="AI54" i="38"/>
  <c r="AJ54" i="38"/>
  <c r="AK54" i="38"/>
  <c r="AL54" i="38"/>
  <c r="AM54" i="38"/>
  <c r="E54" i="38"/>
  <c r="P145" i="38"/>
  <c r="D145" i="38"/>
  <c r="P144" i="38"/>
  <c r="D144" i="38"/>
  <c r="P143" i="38"/>
  <c r="D143" i="38"/>
  <c r="P142" i="38"/>
  <c r="D142" i="38"/>
  <c r="P141" i="38"/>
  <c r="D141" i="38"/>
  <c r="P140" i="38"/>
  <c r="D140" i="38"/>
  <c r="P139" i="38"/>
  <c r="D139" i="38"/>
  <c r="P138" i="38"/>
  <c r="D138" i="38"/>
  <c r="P137" i="38"/>
  <c r="D137" i="38"/>
  <c r="P136" i="38"/>
  <c r="D136" i="38"/>
  <c r="P135" i="38"/>
  <c r="D135" i="38"/>
  <c r="P134" i="38"/>
  <c r="D134" i="38"/>
  <c r="P133" i="38"/>
  <c r="D133" i="38"/>
  <c r="P132" i="38"/>
  <c r="D132" i="38"/>
  <c r="P131" i="38"/>
  <c r="D131" i="38"/>
  <c r="P130" i="38"/>
  <c r="D130" i="38"/>
  <c r="P129" i="38"/>
  <c r="D129" i="38"/>
  <c r="P128" i="38"/>
  <c r="D128" i="38"/>
  <c r="P127" i="38"/>
  <c r="D127" i="38"/>
  <c r="P126" i="38"/>
  <c r="D126" i="38"/>
  <c r="P125" i="38"/>
  <c r="D125" i="38"/>
  <c r="P124" i="38"/>
  <c r="D124" i="38"/>
  <c r="P123" i="38"/>
  <c r="D123" i="38"/>
  <c r="P122" i="38"/>
  <c r="D122" i="38"/>
  <c r="P121" i="38"/>
  <c r="D121" i="38"/>
  <c r="P120" i="38"/>
  <c r="D120" i="38"/>
  <c r="P119" i="38"/>
  <c r="D119" i="38"/>
  <c r="P118" i="38"/>
  <c r="D118" i="38"/>
  <c r="P117" i="38"/>
  <c r="D117" i="38"/>
  <c r="P116" i="38"/>
  <c r="D116" i="38"/>
  <c r="P115" i="38"/>
  <c r="D115" i="38"/>
  <c r="P114" i="38"/>
  <c r="D114" i="38"/>
  <c r="P113" i="38"/>
  <c r="D113" i="38"/>
  <c r="P112" i="38"/>
  <c r="D112" i="38"/>
  <c r="P111" i="38"/>
  <c r="D111" i="38"/>
  <c r="P110" i="38"/>
  <c r="D110" i="38"/>
  <c r="P109" i="38"/>
  <c r="D109" i="38"/>
  <c r="P108" i="38"/>
  <c r="D108" i="38"/>
  <c r="P107" i="38"/>
  <c r="D107" i="38"/>
  <c r="P106" i="38"/>
  <c r="D106" i="38"/>
  <c r="P105" i="38"/>
  <c r="D105" i="38"/>
  <c r="P104" i="38"/>
  <c r="D104" i="38"/>
  <c r="P103" i="38"/>
  <c r="D103" i="38"/>
  <c r="P102" i="38"/>
  <c r="D102" i="38"/>
  <c r="P101" i="38"/>
  <c r="D101" i="38"/>
  <c r="P100" i="38"/>
  <c r="D100" i="38"/>
  <c r="P99" i="38"/>
  <c r="D99" i="38"/>
  <c r="P98" i="38"/>
  <c r="D98" i="38"/>
  <c r="P97" i="38"/>
  <c r="D97" i="38"/>
  <c r="P96" i="38"/>
  <c r="D96" i="38"/>
  <c r="P95" i="38"/>
  <c r="D95" i="38"/>
  <c r="P94" i="38"/>
  <c r="D94" i="38"/>
  <c r="P93" i="38"/>
  <c r="D93" i="38"/>
  <c r="P92" i="38"/>
  <c r="D92" i="38"/>
  <c r="P91" i="38"/>
  <c r="D91" i="38"/>
  <c r="P90" i="38"/>
  <c r="D90" i="38"/>
  <c r="P89" i="38"/>
  <c r="D89" i="38"/>
  <c r="P88" i="38"/>
  <c r="D88" i="38"/>
  <c r="P87" i="38"/>
  <c r="D87" i="38"/>
  <c r="P86" i="38"/>
  <c r="D86" i="38"/>
  <c r="P85" i="38"/>
  <c r="D85" i="38"/>
  <c r="P84" i="38"/>
  <c r="D84" i="38"/>
  <c r="P83" i="38"/>
  <c r="D83" i="38"/>
  <c r="P82" i="38"/>
  <c r="D82" i="38"/>
  <c r="P81" i="38"/>
  <c r="D81" i="38"/>
  <c r="P80" i="38"/>
  <c r="D80" i="38"/>
  <c r="P79" i="38"/>
  <c r="D79" i="38"/>
  <c r="P78" i="38"/>
  <c r="D78" i="38"/>
  <c r="P77" i="38"/>
  <c r="D77" i="38"/>
  <c r="P76" i="38"/>
  <c r="D76" i="38"/>
  <c r="P75" i="38"/>
  <c r="D75" i="38"/>
  <c r="P74" i="38"/>
  <c r="D74" i="38"/>
  <c r="P73" i="38"/>
  <c r="D73" i="38"/>
  <c r="P72" i="38"/>
  <c r="D72" i="38"/>
  <c r="P71" i="38"/>
  <c r="D71" i="38"/>
  <c r="P70" i="38"/>
  <c r="D70" i="38"/>
  <c r="P69" i="38"/>
  <c r="D69" i="38"/>
  <c r="P68" i="38"/>
  <c r="D68" i="38"/>
  <c r="P67" i="38"/>
  <c r="D67" i="38"/>
  <c r="P66" i="38"/>
  <c r="D66" i="38"/>
  <c r="P65" i="38"/>
  <c r="D65" i="38"/>
  <c r="P64" i="38"/>
  <c r="D64" i="38"/>
  <c r="P63" i="38"/>
  <c r="D63" i="38"/>
  <c r="P62" i="38"/>
  <c r="D62" i="38"/>
  <c r="P61" i="38"/>
  <c r="D61" i="38"/>
  <c r="P60" i="38"/>
  <c r="D60" i="38"/>
  <c r="P59" i="38"/>
  <c r="D59" i="38"/>
  <c r="P58" i="38"/>
  <c r="D58" i="38"/>
  <c r="P57" i="38"/>
  <c r="D57" i="38"/>
  <c r="P56" i="38"/>
  <c r="D56" i="38"/>
  <c r="P55" i="38"/>
  <c r="D55" i="38"/>
  <c r="P40" i="38"/>
  <c r="D40" i="38"/>
  <c r="P39" i="38"/>
  <c r="D39" i="38"/>
  <c r="P38" i="38"/>
  <c r="D38" i="38"/>
  <c r="P37" i="38"/>
  <c r="D37" i="38"/>
  <c r="P36" i="38"/>
  <c r="D36" i="38"/>
  <c r="P35" i="38"/>
  <c r="D35" i="38"/>
  <c r="P34" i="38"/>
  <c r="D34" i="38"/>
  <c r="P21" i="38"/>
  <c r="D21" i="38"/>
  <c r="P20" i="38"/>
  <c r="D20" i="38"/>
  <c r="P19" i="38"/>
  <c r="N19" i="38"/>
  <c r="D19" i="38"/>
  <c r="P18" i="38"/>
  <c r="D18" i="38"/>
  <c r="P15" i="38"/>
  <c r="P112" i="43"/>
  <c r="D112" i="43"/>
  <c r="P111" i="43"/>
  <c r="D111" i="43"/>
  <c r="P110" i="43"/>
  <c r="D110" i="43"/>
  <c r="P109" i="43"/>
  <c r="D109" i="43"/>
  <c r="P108" i="43"/>
  <c r="D108" i="43"/>
  <c r="P107" i="43"/>
  <c r="D107" i="43"/>
  <c r="P106" i="43"/>
  <c r="D106" i="43"/>
  <c r="P105" i="43"/>
  <c r="D105" i="43"/>
  <c r="P104" i="43"/>
  <c r="D104" i="43"/>
  <c r="P103" i="43"/>
  <c r="D103" i="43"/>
  <c r="P102" i="43"/>
  <c r="D102" i="43"/>
  <c r="P101" i="43"/>
  <c r="D101" i="43"/>
  <c r="P100" i="43"/>
  <c r="D100" i="43"/>
  <c r="P99" i="43"/>
  <c r="D99" i="43"/>
  <c r="P98" i="43"/>
  <c r="D98" i="43"/>
  <c r="P97" i="43"/>
  <c r="D97" i="43"/>
  <c r="P96" i="43"/>
  <c r="D96" i="43"/>
  <c r="P95" i="43"/>
  <c r="D95" i="43"/>
  <c r="P94" i="43"/>
  <c r="D94" i="43"/>
  <c r="P93" i="43"/>
  <c r="D93" i="43"/>
  <c r="P92" i="43"/>
  <c r="D92" i="43"/>
  <c r="P91" i="43"/>
  <c r="D91" i="43"/>
  <c r="P90" i="43"/>
  <c r="D90" i="43"/>
  <c r="P89" i="43"/>
  <c r="D89" i="43"/>
  <c r="P88" i="43"/>
  <c r="D88" i="43"/>
  <c r="P87" i="43"/>
  <c r="D87" i="43"/>
  <c r="P86" i="43"/>
  <c r="D86" i="43"/>
  <c r="P85" i="43"/>
  <c r="D85" i="43"/>
  <c r="P84" i="43"/>
  <c r="D84" i="43"/>
  <c r="P83" i="43"/>
  <c r="D83" i="43"/>
  <c r="P82" i="43"/>
  <c r="D82" i="43"/>
  <c r="P81" i="43"/>
  <c r="D81" i="43"/>
  <c r="P80" i="43"/>
  <c r="D80" i="43"/>
  <c r="P79" i="43"/>
  <c r="D79" i="43"/>
  <c r="P78" i="43"/>
  <c r="D78" i="43"/>
  <c r="P77" i="43"/>
  <c r="D77" i="43"/>
  <c r="P76" i="43"/>
  <c r="D76" i="43"/>
  <c r="P75" i="43"/>
  <c r="D75" i="43"/>
  <c r="P74" i="43"/>
  <c r="D74" i="43"/>
  <c r="P73" i="43"/>
  <c r="D73" i="43"/>
  <c r="P72" i="43"/>
  <c r="D72" i="43"/>
  <c r="P71" i="43"/>
  <c r="D71" i="43"/>
  <c r="P70" i="43"/>
  <c r="D70" i="43"/>
  <c r="P69" i="43"/>
  <c r="D69" i="43"/>
  <c r="P68" i="43"/>
  <c r="D68" i="43"/>
  <c r="P67" i="43"/>
  <c r="D67" i="43"/>
  <c r="P66" i="43"/>
  <c r="D66" i="43"/>
  <c r="P65" i="43"/>
  <c r="D65" i="43"/>
  <c r="P64" i="43"/>
  <c r="D64" i="43"/>
  <c r="P63" i="43"/>
  <c r="D63" i="43"/>
  <c r="P62" i="43"/>
  <c r="D62" i="43"/>
  <c r="P61" i="43"/>
  <c r="D61" i="43"/>
  <c r="P60" i="43"/>
  <c r="D60" i="43"/>
  <c r="P59" i="43"/>
  <c r="D59" i="43"/>
  <c r="P58" i="43"/>
  <c r="D58" i="43"/>
  <c r="P57" i="43"/>
  <c r="D57" i="43"/>
  <c r="P56" i="43"/>
  <c r="D56" i="43"/>
  <c r="P55" i="43"/>
  <c r="D55" i="43"/>
  <c r="P38" i="43"/>
  <c r="D38" i="43"/>
  <c r="P37" i="43"/>
  <c r="D37" i="43"/>
  <c r="P36" i="43"/>
  <c r="D36" i="43"/>
  <c r="P35" i="43"/>
  <c r="D35" i="43"/>
  <c r="P34" i="43"/>
  <c r="D34" i="43"/>
  <c r="P21" i="43"/>
  <c r="D21" i="43"/>
  <c r="P20" i="43"/>
  <c r="D20" i="43"/>
  <c r="P19" i="43"/>
  <c r="D19" i="43"/>
  <c r="P18" i="43"/>
  <c r="D18" i="43"/>
  <c r="P15" i="43"/>
  <c r="P61" i="44"/>
  <c r="P62" i="44"/>
  <c r="P63" i="44"/>
  <c r="P64" i="44"/>
  <c r="P65" i="44"/>
  <c r="P66" i="44"/>
  <c r="P67" i="44"/>
  <c r="P68" i="44"/>
  <c r="P60" i="44"/>
  <c r="P69" i="44"/>
  <c r="P70" i="44"/>
  <c r="P71" i="44"/>
  <c r="P109" i="44"/>
  <c r="D109" i="44"/>
  <c r="P108" i="44"/>
  <c r="D108" i="44"/>
  <c r="P107" i="44"/>
  <c r="D107" i="44"/>
  <c r="P106" i="44"/>
  <c r="D106" i="44"/>
  <c r="P105" i="44"/>
  <c r="D105" i="44"/>
  <c r="P104" i="44"/>
  <c r="D104" i="44"/>
  <c r="P103" i="44"/>
  <c r="D103" i="44"/>
  <c r="P102" i="44"/>
  <c r="D102" i="44"/>
  <c r="P101" i="44"/>
  <c r="D101" i="44"/>
  <c r="P100" i="44"/>
  <c r="D100" i="44"/>
  <c r="P99" i="44"/>
  <c r="D99" i="44"/>
  <c r="P98" i="44"/>
  <c r="D98" i="44"/>
  <c r="P97" i="44"/>
  <c r="D97" i="44"/>
  <c r="P96" i="44"/>
  <c r="D96" i="44"/>
  <c r="P95" i="44"/>
  <c r="D95" i="44"/>
  <c r="P94" i="44"/>
  <c r="D94" i="44"/>
  <c r="P93" i="44"/>
  <c r="D93" i="44"/>
  <c r="P92" i="44"/>
  <c r="D92" i="44"/>
  <c r="P91" i="44"/>
  <c r="D91" i="44"/>
  <c r="P90" i="44"/>
  <c r="D90" i="44"/>
  <c r="P89" i="44"/>
  <c r="D89" i="44"/>
  <c r="P88" i="44"/>
  <c r="D88" i="44"/>
  <c r="P87" i="44"/>
  <c r="D87" i="44"/>
  <c r="P86" i="44"/>
  <c r="D86" i="44"/>
  <c r="P85" i="44"/>
  <c r="D85" i="44"/>
  <c r="P84" i="44"/>
  <c r="D84" i="44"/>
  <c r="P83" i="44"/>
  <c r="D83" i="44"/>
  <c r="P82" i="44"/>
  <c r="D82" i="44"/>
  <c r="P81" i="44"/>
  <c r="D81" i="44"/>
  <c r="P80" i="44"/>
  <c r="D80" i="44"/>
  <c r="P79" i="44"/>
  <c r="D79" i="44"/>
  <c r="P78" i="44"/>
  <c r="D78" i="44"/>
  <c r="P77" i="44"/>
  <c r="D77" i="44"/>
  <c r="P76" i="44"/>
  <c r="D76" i="44"/>
  <c r="P75" i="44"/>
  <c r="D75" i="44"/>
  <c r="P74" i="44"/>
  <c r="D74" i="44"/>
  <c r="P73" i="44"/>
  <c r="D73" i="44"/>
  <c r="P72" i="44"/>
  <c r="D72" i="44"/>
  <c r="D71" i="44"/>
  <c r="D70" i="44"/>
  <c r="D69" i="44"/>
  <c r="D68" i="44"/>
  <c r="D67" i="44"/>
  <c r="D66" i="44"/>
  <c r="D65" i="44"/>
  <c r="D64" i="44"/>
  <c r="D63" i="44"/>
  <c r="D62" i="44"/>
  <c r="D61" i="44"/>
  <c r="D60" i="44"/>
  <c r="P59" i="44"/>
  <c r="D59" i="44"/>
  <c r="P58" i="44"/>
  <c r="D58" i="44"/>
  <c r="P57" i="44"/>
  <c r="D57" i="44"/>
  <c r="P56" i="44"/>
  <c r="D56" i="44"/>
  <c r="P55" i="44"/>
  <c r="D55" i="44"/>
  <c r="P40" i="44"/>
  <c r="D40" i="44"/>
  <c r="P39" i="44"/>
  <c r="D39" i="44"/>
  <c r="P38" i="44"/>
  <c r="D38" i="44"/>
  <c r="P37" i="44"/>
  <c r="D37" i="44"/>
  <c r="P36" i="44"/>
  <c r="D36" i="44"/>
  <c r="P35" i="44"/>
  <c r="D35" i="44"/>
  <c r="P34" i="44"/>
  <c r="D34" i="44"/>
  <c r="P24" i="44"/>
  <c r="D24" i="44"/>
  <c r="P23" i="44"/>
  <c r="D23" i="44"/>
  <c r="P22" i="44"/>
  <c r="D22" i="44"/>
  <c r="P21" i="44"/>
  <c r="D21" i="44"/>
  <c r="P20" i="44"/>
  <c r="D20" i="44"/>
  <c r="P19" i="44"/>
  <c r="D19" i="44"/>
  <c r="P18" i="44"/>
  <c r="D18" i="44"/>
  <c r="P15" i="44"/>
  <c r="AM112" i="25"/>
  <c r="Z112" i="25"/>
  <c r="R112" i="25"/>
  <c r="Q112" i="25"/>
  <c r="O112" i="25"/>
  <c r="E112" i="25"/>
  <c r="Z111" i="25"/>
  <c r="Y111" i="25"/>
  <c r="W111" i="25"/>
  <c r="U111" i="25"/>
  <c r="R111" i="25"/>
  <c r="Q111" i="25"/>
  <c r="E111" i="25"/>
  <c r="D111" i="25" s="1"/>
  <c r="AC110" i="25"/>
  <c r="AA110" i="25"/>
  <c r="Z110" i="25"/>
  <c r="W110" i="25"/>
  <c r="R110" i="25"/>
  <c r="Q110" i="25"/>
  <c r="E110" i="25"/>
  <c r="D110" i="25" s="1"/>
  <c r="Z109" i="25"/>
  <c r="R109" i="25"/>
  <c r="Q109" i="25"/>
  <c r="E109" i="25"/>
  <c r="D109" i="25" s="1"/>
  <c r="Z108" i="25"/>
  <c r="R108" i="25"/>
  <c r="Q108" i="25"/>
  <c r="E108" i="25"/>
  <c r="D108" i="25"/>
  <c r="Z107" i="25"/>
  <c r="R107" i="25"/>
  <c r="Q107" i="25"/>
  <c r="O107" i="25"/>
  <c r="E107" i="25"/>
  <c r="AC106" i="25"/>
  <c r="AB106" i="25"/>
  <c r="Z106" i="25"/>
  <c r="R106" i="25"/>
  <c r="Q106" i="25"/>
  <c r="E106" i="25"/>
  <c r="D106" i="25" s="1"/>
  <c r="Z105" i="25"/>
  <c r="W105" i="25"/>
  <c r="R105" i="25"/>
  <c r="Q105" i="25"/>
  <c r="E105" i="25"/>
  <c r="D105" i="25" s="1"/>
  <c r="AM104" i="25"/>
  <c r="Z104" i="25"/>
  <c r="W104" i="25"/>
  <c r="R104" i="25"/>
  <c r="Q104" i="25"/>
  <c r="O104" i="25"/>
  <c r="E104" i="25"/>
  <c r="Z103" i="25"/>
  <c r="R103" i="25"/>
  <c r="Q103" i="25"/>
  <c r="E103" i="25"/>
  <c r="D103" i="25" s="1"/>
  <c r="AC102" i="25"/>
  <c r="Z102" i="25"/>
  <c r="W102" i="25"/>
  <c r="R102" i="25"/>
  <c r="Q102" i="25"/>
  <c r="E102" i="25"/>
  <c r="D102" i="25"/>
  <c r="Z101" i="25"/>
  <c r="W101" i="25"/>
  <c r="R101" i="25"/>
  <c r="Q101" i="25"/>
  <c r="E101" i="25"/>
  <c r="D101" i="25" s="1"/>
  <c r="AM100" i="25"/>
  <c r="Z100" i="25"/>
  <c r="R100" i="25"/>
  <c r="Q100" i="25"/>
  <c r="O100" i="25"/>
  <c r="E100" i="25"/>
  <c r="AM99" i="25"/>
  <c r="AC99" i="25"/>
  <c r="AB99" i="25"/>
  <c r="AA99" i="25"/>
  <c r="Z99" i="25"/>
  <c r="X99" i="25"/>
  <c r="W99" i="25"/>
  <c r="R99" i="25"/>
  <c r="Q99" i="25"/>
  <c r="E99" i="25"/>
  <c r="D99" i="25"/>
  <c r="AM98" i="25"/>
  <c r="AC98" i="25"/>
  <c r="Z98" i="25"/>
  <c r="R98" i="25"/>
  <c r="Q98" i="25"/>
  <c r="O98" i="25"/>
  <c r="E98" i="25"/>
  <c r="Z97" i="25"/>
  <c r="Y97" i="25"/>
  <c r="R97" i="25"/>
  <c r="Q97" i="25"/>
  <c r="E97" i="25"/>
  <c r="D97" i="25" s="1"/>
  <c r="AC96" i="25"/>
  <c r="Z96" i="25"/>
  <c r="R96" i="25"/>
  <c r="Q96" i="25"/>
  <c r="E96" i="25"/>
  <c r="D96" i="25" s="1"/>
  <c r="AM95" i="25"/>
  <c r="AC95" i="25"/>
  <c r="Z95" i="25"/>
  <c r="Y95" i="25"/>
  <c r="R95" i="25"/>
  <c r="Q95" i="25"/>
  <c r="E95" i="25"/>
  <c r="D95" i="25" s="1"/>
  <c r="AM94" i="25"/>
  <c r="Z94" i="25"/>
  <c r="R94" i="25"/>
  <c r="Q94" i="25"/>
  <c r="E94" i="25"/>
  <c r="D94" i="25" s="1"/>
  <c r="Z93" i="25"/>
  <c r="R93" i="25"/>
  <c r="Q93" i="25"/>
  <c r="E93" i="25"/>
  <c r="D93" i="25" s="1"/>
  <c r="Z92" i="25"/>
  <c r="W92" i="25"/>
  <c r="R92" i="25"/>
  <c r="Q92" i="25"/>
  <c r="O92" i="25"/>
  <c r="E92" i="25"/>
  <c r="AC91" i="25"/>
  <c r="R91" i="25"/>
  <c r="Q91" i="25"/>
  <c r="E91" i="25"/>
  <c r="D91" i="25" s="1"/>
  <c r="Z90" i="25"/>
  <c r="W90" i="25"/>
  <c r="U90" i="25"/>
  <c r="R90" i="25"/>
  <c r="Q90" i="25"/>
  <c r="E90" i="25"/>
  <c r="D90" i="25" s="1"/>
  <c r="AA89" i="25"/>
  <c r="R89" i="25"/>
  <c r="Q89" i="25"/>
  <c r="E89" i="25"/>
  <c r="D89" i="25" s="1"/>
  <c r="AB88" i="25"/>
  <c r="Z88" i="25"/>
  <c r="V88" i="25"/>
  <c r="R88" i="25"/>
  <c r="Q88" i="25"/>
  <c r="E88" i="25"/>
  <c r="D88" i="25" s="1"/>
  <c r="Z87" i="25"/>
  <c r="R87" i="25"/>
  <c r="Q87" i="25"/>
  <c r="E87" i="25"/>
  <c r="D87" i="25" s="1"/>
  <c r="AC86" i="25"/>
  <c r="Z86" i="25"/>
  <c r="R86" i="25"/>
  <c r="Q86" i="25"/>
  <c r="E86" i="25"/>
  <c r="D86" i="25" s="1"/>
  <c r="Z85" i="25"/>
  <c r="R85" i="25"/>
  <c r="Q85" i="25"/>
  <c r="E85" i="25"/>
  <c r="D85" i="25" s="1"/>
  <c r="Z84" i="25"/>
  <c r="R84" i="25"/>
  <c r="Q84" i="25"/>
  <c r="E84" i="25"/>
  <c r="D84" i="25" s="1"/>
  <c r="Z83" i="25"/>
  <c r="R83" i="25"/>
  <c r="Q83" i="25"/>
  <c r="E83" i="25"/>
  <c r="D83" i="25"/>
  <c r="Z82" i="25"/>
  <c r="Y82" i="25"/>
  <c r="R82" i="25"/>
  <c r="Q82" i="25"/>
  <c r="E82" i="25"/>
  <c r="D82" i="25" s="1"/>
  <c r="Z81" i="25"/>
  <c r="R81" i="25"/>
  <c r="Q81" i="25"/>
  <c r="O81" i="25"/>
  <c r="E81" i="25"/>
  <c r="AC80" i="25"/>
  <c r="Z80" i="25"/>
  <c r="R80" i="25"/>
  <c r="Q80" i="25"/>
  <c r="E80" i="25"/>
  <c r="D80" i="25" s="1"/>
  <c r="Z79" i="25"/>
  <c r="W79" i="25"/>
  <c r="R79" i="25"/>
  <c r="Q79" i="25"/>
  <c r="E79" i="25"/>
  <c r="D79" i="25" s="1"/>
  <c r="Z78" i="25"/>
  <c r="R78" i="25"/>
  <c r="Q78" i="25"/>
  <c r="E78" i="25"/>
  <c r="D78" i="25" s="1"/>
  <c r="Z77" i="25"/>
  <c r="R77" i="25"/>
  <c r="Q77" i="25"/>
  <c r="E77" i="25"/>
  <c r="D77" i="25"/>
  <c r="AC76" i="25"/>
  <c r="Z76" i="25"/>
  <c r="R76" i="25"/>
  <c r="Q76" i="25"/>
  <c r="E76" i="25"/>
  <c r="D76" i="25" s="1"/>
  <c r="AC75" i="25"/>
  <c r="Z75" i="25"/>
  <c r="W75" i="25"/>
  <c r="R75" i="25"/>
  <c r="Q75" i="25"/>
  <c r="E75" i="25"/>
  <c r="D75" i="25" s="1"/>
  <c r="AC74" i="25"/>
  <c r="Z74" i="25"/>
  <c r="R74" i="25"/>
  <c r="Q74" i="25"/>
  <c r="E74" i="25"/>
  <c r="D74" i="25"/>
  <c r="AC73" i="25"/>
  <c r="AB73" i="25"/>
  <c r="Z73" i="25"/>
  <c r="R73" i="25"/>
  <c r="Q73" i="25"/>
  <c r="E73" i="25"/>
  <c r="D73" i="25"/>
  <c r="Z72" i="25"/>
  <c r="R72" i="25"/>
  <c r="Q72" i="25"/>
  <c r="O72" i="25"/>
  <c r="E72" i="25"/>
  <c r="P71" i="25"/>
  <c r="O71" i="25"/>
  <c r="E71" i="25"/>
  <c r="AC70" i="25"/>
  <c r="Z70" i="25"/>
  <c r="R70" i="25"/>
  <c r="Q70" i="25"/>
  <c r="O70" i="25"/>
  <c r="E70" i="25"/>
  <c r="AC69" i="25"/>
  <c r="AA69" i="25"/>
  <c r="Z69" i="25"/>
  <c r="R69" i="25"/>
  <c r="Q69" i="25"/>
  <c r="E69" i="25"/>
  <c r="D69" i="25" s="1"/>
  <c r="AC68" i="25"/>
  <c r="Z68" i="25"/>
  <c r="R68" i="25"/>
  <c r="Q68" i="25"/>
  <c r="E68" i="25"/>
  <c r="D68" i="25" s="1"/>
  <c r="AM67" i="25"/>
  <c r="AC67" i="25"/>
  <c r="Z67" i="25"/>
  <c r="R67" i="25"/>
  <c r="Q67" i="25"/>
  <c r="E67" i="25"/>
  <c r="D67" i="25"/>
  <c r="AC66" i="25"/>
  <c r="Z66" i="25"/>
  <c r="R66" i="25"/>
  <c r="Q66" i="25"/>
  <c r="E66" i="25"/>
  <c r="D66" i="25" s="1"/>
  <c r="Z65" i="25"/>
  <c r="R65" i="25"/>
  <c r="Q65" i="25"/>
  <c r="P65" i="25" s="1"/>
  <c r="E65" i="25"/>
  <c r="D65" i="25" s="1"/>
  <c r="Z64" i="25"/>
  <c r="W64" i="25"/>
  <c r="R64" i="25"/>
  <c r="Q64" i="25"/>
  <c r="E64" i="25"/>
  <c r="D64" i="25" s="1"/>
  <c r="AC63" i="25"/>
  <c r="Z63" i="25"/>
  <c r="R63" i="25"/>
  <c r="Q63" i="25"/>
  <c r="E63" i="25"/>
  <c r="D63" i="25" s="1"/>
  <c r="AC62" i="25"/>
  <c r="Z62" i="25"/>
  <c r="W62" i="25"/>
  <c r="R62" i="25"/>
  <c r="Q62" i="25"/>
  <c r="E62" i="25"/>
  <c r="D62" i="25" s="1"/>
  <c r="Z61" i="25"/>
  <c r="R61" i="25"/>
  <c r="Q61" i="25"/>
  <c r="P61" i="25" s="1"/>
  <c r="E61" i="25"/>
  <c r="D61" i="25" s="1"/>
  <c r="AC60" i="25"/>
  <c r="Z60" i="25"/>
  <c r="Y60" i="25"/>
  <c r="R60" i="25"/>
  <c r="Q60" i="25"/>
  <c r="E60" i="25"/>
  <c r="D60" i="25"/>
  <c r="Z59" i="25"/>
  <c r="R59" i="25"/>
  <c r="Q59" i="25"/>
  <c r="E59" i="25"/>
  <c r="D59" i="25" s="1"/>
  <c r="Z58" i="25"/>
  <c r="R58" i="25"/>
  <c r="Q58" i="25"/>
  <c r="E58" i="25"/>
  <c r="D58" i="25" s="1"/>
  <c r="AC57" i="25"/>
  <c r="Z57" i="25"/>
  <c r="R57" i="25"/>
  <c r="Q57" i="25"/>
  <c r="E57" i="25"/>
  <c r="D57" i="25" s="1"/>
  <c r="AC56" i="25"/>
  <c r="Z56" i="25"/>
  <c r="W56" i="25"/>
  <c r="R56" i="25"/>
  <c r="Q56" i="25"/>
  <c r="E56" i="25"/>
  <c r="D56" i="25" s="1"/>
  <c r="Z55" i="25"/>
  <c r="R55" i="25"/>
  <c r="Q55" i="25"/>
  <c r="E55" i="25"/>
  <c r="D55" i="25" s="1"/>
  <c r="AC42" i="25"/>
  <c r="Z42" i="25"/>
  <c r="Y42" i="25"/>
  <c r="R42" i="25"/>
  <c r="Q42" i="25"/>
  <c r="E42" i="25"/>
  <c r="D42" i="25"/>
  <c r="AC41" i="25"/>
  <c r="Z41" i="25"/>
  <c r="X41" i="25"/>
  <c r="W41" i="25"/>
  <c r="R41" i="25"/>
  <c r="Q41" i="25"/>
  <c r="E41" i="25"/>
  <c r="D41" i="25" s="1"/>
  <c r="AC40" i="25"/>
  <c r="AA40" i="25"/>
  <c r="Z40" i="25"/>
  <c r="R40" i="25"/>
  <c r="Q40" i="25"/>
  <c r="E40" i="25"/>
  <c r="D40" i="25" s="1"/>
  <c r="AC39" i="25"/>
  <c r="Z39" i="25"/>
  <c r="W39" i="25"/>
  <c r="R39" i="25"/>
  <c r="Q39" i="25"/>
  <c r="E39" i="25"/>
  <c r="D39" i="25" s="1"/>
  <c r="AC38" i="25"/>
  <c r="Z38" i="25"/>
  <c r="W38" i="25"/>
  <c r="U38" i="25"/>
  <c r="R38" i="25"/>
  <c r="Q38" i="25"/>
  <c r="O38" i="25"/>
  <c r="E38" i="25"/>
  <c r="AC37" i="25"/>
  <c r="Z37" i="25"/>
  <c r="Y37" i="25"/>
  <c r="U37" i="25"/>
  <c r="R37" i="25"/>
  <c r="Q37" i="25"/>
  <c r="E37" i="25"/>
  <c r="D37" i="25" s="1"/>
  <c r="AC36" i="25"/>
  <c r="AB36" i="25"/>
  <c r="Z36" i="25"/>
  <c r="Y36" i="25"/>
  <c r="U36" i="25"/>
  <c r="R36" i="25"/>
  <c r="Q36" i="25"/>
  <c r="E36" i="25"/>
  <c r="D36" i="25" s="1"/>
  <c r="AM35" i="25"/>
  <c r="AC35" i="25"/>
  <c r="AB35" i="25"/>
  <c r="Z35" i="25"/>
  <c r="Y35" i="25"/>
  <c r="X35" i="25"/>
  <c r="W35" i="25"/>
  <c r="U35" i="25"/>
  <c r="R35" i="25"/>
  <c r="Q35" i="25"/>
  <c r="E35" i="25"/>
  <c r="D35" i="25" s="1"/>
  <c r="AC34" i="25"/>
  <c r="Z34" i="25"/>
  <c r="W34" i="25"/>
  <c r="R34" i="25"/>
  <c r="Q34" i="25"/>
  <c r="E34" i="25"/>
  <c r="D34" i="25" s="1"/>
  <c r="AC20" i="25"/>
  <c r="AB20" i="25"/>
  <c r="Z20" i="25"/>
  <c r="Y20" i="25"/>
  <c r="X20" i="25"/>
  <c r="W20" i="25"/>
  <c r="U20" i="25"/>
  <c r="T20" i="25"/>
  <c r="R20" i="25"/>
  <c r="Q20" i="25"/>
  <c r="E20" i="25"/>
  <c r="D20" i="25" s="1"/>
  <c r="AC19" i="25"/>
  <c r="Z19" i="25"/>
  <c r="W19" i="25"/>
  <c r="R19" i="25"/>
  <c r="Q19" i="25"/>
  <c r="E19" i="25"/>
  <c r="D19" i="25" s="1"/>
  <c r="AC18" i="25"/>
  <c r="AB18" i="25"/>
  <c r="Z18" i="25"/>
  <c r="Y18" i="25"/>
  <c r="X18" i="25"/>
  <c r="W18" i="25"/>
  <c r="U18" i="25"/>
  <c r="T18" i="25"/>
  <c r="S18" i="25"/>
  <c r="R18" i="25"/>
  <c r="Q18" i="25"/>
  <c r="E18" i="25"/>
  <c r="D18" i="25" s="1"/>
  <c r="AM15" i="25"/>
  <c r="AD15" i="25"/>
  <c r="AC15" i="25"/>
  <c r="AB15" i="25"/>
  <c r="AA15" i="25"/>
  <c r="Z15" i="25"/>
  <c r="Y15" i="25"/>
  <c r="X15" i="25"/>
  <c r="W15" i="25"/>
  <c r="V15" i="25"/>
  <c r="U15" i="25"/>
  <c r="R15" i="25"/>
  <c r="Q15" i="25"/>
  <c r="O15" i="25"/>
  <c r="E15" i="25"/>
  <c r="P52" i="23"/>
  <c r="P53" i="23"/>
  <c r="P55" i="23"/>
  <c r="P56" i="23"/>
  <c r="P57" i="23"/>
  <c r="P58" i="23"/>
  <c r="P59" i="23"/>
  <c r="P60" i="23"/>
  <c r="P61" i="23"/>
  <c r="P62" i="23"/>
  <c r="P63" i="23"/>
  <c r="P64" i="23"/>
  <c r="P65" i="23"/>
  <c r="P66" i="23"/>
  <c r="P67" i="23"/>
  <c r="P68" i="23"/>
  <c r="P69" i="23"/>
  <c r="P70" i="23"/>
  <c r="P71" i="23"/>
  <c r="P72" i="23"/>
  <c r="P73" i="23"/>
  <c r="P74" i="23"/>
  <c r="P75" i="23"/>
  <c r="P76" i="23"/>
  <c r="P77" i="23"/>
  <c r="P78" i="23"/>
  <c r="P79" i="23"/>
  <c r="P80" i="23"/>
  <c r="P81" i="23"/>
  <c r="P82" i="23"/>
  <c r="P83" i="23"/>
  <c r="P84" i="23"/>
  <c r="P85" i="23"/>
  <c r="P86" i="23"/>
  <c r="P87" i="23"/>
  <c r="P88" i="23"/>
  <c r="P89" i="23"/>
  <c r="P90" i="23"/>
  <c r="P91" i="23"/>
  <c r="P92" i="23"/>
  <c r="P93" i="23"/>
  <c r="P94" i="23"/>
  <c r="P95" i="23"/>
  <c r="P96" i="23"/>
  <c r="P97" i="23"/>
  <c r="P98" i="23"/>
  <c r="P99" i="23"/>
  <c r="P100" i="23"/>
  <c r="P101" i="23"/>
  <c r="P102" i="23"/>
  <c r="P103" i="23"/>
  <c r="P104" i="23"/>
  <c r="P105" i="23"/>
  <c r="P106" i="23"/>
  <c r="P107" i="23"/>
  <c r="P108" i="23"/>
  <c r="P109" i="23"/>
  <c r="P110" i="23"/>
  <c r="P111" i="23"/>
  <c r="P112" i="23"/>
  <c r="P113" i="23"/>
  <c r="P114" i="23"/>
  <c r="P115" i="23"/>
  <c r="P116" i="23"/>
  <c r="P117" i="23"/>
  <c r="P118" i="23"/>
  <c r="P119" i="23"/>
  <c r="P120" i="23"/>
  <c r="P121" i="23"/>
  <c r="P122" i="23"/>
  <c r="P123" i="23"/>
  <c r="P124" i="23"/>
  <c r="P125" i="23"/>
  <c r="P126" i="23"/>
  <c r="P127" i="23"/>
  <c r="P128" i="23"/>
  <c r="P129" i="23"/>
  <c r="P130" i="23"/>
  <c r="P131" i="23"/>
  <c r="P132" i="23"/>
  <c r="P133" i="23"/>
  <c r="P134" i="23"/>
  <c r="P135" i="23"/>
  <c r="P136" i="23"/>
  <c r="P137" i="23"/>
  <c r="P138" i="23"/>
  <c r="P139" i="23"/>
  <c r="P140" i="23"/>
  <c r="P141" i="23"/>
  <c r="P15" i="23"/>
  <c r="P17" i="23"/>
  <c r="P18" i="23"/>
  <c r="P19" i="23"/>
  <c r="P20" i="23"/>
  <c r="P21" i="23"/>
  <c r="P22" i="23"/>
  <c r="P23" i="23"/>
  <c r="P24" i="23"/>
  <c r="P25" i="23"/>
  <c r="P26" i="23"/>
  <c r="P27" i="23"/>
  <c r="P28" i="23"/>
  <c r="P29" i="23"/>
  <c r="P30" i="23"/>
  <c r="P31" i="23"/>
  <c r="P32" i="23"/>
  <c r="P34" i="23"/>
  <c r="P35" i="23"/>
  <c r="P36" i="23"/>
  <c r="P94" i="24"/>
  <c r="D94" i="24"/>
  <c r="P93" i="24"/>
  <c r="D93" i="24"/>
  <c r="P92" i="24"/>
  <c r="D92" i="24"/>
  <c r="P91" i="24"/>
  <c r="D91" i="24"/>
  <c r="P90" i="24"/>
  <c r="D90" i="24"/>
  <c r="P89" i="24"/>
  <c r="D89" i="24"/>
  <c r="P88" i="24"/>
  <c r="D88" i="24"/>
  <c r="P87" i="24"/>
  <c r="D87" i="24"/>
  <c r="P86" i="24"/>
  <c r="D86" i="24"/>
  <c r="P85" i="24"/>
  <c r="D85" i="24"/>
  <c r="P84" i="24"/>
  <c r="D84" i="24"/>
  <c r="P83" i="24"/>
  <c r="D83" i="24"/>
  <c r="P82" i="24"/>
  <c r="D82" i="24"/>
  <c r="P81" i="24"/>
  <c r="D81" i="24"/>
  <c r="P80" i="24"/>
  <c r="D80" i="24"/>
  <c r="P79" i="24"/>
  <c r="D79" i="24"/>
  <c r="P78" i="24"/>
  <c r="D78" i="24"/>
  <c r="P77" i="24"/>
  <c r="D77" i="24"/>
  <c r="P76" i="24"/>
  <c r="D76" i="24"/>
  <c r="P75" i="24"/>
  <c r="D75" i="24"/>
  <c r="P74" i="24"/>
  <c r="D74" i="24"/>
  <c r="P73" i="24"/>
  <c r="D73" i="24"/>
  <c r="P72" i="24"/>
  <c r="D72" i="24"/>
  <c r="P71" i="24"/>
  <c r="D71" i="24"/>
  <c r="P70" i="24"/>
  <c r="D70" i="24"/>
  <c r="P69" i="24"/>
  <c r="D69" i="24"/>
  <c r="P68" i="24"/>
  <c r="D68" i="24"/>
  <c r="P67" i="24"/>
  <c r="D67" i="24"/>
  <c r="P66" i="24"/>
  <c r="D66" i="24"/>
  <c r="P65" i="24"/>
  <c r="D65" i="24"/>
  <c r="P64" i="24"/>
  <c r="D64" i="24"/>
  <c r="P63" i="24"/>
  <c r="D63" i="24"/>
  <c r="P62" i="24"/>
  <c r="D62" i="24"/>
  <c r="P61" i="24"/>
  <c r="D61" i="24"/>
  <c r="P60" i="24"/>
  <c r="D60" i="24"/>
  <c r="P59" i="24"/>
  <c r="D59" i="24"/>
  <c r="P58" i="24"/>
  <c r="D58" i="24"/>
  <c r="P57" i="24"/>
  <c r="D57" i="24"/>
  <c r="P56" i="24"/>
  <c r="D56" i="24"/>
  <c r="P55" i="24"/>
  <c r="D55" i="24"/>
  <c r="P36" i="24"/>
  <c r="D36" i="24"/>
  <c r="P35" i="24"/>
  <c r="D35" i="24"/>
  <c r="P34" i="24"/>
  <c r="D34" i="24"/>
  <c r="P18" i="24"/>
  <c r="D18" i="24"/>
  <c r="P15" i="24"/>
  <c r="P112" i="16"/>
  <c r="D112" i="16"/>
  <c r="P111" i="16"/>
  <c r="D111" i="16"/>
  <c r="P110" i="16"/>
  <c r="D110" i="16"/>
  <c r="P109" i="16"/>
  <c r="D109" i="16"/>
  <c r="P108" i="16"/>
  <c r="D108" i="16"/>
  <c r="P107" i="16"/>
  <c r="D107" i="16"/>
  <c r="P106" i="16"/>
  <c r="D106" i="16"/>
  <c r="P105" i="16"/>
  <c r="D105" i="16"/>
  <c r="P104" i="16"/>
  <c r="D104" i="16"/>
  <c r="P103" i="16"/>
  <c r="D103" i="16"/>
  <c r="P102" i="16"/>
  <c r="D102" i="16"/>
  <c r="P101" i="16"/>
  <c r="D101" i="16"/>
  <c r="P100" i="16"/>
  <c r="D100" i="16"/>
  <c r="P99" i="16"/>
  <c r="D99" i="16"/>
  <c r="P98" i="16"/>
  <c r="D98" i="16"/>
  <c r="P97" i="16"/>
  <c r="D97" i="16"/>
  <c r="P96" i="16"/>
  <c r="D96" i="16"/>
  <c r="P95" i="16"/>
  <c r="D95" i="16"/>
  <c r="P94" i="16"/>
  <c r="D94" i="16"/>
  <c r="P93" i="16"/>
  <c r="D93" i="16"/>
  <c r="P92" i="16"/>
  <c r="D92" i="16"/>
  <c r="P91" i="16"/>
  <c r="D91" i="16"/>
  <c r="P90" i="16"/>
  <c r="D90" i="16"/>
  <c r="P89" i="16"/>
  <c r="D89" i="16"/>
  <c r="P88" i="16"/>
  <c r="D88" i="16"/>
  <c r="P87" i="16"/>
  <c r="D87" i="16"/>
  <c r="P86" i="16"/>
  <c r="D86" i="16"/>
  <c r="P85" i="16"/>
  <c r="D85" i="16"/>
  <c r="P84" i="16"/>
  <c r="D84" i="16"/>
  <c r="P83" i="16"/>
  <c r="D83" i="16"/>
  <c r="P82" i="16"/>
  <c r="D82" i="16"/>
  <c r="P81" i="16"/>
  <c r="D81" i="16"/>
  <c r="P80" i="16"/>
  <c r="D80" i="16"/>
  <c r="P79" i="16"/>
  <c r="D79" i="16"/>
  <c r="P78" i="16"/>
  <c r="D78" i="16"/>
  <c r="P77" i="16"/>
  <c r="D77" i="16"/>
  <c r="P76" i="16"/>
  <c r="D76" i="16"/>
  <c r="P75" i="16"/>
  <c r="D75" i="16"/>
  <c r="P74" i="16"/>
  <c r="D74" i="16"/>
  <c r="P73" i="16"/>
  <c r="D73" i="16"/>
  <c r="P72" i="16"/>
  <c r="D72" i="16"/>
  <c r="P71" i="16"/>
  <c r="D71" i="16"/>
  <c r="P70" i="16"/>
  <c r="D70" i="16"/>
  <c r="P69" i="16"/>
  <c r="D69" i="16"/>
  <c r="P68" i="16"/>
  <c r="D68" i="16"/>
  <c r="P67" i="16"/>
  <c r="D67" i="16"/>
  <c r="P66" i="16"/>
  <c r="D66" i="16"/>
  <c r="P65" i="16"/>
  <c r="D65" i="16"/>
  <c r="P64" i="16"/>
  <c r="D64" i="16"/>
  <c r="P63" i="16"/>
  <c r="D63" i="16"/>
  <c r="P62" i="16"/>
  <c r="D62" i="16"/>
  <c r="P61" i="16"/>
  <c r="D61" i="16"/>
  <c r="P60" i="16"/>
  <c r="D60" i="16"/>
  <c r="P59" i="16"/>
  <c r="D59" i="16"/>
  <c r="P58" i="16"/>
  <c r="D58" i="16"/>
  <c r="P57" i="16"/>
  <c r="D57" i="16"/>
  <c r="P56" i="16"/>
  <c r="D56" i="16"/>
  <c r="P55" i="16"/>
  <c r="D55" i="16"/>
  <c r="P36" i="16"/>
  <c r="D36" i="16"/>
  <c r="P35" i="16"/>
  <c r="D35" i="16"/>
  <c r="P34" i="16"/>
  <c r="D34" i="16"/>
  <c r="P18" i="16"/>
  <c r="P15" i="16"/>
  <c r="P53" i="17"/>
  <c r="P54" i="17"/>
  <c r="P55" i="17"/>
  <c r="P56" i="17"/>
  <c r="P57" i="17"/>
  <c r="P58" i="17"/>
  <c r="P59" i="17"/>
  <c r="F54" i="17"/>
  <c r="G54" i="17"/>
  <c r="H54" i="17"/>
  <c r="I54" i="17"/>
  <c r="J54" i="17"/>
  <c r="K54" i="17"/>
  <c r="L54" i="17"/>
  <c r="M54" i="17"/>
  <c r="N54" i="17"/>
  <c r="O54" i="17"/>
  <c r="Q54" i="17"/>
  <c r="R54" i="17"/>
  <c r="S54" i="17"/>
  <c r="T54" i="17"/>
  <c r="U54" i="17"/>
  <c r="V54" i="17"/>
  <c r="W54" i="17"/>
  <c r="X54" i="17"/>
  <c r="Y54" i="17"/>
  <c r="Z54" i="17"/>
  <c r="AA54" i="17"/>
  <c r="AB54" i="17"/>
  <c r="AC54" i="17"/>
  <c r="AD54" i="17"/>
  <c r="AE54" i="17"/>
  <c r="AF54" i="17"/>
  <c r="AG54" i="17"/>
  <c r="AH54" i="17"/>
  <c r="AI54" i="17"/>
  <c r="AJ54" i="17"/>
  <c r="AK54" i="17"/>
  <c r="AL54" i="17"/>
  <c r="AM54" i="17"/>
  <c r="E54" i="17"/>
  <c r="P146" i="17"/>
  <c r="D146" i="17"/>
  <c r="P145" i="17"/>
  <c r="D145" i="17"/>
  <c r="P144" i="17"/>
  <c r="D144" i="17"/>
  <c r="P143" i="17"/>
  <c r="D143" i="17"/>
  <c r="P142" i="17"/>
  <c r="D142" i="17"/>
  <c r="P141" i="17"/>
  <c r="D141" i="17"/>
  <c r="P140" i="17"/>
  <c r="D140" i="17"/>
  <c r="P139" i="17"/>
  <c r="D139" i="17"/>
  <c r="P138" i="17"/>
  <c r="D138" i="17"/>
  <c r="P137" i="17"/>
  <c r="D137" i="17"/>
  <c r="P136" i="17"/>
  <c r="D136" i="17"/>
  <c r="P135" i="17"/>
  <c r="D135" i="17"/>
  <c r="P134" i="17"/>
  <c r="D134" i="17"/>
  <c r="P133" i="17"/>
  <c r="D133" i="17"/>
  <c r="P132" i="17"/>
  <c r="D132" i="17"/>
  <c r="P131" i="17"/>
  <c r="D131" i="17"/>
  <c r="P130" i="17"/>
  <c r="D130" i="17"/>
  <c r="P129" i="17"/>
  <c r="D129" i="17"/>
  <c r="P128" i="17"/>
  <c r="D128" i="17"/>
  <c r="P127" i="17"/>
  <c r="D127" i="17"/>
  <c r="P126" i="17"/>
  <c r="D126" i="17"/>
  <c r="P125" i="17"/>
  <c r="D125" i="17"/>
  <c r="P124" i="17"/>
  <c r="D124" i="17"/>
  <c r="P123" i="17"/>
  <c r="D123" i="17"/>
  <c r="P122" i="17"/>
  <c r="D122" i="17"/>
  <c r="P121" i="17"/>
  <c r="D121" i="17"/>
  <c r="P120" i="17"/>
  <c r="D120" i="17"/>
  <c r="P119" i="17"/>
  <c r="D119" i="17"/>
  <c r="P118" i="17"/>
  <c r="D118" i="17"/>
  <c r="P117" i="17"/>
  <c r="D117" i="17"/>
  <c r="P116" i="17"/>
  <c r="D116" i="17"/>
  <c r="P115" i="17"/>
  <c r="D115" i="17"/>
  <c r="P114" i="17"/>
  <c r="D114" i="17"/>
  <c r="P113" i="17"/>
  <c r="D113" i="17"/>
  <c r="P112" i="17"/>
  <c r="D112" i="17"/>
  <c r="P111" i="17"/>
  <c r="D111" i="17"/>
  <c r="P110" i="17"/>
  <c r="D110" i="17"/>
  <c r="P109" i="17"/>
  <c r="D109" i="17"/>
  <c r="P108" i="17"/>
  <c r="D108" i="17"/>
  <c r="P107" i="17"/>
  <c r="D107" i="17"/>
  <c r="P106" i="17"/>
  <c r="D106" i="17"/>
  <c r="P105" i="17"/>
  <c r="D105" i="17"/>
  <c r="P104" i="17"/>
  <c r="D104" i="17"/>
  <c r="P103" i="17"/>
  <c r="D103" i="17"/>
  <c r="P102" i="17"/>
  <c r="D102" i="17"/>
  <c r="P101" i="17"/>
  <c r="D101" i="17"/>
  <c r="P100" i="17"/>
  <c r="D100" i="17"/>
  <c r="P99" i="17"/>
  <c r="D99" i="17"/>
  <c r="P98" i="17"/>
  <c r="D98" i="17"/>
  <c r="P97" i="17"/>
  <c r="D97" i="17"/>
  <c r="P96" i="17"/>
  <c r="D96" i="17"/>
  <c r="P95" i="17"/>
  <c r="D95" i="17"/>
  <c r="P94" i="17"/>
  <c r="D94" i="17"/>
  <c r="P93" i="17"/>
  <c r="D93" i="17"/>
  <c r="P92" i="17"/>
  <c r="D92" i="17"/>
  <c r="P91" i="17"/>
  <c r="D91" i="17"/>
  <c r="P90" i="17"/>
  <c r="D90" i="17"/>
  <c r="P89" i="17"/>
  <c r="D89" i="17"/>
  <c r="P88" i="17"/>
  <c r="D88" i="17"/>
  <c r="P87" i="17"/>
  <c r="D87" i="17"/>
  <c r="P86" i="17"/>
  <c r="D86" i="17"/>
  <c r="P85" i="17"/>
  <c r="D85" i="17"/>
  <c r="P84" i="17"/>
  <c r="D84" i="17"/>
  <c r="P83" i="17"/>
  <c r="D83" i="17"/>
  <c r="P82" i="17"/>
  <c r="D82" i="17"/>
  <c r="P81" i="17"/>
  <c r="D81" i="17"/>
  <c r="P80" i="17"/>
  <c r="D80" i="17"/>
  <c r="P79" i="17"/>
  <c r="D79" i="17"/>
  <c r="P78" i="17"/>
  <c r="D78" i="17"/>
  <c r="P77" i="17"/>
  <c r="D77" i="17"/>
  <c r="P76" i="17"/>
  <c r="D76" i="17"/>
  <c r="P75" i="17"/>
  <c r="D75" i="17"/>
  <c r="P74" i="17"/>
  <c r="D74" i="17"/>
  <c r="P73" i="17"/>
  <c r="D73" i="17"/>
  <c r="P72" i="17"/>
  <c r="D72" i="17"/>
  <c r="P71" i="17"/>
  <c r="D71" i="17"/>
  <c r="P70" i="17"/>
  <c r="D70" i="17"/>
  <c r="P69" i="17"/>
  <c r="D69" i="17"/>
  <c r="P68" i="17"/>
  <c r="D68" i="17"/>
  <c r="P67" i="17"/>
  <c r="D67" i="17"/>
  <c r="P66" i="17"/>
  <c r="D66" i="17"/>
  <c r="P65" i="17"/>
  <c r="D65" i="17"/>
  <c r="P64" i="17"/>
  <c r="D64" i="17"/>
  <c r="P63" i="17"/>
  <c r="D63" i="17"/>
  <c r="P62" i="17"/>
  <c r="D62" i="17"/>
  <c r="P61" i="17"/>
  <c r="D61" i="17"/>
  <c r="P60" i="17"/>
  <c r="D60" i="17"/>
  <c r="D59" i="17"/>
  <c r="D58" i="17"/>
  <c r="D57" i="17"/>
  <c r="D56" i="17"/>
  <c r="D55" i="17"/>
  <c r="P39" i="17"/>
  <c r="D39" i="17"/>
  <c r="P38" i="17"/>
  <c r="D38" i="17"/>
  <c r="P37" i="17"/>
  <c r="D37" i="17"/>
  <c r="P36" i="17"/>
  <c r="D36" i="17"/>
  <c r="P35" i="17"/>
  <c r="D35" i="17"/>
  <c r="P34" i="17"/>
  <c r="D34" i="17"/>
  <c r="P21" i="17"/>
  <c r="D21" i="17"/>
  <c r="P20" i="17"/>
  <c r="D20" i="17"/>
  <c r="P19" i="17"/>
  <c r="D19" i="17"/>
  <c r="P18" i="17"/>
  <c r="D18" i="17"/>
  <c r="P15" i="17"/>
  <c r="P142" i="21"/>
  <c r="P143" i="21"/>
  <c r="P144" i="21"/>
  <c r="P145" i="21"/>
  <c r="P146" i="21"/>
  <c r="P147" i="21"/>
  <c r="P148" i="21"/>
  <c r="P149" i="21"/>
  <c r="P54" i="21"/>
  <c r="P55" i="21"/>
  <c r="P56" i="21"/>
  <c r="F54" i="21"/>
  <c r="G54" i="21"/>
  <c r="H54" i="21"/>
  <c r="I54" i="21"/>
  <c r="J54" i="21"/>
  <c r="K54" i="21"/>
  <c r="L54" i="21"/>
  <c r="M54" i="21"/>
  <c r="N54" i="21"/>
  <c r="O54" i="21"/>
  <c r="Q54" i="21"/>
  <c r="R54" i="21"/>
  <c r="S54" i="21"/>
  <c r="T54" i="21"/>
  <c r="U54" i="21"/>
  <c r="V54" i="21"/>
  <c r="W54" i="21"/>
  <c r="X54" i="21"/>
  <c r="Y54" i="21"/>
  <c r="Z54" i="21"/>
  <c r="AA54" i="21"/>
  <c r="AB54" i="21"/>
  <c r="AC54" i="21"/>
  <c r="AD54" i="21"/>
  <c r="AE54" i="21"/>
  <c r="AF54" i="21"/>
  <c r="AG54" i="21"/>
  <c r="AH54" i="21"/>
  <c r="AI54" i="21"/>
  <c r="AJ54" i="21"/>
  <c r="AK54" i="21"/>
  <c r="AL54" i="21"/>
  <c r="AM54" i="21"/>
  <c r="E54" i="21"/>
  <c r="D149" i="21"/>
  <c r="D148" i="21"/>
  <c r="D147" i="21"/>
  <c r="D146" i="21"/>
  <c r="D145" i="21"/>
  <c r="D144" i="21"/>
  <c r="D143" i="21"/>
  <c r="D142" i="21"/>
  <c r="D141" i="21"/>
  <c r="D140" i="21"/>
  <c r="D139" i="21"/>
  <c r="D138" i="21"/>
  <c r="D137" i="21"/>
  <c r="D136" i="21"/>
  <c r="D135" i="21"/>
  <c r="D134" i="21"/>
  <c r="D133" i="21"/>
  <c r="D132" i="21"/>
  <c r="D131" i="21"/>
  <c r="D130" i="21"/>
  <c r="D129" i="21"/>
  <c r="D128" i="21"/>
  <c r="D127" i="21"/>
  <c r="D126" i="21"/>
  <c r="D125" i="21"/>
  <c r="D124" i="21"/>
  <c r="D123" i="21"/>
  <c r="D122" i="21"/>
  <c r="D121" i="21"/>
  <c r="D120" i="21"/>
  <c r="D119" i="21"/>
  <c r="D118" i="21"/>
  <c r="D117" i="21"/>
  <c r="D116" i="21"/>
  <c r="D115" i="21"/>
  <c r="D114" i="21"/>
  <c r="D113" i="21"/>
  <c r="D112" i="21"/>
  <c r="D111" i="21"/>
  <c r="D110" i="21"/>
  <c r="D109" i="21"/>
  <c r="D108" i="21"/>
  <c r="D107" i="21"/>
  <c r="D106" i="21"/>
  <c r="D105" i="21"/>
  <c r="D104" i="21"/>
  <c r="D103" i="21"/>
  <c r="D102" i="21"/>
  <c r="D101" i="21"/>
  <c r="D100" i="21"/>
  <c r="D99" i="21"/>
  <c r="D98" i="21"/>
  <c r="D97" i="21"/>
  <c r="D96" i="21"/>
  <c r="D95" i="21"/>
  <c r="D94" i="21"/>
  <c r="D93" i="21"/>
  <c r="D92" i="21"/>
  <c r="D91" i="21"/>
  <c r="D90" i="21"/>
  <c r="D89" i="21"/>
  <c r="D88" i="21"/>
  <c r="D87" i="21"/>
  <c r="D86" i="21"/>
  <c r="D85" i="21"/>
  <c r="D84" i="21"/>
  <c r="D83" i="21"/>
  <c r="D82" i="21"/>
  <c r="D81" i="21"/>
  <c r="D80" i="21"/>
  <c r="D79" i="21"/>
  <c r="D78" i="21"/>
  <c r="D77" i="21"/>
  <c r="D76" i="21"/>
  <c r="D75" i="21"/>
  <c r="D74" i="21"/>
  <c r="D73" i="21"/>
  <c r="D72" i="21"/>
  <c r="D71" i="21"/>
  <c r="D70" i="21"/>
  <c r="D69" i="21"/>
  <c r="D68" i="21"/>
  <c r="D67" i="21"/>
  <c r="D66" i="21"/>
  <c r="D65" i="21"/>
  <c r="D64" i="21"/>
  <c r="D63" i="21"/>
  <c r="D62" i="21"/>
  <c r="D61" i="21"/>
  <c r="D60" i="21"/>
  <c r="D59" i="21"/>
  <c r="D58" i="21"/>
  <c r="D57" i="21"/>
  <c r="D56" i="21"/>
  <c r="D55" i="21"/>
  <c r="D37" i="21"/>
  <c r="D36" i="21"/>
  <c r="D35" i="21"/>
  <c r="D34" i="21"/>
  <c r="D20" i="21"/>
  <c r="D19" i="21"/>
  <c r="D18" i="21"/>
  <c r="Q33" i="19"/>
  <c r="D122" i="19"/>
  <c r="D121" i="19"/>
  <c r="D120" i="19"/>
  <c r="D119" i="19"/>
  <c r="D118" i="19"/>
  <c r="D117" i="19"/>
  <c r="D116" i="19"/>
  <c r="D115" i="19"/>
  <c r="D114" i="19"/>
  <c r="D113" i="19"/>
  <c r="D112" i="19"/>
  <c r="D111" i="19"/>
  <c r="D110" i="19"/>
  <c r="D109" i="19"/>
  <c r="D108" i="19"/>
  <c r="D107" i="19"/>
  <c r="D106" i="19"/>
  <c r="D105" i="19"/>
  <c r="D104" i="19"/>
  <c r="D103" i="19"/>
  <c r="D102" i="19"/>
  <c r="D101" i="19"/>
  <c r="D100" i="19"/>
  <c r="D99" i="19"/>
  <c r="D98" i="19"/>
  <c r="D97" i="19"/>
  <c r="D96" i="19"/>
  <c r="D95" i="19"/>
  <c r="D94" i="19"/>
  <c r="D93" i="19"/>
  <c r="D92" i="19"/>
  <c r="D91" i="19"/>
  <c r="D90" i="19"/>
  <c r="D89" i="19"/>
  <c r="D88" i="19"/>
  <c r="D87" i="19"/>
  <c r="D86" i="19"/>
  <c r="D85" i="19"/>
  <c r="D84" i="19"/>
  <c r="D83" i="19"/>
  <c r="D82" i="19"/>
  <c r="D81" i="19"/>
  <c r="D80" i="19"/>
  <c r="D79" i="19"/>
  <c r="D78" i="19"/>
  <c r="D77" i="19"/>
  <c r="D76" i="19"/>
  <c r="D75" i="19"/>
  <c r="D74" i="19"/>
  <c r="D73" i="19"/>
  <c r="D72" i="19"/>
  <c r="D71" i="19"/>
  <c r="D70" i="19"/>
  <c r="D69" i="19"/>
  <c r="D68" i="19"/>
  <c r="D67" i="19"/>
  <c r="D66" i="19"/>
  <c r="D65" i="19"/>
  <c r="D64" i="19"/>
  <c r="D63" i="19"/>
  <c r="D62" i="19"/>
  <c r="D61" i="19"/>
  <c r="D60" i="19"/>
  <c r="D59" i="19"/>
  <c r="D58" i="19"/>
  <c r="D57" i="19"/>
  <c r="D56" i="19"/>
  <c r="D55" i="19"/>
  <c r="D18" i="19"/>
  <c r="D42" i="19"/>
  <c r="D41" i="19"/>
  <c r="D40" i="19"/>
  <c r="D39" i="19"/>
  <c r="D38" i="19"/>
  <c r="D37" i="19"/>
  <c r="D36" i="19"/>
  <c r="D35" i="19"/>
  <c r="D34" i="19"/>
  <c r="P58" i="25" l="1"/>
  <c r="D98" i="25"/>
  <c r="P99" i="25"/>
  <c r="D38" i="25"/>
  <c r="P89" i="25"/>
  <c r="P15" i="25"/>
  <c r="P19" i="25"/>
  <c r="P34" i="25"/>
  <c r="P38" i="25"/>
  <c r="P39" i="25"/>
  <c r="P41" i="25"/>
  <c r="D81" i="25"/>
  <c r="P83" i="25"/>
  <c r="P92" i="25"/>
  <c r="P108" i="25"/>
  <c r="P81" i="25"/>
  <c r="D92" i="25"/>
  <c r="P67" i="25"/>
  <c r="P70" i="25"/>
  <c r="P77" i="25"/>
  <c r="D104" i="25"/>
  <c r="D112" i="25"/>
  <c r="P57" i="25"/>
  <c r="P64" i="25"/>
  <c r="D70" i="25"/>
  <c r="P72" i="25"/>
  <c r="P73" i="25"/>
  <c r="P91" i="25"/>
  <c r="P98" i="25"/>
  <c r="P110" i="25"/>
  <c r="P112" i="25"/>
  <c r="P56" i="25"/>
  <c r="D72" i="25"/>
  <c r="P79" i="25"/>
  <c r="P85" i="25"/>
  <c r="P86" i="25"/>
  <c r="P97" i="25"/>
  <c r="P101" i="25"/>
  <c r="P102" i="25"/>
  <c r="P105" i="25"/>
  <c r="P107" i="25"/>
  <c r="P36" i="25"/>
  <c r="P68" i="25"/>
  <c r="D71" i="25"/>
  <c r="P95" i="25"/>
  <c r="D107" i="25"/>
  <c r="P63" i="25"/>
  <c r="P69" i="25"/>
  <c r="P75" i="25"/>
  <c r="P80" i="25"/>
  <c r="P84" i="25"/>
  <c r="P88" i="25"/>
  <c r="P94" i="25"/>
  <c r="P100" i="25"/>
  <c r="P104" i="25"/>
  <c r="P111" i="25"/>
  <c r="P18" i="25"/>
  <c r="P20" i="25"/>
  <c r="P37" i="25"/>
  <c r="P40" i="25"/>
  <c r="P55" i="25"/>
  <c r="P60" i="25"/>
  <c r="P66" i="25"/>
  <c r="P78" i="25"/>
  <c r="P82" i="25"/>
  <c r="P87" i="25"/>
  <c r="P90" i="25"/>
  <c r="D100" i="25"/>
  <c r="P106" i="25"/>
  <c r="P35" i="25"/>
  <c r="P42" i="25"/>
  <c r="P59" i="25"/>
  <c r="P62" i="25"/>
  <c r="P74" i="25"/>
  <c r="P76" i="25"/>
  <c r="P93" i="25"/>
  <c r="P96" i="25"/>
  <c r="P103" i="25"/>
  <c r="P109" i="25"/>
  <c r="P53" i="22"/>
  <c r="P55" i="22"/>
  <c r="P56" i="22"/>
  <c r="P57" i="22"/>
  <c r="P58" i="22"/>
  <c r="P59" i="22"/>
  <c r="P60" i="22"/>
  <c r="P61" i="22"/>
  <c r="P62" i="22"/>
  <c r="P63" i="22"/>
  <c r="P64" i="22"/>
  <c r="P65" i="22"/>
  <c r="P66" i="22"/>
  <c r="P67" i="22"/>
  <c r="P68" i="22"/>
  <c r="P69" i="22"/>
  <c r="P70" i="22"/>
  <c r="P71" i="22"/>
  <c r="P72" i="22"/>
  <c r="P73" i="22"/>
  <c r="P74" i="22"/>
  <c r="P75" i="22"/>
  <c r="P76" i="22"/>
  <c r="P77" i="22"/>
  <c r="P78" i="22"/>
  <c r="P79" i="22"/>
  <c r="P80" i="22"/>
  <c r="P81" i="22"/>
  <c r="P82" i="22"/>
  <c r="P83" i="22"/>
  <c r="P84" i="22"/>
  <c r="P85" i="22"/>
  <c r="P86" i="22"/>
  <c r="P87" i="22"/>
  <c r="P88" i="22"/>
  <c r="P89" i="22"/>
  <c r="P90" i="22"/>
  <c r="P91" i="22"/>
  <c r="P92" i="22"/>
  <c r="P93" i="22"/>
  <c r="P94" i="22"/>
  <c r="P95" i="22"/>
  <c r="P96" i="22"/>
  <c r="P97" i="22"/>
  <c r="P98" i="22"/>
  <c r="P99" i="22"/>
  <c r="P100" i="22"/>
  <c r="P101" i="22"/>
  <c r="P102" i="22"/>
  <c r="P103" i="22"/>
  <c r="P104" i="22"/>
  <c r="P105" i="22"/>
  <c r="P106" i="22"/>
  <c r="P107" i="22"/>
  <c r="P108" i="22"/>
  <c r="P109" i="22"/>
  <c r="P110" i="22"/>
  <c r="P111" i="22"/>
  <c r="P112" i="22"/>
  <c r="P113" i="22"/>
  <c r="P114" i="22"/>
  <c r="P115" i="22"/>
  <c r="P116" i="22"/>
  <c r="P117" i="22"/>
  <c r="P118" i="22"/>
  <c r="P119" i="22"/>
  <c r="P120" i="22"/>
  <c r="P121" i="22"/>
  <c r="P122" i="22"/>
  <c r="P123" i="22"/>
  <c r="P124" i="22"/>
  <c r="P125" i="22"/>
  <c r="P126" i="22"/>
  <c r="P127" i="22"/>
  <c r="P128" i="22"/>
  <c r="P129" i="22"/>
  <c r="P130" i="22"/>
  <c r="P131" i="22"/>
  <c r="P132" i="22"/>
  <c r="P34" i="22"/>
  <c r="P35" i="22"/>
  <c r="P36" i="22"/>
  <c r="P37" i="22"/>
  <c r="P38" i="22"/>
  <c r="P39" i="22"/>
  <c r="P40" i="22"/>
  <c r="P41" i="22"/>
  <c r="P42" i="22"/>
  <c r="P43" i="22"/>
  <c r="P15" i="22"/>
  <c r="P17" i="22"/>
  <c r="P18" i="22"/>
  <c r="P19" i="22"/>
  <c r="P20" i="22"/>
  <c r="P21" i="22"/>
  <c r="P30" i="18" l="1"/>
  <c r="P133" i="18"/>
  <c r="P132" i="18"/>
  <c r="P131" i="18"/>
  <c r="P130" i="18"/>
  <c r="P129" i="18"/>
  <c r="P128" i="18"/>
  <c r="P127" i="18"/>
  <c r="P126" i="18"/>
  <c r="P125" i="18"/>
  <c r="P124" i="18"/>
  <c r="P123" i="18"/>
  <c r="P122" i="18"/>
  <c r="P121" i="18"/>
  <c r="P120" i="18"/>
  <c r="P119" i="18"/>
  <c r="P118" i="18"/>
  <c r="P117" i="18"/>
  <c r="P116" i="18"/>
  <c r="P115" i="18"/>
  <c r="P114" i="18"/>
  <c r="P113" i="18"/>
  <c r="P112" i="18"/>
  <c r="P111" i="18"/>
  <c r="P110" i="18"/>
  <c r="P109" i="18"/>
  <c r="P108" i="18"/>
  <c r="P107" i="18"/>
  <c r="P106" i="18"/>
  <c r="P105" i="18"/>
  <c r="P104" i="18"/>
  <c r="P103" i="18"/>
  <c r="P102" i="18"/>
  <c r="P101" i="18"/>
  <c r="P100" i="18"/>
  <c r="P99" i="18"/>
  <c r="P98" i="18"/>
  <c r="P97" i="18"/>
  <c r="P96" i="18"/>
  <c r="P95" i="18"/>
  <c r="P94" i="18"/>
  <c r="P93" i="18"/>
  <c r="P92" i="18"/>
  <c r="P91" i="18"/>
  <c r="P90" i="18"/>
  <c r="P89" i="18"/>
  <c r="P88" i="18"/>
  <c r="P87" i="18"/>
  <c r="P86" i="18"/>
  <c r="P85" i="18"/>
  <c r="P84" i="18"/>
  <c r="P83" i="18"/>
  <c r="P82" i="18"/>
  <c r="P81" i="18"/>
  <c r="P80" i="18"/>
  <c r="P79" i="18"/>
  <c r="P78" i="18"/>
  <c r="P77" i="18"/>
  <c r="P76" i="18"/>
  <c r="P75" i="18"/>
  <c r="P74" i="18"/>
  <c r="P73" i="18"/>
  <c r="P72" i="18"/>
  <c r="P71" i="18"/>
  <c r="P70" i="18"/>
  <c r="P69" i="18"/>
  <c r="P68" i="18"/>
  <c r="P67" i="18"/>
  <c r="P66" i="18"/>
  <c r="P65" i="18"/>
  <c r="P64" i="18"/>
  <c r="P63" i="18"/>
  <c r="P62" i="18"/>
  <c r="P61" i="18"/>
  <c r="P60" i="18"/>
  <c r="P59" i="18"/>
  <c r="P58" i="18"/>
  <c r="P57" i="18"/>
  <c r="P56" i="18"/>
  <c r="P55" i="18"/>
  <c r="P45" i="18"/>
  <c r="P44" i="18"/>
  <c r="P43" i="18"/>
  <c r="P42" i="18"/>
  <c r="P41" i="18"/>
  <c r="P40" i="18"/>
  <c r="P39" i="18"/>
  <c r="P38" i="18"/>
  <c r="P37" i="18"/>
  <c r="P36" i="18"/>
  <c r="P35" i="18"/>
  <c r="P34" i="18"/>
  <c r="P32" i="18"/>
  <c r="P31" i="18"/>
  <c r="P29" i="18"/>
  <c r="P28" i="18"/>
  <c r="P27" i="18"/>
  <c r="P26" i="18"/>
  <c r="P25" i="18"/>
  <c r="P24" i="18"/>
  <c r="P23" i="18"/>
  <c r="P22" i="18"/>
  <c r="P21" i="18"/>
  <c r="P20" i="18"/>
  <c r="P19" i="18"/>
  <c r="P18" i="18"/>
  <c r="P15" i="18"/>
  <c r="P104" i="26" l="1"/>
  <c r="D104" i="26"/>
  <c r="P103" i="26"/>
  <c r="D103" i="26"/>
  <c r="P102" i="26"/>
  <c r="D102" i="26"/>
  <c r="P101" i="26"/>
  <c r="D101" i="26"/>
  <c r="P100" i="26"/>
  <c r="D100" i="26"/>
  <c r="P99" i="26"/>
  <c r="D99" i="26"/>
  <c r="P98" i="26"/>
  <c r="D98" i="26"/>
  <c r="P97" i="26"/>
  <c r="D97" i="26"/>
  <c r="P96" i="26"/>
  <c r="D96" i="26"/>
  <c r="P95" i="26"/>
  <c r="D95" i="26"/>
  <c r="P94" i="26"/>
  <c r="D94" i="26"/>
  <c r="P93" i="26"/>
  <c r="D93" i="26"/>
  <c r="P92" i="26"/>
  <c r="D92" i="26"/>
  <c r="P91" i="26"/>
  <c r="D91" i="26"/>
  <c r="P90" i="26"/>
  <c r="D90" i="26"/>
  <c r="P89" i="26"/>
  <c r="D89" i="26"/>
  <c r="P88" i="26"/>
  <c r="D88" i="26"/>
  <c r="P87" i="26"/>
  <c r="D87" i="26"/>
  <c r="P86" i="26"/>
  <c r="D86" i="26"/>
  <c r="P85" i="26"/>
  <c r="D85" i="26"/>
  <c r="P84" i="26"/>
  <c r="D84" i="26"/>
  <c r="P83" i="26"/>
  <c r="D83" i="26"/>
  <c r="P82" i="26"/>
  <c r="D82" i="26"/>
  <c r="P81" i="26"/>
  <c r="D81" i="26"/>
  <c r="P80" i="26"/>
  <c r="D80" i="26"/>
  <c r="P79" i="26"/>
  <c r="D79" i="26"/>
  <c r="P78" i="26"/>
  <c r="D78" i="26"/>
  <c r="P77" i="26"/>
  <c r="D77" i="26"/>
  <c r="P76" i="26"/>
  <c r="D76" i="26"/>
  <c r="P75" i="26"/>
  <c r="D75" i="26"/>
  <c r="P74" i="26"/>
  <c r="D74" i="26"/>
  <c r="P73" i="26"/>
  <c r="D73" i="26"/>
  <c r="P72" i="26"/>
  <c r="D72" i="26"/>
  <c r="P71" i="26"/>
  <c r="D71" i="26"/>
  <c r="P70" i="26"/>
  <c r="D70" i="26"/>
  <c r="P69" i="26"/>
  <c r="D69" i="26"/>
  <c r="P68" i="26"/>
  <c r="D68" i="26"/>
  <c r="P67" i="26"/>
  <c r="D67" i="26"/>
  <c r="P66" i="26"/>
  <c r="D66" i="26"/>
  <c r="P65" i="26"/>
  <c r="D65" i="26"/>
  <c r="P64" i="26"/>
  <c r="D64" i="26"/>
  <c r="P63" i="26"/>
  <c r="D63" i="26"/>
  <c r="P62" i="26"/>
  <c r="D62" i="26"/>
  <c r="P61" i="26"/>
  <c r="D61" i="26"/>
  <c r="P60" i="26"/>
  <c r="D60" i="26"/>
  <c r="P59" i="26"/>
  <c r="D59" i="26"/>
  <c r="P58" i="26"/>
  <c r="D58" i="26"/>
  <c r="P57" i="26"/>
  <c r="D57" i="26"/>
  <c r="P56" i="26"/>
  <c r="D56" i="26"/>
  <c r="P55" i="26"/>
  <c r="D55" i="26"/>
  <c r="P36" i="26"/>
  <c r="D36" i="26"/>
  <c r="P35" i="26"/>
  <c r="D35" i="26"/>
  <c r="P34" i="26"/>
  <c r="D34" i="26"/>
  <c r="P19" i="26"/>
  <c r="D19" i="26"/>
  <c r="P18" i="26"/>
  <c r="D18" i="26"/>
  <c r="P15" i="26"/>
  <c r="P117" i="47"/>
  <c r="D117" i="47"/>
  <c r="P116" i="47"/>
  <c r="D116" i="47"/>
  <c r="P115" i="47"/>
  <c r="D115" i="47"/>
  <c r="P114" i="47"/>
  <c r="D114" i="47"/>
  <c r="P113" i="47"/>
  <c r="D113" i="47"/>
  <c r="P112" i="47"/>
  <c r="D112" i="47"/>
  <c r="P111" i="47"/>
  <c r="D111" i="47"/>
  <c r="P110" i="47"/>
  <c r="D110" i="47"/>
  <c r="P109" i="47"/>
  <c r="D109" i="47"/>
  <c r="P108" i="47"/>
  <c r="D108" i="47"/>
  <c r="P107" i="47"/>
  <c r="D107" i="47"/>
  <c r="P106" i="47"/>
  <c r="D106" i="47"/>
  <c r="P105" i="47"/>
  <c r="D105" i="47"/>
  <c r="P104" i="47"/>
  <c r="D104" i="47"/>
  <c r="P103" i="47"/>
  <c r="D103" i="47"/>
  <c r="P102" i="47"/>
  <c r="D102" i="47"/>
  <c r="P101" i="47"/>
  <c r="D101" i="47"/>
  <c r="P100" i="47"/>
  <c r="D100" i="47"/>
  <c r="P99" i="47"/>
  <c r="D99" i="47"/>
  <c r="P98" i="47"/>
  <c r="D98" i="47"/>
  <c r="P97" i="47"/>
  <c r="D97" i="47"/>
  <c r="P96" i="47"/>
  <c r="D96" i="47"/>
  <c r="P95" i="47"/>
  <c r="D95" i="47"/>
  <c r="P94" i="47"/>
  <c r="D94" i="47"/>
  <c r="P93" i="47"/>
  <c r="D93" i="47"/>
  <c r="P92" i="47"/>
  <c r="D92" i="47"/>
  <c r="P91" i="47"/>
  <c r="D91" i="47"/>
  <c r="P90" i="47"/>
  <c r="D90" i="47"/>
  <c r="P89" i="47"/>
  <c r="D89" i="47"/>
  <c r="P88" i="47"/>
  <c r="D88" i="47"/>
  <c r="P87" i="47"/>
  <c r="D87" i="47"/>
  <c r="P86" i="47"/>
  <c r="D86" i="47"/>
  <c r="P85" i="47"/>
  <c r="D85" i="47"/>
  <c r="P84" i="47"/>
  <c r="D84" i="47"/>
  <c r="P83" i="47"/>
  <c r="D83" i="47"/>
  <c r="P82" i="47"/>
  <c r="D82" i="47"/>
  <c r="P81" i="47"/>
  <c r="D81" i="47"/>
  <c r="P80" i="47"/>
  <c r="D80" i="47"/>
  <c r="P79" i="47"/>
  <c r="D79" i="47"/>
  <c r="P78" i="47"/>
  <c r="D78" i="47"/>
  <c r="P77" i="47"/>
  <c r="D77" i="47"/>
  <c r="P76" i="47"/>
  <c r="D76" i="47"/>
  <c r="P75" i="47"/>
  <c r="D75" i="47"/>
  <c r="P74" i="47"/>
  <c r="D74" i="47"/>
  <c r="P73" i="47"/>
  <c r="D73" i="47"/>
  <c r="P72" i="47"/>
  <c r="D72" i="47"/>
  <c r="P71" i="47"/>
  <c r="D71" i="47"/>
  <c r="P70" i="47"/>
  <c r="D70" i="47"/>
  <c r="P69" i="47"/>
  <c r="D69" i="47"/>
  <c r="P68" i="47"/>
  <c r="D68" i="47"/>
  <c r="P67" i="47"/>
  <c r="D67" i="47"/>
  <c r="P66" i="47"/>
  <c r="D66" i="47"/>
  <c r="P65" i="47"/>
  <c r="D65" i="47"/>
  <c r="P64" i="47"/>
  <c r="D64" i="47"/>
  <c r="P63" i="47"/>
  <c r="D63" i="47"/>
  <c r="P62" i="47"/>
  <c r="D62" i="47"/>
  <c r="P61" i="47"/>
  <c r="D61" i="47"/>
  <c r="P60" i="47"/>
  <c r="D60" i="47"/>
  <c r="P59" i="47"/>
  <c r="D59" i="47"/>
  <c r="P58" i="47"/>
  <c r="D58" i="47"/>
  <c r="P57" i="47"/>
  <c r="D57" i="47"/>
  <c r="P56" i="47"/>
  <c r="D56" i="47"/>
  <c r="P55" i="47"/>
  <c r="D55" i="47"/>
  <c r="P44" i="47"/>
  <c r="D44" i="47"/>
  <c r="P43" i="47"/>
  <c r="D43" i="47"/>
  <c r="P42" i="47"/>
  <c r="D42" i="47"/>
  <c r="P41" i="47"/>
  <c r="D41" i="47"/>
  <c r="P40" i="47"/>
  <c r="D40" i="47"/>
  <c r="P39" i="47"/>
  <c r="D39" i="47"/>
  <c r="P38" i="47"/>
  <c r="D38" i="47"/>
  <c r="P37" i="47"/>
  <c r="D37" i="47"/>
  <c r="P36" i="47"/>
  <c r="D36" i="47"/>
  <c r="P35" i="47"/>
  <c r="D35" i="47"/>
  <c r="P34" i="47"/>
  <c r="D34" i="47"/>
  <c r="P19" i="47"/>
  <c r="D19" i="47"/>
  <c r="P18" i="47"/>
  <c r="D18" i="47"/>
  <c r="P15" i="47"/>
  <c r="P15" i="42"/>
  <c r="P115" i="42"/>
  <c r="D115" i="42"/>
  <c r="P114" i="42"/>
  <c r="D114" i="42"/>
  <c r="P113" i="42"/>
  <c r="D113" i="42"/>
  <c r="P112" i="42"/>
  <c r="D112" i="42"/>
  <c r="P111" i="42"/>
  <c r="D111" i="42"/>
  <c r="P110" i="42"/>
  <c r="D110" i="42"/>
  <c r="P109" i="42"/>
  <c r="D109" i="42"/>
  <c r="P108" i="42"/>
  <c r="D108" i="42"/>
  <c r="P107" i="42"/>
  <c r="D107" i="42"/>
  <c r="P106" i="42"/>
  <c r="D106" i="42"/>
  <c r="P105" i="42"/>
  <c r="D105" i="42"/>
  <c r="P104" i="42"/>
  <c r="D104" i="42"/>
  <c r="P103" i="42"/>
  <c r="D103" i="42"/>
  <c r="P102" i="42"/>
  <c r="D102" i="42"/>
  <c r="P101" i="42"/>
  <c r="D101" i="42"/>
  <c r="P100" i="42"/>
  <c r="D100" i="42"/>
  <c r="P99" i="42"/>
  <c r="D99" i="42"/>
  <c r="P98" i="42"/>
  <c r="D98" i="42"/>
  <c r="P97" i="42"/>
  <c r="D97" i="42"/>
  <c r="P96" i="42"/>
  <c r="D96" i="42"/>
  <c r="P95" i="42"/>
  <c r="D95" i="42"/>
  <c r="P94" i="42"/>
  <c r="D94" i="42"/>
  <c r="P93" i="42"/>
  <c r="D93" i="42"/>
  <c r="P92" i="42"/>
  <c r="D92" i="42"/>
  <c r="P91" i="42"/>
  <c r="D91" i="42"/>
  <c r="P90" i="42"/>
  <c r="D90" i="42"/>
  <c r="P89" i="42"/>
  <c r="D89" i="42"/>
  <c r="P88" i="42"/>
  <c r="D88" i="42"/>
  <c r="P87" i="42"/>
  <c r="D87" i="42"/>
  <c r="P86" i="42"/>
  <c r="D86" i="42"/>
  <c r="P85" i="42"/>
  <c r="D85" i="42"/>
  <c r="P84" i="42"/>
  <c r="D84" i="42"/>
  <c r="P83" i="42"/>
  <c r="D83" i="42"/>
  <c r="P82" i="42"/>
  <c r="D82" i="42"/>
  <c r="P81" i="42"/>
  <c r="D81" i="42"/>
  <c r="P80" i="42"/>
  <c r="D80" i="42"/>
  <c r="P79" i="42"/>
  <c r="D79" i="42"/>
  <c r="P78" i="42"/>
  <c r="D78" i="42"/>
  <c r="P77" i="42"/>
  <c r="D77" i="42"/>
  <c r="P76" i="42"/>
  <c r="D76" i="42"/>
  <c r="P75" i="42"/>
  <c r="D75" i="42"/>
  <c r="P74" i="42"/>
  <c r="D74" i="42"/>
  <c r="P73" i="42"/>
  <c r="D73" i="42"/>
  <c r="P72" i="42"/>
  <c r="D72" i="42"/>
  <c r="P71" i="42"/>
  <c r="D71" i="42"/>
  <c r="P70" i="42"/>
  <c r="D70" i="42"/>
  <c r="P69" i="42"/>
  <c r="D69" i="42"/>
  <c r="P68" i="42"/>
  <c r="D68" i="42"/>
  <c r="P67" i="42"/>
  <c r="D67" i="42"/>
  <c r="P66" i="42"/>
  <c r="D66" i="42"/>
  <c r="P65" i="42"/>
  <c r="D65" i="42"/>
  <c r="P64" i="42"/>
  <c r="D64" i="42"/>
  <c r="P63" i="42"/>
  <c r="D63" i="42"/>
  <c r="P62" i="42"/>
  <c r="D62" i="42"/>
  <c r="P61" i="42"/>
  <c r="D61" i="42"/>
  <c r="P60" i="42"/>
  <c r="D60" i="42"/>
  <c r="P59" i="42"/>
  <c r="D59" i="42"/>
  <c r="P58" i="42"/>
  <c r="D58" i="42"/>
  <c r="P57" i="42"/>
  <c r="D57" i="42"/>
  <c r="P56" i="42"/>
  <c r="D56" i="42"/>
  <c r="P55" i="42"/>
  <c r="D55" i="42"/>
  <c r="P40" i="42"/>
  <c r="D40" i="42"/>
  <c r="P39" i="42"/>
  <c r="D39" i="42"/>
  <c r="P38" i="42"/>
  <c r="D38" i="42"/>
  <c r="P37" i="42"/>
  <c r="D37" i="42"/>
  <c r="P36" i="42"/>
  <c r="D36" i="42"/>
  <c r="P35" i="42"/>
  <c r="D35" i="42"/>
  <c r="P34" i="42"/>
  <c r="D34" i="42"/>
  <c r="P19" i="42"/>
  <c r="D19" i="42"/>
  <c r="P18" i="42"/>
  <c r="D18" i="42"/>
  <c r="D136" i="29" l="1"/>
  <c r="D135" i="29"/>
  <c r="D134" i="29"/>
  <c r="D133" i="29"/>
  <c r="D132" i="29"/>
  <c r="D131" i="29"/>
  <c r="D130" i="29"/>
  <c r="D129" i="29"/>
  <c r="D128" i="29"/>
  <c r="D127" i="29"/>
  <c r="D126" i="29"/>
  <c r="D125" i="29"/>
  <c r="D124" i="29"/>
  <c r="D123" i="29"/>
  <c r="D122" i="29"/>
  <c r="D121" i="29"/>
  <c r="D120" i="29"/>
  <c r="D119" i="29"/>
  <c r="D118" i="29"/>
  <c r="D117" i="29"/>
  <c r="D116" i="29"/>
  <c r="D115" i="29"/>
  <c r="D114" i="29"/>
  <c r="D113" i="29"/>
  <c r="D112" i="29"/>
  <c r="D111" i="29"/>
  <c r="D110" i="29"/>
  <c r="D109" i="29"/>
  <c r="D108" i="29"/>
  <c r="D107" i="29"/>
  <c r="D106" i="29"/>
  <c r="D105" i="29"/>
  <c r="D104" i="29"/>
  <c r="D103" i="29"/>
  <c r="D102" i="29"/>
  <c r="D101" i="29"/>
  <c r="D100" i="29"/>
  <c r="D99" i="29"/>
  <c r="D98" i="29"/>
  <c r="D97" i="29"/>
  <c r="D96" i="29"/>
  <c r="D95" i="29"/>
  <c r="D94" i="29"/>
  <c r="D93" i="29"/>
  <c r="D92" i="29"/>
  <c r="D91" i="29"/>
  <c r="D90" i="29"/>
  <c r="D89" i="29"/>
  <c r="D88" i="29"/>
  <c r="D87" i="29"/>
  <c r="D86" i="29"/>
  <c r="D85" i="29"/>
  <c r="D84" i="29"/>
  <c r="D83" i="29"/>
  <c r="D82" i="29"/>
  <c r="D81" i="29"/>
  <c r="D80" i="29"/>
  <c r="D79" i="29"/>
  <c r="D78" i="29"/>
  <c r="D77" i="29"/>
  <c r="D76" i="29"/>
  <c r="D75" i="29"/>
  <c r="D74" i="29"/>
  <c r="D73" i="29"/>
  <c r="D72" i="29"/>
  <c r="D71" i="29"/>
  <c r="D70" i="29"/>
  <c r="D69" i="29"/>
  <c r="D68" i="29"/>
  <c r="D67" i="29"/>
  <c r="P66" i="29"/>
  <c r="D66" i="29"/>
  <c r="P65" i="29"/>
  <c r="D65" i="29"/>
  <c r="P64" i="29"/>
  <c r="D64" i="29"/>
  <c r="P63" i="29"/>
  <c r="D63" i="29"/>
  <c r="P62" i="29"/>
  <c r="D62" i="29"/>
  <c r="P61" i="29"/>
  <c r="D61" i="29"/>
  <c r="P60" i="29"/>
  <c r="D60" i="29"/>
  <c r="P59" i="29"/>
  <c r="D59" i="29"/>
  <c r="P58" i="29"/>
  <c r="D58" i="29"/>
  <c r="P57" i="29"/>
  <c r="D57" i="29"/>
  <c r="P56" i="29"/>
  <c r="D56" i="29"/>
  <c r="P55" i="29"/>
  <c r="D55" i="29"/>
  <c r="P38" i="29"/>
  <c r="D38" i="29"/>
  <c r="P37" i="29"/>
  <c r="D37" i="29"/>
  <c r="P36" i="29"/>
  <c r="D36" i="29"/>
  <c r="P35" i="29"/>
  <c r="D35" i="29"/>
  <c r="P34" i="29"/>
  <c r="D34" i="29"/>
  <c r="P19" i="29"/>
  <c r="D19" i="29"/>
  <c r="P18" i="29"/>
  <c r="D18" i="29"/>
  <c r="P15" i="29"/>
  <c r="P100" i="35"/>
  <c r="D100" i="35"/>
  <c r="P99" i="35"/>
  <c r="D99" i="35"/>
  <c r="P98" i="35"/>
  <c r="D98" i="35"/>
  <c r="P97" i="35"/>
  <c r="D97" i="35"/>
  <c r="P96" i="35"/>
  <c r="D96" i="35"/>
  <c r="P95" i="35"/>
  <c r="D95" i="35"/>
  <c r="P94" i="35"/>
  <c r="D94" i="35"/>
  <c r="P93" i="35"/>
  <c r="D93" i="35"/>
  <c r="P92" i="35"/>
  <c r="D92" i="35"/>
  <c r="P91" i="35"/>
  <c r="D91" i="35"/>
  <c r="P90" i="35"/>
  <c r="D90" i="35"/>
  <c r="P89" i="35"/>
  <c r="D89" i="35"/>
  <c r="P88" i="35"/>
  <c r="D88" i="35"/>
  <c r="P87" i="35"/>
  <c r="D87" i="35"/>
  <c r="P86" i="35"/>
  <c r="D86" i="35"/>
  <c r="P85" i="35"/>
  <c r="D85" i="35"/>
  <c r="P84" i="35"/>
  <c r="D84" i="35"/>
  <c r="P83" i="35"/>
  <c r="D83" i="35"/>
  <c r="P82" i="35"/>
  <c r="D82" i="35"/>
  <c r="P81" i="35"/>
  <c r="D81" i="35"/>
  <c r="P80" i="35"/>
  <c r="D80" i="35"/>
  <c r="P79" i="35"/>
  <c r="D79" i="35"/>
  <c r="P78" i="35"/>
  <c r="D78" i="35"/>
  <c r="P77" i="35"/>
  <c r="D77" i="35"/>
  <c r="P76" i="35"/>
  <c r="D76" i="35"/>
  <c r="P75" i="35"/>
  <c r="D75" i="35"/>
  <c r="P74" i="35"/>
  <c r="D74" i="35"/>
  <c r="P73" i="35"/>
  <c r="D73" i="35"/>
  <c r="P72" i="35"/>
  <c r="D72" i="35"/>
  <c r="P71" i="35"/>
  <c r="D71" i="35"/>
  <c r="P70" i="35"/>
  <c r="D70" i="35"/>
  <c r="P69" i="35"/>
  <c r="D69" i="35"/>
  <c r="P68" i="35"/>
  <c r="D68" i="35"/>
  <c r="P67" i="35"/>
  <c r="D67" i="35"/>
  <c r="P66" i="35"/>
  <c r="D66" i="35"/>
  <c r="P65" i="35"/>
  <c r="D65" i="35"/>
  <c r="P64" i="35"/>
  <c r="D64" i="35"/>
  <c r="P63" i="35"/>
  <c r="D63" i="35"/>
  <c r="P62" i="35"/>
  <c r="D62" i="35"/>
  <c r="P61" i="35"/>
  <c r="D61" i="35"/>
  <c r="P60" i="35"/>
  <c r="D60" i="35"/>
  <c r="P59" i="35"/>
  <c r="D59" i="35"/>
  <c r="P58" i="35"/>
  <c r="D58" i="35"/>
  <c r="P57" i="35"/>
  <c r="D57" i="35"/>
  <c r="P56" i="35"/>
  <c r="D56" i="35"/>
  <c r="P55" i="35"/>
  <c r="D55" i="35"/>
  <c r="P37" i="35"/>
  <c r="D37" i="35"/>
  <c r="P36" i="35"/>
  <c r="D36" i="35"/>
  <c r="P35" i="35"/>
  <c r="D35" i="35"/>
  <c r="P34" i="35"/>
  <c r="D34" i="35"/>
  <c r="P18" i="35"/>
  <c r="D18" i="35"/>
  <c r="P15" i="35"/>
  <c r="P54" i="33" l="1"/>
  <c r="P53" i="33"/>
  <c r="P55" i="33"/>
  <c r="P56" i="33"/>
  <c r="P57" i="33"/>
  <c r="P58" i="33"/>
  <c r="P59" i="33"/>
  <c r="P60" i="33"/>
  <c r="P61" i="33"/>
  <c r="P62" i="33"/>
  <c r="F54" i="33"/>
  <c r="G54" i="33"/>
  <c r="H54" i="33"/>
  <c r="I54" i="33"/>
  <c r="J54" i="33"/>
  <c r="K54" i="33"/>
  <c r="L54" i="33"/>
  <c r="M54" i="33"/>
  <c r="N54" i="33"/>
  <c r="O54" i="33"/>
  <c r="Q54" i="33"/>
  <c r="R54" i="33"/>
  <c r="S54" i="33"/>
  <c r="T54" i="33"/>
  <c r="U54" i="33"/>
  <c r="V54" i="33"/>
  <c r="W54" i="33"/>
  <c r="X54" i="33"/>
  <c r="Y54" i="33"/>
  <c r="Z54" i="33"/>
  <c r="AA54" i="33"/>
  <c r="AB54" i="33"/>
  <c r="AC54" i="33"/>
  <c r="AD54" i="33"/>
  <c r="AE54" i="33"/>
  <c r="AF54" i="33"/>
  <c r="AG54" i="33"/>
  <c r="AH54" i="33"/>
  <c r="AI54" i="33"/>
  <c r="AJ54" i="33"/>
  <c r="AK54" i="33"/>
  <c r="AL54" i="33"/>
  <c r="AM54" i="33"/>
  <c r="E54" i="33"/>
  <c r="P146" i="33"/>
  <c r="D146" i="33"/>
  <c r="P145" i="33"/>
  <c r="D145" i="33"/>
  <c r="P144" i="33"/>
  <c r="D144" i="33"/>
  <c r="P143" i="33"/>
  <c r="D143" i="33"/>
  <c r="P142" i="33"/>
  <c r="D142" i="33"/>
  <c r="P141" i="33"/>
  <c r="D141" i="33"/>
  <c r="P140" i="33"/>
  <c r="D140" i="33"/>
  <c r="P139" i="33"/>
  <c r="D139" i="33"/>
  <c r="P138" i="33"/>
  <c r="D138" i="33"/>
  <c r="P137" i="33"/>
  <c r="D137" i="33"/>
  <c r="P136" i="33"/>
  <c r="D136" i="33"/>
  <c r="P135" i="33"/>
  <c r="D135" i="33"/>
  <c r="P134" i="33"/>
  <c r="D134" i="33"/>
  <c r="P133" i="33"/>
  <c r="D133" i="33"/>
  <c r="P132" i="33"/>
  <c r="D132" i="33"/>
  <c r="P131" i="33"/>
  <c r="D131" i="33"/>
  <c r="P130" i="33"/>
  <c r="D130" i="33"/>
  <c r="P129" i="33"/>
  <c r="D129" i="33"/>
  <c r="P128" i="33"/>
  <c r="D128" i="33"/>
  <c r="P127" i="33"/>
  <c r="D127" i="33"/>
  <c r="P126" i="33"/>
  <c r="D126" i="33"/>
  <c r="P125" i="33"/>
  <c r="D125" i="33"/>
  <c r="P124" i="33"/>
  <c r="D124" i="33"/>
  <c r="P123" i="33"/>
  <c r="D123" i="33"/>
  <c r="P122" i="33"/>
  <c r="D122" i="33"/>
  <c r="P121" i="33"/>
  <c r="D121" i="33"/>
  <c r="P120" i="33"/>
  <c r="D120" i="33"/>
  <c r="P119" i="33"/>
  <c r="D119" i="33"/>
  <c r="P118" i="33"/>
  <c r="D118" i="33"/>
  <c r="P117" i="33"/>
  <c r="D117" i="33"/>
  <c r="P116" i="33"/>
  <c r="D116" i="33"/>
  <c r="P115" i="33"/>
  <c r="D115" i="33"/>
  <c r="P114" i="33"/>
  <c r="D114" i="33"/>
  <c r="P113" i="33"/>
  <c r="D113" i="33"/>
  <c r="P112" i="33"/>
  <c r="D112" i="33"/>
  <c r="P111" i="33"/>
  <c r="D111" i="33"/>
  <c r="P110" i="33"/>
  <c r="D110" i="33"/>
  <c r="P109" i="33"/>
  <c r="D109" i="33"/>
  <c r="P108" i="33"/>
  <c r="D108" i="33"/>
  <c r="P107" i="33"/>
  <c r="D107" i="33"/>
  <c r="P106" i="33"/>
  <c r="D106" i="33"/>
  <c r="P105" i="33"/>
  <c r="D105" i="33"/>
  <c r="P104" i="33"/>
  <c r="D104" i="33"/>
  <c r="P103" i="33"/>
  <c r="D103" i="33"/>
  <c r="P102" i="33"/>
  <c r="D102" i="33"/>
  <c r="P101" i="33"/>
  <c r="D101" i="33"/>
  <c r="P100" i="33"/>
  <c r="D100" i="33"/>
  <c r="P99" i="33"/>
  <c r="D99" i="33"/>
  <c r="P98" i="33"/>
  <c r="D98" i="33"/>
  <c r="P97" i="33"/>
  <c r="D97" i="33"/>
  <c r="P96" i="33"/>
  <c r="D96" i="33"/>
  <c r="P95" i="33"/>
  <c r="D95" i="33"/>
  <c r="P94" i="33"/>
  <c r="D94" i="33"/>
  <c r="P93" i="33"/>
  <c r="D93" i="33"/>
  <c r="P92" i="33"/>
  <c r="D92" i="33"/>
  <c r="P91" i="33"/>
  <c r="D91" i="33"/>
  <c r="P90" i="33"/>
  <c r="D90" i="33"/>
  <c r="P89" i="33"/>
  <c r="D89" i="33"/>
  <c r="P88" i="33"/>
  <c r="D88" i="33"/>
  <c r="P87" i="33"/>
  <c r="D87" i="33"/>
  <c r="P86" i="33"/>
  <c r="D86" i="33"/>
  <c r="P85" i="33"/>
  <c r="D85" i="33"/>
  <c r="P84" i="33"/>
  <c r="D84" i="33"/>
  <c r="P83" i="33"/>
  <c r="D83" i="33"/>
  <c r="P82" i="33"/>
  <c r="D82" i="33"/>
  <c r="P81" i="33"/>
  <c r="D81" i="33"/>
  <c r="P80" i="33"/>
  <c r="D80" i="33"/>
  <c r="P79" i="33"/>
  <c r="D79" i="33"/>
  <c r="P78" i="33"/>
  <c r="D78" i="33"/>
  <c r="P77" i="33"/>
  <c r="D77" i="33"/>
  <c r="P76" i="33"/>
  <c r="D76" i="33"/>
  <c r="P75" i="33"/>
  <c r="D75" i="33"/>
  <c r="P74" i="33"/>
  <c r="D74" i="33"/>
  <c r="P73" i="33"/>
  <c r="D73" i="33"/>
  <c r="P72" i="33"/>
  <c r="D72" i="33"/>
  <c r="P71" i="33"/>
  <c r="D71" i="33"/>
  <c r="P70" i="33"/>
  <c r="D70" i="33"/>
  <c r="P69" i="33"/>
  <c r="D69" i="33"/>
  <c r="P68" i="33"/>
  <c r="D68" i="33"/>
  <c r="P67" i="33"/>
  <c r="D67" i="33"/>
  <c r="P66" i="33"/>
  <c r="D66" i="33"/>
  <c r="P65" i="33"/>
  <c r="D65" i="33"/>
  <c r="P64" i="33"/>
  <c r="D64" i="33"/>
  <c r="P63" i="33"/>
  <c r="D63" i="33"/>
  <c r="D62" i="33"/>
  <c r="D61" i="33"/>
  <c r="D60" i="33"/>
  <c r="D59" i="33"/>
  <c r="D58" i="33"/>
  <c r="D57" i="33"/>
  <c r="D56" i="33"/>
  <c r="D55" i="33"/>
  <c r="P35" i="33"/>
  <c r="D35" i="33"/>
  <c r="P34" i="33"/>
  <c r="D34" i="33"/>
  <c r="P20" i="33"/>
  <c r="D20" i="33"/>
  <c r="P19" i="33"/>
  <c r="D19" i="33"/>
  <c r="P18" i="33"/>
  <c r="D18" i="33"/>
  <c r="P15" i="33"/>
  <c r="P113" i="40"/>
  <c r="D113" i="40"/>
  <c r="P112" i="40"/>
  <c r="D112" i="40"/>
  <c r="P111" i="40"/>
  <c r="D111" i="40"/>
  <c r="P110" i="40"/>
  <c r="D110" i="40"/>
  <c r="P109" i="40"/>
  <c r="D109" i="40"/>
  <c r="P108" i="40"/>
  <c r="D108" i="40"/>
  <c r="P107" i="40"/>
  <c r="D107" i="40"/>
  <c r="P106" i="40"/>
  <c r="D106" i="40"/>
  <c r="P105" i="40"/>
  <c r="D105" i="40"/>
  <c r="P104" i="40"/>
  <c r="D104" i="40"/>
  <c r="P103" i="40"/>
  <c r="D103" i="40"/>
  <c r="P102" i="40"/>
  <c r="D102" i="40"/>
  <c r="P101" i="40"/>
  <c r="D101" i="40"/>
  <c r="P100" i="40"/>
  <c r="D100" i="40"/>
  <c r="P99" i="40"/>
  <c r="D99" i="40"/>
  <c r="P98" i="40"/>
  <c r="D98" i="40"/>
  <c r="P97" i="40"/>
  <c r="D97" i="40"/>
  <c r="P96" i="40"/>
  <c r="D96" i="40"/>
  <c r="P95" i="40"/>
  <c r="D95" i="40"/>
  <c r="P94" i="40"/>
  <c r="D94" i="40"/>
  <c r="P93" i="40"/>
  <c r="D93" i="40"/>
  <c r="P92" i="40"/>
  <c r="D92" i="40"/>
  <c r="P91" i="40"/>
  <c r="D91" i="40"/>
  <c r="P90" i="40"/>
  <c r="D90" i="40"/>
  <c r="P89" i="40"/>
  <c r="D89" i="40"/>
  <c r="P88" i="40"/>
  <c r="D88" i="40"/>
  <c r="P87" i="40"/>
  <c r="D87" i="40"/>
  <c r="P86" i="40"/>
  <c r="D86" i="40"/>
  <c r="P85" i="40"/>
  <c r="D85" i="40"/>
  <c r="P84" i="40"/>
  <c r="D84" i="40"/>
  <c r="P83" i="40"/>
  <c r="D83" i="40"/>
  <c r="P82" i="40"/>
  <c r="D82" i="40"/>
  <c r="P81" i="40"/>
  <c r="D81" i="40"/>
  <c r="P80" i="40"/>
  <c r="D80" i="40"/>
  <c r="P79" i="40"/>
  <c r="D79" i="40"/>
  <c r="P78" i="40"/>
  <c r="D78" i="40"/>
  <c r="P77" i="40"/>
  <c r="D77" i="40"/>
  <c r="P76" i="40"/>
  <c r="D76" i="40"/>
  <c r="P75" i="40"/>
  <c r="D75" i="40"/>
  <c r="P74" i="40"/>
  <c r="D74" i="40"/>
  <c r="P73" i="40"/>
  <c r="D73" i="40"/>
  <c r="P72" i="40"/>
  <c r="D72" i="40"/>
  <c r="P71" i="40"/>
  <c r="D71" i="40"/>
  <c r="P70" i="40"/>
  <c r="D70" i="40"/>
  <c r="P69" i="40"/>
  <c r="D69" i="40"/>
  <c r="P68" i="40"/>
  <c r="D68" i="40"/>
  <c r="P67" i="40"/>
  <c r="D67" i="40"/>
  <c r="P66" i="40"/>
  <c r="D66" i="40"/>
  <c r="P65" i="40"/>
  <c r="D65" i="40"/>
  <c r="P64" i="40"/>
  <c r="D64" i="40"/>
  <c r="P63" i="40"/>
  <c r="D63" i="40"/>
  <c r="P62" i="40"/>
  <c r="D62" i="40"/>
  <c r="P61" i="40"/>
  <c r="D61" i="40"/>
  <c r="P60" i="40"/>
  <c r="D60" i="40"/>
  <c r="P59" i="40"/>
  <c r="D59" i="40"/>
  <c r="P58" i="40"/>
  <c r="D58" i="40"/>
  <c r="P57" i="40"/>
  <c r="D57" i="40"/>
  <c r="P56" i="40"/>
  <c r="D56" i="40"/>
  <c r="P55" i="40"/>
  <c r="D55" i="40"/>
  <c r="P37" i="40"/>
  <c r="D37" i="40"/>
  <c r="P36" i="40"/>
  <c r="D36" i="40"/>
  <c r="P35" i="40"/>
  <c r="D35" i="40"/>
  <c r="P34" i="40"/>
  <c r="D34" i="40"/>
  <c r="P19" i="40"/>
  <c r="D19" i="40"/>
  <c r="P18" i="40"/>
  <c r="D18" i="40"/>
  <c r="P15" i="40"/>
  <c r="F54" i="36"/>
  <c r="G54" i="36"/>
  <c r="H54" i="36"/>
  <c r="I54" i="36"/>
  <c r="J54" i="36"/>
  <c r="K54" i="36"/>
  <c r="L54" i="36"/>
  <c r="M54" i="36"/>
  <c r="N54" i="36"/>
  <c r="O54" i="36"/>
  <c r="P54" i="36"/>
  <c r="Q54" i="36"/>
  <c r="R54" i="36"/>
  <c r="S54" i="36"/>
  <c r="T54" i="36"/>
  <c r="U54" i="36"/>
  <c r="V54" i="36"/>
  <c r="W54" i="36"/>
  <c r="X54" i="36"/>
  <c r="Y54" i="36"/>
  <c r="Z54" i="36"/>
  <c r="AA54" i="36"/>
  <c r="AB54" i="36"/>
  <c r="AC54" i="36"/>
  <c r="AD54" i="36"/>
  <c r="AE54" i="36"/>
  <c r="AF54" i="36"/>
  <c r="AG54" i="36"/>
  <c r="AH54" i="36"/>
  <c r="AI54" i="36"/>
  <c r="AJ54" i="36"/>
  <c r="AK54" i="36"/>
  <c r="AL54" i="36"/>
  <c r="AM54" i="36"/>
  <c r="E54" i="36"/>
  <c r="D144" i="36"/>
  <c r="P144" i="36"/>
  <c r="P143" i="36"/>
  <c r="P142" i="36"/>
  <c r="P141" i="36"/>
  <c r="P140" i="36"/>
  <c r="P139" i="36"/>
  <c r="P138" i="36"/>
  <c r="P137" i="36"/>
  <c r="P136" i="36"/>
  <c r="P135" i="36"/>
  <c r="P134" i="36"/>
  <c r="P133" i="36"/>
  <c r="P132" i="36"/>
  <c r="P131" i="36"/>
  <c r="P130" i="36"/>
  <c r="P129" i="36"/>
  <c r="P128" i="36"/>
  <c r="P127" i="36"/>
  <c r="P126" i="36"/>
  <c r="P125" i="36"/>
  <c r="P124" i="36"/>
  <c r="P123" i="36"/>
  <c r="P122" i="36"/>
  <c r="P121" i="36"/>
  <c r="P120" i="36"/>
  <c r="P119" i="36"/>
  <c r="P118" i="36"/>
  <c r="P117" i="36"/>
  <c r="P116" i="36"/>
  <c r="P115" i="36"/>
  <c r="P114" i="36"/>
  <c r="P113" i="36"/>
  <c r="P112" i="36"/>
  <c r="P111" i="36"/>
  <c r="P110" i="36"/>
  <c r="P109" i="36"/>
  <c r="P108" i="36"/>
  <c r="P107" i="36"/>
  <c r="P106" i="36"/>
  <c r="P105" i="36"/>
  <c r="P104" i="36"/>
  <c r="P103" i="36"/>
  <c r="P102" i="36"/>
  <c r="P101" i="36"/>
  <c r="P100" i="36"/>
  <c r="P99" i="36"/>
  <c r="P98" i="36"/>
  <c r="P97" i="36"/>
  <c r="P96" i="36"/>
  <c r="P95" i="36"/>
  <c r="P94" i="36"/>
  <c r="P93" i="36"/>
  <c r="P92" i="36"/>
  <c r="P91" i="36"/>
  <c r="P90" i="36"/>
  <c r="P89" i="36"/>
  <c r="P88" i="36"/>
  <c r="P87" i="36"/>
  <c r="P86" i="36"/>
  <c r="P85" i="36"/>
  <c r="P84" i="36"/>
  <c r="P83" i="36"/>
  <c r="P82" i="36"/>
  <c r="P81" i="36"/>
  <c r="P80" i="36"/>
  <c r="P79" i="36"/>
  <c r="P78" i="36"/>
  <c r="P77" i="36"/>
  <c r="P76" i="36"/>
  <c r="P75" i="36"/>
  <c r="P74" i="36"/>
  <c r="P73" i="36"/>
  <c r="P72" i="36"/>
  <c r="P71" i="36"/>
  <c r="P70" i="36"/>
  <c r="P69" i="36"/>
  <c r="P68" i="36"/>
  <c r="P67" i="36"/>
  <c r="P66" i="36"/>
  <c r="P65" i="36"/>
  <c r="P64" i="36"/>
  <c r="P63" i="36"/>
  <c r="P62" i="36"/>
  <c r="P61" i="36"/>
  <c r="P60" i="36"/>
  <c r="P59" i="36"/>
  <c r="P58" i="36"/>
  <c r="P57" i="36"/>
  <c r="P56" i="36"/>
  <c r="P55" i="36"/>
  <c r="D35" i="36"/>
  <c r="D36" i="36"/>
  <c r="D37" i="36"/>
  <c r="D38" i="36"/>
  <c r="D39" i="36"/>
  <c r="D40" i="36"/>
  <c r="D41" i="36"/>
  <c r="D42" i="36"/>
  <c r="D43" i="36"/>
  <c r="D44" i="36"/>
  <c r="D45" i="36"/>
  <c r="E33" i="36"/>
  <c r="P45" i="36"/>
  <c r="P44" i="36"/>
  <c r="P43" i="36"/>
  <c r="P42" i="36"/>
  <c r="P41" i="36"/>
  <c r="P40" i="36"/>
  <c r="P39" i="36"/>
  <c r="P38" i="36"/>
  <c r="P37" i="36"/>
  <c r="P36" i="36"/>
  <c r="P35" i="36"/>
  <c r="P34" i="36"/>
  <c r="P19" i="36"/>
  <c r="P18" i="36"/>
  <c r="P15" i="36"/>
  <c r="F54" i="39"/>
  <c r="G54" i="39"/>
  <c r="H54" i="39"/>
  <c r="I54" i="39"/>
  <c r="J54" i="39"/>
  <c r="K54" i="39"/>
  <c r="L54" i="39"/>
  <c r="M54" i="39"/>
  <c r="N54" i="39"/>
  <c r="O54" i="39"/>
  <c r="P54" i="39"/>
  <c r="Q54" i="39"/>
  <c r="R54" i="39"/>
  <c r="S54" i="39"/>
  <c r="T54" i="39"/>
  <c r="U54" i="39"/>
  <c r="V54" i="39"/>
  <c r="W54" i="39"/>
  <c r="X54" i="39"/>
  <c r="Y54" i="39"/>
  <c r="Z54" i="39"/>
  <c r="AA54" i="39"/>
  <c r="AB54" i="39"/>
  <c r="AC54" i="39"/>
  <c r="AD54" i="39"/>
  <c r="AE54" i="39"/>
  <c r="AF54" i="39"/>
  <c r="AG54" i="39"/>
  <c r="AH54" i="39"/>
  <c r="AI54" i="39"/>
  <c r="AJ54" i="39"/>
  <c r="AK54" i="39"/>
  <c r="AL54" i="39"/>
  <c r="AM54" i="39"/>
  <c r="E54" i="39"/>
  <c r="P158" i="39"/>
  <c r="D158" i="39"/>
  <c r="P157" i="39"/>
  <c r="D157" i="39"/>
  <c r="P156" i="39"/>
  <c r="D156" i="39"/>
  <c r="P155" i="39"/>
  <c r="D155" i="39"/>
  <c r="P154" i="39"/>
  <c r="D154" i="39"/>
  <c r="P153" i="39"/>
  <c r="D153" i="39"/>
  <c r="P152" i="39"/>
  <c r="D152" i="39"/>
  <c r="P151" i="39"/>
  <c r="D151" i="39"/>
  <c r="P150" i="39"/>
  <c r="D150" i="39"/>
  <c r="P149" i="39"/>
  <c r="D149" i="39"/>
  <c r="P148" i="39"/>
  <c r="D148" i="39"/>
  <c r="P147" i="39"/>
  <c r="D147" i="39"/>
  <c r="P146" i="39"/>
  <c r="D146" i="39"/>
  <c r="P145" i="39"/>
  <c r="D145" i="39"/>
  <c r="P144" i="39"/>
  <c r="D144" i="39"/>
  <c r="P143" i="39"/>
  <c r="D143" i="39"/>
  <c r="P142" i="39"/>
  <c r="D142" i="39"/>
  <c r="P141" i="39"/>
  <c r="D141" i="39"/>
  <c r="P140" i="39"/>
  <c r="D140" i="39"/>
  <c r="P139" i="39"/>
  <c r="D139" i="39"/>
  <c r="P138" i="39"/>
  <c r="D138" i="39"/>
  <c r="P137" i="39"/>
  <c r="D137" i="39"/>
  <c r="P136" i="39"/>
  <c r="D136" i="39"/>
  <c r="P135" i="39"/>
  <c r="D135" i="39"/>
  <c r="P134" i="39"/>
  <c r="D134" i="39"/>
  <c r="P133" i="39"/>
  <c r="D133" i="39"/>
  <c r="P132" i="39"/>
  <c r="D132" i="39"/>
  <c r="P131" i="39"/>
  <c r="D131" i="39"/>
  <c r="P130" i="39"/>
  <c r="D130" i="39"/>
  <c r="P129" i="39"/>
  <c r="D129" i="39"/>
  <c r="P128" i="39"/>
  <c r="D128" i="39"/>
  <c r="P127" i="39"/>
  <c r="D127" i="39"/>
  <c r="P126" i="39"/>
  <c r="D126" i="39"/>
  <c r="P125" i="39"/>
  <c r="D125" i="39"/>
  <c r="P124" i="39"/>
  <c r="D124" i="39"/>
  <c r="P123" i="39"/>
  <c r="D123" i="39"/>
  <c r="P122" i="39"/>
  <c r="D122" i="39"/>
  <c r="P121" i="39"/>
  <c r="D121" i="39"/>
  <c r="P120" i="39"/>
  <c r="D120" i="39"/>
  <c r="P119" i="39"/>
  <c r="D119" i="39"/>
  <c r="P118" i="39"/>
  <c r="D118" i="39"/>
  <c r="P117" i="39"/>
  <c r="D117" i="39"/>
  <c r="P116" i="39"/>
  <c r="D116" i="39"/>
  <c r="P115" i="39"/>
  <c r="D115" i="39"/>
  <c r="P114" i="39"/>
  <c r="D114" i="39"/>
  <c r="P113" i="39"/>
  <c r="D113" i="39"/>
  <c r="P112" i="39"/>
  <c r="D112" i="39"/>
  <c r="P111" i="39"/>
  <c r="D111" i="39"/>
  <c r="P110" i="39"/>
  <c r="D110" i="39"/>
  <c r="P109" i="39"/>
  <c r="D109" i="39"/>
  <c r="P108" i="39"/>
  <c r="D108" i="39"/>
  <c r="P107" i="39"/>
  <c r="D107" i="39"/>
  <c r="P106" i="39"/>
  <c r="D106" i="39"/>
  <c r="P105" i="39"/>
  <c r="D105" i="39"/>
  <c r="P104" i="39"/>
  <c r="D104" i="39"/>
  <c r="P103" i="39"/>
  <c r="D103" i="39"/>
  <c r="P102" i="39"/>
  <c r="D102" i="39"/>
  <c r="P101" i="39"/>
  <c r="D101" i="39"/>
  <c r="P100" i="39"/>
  <c r="D100" i="39"/>
  <c r="P99" i="39"/>
  <c r="D99" i="39"/>
  <c r="P98" i="39"/>
  <c r="D98" i="39"/>
  <c r="P97" i="39"/>
  <c r="D97" i="39"/>
  <c r="P96" i="39"/>
  <c r="D96" i="39"/>
  <c r="P95" i="39"/>
  <c r="D95" i="39"/>
  <c r="P94" i="39"/>
  <c r="D94" i="39"/>
  <c r="P93" i="39"/>
  <c r="D93" i="39"/>
  <c r="P92" i="39"/>
  <c r="D92" i="39"/>
  <c r="P91" i="39"/>
  <c r="D91" i="39"/>
  <c r="P90" i="39"/>
  <c r="D90" i="39"/>
  <c r="P89" i="39"/>
  <c r="D89" i="39"/>
  <c r="P88" i="39"/>
  <c r="D88" i="39"/>
  <c r="P87" i="39"/>
  <c r="D87" i="39"/>
  <c r="P86" i="39"/>
  <c r="D86" i="39"/>
  <c r="P85" i="39"/>
  <c r="D85" i="39"/>
  <c r="P84" i="39"/>
  <c r="D84" i="39"/>
  <c r="P83" i="39"/>
  <c r="D83" i="39"/>
  <c r="P82" i="39"/>
  <c r="D82" i="39"/>
  <c r="P81" i="39"/>
  <c r="D81" i="39"/>
  <c r="P80" i="39"/>
  <c r="D80" i="39"/>
  <c r="P79" i="39"/>
  <c r="D79" i="39"/>
  <c r="P78" i="39"/>
  <c r="D78" i="39"/>
  <c r="P77" i="39"/>
  <c r="D77" i="39"/>
  <c r="P76" i="39"/>
  <c r="D76" i="39"/>
  <c r="P75" i="39"/>
  <c r="D75" i="39"/>
  <c r="P74" i="39"/>
  <c r="D74" i="39"/>
  <c r="P73" i="39"/>
  <c r="D73" i="39"/>
  <c r="P72" i="39"/>
  <c r="D72" i="39"/>
  <c r="P71" i="39"/>
  <c r="D71" i="39"/>
  <c r="P70" i="39"/>
  <c r="D70" i="39"/>
  <c r="P69" i="39"/>
  <c r="D69" i="39"/>
  <c r="P68" i="39"/>
  <c r="D68" i="39"/>
  <c r="P67" i="39"/>
  <c r="D67" i="39"/>
  <c r="P66" i="39"/>
  <c r="D66" i="39"/>
  <c r="P65" i="39"/>
  <c r="D65" i="39"/>
  <c r="P64" i="39"/>
  <c r="D64" i="39"/>
  <c r="P63" i="39"/>
  <c r="D63" i="39"/>
  <c r="P62" i="39"/>
  <c r="D62" i="39"/>
  <c r="P61" i="39"/>
  <c r="D61" i="39"/>
  <c r="P60" i="39"/>
  <c r="D60" i="39"/>
  <c r="P59" i="39"/>
  <c r="D59" i="39"/>
  <c r="P58" i="39"/>
  <c r="D58" i="39"/>
  <c r="P57" i="39"/>
  <c r="D57" i="39"/>
  <c r="P56" i="39"/>
  <c r="D56" i="39"/>
  <c r="P55" i="39"/>
  <c r="D55" i="39"/>
  <c r="P39" i="39"/>
  <c r="D39" i="39"/>
  <c r="P38" i="39"/>
  <c r="D38" i="39"/>
  <c r="P37" i="39"/>
  <c r="D37" i="39"/>
  <c r="P36" i="39"/>
  <c r="D36" i="39"/>
  <c r="P35" i="39"/>
  <c r="D35" i="39"/>
  <c r="P34" i="39"/>
  <c r="D34" i="39"/>
  <c r="P19" i="39"/>
  <c r="D19" i="39"/>
  <c r="P18" i="39"/>
  <c r="D18" i="39"/>
  <c r="P15" i="39"/>
  <c r="P132" i="37"/>
  <c r="D132" i="37"/>
  <c r="P131" i="37"/>
  <c r="D131" i="37"/>
  <c r="P130" i="37"/>
  <c r="D130" i="37"/>
  <c r="P129" i="37"/>
  <c r="D129" i="37"/>
  <c r="P128" i="37"/>
  <c r="D128" i="37"/>
  <c r="P127" i="37"/>
  <c r="D127" i="37"/>
  <c r="P126" i="37"/>
  <c r="D126" i="37"/>
  <c r="P125" i="37"/>
  <c r="D125" i="37"/>
  <c r="P124" i="37"/>
  <c r="D124" i="37"/>
  <c r="P123" i="37"/>
  <c r="D123" i="37"/>
  <c r="P122" i="37"/>
  <c r="D122" i="37"/>
  <c r="P121" i="37"/>
  <c r="D121" i="37"/>
  <c r="P120" i="37"/>
  <c r="D120" i="37"/>
  <c r="P119" i="37"/>
  <c r="D119" i="37"/>
  <c r="P118" i="37"/>
  <c r="D118" i="37"/>
  <c r="P117" i="37"/>
  <c r="D117" i="37"/>
  <c r="P116" i="37"/>
  <c r="D116" i="37"/>
  <c r="P115" i="37"/>
  <c r="D115" i="37"/>
  <c r="P114" i="37"/>
  <c r="D114" i="37"/>
  <c r="P113" i="37"/>
  <c r="D113" i="37"/>
  <c r="P112" i="37"/>
  <c r="D112" i="37"/>
  <c r="P111" i="37"/>
  <c r="D111" i="37"/>
  <c r="P110" i="37"/>
  <c r="D110" i="37"/>
  <c r="P109" i="37"/>
  <c r="D109" i="37"/>
  <c r="P108" i="37"/>
  <c r="D108" i="37"/>
  <c r="P107" i="37"/>
  <c r="D107" i="37"/>
  <c r="P106" i="37"/>
  <c r="D106" i="37"/>
  <c r="P105" i="37"/>
  <c r="D105" i="37"/>
  <c r="P104" i="37"/>
  <c r="D104" i="37"/>
  <c r="P103" i="37"/>
  <c r="D103" i="37"/>
  <c r="P102" i="37"/>
  <c r="D102" i="37"/>
  <c r="P101" i="37"/>
  <c r="D101" i="37"/>
  <c r="P100" i="37"/>
  <c r="D100" i="37"/>
  <c r="P99" i="37"/>
  <c r="D99" i="37"/>
  <c r="P98" i="37"/>
  <c r="D98" i="37"/>
  <c r="P97" i="37"/>
  <c r="D97" i="37"/>
  <c r="P96" i="37"/>
  <c r="D96" i="37"/>
  <c r="P95" i="37"/>
  <c r="D95" i="37"/>
  <c r="P94" i="37"/>
  <c r="D94" i="37"/>
  <c r="P93" i="37"/>
  <c r="D93" i="37"/>
  <c r="P92" i="37"/>
  <c r="D92" i="37"/>
  <c r="P91" i="37"/>
  <c r="D91" i="37"/>
  <c r="P90" i="37"/>
  <c r="D90" i="37"/>
  <c r="P89" i="37"/>
  <c r="D89" i="37"/>
  <c r="P88" i="37"/>
  <c r="D88" i="37"/>
  <c r="P87" i="37"/>
  <c r="D87" i="37"/>
  <c r="P86" i="37"/>
  <c r="D86" i="37"/>
  <c r="P85" i="37"/>
  <c r="D85" i="37"/>
  <c r="P84" i="37"/>
  <c r="D84" i="37"/>
  <c r="P83" i="37"/>
  <c r="D83" i="37"/>
  <c r="P82" i="37"/>
  <c r="D82" i="37"/>
  <c r="P81" i="37"/>
  <c r="D81" i="37"/>
  <c r="P80" i="37"/>
  <c r="D80" i="37"/>
  <c r="P79" i="37"/>
  <c r="D79" i="37"/>
  <c r="P78" i="37"/>
  <c r="D78" i="37"/>
  <c r="P77" i="37"/>
  <c r="D77" i="37"/>
  <c r="P76" i="37"/>
  <c r="D76" i="37"/>
  <c r="P75" i="37"/>
  <c r="D75" i="37"/>
  <c r="P74" i="37"/>
  <c r="D74" i="37"/>
  <c r="P73" i="37"/>
  <c r="D73" i="37"/>
  <c r="P72" i="37"/>
  <c r="D72" i="37"/>
  <c r="P71" i="37"/>
  <c r="D71" i="37"/>
  <c r="P70" i="37"/>
  <c r="D70" i="37"/>
  <c r="P69" i="37"/>
  <c r="D69" i="37"/>
  <c r="P68" i="37"/>
  <c r="D68" i="37"/>
  <c r="P67" i="37"/>
  <c r="D67" i="37"/>
  <c r="P66" i="37"/>
  <c r="D66" i="37"/>
  <c r="P65" i="37"/>
  <c r="D65" i="37"/>
  <c r="P64" i="37"/>
  <c r="D64" i="37"/>
  <c r="P63" i="37"/>
  <c r="D63" i="37"/>
  <c r="P62" i="37"/>
  <c r="D62" i="37"/>
  <c r="P61" i="37"/>
  <c r="D61" i="37"/>
  <c r="P60" i="37"/>
  <c r="D60" i="37"/>
  <c r="P59" i="37"/>
  <c r="D59" i="37"/>
  <c r="P58" i="37"/>
  <c r="D58" i="37"/>
  <c r="P57" i="37"/>
  <c r="D57" i="37"/>
  <c r="P56" i="37"/>
  <c r="D56" i="37"/>
  <c r="P55" i="37"/>
  <c r="D55" i="37"/>
  <c r="P36" i="37"/>
  <c r="D36" i="37"/>
  <c r="P35" i="37"/>
  <c r="D35" i="37"/>
  <c r="P34" i="37"/>
  <c r="D34" i="37"/>
  <c r="P19" i="37"/>
  <c r="D19" i="37"/>
  <c r="P18" i="37"/>
  <c r="D18" i="37"/>
  <c r="P15" i="37"/>
  <c r="F54" i="30"/>
  <c r="G54" i="30"/>
  <c r="H54" i="30"/>
  <c r="I54" i="30"/>
  <c r="J54" i="30"/>
  <c r="K54" i="30"/>
  <c r="L54" i="30"/>
  <c r="M54" i="30"/>
  <c r="N54" i="30"/>
  <c r="O54" i="30"/>
  <c r="P54" i="30"/>
  <c r="Q54" i="30"/>
  <c r="R54" i="30"/>
  <c r="S54" i="30"/>
  <c r="T54" i="30"/>
  <c r="U54" i="30"/>
  <c r="V54" i="30"/>
  <c r="W54" i="30"/>
  <c r="X54" i="30"/>
  <c r="Y54" i="30"/>
  <c r="Z54" i="30"/>
  <c r="AA54" i="30"/>
  <c r="AB54" i="30"/>
  <c r="AC54" i="30"/>
  <c r="AD54" i="30"/>
  <c r="AE54" i="30"/>
  <c r="AF54" i="30"/>
  <c r="AG54" i="30"/>
  <c r="AH54" i="30"/>
  <c r="AI54" i="30"/>
  <c r="AJ54" i="30"/>
  <c r="AK54" i="30"/>
  <c r="AL54" i="30"/>
  <c r="AM54" i="30"/>
  <c r="E54" i="30"/>
  <c r="P158" i="30"/>
  <c r="D158" i="30"/>
  <c r="P157" i="30"/>
  <c r="D157" i="30"/>
  <c r="P156" i="30"/>
  <c r="D156" i="30"/>
  <c r="P155" i="30"/>
  <c r="D155" i="30"/>
  <c r="P154" i="30"/>
  <c r="D154" i="30"/>
  <c r="P153" i="30"/>
  <c r="D153" i="30"/>
  <c r="P152" i="30"/>
  <c r="D152" i="30"/>
  <c r="P151" i="30"/>
  <c r="D151" i="30"/>
  <c r="P150" i="30"/>
  <c r="D150" i="30"/>
  <c r="P149" i="30"/>
  <c r="D149" i="30"/>
  <c r="P148" i="30"/>
  <c r="D148" i="30"/>
  <c r="P147" i="30"/>
  <c r="D147" i="30"/>
  <c r="P146" i="30"/>
  <c r="D146" i="30"/>
  <c r="P145" i="30"/>
  <c r="D145" i="30"/>
  <c r="P144" i="30"/>
  <c r="D144" i="30"/>
  <c r="P143" i="30"/>
  <c r="D143" i="30"/>
  <c r="P142" i="30"/>
  <c r="D142" i="30"/>
  <c r="P141" i="30"/>
  <c r="D141" i="30"/>
  <c r="P140" i="30"/>
  <c r="D140" i="30"/>
  <c r="P139" i="30"/>
  <c r="D139" i="30"/>
  <c r="P138" i="30"/>
  <c r="D138" i="30"/>
  <c r="P137" i="30"/>
  <c r="D137" i="30"/>
  <c r="P136" i="30"/>
  <c r="D136" i="30"/>
  <c r="P135" i="30"/>
  <c r="D135" i="30"/>
  <c r="P134" i="30"/>
  <c r="D134" i="30"/>
  <c r="P133" i="30"/>
  <c r="D133" i="30"/>
  <c r="P132" i="30"/>
  <c r="D132" i="30"/>
  <c r="P131" i="30"/>
  <c r="D131" i="30"/>
  <c r="P130" i="30"/>
  <c r="D130" i="30"/>
  <c r="P129" i="30"/>
  <c r="D129" i="30"/>
  <c r="P128" i="30"/>
  <c r="D128" i="30"/>
  <c r="P127" i="30"/>
  <c r="D127" i="30"/>
  <c r="P126" i="30"/>
  <c r="D126" i="30"/>
  <c r="P125" i="30"/>
  <c r="D125" i="30"/>
  <c r="P124" i="30"/>
  <c r="D124" i="30"/>
  <c r="P123" i="30"/>
  <c r="D123" i="30"/>
  <c r="P122" i="30"/>
  <c r="D122" i="30"/>
  <c r="P121" i="30"/>
  <c r="D121" i="30"/>
  <c r="P120" i="30"/>
  <c r="D120" i="30"/>
  <c r="P119" i="30"/>
  <c r="D119" i="30"/>
  <c r="P118" i="30"/>
  <c r="D118" i="30"/>
  <c r="P117" i="30"/>
  <c r="D117" i="30"/>
  <c r="P116" i="30"/>
  <c r="D116" i="30"/>
  <c r="P115" i="30"/>
  <c r="D115" i="30"/>
  <c r="P114" i="30"/>
  <c r="D114" i="30"/>
  <c r="P113" i="30"/>
  <c r="D113" i="30"/>
  <c r="P112" i="30"/>
  <c r="D112" i="30"/>
  <c r="P111" i="30"/>
  <c r="D111" i="30"/>
  <c r="P110" i="30"/>
  <c r="D110" i="30"/>
  <c r="P109" i="30"/>
  <c r="D109" i="30"/>
  <c r="P108" i="30"/>
  <c r="D108" i="30"/>
  <c r="P107" i="30"/>
  <c r="D107" i="30"/>
  <c r="P106" i="30"/>
  <c r="D106" i="30"/>
  <c r="P105" i="30"/>
  <c r="D105" i="30"/>
  <c r="P104" i="30"/>
  <c r="D104" i="30"/>
  <c r="P103" i="30"/>
  <c r="D103" i="30"/>
  <c r="P102" i="30"/>
  <c r="D102" i="30"/>
  <c r="P101" i="30"/>
  <c r="D101" i="30"/>
  <c r="P100" i="30"/>
  <c r="D100" i="30"/>
  <c r="P99" i="30"/>
  <c r="D99" i="30"/>
  <c r="P98" i="30"/>
  <c r="D98" i="30"/>
  <c r="P97" i="30"/>
  <c r="D97" i="30"/>
  <c r="P96" i="30"/>
  <c r="D96" i="30"/>
  <c r="P95" i="30"/>
  <c r="D95" i="30"/>
  <c r="P94" i="30"/>
  <c r="D94" i="30"/>
  <c r="P93" i="30"/>
  <c r="D93" i="30"/>
  <c r="P92" i="30"/>
  <c r="D92" i="30"/>
  <c r="P91" i="30"/>
  <c r="D91" i="30"/>
  <c r="P90" i="30"/>
  <c r="D90" i="30"/>
  <c r="P89" i="30"/>
  <c r="D89" i="30"/>
  <c r="P88" i="30"/>
  <c r="D88" i="30"/>
  <c r="P87" i="30"/>
  <c r="D87" i="30"/>
  <c r="P86" i="30"/>
  <c r="D86" i="30"/>
  <c r="P85" i="30"/>
  <c r="D85" i="30"/>
  <c r="P84" i="30"/>
  <c r="D84" i="30"/>
  <c r="P83" i="30"/>
  <c r="D83" i="30"/>
  <c r="P82" i="30"/>
  <c r="D82" i="30"/>
  <c r="P81" i="30"/>
  <c r="D81" i="30"/>
  <c r="P80" i="30"/>
  <c r="D80" i="30"/>
  <c r="P79" i="30"/>
  <c r="D79" i="30"/>
  <c r="P78" i="30"/>
  <c r="D78" i="30"/>
  <c r="P77" i="30"/>
  <c r="D77" i="30"/>
  <c r="P76" i="30"/>
  <c r="D76" i="30"/>
  <c r="P75" i="30"/>
  <c r="D75" i="30"/>
  <c r="P74" i="30"/>
  <c r="D74" i="30"/>
  <c r="P73" i="30"/>
  <c r="D73" i="30"/>
  <c r="P72" i="30"/>
  <c r="D72" i="30"/>
  <c r="P71" i="30"/>
  <c r="D71" i="30"/>
  <c r="P70" i="30"/>
  <c r="D70" i="30"/>
  <c r="P69" i="30"/>
  <c r="D69" i="30"/>
  <c r="P68" i="30"/>
  <c r="D68" i="30"/>
  <c r="P67" i="30"/>
  <c r="D67" i="30"/>
  <c r="P66" i="30"/>
  <c r="D66" i="30"/>
  <c r="P65" i="30"/>
  <c r="D65" i="30"/>
  <c r="P64" i="30"/>
  <c r="D64" i="30"/>
  <c r="P63" i="30"/>
  <c r="D63" i="30"/>
  <c r="P62" i="30"/>
  <c r="D62" i="30"/>
  <c r="P61" i="30"/>
  <c r="D61" i="30"/>
  <c r="P60" i="30"/>
  <c r="D60" i="30"/>
  <c r="P59" i="30"/>
  <c r="D59" i="30"/>
  <c r="P58" i="30"/>
  <c r="D58" i="30"/>
  <c r="P57" i="30"/>
  <c r="D57" i="30"/>
  <c r="P56" i="30"/>
  <c r="D56" i="30"/>
  <c r="P55" i="30"/>
  <c r="D55" i="30"/>
  <c r="P37" i="30"/>
  <c r="D37" i="30"/>
  <c r="P36" i="30"/>
  <c r="D36" i="30"/>
  <c r="P35" i="30"/>
  <c r="D35" i="30"/>
  <c r="P34" i="30"/>
  <c r="D34" i="30"/>
  <c r="P20" i="30"/>
  <c r="D20" i="30"/>
  <c r="P19" i="30"/>
  <c r="D19" i="30"/>
  <c r="P18" i="30"/>
  <c r="D18" i="30"/>
  <c r="P15" i="30"/>
  <c r="F54" i="46"/>
  <c r="G54" i="46"/>
  <c r="H54" i="46"/>
  <c r="I54" i="46"/>
  <c r="J54" i="46"/>
  <c r="K54" i="46"/>
  <c r="L54" i="46"/>
  <c r="M54" i="46"/>
  <c r="N54" i="46"/>
  <c r="O54" i="46"/>
  <c r="P54" i="46"/>
  <c r="Q54" i="46"/>
  <c r="R54" i="46"/>
  <c r="S54" i="46"/>
  <c r="T54" i="46"/>
  <c r="U54" i="46"/>
  <c r="V54" i="46"/>
  <c r="W54" i="46"/>
  <c r="X54" i="46"/>
  <c r="Y54" i="46"/>
  <c r="Z54" i="46"/>
  <c r="AA54" i="46"/>
  <c r="AB54" i="46"/>
  <c r="AC54" i="46"/>
  <c r="AD54" i="46"/>
  <c r="AE54" i="46"/>
  <c r="AF54" i="46"/>
  <c r="AG54" i="46"/>
  <c r="AH54" i="46"/>
  <c r="AI54" i="46"/>
  <c r="AJ54" i="46"/>
  <c r="AK54" i="46"/>
  <c r="AL54" i="46"/>
  <c r="AM54" i="46"/>
  <c r="E54" i="46"/>
  <c r="P147" i="46"/>
  <c r="D147" i="46"/>
  <c r="P146" i="46"/>
  <c r="D146" i="46"/>
  <c r="P145" i="46"/>
  <c r="D145" i="46"/>
  <c r="P144" i="46"/>
  <c r="D144" i="46"/>
  <c r="P143" i="46"/>
  <c r="D143" i="46"/>
  <c r="P142" i="46"/>
  <c r="D142" i="46"/>
  <c r="P141" i="46"/>
  <c r="D141" i="46"/>
  <c r="P140" i="46"/>
  <c r="D140" i="46"/>
  <c r="P139" i="46"/>
  <c r="D139" i="46"/>
  <c r="P138" i="46"/>
  <c r="D138" i="46"/>
  <c r="P137" i="46"/>
  <c r="D137" i="46"/>
  <c r="P136" i="46"/>
  <c r="D136" i="46"/>
  <c r="P135" i="46"/>
  <c r="D135" i="46"/>
  <c r="P134" i="46"/>
  <c r="D134" i="46"/>
  <c r="P133" i="46"/>
  <c r="D133" i="46"/>
  <c r="P132" i="46"/>
  <c r="D132" i="46"/>
  <c r="P131" i="46"/>
  <c r="D131" i="46"/>
  <c r="P130" i="46"/>
  <c r="D130" i="46"/>
  <c r="P129" i="46"/>
  <c r="D129" i="46"/>
  <c r="P128" i="46"/>
  <c r="D128" i="46"/>
  <c r="P127" i="46"/>
  <c r="D127" i="46"/>
  <c r="P126" i="46"/>
  <c r="D126" i="46"/>
  <c r="P125" i="46"/>
  <c r="D125" i="46"/>
  <c r="P124" i="46"/>
  <c r="D124" i="46"/>
  <c r="P123" i="46"/>
  <c r="D123" i="46"/>
  <c r="P122" i="46"/>
  <c r="D122" i="46"/>
  <c r="P121" i="46"/>
  <c r="D121" i="46"/>
  <c r="P120" i="46"/>
  <c r="D120" i="46"/>
  <c r="P119" i="46"/>
  <c r="D119" i="46"/>
  <c r="P118" i="46"/>
  <c r="D118" i="46"/>
  <c r="P117" i="46"/>
  <c r="D117" i="46"/>
  <c r="P116" i="46"/>
  <c r="D116" i="46"/>
  <c r="P115" i="46"/>
  <c r="D115" i="46"/>
  <c r="P114" i="46"/>
  <c r="D114" i="46"/>
  <c r="P113" i="46"/>
  <c r="D113" i="46"/>
  <c r="P112" i="46"/>
  <c r="D112" i="46"/>
  <c r="P111" i="46"/>
  <c r="D111" i="46"/>
  <c r="P110" i="46"/>
  <c r="D110" i="46"/>
  <c r="P109" i="46"/>
  <c r="D109" i="46"/>
  <c r="P108" i="46"/>
  <c r="D108" i="46"/>
  <c r="P107" i="46"/>
  <c r="D107" i="46"/>
  <c r="P106" i="46"/>
  <c r="D106" i="46"/>
  <c r="P105" i="46"/>
  <c r="D105" i="46"/>
  <c r="P104" i="46"/>
  <c r="D104" i="46"/>
  <c r="P103" i="46"/>
  <c r="D103" i="46"/>
  <c r="P102" i="46"/>
  <c r="D102" i="46"/>
  <c r="P101" i="46"/>
  <c r="D101" i="46"/>
  <c r="P100" i="46"/>
  <c r="D100" i="46"/>
  <c r="P99" i="46"/>
  <c r="D99" i="46"/>
  <c r="P98" i="46"/>
  <c r="D98" i="46"/>
  <c r="P97" i="46"/>
  <c r="D97" i="46"/>
  <c r="P96" i="46"/>
  <c r="D96" i="46"/>
  <c r="P95" i="46"/>
  <c r="D95" i="46"/>
  <c r="P94" i="46"/>
  <c r="D94" i="46"/>
  <c r="P93" i="46"/>
  <c r="D93" i="46"/>
  <c r="P92" i="46"/>
  <c r="D92" i="46"/>
  <c r="P91" i="46"/>
  <c r="D91" i="46"/>
  <c r="P90" i="46"/>
  <c r="D90" i="46"/>
  <c r="P89" i="46"/>
  <c r="D89" i="46"/>
  <c r="P88" i="46"/>
  <c r="D88" i="46"/>
  <c r="P87" i="46"/>
  <c r="D87" i="46"/>
  <c r="P86" i="46"/>
  <c r="D86" i="46"/>
  <c r="P85" i="46"/>
  <c r="D85" i="46"/>
  <c r="P84" i="46"/>
  <c r="D84" i="46"/>
  <c r="P83" i="46"/>
  <c r="D83" i="46"/>
  <c r="P82" i="46"/>
  <c r="D82" i="46"/>
  <c r="P81" i="46"/>
  <c r="D81" i="46"/>
  <c r="P80" i="46"/>
  <c r="D80" i="46"/>
  <c r="P79" i="46"/>
  <c r="D79" i="46"/>
  <c r="P78" i="46"/>
  <c r="D78" i="46"/>
  <c r="P77" i="46"/>
  <c r="D77" i="46"/>
  <c r="P76" i="46"/>
  <c r="D76" i="46"/>
  <c r="P75" i="46"/>
  <c r="D75" i="46"/>
  <c r="P74" i="46"/>
  <c r="D74" i="46"/>
  <c r="P73" i="46"/>
  <c r="D73" i="46"/>
  <c r="P72" i="46"/>
  <c r="D72" i="46"/>
  <c r="P71" i="46"/>
  <c r="D71" i="46"/>
  <c r="P70" i="46"/>
  <c r="D70" i="46"/>
  <c r="P69" i="46"/>
  <c r="D69" i="46"/>
  <c r="P68" i="46"/>
  <c r="D68" i="46"/>
  <c r="P67" i="46"/>
  <c r="D67" i="46"/>
  <c r="P66" i="46"/>
  <c r="D66" i="46"/>
  <c r="P65" i="46"/>
  <c r="D65" i="46"/>
  <c r="P64" i="46"/>
  <c r="D64" i="46"/>
  <c r="P63" i="46"/>
  <c r="D63" i="46"/>
  <c r="P62" i="46"/>
  <c r="D62" i="46"/>
  <c r="P61" i="46"/>
  <c r="D61" i="46"/>
  <c r="P60" i="46"/>
  <c r="D60" i="46"/>
  <c r="P59" i="46"/>
  <c r="D59" i="46"/>
  <c r="P58" i="46"/>
  <c r="D58" i="46"/>
  <c r="P57" i="46"/>
  <c r="D57" i="46"/>
  <c r="P56" i="46"/>
  <c r="D56" i="46"/>
  <c r="P55" i="46"/>
  <c r="D55" i="46"/>
  <c r="P36" i="46"/>
  <c r="D36" i="46"/>
  <c r="P35" i="46"/>
  <c r="D35" i="46"/>
  <c r="P34" i="46"/>
  <c r="D34" i="46"/>
  <c r="P19" i="46"/>
  <c r="D19" i="46"/>
  <c r="P18" i="46"/>
  <c r="D18" i="46"/>
  <c r="P15" i="46"/>
  <c r="P105" i="41"/>
  <c r="D105" i="41"/>
  <c r="P104" i="41"/>
  <c r="D104" i="41"/>
  <c r="P103" i="41"/>
  <c r="D103" i="41"/>
  <c r="P102" i="41"/>
  <c r="D102" i="41"/>
  <c r="P101" i="41"/>
  <c r="D101" i="41"/>
  <c r="P100" i="41"/>
  <c r="D100" i="41"/>
  <c r="P99" i="41"/>
  <c r="D99" i="41"/>
  <c r="P98" i="41"/>
  <c r="D98" i="41"/>
  <c r="P97" i="41"/>
  <c r="D97" i="41"/>
  <c r="P96" i="41"/>
  <c r="D96" i="41"/>
  <c r="P95" i="41"/>
  <c r="D95" i="41"/>
  <c r="P94" i="41"/>
  <c r="D94" i="41"/>
  <c r="P93" i="41"/>
  <c r="D93" i="41"/>
  <c r="P92" i="41"/>
  <c r="D92" i="41"/>
  <c r="P91" i="41"/>
  <c r="D91" i="41"/>
  <c r="P90" i="41"/>
  <c r="D90" i="41"/>
  <c r="P89" i="41"/>
  <c r="D89" i="41"/>
  <c r="P88" i="41"/>
  <c r="D88" i="41"/>
  <c r="P87" i="41"/>
  <c r="D87" i="41"/>
  <c r="P86" i="41"/>
  <c r="D86" i="41"/>
  <c r="P85" i="41"/>
  <c r="D85" i="41"/>
  <c r="P84" i="41"/>
  <c r="D84" i="41"/>
  <c r="P83" i="41"/>
  <c r="D83" i="41"/>
  <c r="P82" i="41"/>
  <c r="D82" i="41"/>
  <c r="P81" i="41"/>
  <c r="D81" i="41"/>
  <c r="P80" i="41"/>
  <c r="D80" i="41"/>
  <c r="P79" i="41"/>
  <c r="D79" i="41"/>
  <c r="P78" i="41"/>
  <c r="D78" i="41"/>
  <c r="P77" i="41"/>
  <c r="D77" i="41"/>
  <c r="P76" i="41"/>
  <c r="D76" i="41"/>
  <c r="P75" i="41"/>
  <c r="D75" i="41"/>
  <c r="P74" i="41"/>
  <c r="D74" i="41"/>
  <c r="P73" i="41"/>
  <c r="D73" i="41"/>
  <c r="P72" i="41"/>
  <c r="D72" i="41"/>
  <c r="P71" i="41"/>
  <c r="D71" i="41"/>
  <c r="P70" i="41"/>
  <c r="D70" i="41"/>
  <c r="P69" i="41"/>
  <c r="D69" i="41"/>
  <c r="P68" i="41"/>
  <c r="D68" i="41"/>
  <c r="P67" i="41"/>
  <c r="D67" i="41"/>
  <c r="P66" i="41"/>
  <c r="D66" i="41"/>
  <c r="P65" i="41"/>
  <c r="D65" i="41"/>
  <c r="P64" i="41"/>
  <c r="D64" i="41"/>
  <c r="P63" i="41"/>
  <c r="D63" i="41"/>
  <c r="P62" i="41"/>
  <c r="D62" i="41"/>
  <c r="P61" i="41"/>
  <c r="D61" i="41"/>
  <c r="P60" i="41"/>
  <c r="D60" i="41"/>
  <c r="P59" i="41"/>
  <c r="D59" i="41"/>
  <c r="P58" i="41"/>
  <c r="D58" i="41"/>
  <c r="P57" i="41"/>
  <c r="D57" i="41"/>
  <c r="P56" i="41"/>
  <c r="D56" i="41"/>
  <c r="P55" i="41"/>
  <c r="D55" i="41"/>
  <c r="P35" i="41"/>
  <c r="D35" i="41"/>
  <c r="P34" i="41"/>
  <c r="D34" i="41"/>
  <c r="P18" i="41"/>
  <c r="D18" i="41"/>
  <c r="P15" i="41"/>
  <c r="P94" i="28" l="1"/>
  <c r="D94" i="28"/>
  <c r="P93" i="28"/>
  <c r="D93" i="28"/>
  <c r="P92" i="28"/>
  <c r="D92" i="28"/>
  <c r="P91" i="28"/>
  <c r="D91" i="28"/>
  <c r="P90" i="28"/>
  <c r="D90" i="28"/>
  <c r="P89" i="28"/>
  <c r="D89" i="28"/>
  <c r="P88" i="28"/>
  <c r="D88" i="28"/>
  <c r="P87" i="28"/>
  <c r="D87" i="28"/>
  <c r="P86" i="28"/>
  <c r="D86" i="28"/>
  <c r="P85" i="28"/>
  <c r="D85" i="28"/>
  <c r="P84" i="28"/>
  <c r="D84" i="28"/>
  <c r="P83" i="28"/>
  <c r="D83" i="28"/>
  <c r="P82" i="28"/>
  <c r="D82" i="28"/>
  <c r="P81" i="28"/>
  <c r="D81" i="28"/>
  <c r="P80" i="28"/>
  <c r="D80" i="28"/>
  <c r="P79" i="28"/>
  <c r="D79" i="28"/>
  <c r="P78" i="28"/>
  <c r="D78" i="28"/>
  <c r="P77" i="28"/>
  <c r="D77" i="28"/>
  <c r="P76" i="28"/>
  <c r="D76" i="28"/>
  <c r="P75" i="28"/>
  <c r="D75" i="28"/>
  <c r="P74" i="28"/>
  <c r="D74" i="28"/>
  <c r="P73" i="28"/>
  <c r="D73" i="28"/>
  <c r="P72" i="28"/>
  <c r="D72" i="28"/>
  <c r="P71" i="28"/>
  <c r="D71" i="28"/>
  <c r="P70" i="28"/>
  <c r="D70" i="28"/>
  <c r="P69" i="28"/>
  <c r="D69" i="28"/>
  <c r="P68" i="28"/>
  <c r="D68" i="28"/>
  <c r="P67" i="28"/>
  <c r="D67" i="28"/>
  <c r="P66" i="28"/>
  <c r="D66" i="28"/>
  <c r="P65" i="28"/>
  <c r="D65" i="28"/>
  <c r="P64" i="28"/>
  <c r="D64" i="28"/>
  <c r="P63" i="28"/>
  <c r="D63" i="28"/>
  <c r="P62" i="28"/>
  <c r="D62" i="28"/>
  <c r="P61" i="28"/>
  <c r="D61" i="28"/>
  <c r="P60" i="28"/>
  <c r="D60" i="28"/>
  <c r="P59" i="28"/>
  <c r="D59" i="28"/>
  <c r="P58" i="28"/>
  <c r="D58" i="28"/>
  <c r="P57" i="28"/>
  <c r="D57" i="28"/>
  <c r="P56" i="28"/>
  <c r="D56" i="28"/>
  <c r="P55" i="28"/>
  <c r="D55" i="28"/>
  <c r="P36" i="28"/>
  <c r="D36" i="28"/>
  <c r="P35" i="28"/>
  <c r="D35" i="28"/>
  <c r="P34" i="28"/>
  <c r="D34" i="28"/>
  <c r="P19" i="28"/>
  <c r="D19" i="28"/>
  <c r="P18" i="28"/>
  <c r="D18" i="28"/>
  <c r="P15" i="28"/>
  <c r="P129" i="27"/>
  <c r="D129" i="27"/>
  <c r="P128" i="27"/>
  <c r="D128" i="27"/>
  <c r="P127" i="27"/>
  <c r="D127" i="27"/>
  <c r="P126" i="27"/>
  <c r="D126" i="27"/>
  <c r="P125" i="27"/>
  <c r="D125" i="27"/>
  <c r="P124" i="27"/>
  <c r="D124" i="27"/>
  <c r="P123" i="27"/>
  <c r="D123" i="27"/>
  <c r="P122" i="27"/>
  <c r="D122" i="27"/>
  <c r="P121" i="27"/>
  <c r="D121" i="27"/>
  <c r="P120" i="27"/>
  <c r="D120" i="27"/>
  <c r="P119" i="27"/>
  <c r="D119" i="27"/>
  <c r="P118" i="27"/>
  <c r="D118" i="27"/>
  <c r="P117" i="27"/>
  <c r="D117" i="27"/>
  <c r="P116" i="27"/>
  <c r="D116" i="27"/>
  <c r="P115" i="27"/>
  <c r="D115" i="27"/>
  <c r="P114" i="27"/>
  <c r="D114" i="27"/>
  <c r="P113" i="27"/>
  <c r="D113" i="27"/>
  <c r="P112" i="27"/>
  <c r="D112" i="27"/>
  <c r="P111" i="27"/>
  <c r="D111" i="27"/>
  <c r="P110" i="27"/>
  <c r="D110" i="27"/>
  <c r="P109" i="27"/>
  <c r="D109" i="27"/>
  <c r="P108" i="27"/>
  <c r="D108" i="27"/>
  <c r="P107" i="27"/>
  <c r="D107" i="27"/>
  <c r="P106" i="27"/>
  <c r="D106" i="27"/>
  <c r="P105" i="27"/>
  <c r="D105" i="27"/>
  <c r="P104" i="27"/>
  <c r="D104" i="27"/>
  <c r="P103" i="27"/>
  <c r="D103" i="27"/>
  <c r="P102" i="27"/>
  <c r="D102" i="27"/>
  <c r="P101" i="27"/>
  <c r="D101" i="27"/>
  <c r="P100" i="27"/>
  <c r="D100" i="27"/>
  <c r="P99" i="27"/>
  <c r="D99" i="27"/>
  <c r="P98" i="27"/>
  <c r="D98" i="27"/>
  <c r="P97" i="27"/>
  <c r="D97" i="27"/>
  <c r="P96" i="27"/>
  <c r="D96" i="27"/>
  <c r="P95" i="27"/>
  <c r="D95" i="27"/>
  <c r="P94" i="27"/>
  <c r="D94" i="27"/>
  <c r="P93" i="27"/>
  <c r="D93" i="27"/>
  <c r="P92" i="27"/>
  <c r="D92" i="27"/>
  <c r="P91" i="27"/>
  <c r="D91" i="27"/>
  <c r="P90" i="27"/>
  <c r="D90" i="27"/>
  <c r="P89" i="27"/>
  <c r="D89" i="27"/>
  <c r="P88" i="27"/>
  <c r="D88" i="27"/>
  <c r="P87" i="27"/>
  <c r="D87" i="27"/>
  <c r="P86" i="27"/>
  <c r="D86" i="27"/>
  <c r="P85" i="27"/>
  <c r="D85" i="27"/>
  <c r="P84" i="27"/>
  <c r="D84" i="27"/>
  <c r="P83" i="27"/>
  <c r="D83" i="27"/>
  <c r="P82" i="27"/>
  <c r="D82" i="27"/>
  <c r="P81" i="27"/>
  <c r="D81" i="27"/>
  <c r="P80" i="27"/>
  <c r="D80" i="27"/>
  <c r="P79" i="27"/>
  <c r="D79" i="27"/>
  <c r="P78" i="27"/>
  <c r="D78" i="27"/>
  <c r="P77" i="27"/>
  <c r="D77" i="27"/>
  <c r="P76" i="27"/>
  <c r="D76" i="27"/>
  <c r="P75" i="27"/>
  <c r="D75" i="27"/>
  <c r="P74" i="27"/>
  <c r="D74" i="27"/>
  <c r="P73" i="27"/>
  <c r="D73" i="27"/>
  <c r="P72" i="27"/>
  <c r="D72" i="27"/>
  <c r="P71" i="27"/>
  <c r="D71" i="27"/>
  <c r="P70" i="27"/>
  <c r="D70" i="27"/>
  <c r="P69" i="27"/>
  <c r="D69" i="27"/>
  <c r="P68" i="27"/>
  <c r="D68" i="27"/>
  <c r="P67" i="27"/>
  <c r="D67" i="27"/>
  <c r="P66" i="27"/>
  <c r="D66" i="27"/>
  <c r="P65" i="27"/>
  <c r="D65" i="27"/>
  <c r="P64" i="27"/>
  <c r="D64" i="27"/>
  <c r="P63" i="27"/>
  <c r="D63" i="27"/>
  <c r="P62" i="27"/>
  <c r="D62" i="27"/>
  <c r="P61" i="27"/>
  <c r="D61" i="27"/>
  <c r="P60" i="27"/>
  <c r="D60" i="27"/>
  <c r="P59" i="27"/>
  <c r="D59" i="27"/>
  <c r="P58" i="27"/>
  <c r="D58" i="27"/>
  <c r="P57" i="27"/>
  <c r="D57" i="27"/>
  <c r="P56" i="27"/>
  <c r="D56" i="27"/>
  <c r="P55" i="27"/>
  <c r="D55" i="27"/>
  <c r="P34" i="27"/>
  <c r="D34" i="27"/>
  <c r="P22" i="27"/>
  <c r="D22" i="27"/>
  <c r="P21" i="27"/>
  <c r="D21" i="27"/>
  <c r="P20" i="27"/>
  <c r="D20" i="27"/>
  <c r="P19" i="27"/>
  <c r="D19" i="27"/>
  <c r="P18" i="27"/>
  <c r="D18" i="27"/>
  <c r="P15" i="27"/>
  <c r="D125" i="22" l="1"/>
  <c r="D124" i="22"/>
  <c r="D123" i="22"/>
  <c r="D122" i="22"/>
  <c r="D121" i="22"/>
  <c r="D120" i="22"/>
  <c r="D119" i="22"/>
  <c r="D118" i="22"/>
  <c r="D117" i="22"/>
  <c r="D116" i="22"/>
  <c r="D115" i="22"/>
  <c r="D114" i="22"/>
  <c r="D113" i="22"/>
  <c r="D112" i="22"/>
  <c r="D111" i="22"/>
  <c r="D110" i="22"/>
  <c r="D109" i="22"/>
  <c r="D108" i="22"/>
  <c r="D107" i="22"/>
  <c r="D106" i="22"/>
  <c r="D105" i="22"/>
  <c r="D104" i="22"/>
  <c r="D103" i="22"/>
  <c r="D102" i="22"/>
  <c r="D101" i="22"/>
  <c r="D100" i="22"/>
  <c r="D99" i="22"/>
  <c r="D98" i="22"/>
  <c r="D97" i="22"/>
  <c r="D96" i="22"/>
  <c r="D95" i="22"/>
  <c r="D94" i="22"/>
  <c r="D93" i="22"/>
  <c r="D92" i="22"/>
  <c r="D91" i="22"/>
  <c r="D90" i="22"/>
  <c r="D89" i="22"/>
  <c r="D88" i="22"/>
  <c r="D87" i="22"/>
  <c r="D86" i="22"/>
  <c r="D85" i="22"/>
  <c r="D84" i="22"/>
  <c r="D83" i="22"/>
  <c r="D82" i="22"/>
  <c r="D81" i="22"/>
  <c r="D80" i="22"/>
  <c r="D79" i="22"/>
  <c r="D78" i="22"/>
  <c r="D77" i="22"/>
  <c r="D76" i="22"/>
  <c r="D75" i="22"/>
  <c r="D74" i="22"/>
  <c r="D73" i="22"/>
  <c r="D72" i="22"/>
  <c r="D71" i="22"/>
  <c r="D70" i="22"/>
  <c r="D69" i="22"/>
  <c r="D68" i="22"/>
  <c r="D67" i="22"/>
  <c r="D66" i="22"/>
  <c r="D65" i="22"/>
  <c r="D64" i="22"/>
  <c r="D63" i="22"/>
  <c r="D62" i="22"/>
  <c r="D61" i="22"/>
  <c r="D60" i="22"/>
  <c r="D59" i="22"/>
  <c r="D58" i="22"/>
  <c r="D57" i="22"/>
  <c r="D56" i="22"/>
  <c r="D55" i="22"/>
  <c r="D38" i="22"/>
  <c r="D37" i="22"/>
  <c r="D36" i="22"/>
  <c r="D35" i="22"/>
  <c r="D34" i="22"/>
  <c r="D19" i="22"/>
  <c r="D18" i="22"/>
  <c r="D15" i="22"/>
  <c r="P139" i="20"/>
  <c r="D139" i="20"/>
  <c r="P138" i="20"/>
  <c r="D138" i="20"/>
  <c r="P137" i="20"/>
  <c r="D137" i="20"/>
  <c r="P136" i="20"/>
  <c r="D136" i="20"/>
  <c r="P135" i="20"/>
  <c r="D135" i="20"/>
  <c r="P134" i="20"/>
  <c r="D134" i="20"/>
  <c r="P133" i="20"/>
  <c r="D133" i="20"/>
  <c r="P132" i="20"/>
  <c r="D132" i="20"/>
  <c r="P131" i="20"/>
  <c r="D131" i="20"/>
  <c r="P130" i="20"/>
  <c r="D130" i="20"/>
  <c r="P129" i="20"/>
  <c r="D129" i="20"/>
  <c r="P128" i="20"/>
  <c r="D128" i="20"/>
  <c r="P127" i="20"/>
  <c r="D127" i="20"/>
  <c r="P126" i="20"/>
  <c r="D126" i="20"/>
  <c r="P125" i="20"/>
  <c r="D125" i="20"/>
  <c r="P124" i="20"/>
  <c r="D124" i="20"/>
  <c r="P123" i="20"/>
  <c r="D123" i="20"/>
  <c r="P122" i="20"/>
  <c r="D122" i="20"/>
  <c r="P121" i="20"/>
  <c r="D121" i="20"/>
  <c r="P120" i="20"/>
  <c r="D120" i="20"/>
  <c r="P119" i="20"/>
  <c r="D119" i="20"/>
  <c r="P118" i="20"/>
  <c r="D118" i="20"/>
  <c r="P117" i="20"/>
  <c r="D117" i="20"/>
  <c r="P116" i="20"/>
  <c r="D116" i="20"/>
  <c r="P115" i="20"/>
  <c r="D115" i="20"/>
  <c r="P114" i="20"/>
  <c r="D114" i="20"/>
  <c r="P113" i="20"/>
  <c r="D113" i="20"/>
  <c r="P112" i="20"/>
  <c r="D112" i="20"/>
  <c r="P111" i="20"/>
  <c r="D111" i="20"/>
  <c r="P110" i="20"/>
  <c r="D110" i="20"/>
  <c r="P109" i="20"/>
  <c r="D109" i="20"/>
  <c r="P108" i="20"/>
  <c r="D108" i="20"/>
  <c r="P107" i="20"/>
  <c r="D107" i="20"/>
  <c r="P106" i="20"/>
  <c r="D106" i="20"/>
  <c r="P105" i="20"/>
  <c r="D105" i="20"/>
  <c r="P104" i="20"/>
  <c r="D104" i="20"/>
  <c r="P103" i="20"/>
  <c r="D103" i="20"/>
  <c r="P102" i="20"/>
  <c r="D102" i="20"/>
  <c r="P101" i="20"/>
  <c r="D101" i="20"/>
  <c r="P100" i="20"/>
  <c r="D100" i="20"/>
  <c r="P99" i="20"/>
  <c r="D99" i="20"/>
  <c r="P98" i="20"/>
  <c r="D98" i="20"/>
  <c r="P97" i="20"/>
  <c r="D97" i="20"/>
  <c r="P96" i="20"/>
  <c r="D96" i="20"/>
  <c r="P95" i="20"/>
  <c r="D95" i="20"/>
  <c r="P94" i="20"/>
  <c r="D94" i="20"/>
  <c r="P93" i="20"/>
  <c r="D93" i="20"/>
  <c r="P92" i="20"/>
  <c r="D92" i="20"/>
  <c r="P91" i="20"/>
  <c r="D91" i="20"/>
  <c r="P90" i="20"/>
  <c r="D90" i="20"/>
  <c r="P89" i="20"/>
  <c r="D89" i="20"/>
  <c r="P88" i="20"/>
  <c r="D88" i="20"/>
  <c r="P87" i="20"/>
  <c r="D87" i="20"/>
  <c r="P86" i="20"/>
  <c r="D86" i="20"/>
  <c r="P85" i="20"/>
  <c r="D85" i="20"/>
  <c r="P84" i="20"/>
  <c r="D84" i="20"/>
  <c r="P83" i="20"/>
  <c r="D83" i="20"/>
  <c r="P82" i="20"/>
  <c r="D82" i="20"/>
  <c r="P81" i="20"/>
  <c r="D81" i="20"/>
  <c r="P80" i="20"/>
  <c r="D80" i="20"/>
  <c r="P79" i="20"/>
  <c r="D79" i="20"/>
  <c r="P78" i="20"/>
  <c r="D78" i="20"/>
  <c r="P77" i="20"/>
  <c r="D77" i="20"/>
  <c r="P76" i="20"/>
  <c r="D76" i="20"/>
  <c r="P75" i="20"/>
  <c r="D75" i="20"/>
  <c r="P74" i="20"/>
  <c r="D74" i="20"/>
  <c r="P73" i="20"/>
  <c r="D73" i="20"/>
  <c r="P72" i="20"/>
  <c r="D72" i="20"/>
  <c r="P71" i="20"/>
  <c r="D71" i="20"/>
  <c r="P70" i="20"/>
  <c r="D70" i="20"/>
  <c r="P69" i="20"/>
  <c r="D69" i="20"/>
  <c r="P68" i="20"/>
  <c r="D68" i="20"/>
  <c r="P67" i="20"/>
  <c r="D67" i="20"/>
  <c r="P66" i="20"/>
  <c r="D66" i="20"/>
  <c r="P65" i="20"/>
  <c r="D65" i="20"/>
  <c r="P64" i="20"/>
  <c r="D64" i="20"/>
  <c r="P63" i="20"/>
  <c r="D63" i="20"/>
  <c r="P62" i="20"/>
  <c r="D62" i="20"/>
  <c r="P61" i="20"/>
  <c r="D61" i="20"/>
  <c r="P60" i="20"/>
  <c r="D60" i="20"/>
  <c r="P59" i="20"/>
  <c r="D59" i="20"/>
  <c r="P58" i="20"/>
  <c r="D58" i="20"/>
  <c r="P57" i="20"/>
  <c r="D57" i="20"/>
  <c r="P56" i="20"/>
  <c r="D56" i="20"/>
  <c r="P55" i="20"/>
  <c r="D55" i="20"/>
  <c r="P38" i="20"/>
  <c r="D38" i="20"/>
  <c r="P37" i="20"/>
  <c r="D37" i="20"/>
  <c r="P36" i="20"/>
  <c r="D36" i="20"/>
  <c r="P35" i="20"/>
  <c r="D35" i="20"/>
  <c r="P34" i="20"/>
  <c r="D34" i="20"/>
  <c r="P15" i="20"/>
  <c r="D15" i="20"/>
  <c r="P20" i="20"/>
  <c r="D20" i="20"/>
  <c r="P19" i="20"/>
  <c r="D19" i="20"/>
  <c r="P18" i="20"/>
  <c r="D18" i="20"/>
  <c r="P16" i="18"/>
  <c r="D121" i="18"/>
  <c r="D120" i="18"/>
  <c r="D119" i="18"/>
  <c r="D118" i="18"/>
  <c r="D117" i="18"/>
  <c r="D116" i="18"/>
  <c r="D115" i="18"/>
  <c r="D114" i="18"/>
  <c r="D113" i="18"/>
  <c r="D112" i="18"/>
  <c r="D111" i="18"/>
  <c r="D110" i="18"/>
  <c r="D109" i="18"/>
  <c r="D108" i="18"/>
  <c r="D107" i="18"/>
  <c r="D106" i="18"/>
  <c r="D105" i="18"/>
  <c r="D104" i="18"/>
  <c r="D103" i="18"/>
  <c r="D102" i="18"/>
  <c r="D101" i="18"/>
  <c r="D100" i="18"/>
  <c r="D99" i="18"/>
  <c r="D98" i="18"/>
  <c r="D97" i="18"/>
  <c r="D96" i="18"/>
  <c r="D95" i="18"/>
  <c r="D94" i="18"/>
  <c r="D93" i="18"/>
  <c r="D92" i="18"/>
  <c r="D91" i="18"/>
  <c r="D90" i="18"/>
  <c r="D89" i="18"/>
  <c r="D88" i="18"/>
  <c r="D87" i="18"/>
  <c r="D86" i="18"/>
  <c r="D85" i="18"/>
  <c r="D84" i="18"/>
  <c r="D83" i="18"/>
  <c r="D82" i="18"/>
  <c r="D81" i="18"/>
  <c r="D80" i="18"/>
  <c r="D79" i="18"/>
  <c r="D78" i="18"/>
  <c r="D77" i="18"/>
  <c r="D76" i="18"/>
  <c r="D75" i="18"/>
  <c r="D74" i="18"/>
  <c r="D73" i="18"/>
  <c r="D72" i="18"/>
  <c r="D71" i="18"/>
  <c r="D70" i="18"/>
  <c r="D69" i="18"/>
  <c r="D68" i="18"/>
  <c r="D67" i="18"/>
  <c r="D66" i="18"/>
  <c r="D65" i="18"/>
  <c r="D64" i="18"/>
  <c r="D63" i="18"/>
  <c r="D62" i="18"/>
  <c r="D61" i="18"/>
  <c r="D60" i="18"/>
  <c r="D59" i="18"/>
  <c r="D58" i="18"/>
  <c r="D57" i="18"/>
  <c r="D56" i="18"/>
  <c r="D55" i="18"/>
  <c r="D40" i="18"/>
  <c r="D39" i="18"/>
  <c r="D38" i="18"/>
  <c r="D37" i="18"/>
  <c r="D36" i="18"/>
  <c r="D35" i="18"/>
  <c r="D34" i="18"/>
  <c r="D21" i="18"/>
  <c r="D20" i="18"/>
  <c r="D19" i="18"/>
  <c r="D18" i="18"/>
  <c r="D32" i="11" l="1"/>
  <c r="E32" i="11"/>
  <c r="F32" i="11"/>
  <c r="G32" i="11"/>
  <c r="H32" i="11"/>
  <c r="I32" i="11"/>
  <c r="J32" i="11"/>
  <c r="K32" i="11"/>
  <c r="L32" i="11"/>
  <c r="M32" i="11"/>
  <c r="N32" i="11"/>
  <c r="O32" i="11"/>
  <c r="P32" i="11"/>
  <c r="Q32" i="11"/>
  <c r="R32" i="11"/>
  <c r="S32" i="11"/>
  <c r="T32" i="11"/>
  <c r="U32" i="11"/>
  <c r="V32" i="11"/>
  <c r="W32" i="11"/>
  <c r="X32" i="11"/>
  <c r="Y32" i="11"/>
  <c r="Z32" i="11"/>
  <c r="AA32" i="11"/>
  <c r="AB32" i="11"/>
  <c r="AC32" i="11"/>
  <c r="AD32" i="11"/>
  <c r="AE32" i="11"/>
  <c r="AF32" i="11"/>
  <c r="AG32" i="11"/>
  <c r="AH32" i="11"/>
  <c r="AI32" i="11"/>
  <c r="AJ32" i="11"/>
  <c r="AK32" i="11"/>
  <c r="AL32" i="11"/>
  <c r="C32" i="11"/>
  <c r="N15" i="14"/>
  <c r="J16" i="14"/>
  <c r="N16" i="14"/>
  <c r="E17" i="14"/>
  <c r="I17" i="14"/>
  <c r="M17" i="14"/>
  <c r="R17" i="14"/>
  <c r="S17" i="14"/>
  <c r="V17" i="14"/>
  <c r="W17" i="14"/>
  <c r="Z17" i="14"/>
  <c r="AA17" i="14"/>
  <c r="AD17" i="14"/>
  <c r="AE17" i="14"/>
  <c r="AH17" i="14"/>
  <c r="AI17" i="14"/>
  <c r="AL17" i="14"/>
  <c r="K18" i="14"/>
  <c r="S18" i="14"/>
  <c r="AA18" i="14"/>
  <c r="AI18" i="14"/>
  <c r="D19" i="14"/>
  <c r="H19" i="14"/>
  <c r="L19" i="14"/>
  <c r="P19" i="14"/>
  <c r="T19" i="14"/>
  <c r="X19" i="14"/>
  <c r="AB19" i="14"/>
  <c r="AF19" i="14"/>
  <c r="AJ19" i="14"/>
  <c r="Q20" i="14"/>
  <c r="U20" i="14"/>
  <c r="AG20" i="14"/>
  <c r="AK20" i="14"/>
  <c r="D21" i="14"/>
  <c r="H21" i="14"/>
  <c r="L21" i="14"/>
  <c r="AL23" i="14"/>
  <c r="G24" i="14"/>
  <c r="P24" i="14"/>
  <c r="AB24" i="14"/>
  <c r="AF24" i="14"/>
  <c r="G26" i="14"/>
  <c r="W26" i="14"/>
  <c r="AA26" i="14"/>
  <c r="I29" i="14"/>
  <c r="M29" i="14"/>
  <c r="U29" i="14"/>
  <c r="V29" i="14"/>
  <c r="AC29" i="14"/>
  <c r="AD29" i="14"/>
  <c r="AK29" i="14"/>
  <c r="AL29" i="14"/>
  <c r="G30" i="14"/>
  <c r="H30" i="14"/>
  <c r="K30" i="14"/>
  <c r="P30" i="14"/>
  <c r="T30" i="14"/>
  <c r="X30" i="14"/>
  <c r="AF30" i="14"/>
  <c r="AJ30" i="14"/>
  <c r="E31" i="14"/>
  <c r="I31" i="14"/>
  <c r="M31" i="14"/>
  <c r="Q31" i="14"/>
  <c r="S31" i="14"/>
  <c r="U31" i="14"/>
  <c r="W31" i="14"/>
  <c r="Y31" i="14"/>
  <c r="AA31" i="14"/>
  <c r="AC31" i="14"/>
  <c r="AE31" i="14"/>
  <c r="AG31" i="14"/>
  <c r="AI31" i="14"/>
  <c r="AK31" i="14"/>
  <c r="I33" i="14"/>
  <c r="J33" i="14"/>
  <c r="Q33" i="14"/>
  <c r="R33" i="14"/>
  <c r="Y33" i="14"/>
  <c r="Z33" i="14"/>
  <c r="AG33" i="14"/>
  <c r="AH33" i="14"/>
  <c r="F34" i="14"/>
  <c r="J34" i="14"/>
  <c r="S34" i="14"/>
  <c r="V34" i="14"/>
  <c r="AA34" i="14"/>
  <c r="AD34" i="14"/>
  <c r="AI34" i="14"/>
  <c r="AL34" i="14"/>
  <c r="L35" i="14"/>
  <c r="P35" i="14"/>
  <c r="V35" i="14"/>
  <c r="X35" i="14"/>
  <c r="AD35" i="14"/>
  <c r="AF35" i="14"/>
  <c r="AL35" i="14"/>
  <c r="AD36" i="14"/>
  <c r="AL36" i="14"/>
  <c r="V37" i="14"/>
  <c r="AD37" i="14"/>
  <c r="AL37" i="14"/>
  <c r="F38" i="14"/>
  <c r="J38" i="14"/>
  <c r="N38" i="14"/>
  <c r="R38" i="14"/>
  <c r="S38" i="14"/>
  <c r="V38" i="14"/>
  <c r="W38" i="14"/>
  <c r="Z38" i="14"/>
  <c r="AA38" i="14"/>
  <c r="AD38" i="14"/>
  <c r="AE38" i="14"/>
  <c r="AH38" i="14"/>
  <c r="AI38" i="14"/>
  <c r="AL38" i="14"/>
  <c r="M39" i="14"/>
  <c r="V39" i="14"/>
  <c r="AD39" i="14"/>
  <c r="AL39" i="14"/>
  <c r="E42" i="14"/>
  <c r="I42" i="14"/>
  <c r="M42" i="14"/>
  <c r="Q42" i="14"/>
  <c r="U42" i="14"/>
  <c r="Y42" i="14"/>
  <c r="AC42" i="14"/>
  <c r="AG42" i="14"/>
  <c r="AK42" i="14"/>
  <c r="R43" i="14"/>
  <c r="Z43" i="14"/>
  <c r="AH43" i="14"/>
  <c r="F44" i="14"/>
  <c r="G44" i="14"/>
  <c r="J44" i="14"/>
  <c r="K44" i="14"/>
  <c r="N44" i="14"/>
  <c r="R44" i="14"/>
  <c r="S44" i="14"/>
  <c r="V44" i="14"/>
  <c r="W44" i="14"/>
  <c r="Z44" i="14"/>
  <c r="AA44" i="14"/>
  <c r="AD44" i="14"/>
  <c r="AE44" i="14"/>
  <c r="AH44" i="14"/>
  <c r="AI44" i="14"/>
  <c r="AL44" i="14"/>
  <c r="E45" i="14"/>
  <c r="G45" i="14"/>
  <c r="I45" i="14"/>
  <c r="K45" i="14"/>
  <c r="M45" i="14"/>
  <c r="R45" i="14"/>
  <c r="V45" i="14"/>
  <c r="Z45" i="14"/>
  <c r="AD45" i="14"/>
  <c r="AH45" i="14"/>
  <c r="AL45" i="14"/>
  <c r="J46" i="14"/>
  <c r="D49" i="14"/>
  <c r="E49" i="14"/>
  <c r="F49" i="14"/>
  <c r="G49" i="14"/>
  <c r="H49" i="14"/>
  <c r="I49" i="14"/>
  <c r="J49" i="14"/>
  <c r="K49" i="14"/>
  <c r="L49" i="14"/>
  <c r="M49" i="14"/>
  <c r="N49" i="14"/>
  <c r="O49" i="14"/>
  <c r="P49" i="14"/>
  <c r="Q49" i="14"/>
  <c r="R49" i="14"/>
  <c r="S49" i="14"/>
  <c r="T49" i="14"/>
  <c r="U49" i="14"/>
  <c r="V49" i="14"/>
  <c r="W49" i="14"/>
  <c r="X49" i="14"/>
  <c r="Y49" i="14"/>
  <c r="Z49" i="14"/>
  <c r="AA49" i="14"/>
  <c r="AB49" i="14"/>
  <c r="AC49" i="14"/>
  <c r="AD49" i="14"/>
  <c r="AE49" i="14"/>
  <c r="AF49" i="14"/>
  <c r="AG49" i="14"/>
  <c r="AH49" i="14"/>
  <c r="AI49" i="14"/>
  <c r="AJ49" i="14"/>
  <c r="AK49" i="14"/>
  <c r="AL49" i="14"/>
  <c r="G50" i="14"/>
  <c r="K50" i="14"/>
  <c r="Q50" i="14"/>
  <c r="S50" i="14"/>
  <c r="U50" i="14"/>
  <c r="W50" i="14"/>
  <c r="Y50" i="14"/>
  <c r="AA50" i="14"/>
  <c r="AC50" i="14"/>
  <c r="AE50" i="14"/>
  <c r="AG50" i="14"/>
  <c r="AI50" i="14"/>
  <c r="AK50" i="14"/>
  <c r="D51" i="14"/>
  <c r="E51" i="14"/>
  <c r="F51" i="14"/>
  <c r="G51" i="14"/>
  <c r="H51" i="14"/>
  <c r="I51" i="14"/>
  <c r="J51" i="14"/>
  <c r="K51" i="14"/>
  <c r="L51" i="14"/>
  <c r="M51" i="14"/>
  <c r="N51" i="14"/>
  <c r="O51" i="14"/>
  <c r="P51" i="14"/>
  <c r="Q51" i="14"/>
  <c r="R51" i="14"/>
  <c r="S51" i="14"/>
  <c r="T51" i="14"/>
  <c r="U51" i="14"/>
  <c r="V51" i="14"/>
  <c r="W51" i="14"/>
  <c r="X51" i="14"/>
  <c r="Y51" i="14"/>
  <c r="Z51" i="14"/>
  <c r="AA51" i="14"/>
  <c r="AB51" i="14"/>
  <c r="AC51" i="14"/>
  <c r="AD51" i="14"/>
  <c r="AE51" i="14"/>
  <c r="AF51" i="14"/>
  <c r="AG51" i="14"/>
  <c r="AH51" i="14"/>
  <c r="AI51" i="14"/>
  <c r="AJ51" i="14"/>
  <c r="AK51" i="14"/>
  <c r="AL51" i="14"/>
  <c r="F52" i="14"/>
  <c r="S52" i="14"/>
  <c r="AA52" i="14"/>
  <c r="AI52" i="14"/>
  <c r="E53" i="14"/>
  <c r="Q53" i="14"/>
  <c r="R53" i="14"/>
  <c r="Y53" i="14"/>
  <c r="Z53" i="14"/>
  <c r="AG53" i="14"/>
  <c r="AH53" i="14"/>
  <c r="E54" i="14"/>
  <c r="I54" i="14"/>
  <c r="M54" i="14"/>
  <c r="Q54" i="14"/>
  <c r="U54" i="14"/>
  <c r="Y54" i="14"/>
  <c r="AC54" i="14"/>
  <c r="AG54" i="14"/>
  <c r="AK54" i="14"/>
  <c r="F55" i="14"/>
  <c r="R55" i="14"/>
  <c r="Z55" i="14"/>
  <c r="AH55" i="14"/>
  <c r="C51" i="14"/>
  <c r="C49" i="14"/>
  <c r="D15" i="13"/>
  <c r="L15" i="13"/>
  <c r="U15" i="13"/>
  <c r="AG15" i="13"/>
  <c r="D16" i="13"/>
  <c r="G16" i="13"/>
  <c r="L16" i="13"/>
  <c r="Q16" i="13"/>
  <c r="Y16" i="13"/>
  <c r="AG16" i="13"/>
  <c r="F17" i="13"/>
  <c r="G17" i="13"/>
  <c r="K17" i="13"/>
  <c r="N17" i="13"/>
  <c r="S17" i="13"/>
  <c r="AE17" i="13"/>
  <c r="AI17" i="13"/>
  <c r="F18" i="13"/>
  <c r="J18" i="13"/>
  <c r="R18" i="13"/>
  <c r="Z18" i="13"/>
  <c r="AH18" i="13"/>
  <c r="D19" i="13"/>
  <c r="J19" i="13"/>
  <c r="L19" i="13"/>
  <c r="R19" i="13"/>
  <c r="T19" i="13"/>
  <c r="Z19" i="13"/>
  <c r="AB19" i="13"/>
  <c r="AH19" i="13"/>
  <c r="AJ19" i="13"/>
  <c r="D20" i="13"/>
  <c r="L20" i="13"/>
  <c r="T20" i="13"/>
  <c r="AB20" i="13"/>
  <c r="AJ20" i="13"/>
  <c r="D21" i="13"/>
  <c r="H21" i="13"/>
  <c r="T21" i="13"/>
  <c r="AB21" i="13"/>
  <c r="AJ21" i="13"/>
  <c r="P24" i="13"/>
  <c r="S24" i="13"/>
  <c r="X24" i="13"/>
  <c r="AA24" i="13"/>
  <c r="AF24" i="13"/>
  <c r="AI24" i="13"/>
  <c r="I26" i="13"/>
  <c r="S26" i="13"/>
  <c r="W26" i="13"/>
  <c r="AA26" i="13"/>
  <c r="AE26" i="13"/>
  <c r="AI26" i="13"/>
  <c r="R27" i="13"/>
  <c r="Z27" i="13"/>
  <c r="AH27" i="13"/>
  <c r="K29" i="13"/>
  <c r="S30" i="13"/>
  <c r="AA30" i="13"/>
  <c r="AI30" i="13"/>
  <c r="J31" i="13"/>
  <c r="T31" i="13"/>
  <c r="AB31" i="13"/>
  <c r="AJ31" i="13"/>
  <c r="G34" i="13"/>
  <c r="I34" i="13"/>
  <c r="P34" i="13"/>
  <c r="T34" i="13"/>
  <c r="AB34" i="13"/>
  <c r="AF34" i="13"/>
  <c r="AJ34" i="13"/>
  <c r="F35" i="13"/>
  <c r="J35" i="13"/>
  <c r="S35" i="13"/>
  <c r="V35" i="13"/>
  <c r="AA35" i="13"/>
  <c r="AD35" i="13"/>
  <c r="AI35" i="13"/>
  <c r="AL35" i="13"/>
  <c r="F36" i="13"/>
  <c r="N36" i="13"/>
  <c r="AD36" i="13"/>
  <c r="I37" i="13"/>
  <c r="S37" i="13"/>
  <c r="W37" i="13"/>
  <c r="AA37" i="13"/>
  <c r="AE37" i="13"/>
  <c r="AI37" i="13"/>
  <c r="S38" i="13"/>
  <c r="W38" i="13"/>
  <c r="AA38" i="13"/>
  <c r="AE38" i="13"/>
  <c r="AI38" i="13"/>
  <c r="E39" i="13"/>
  <c r="M39" i="13"/>
  <c r="G40" i="13"/>
  <c r="I40" i="13"/>
  <c r="T40" i="13"/>
  <c r="AB40" i="13"/>
  <c r="AF40" i="13"/>
  <c r="H42" i="13"/>
  <c r="L42" i="13"/>
  <c r="AB42" i="13"/>
  <c r="G43" i="13"/>
  <c r="K43" i="13"/>
  <c r="S43" i="13"/>
  <c r="AA43" i="13"/>
  <c r="AI43" i="13"/>
  <c r="R45" i="13"/>
  <c r="V45" i="13"/>
  <c r="Z45" i="13"/>
  <c r="AD45" i="13"/>
  <c r="AH45" i="13"/>
  <c r="AL45" i="13"/>
  <c r="D46" i="13"/>
  <c r="H46" i="13"/>
  <c r="R46" i="13"/>
  <c r="T46" i="13"/>
  <c r="Z46" i="13"/>
  <c r="AB46" i="13"/>
  <c r="AH46" i="13"/>
  <c r="AJ46" i="13"/>
  <c r="D48" i="13"/>
  <c r="E48" i="13"/>
  <c r="F48" i="13"/>
  <c r="G48" i="13"/>
  <c r="H48" i="13"/>
  <c r="I48" i="13"/>
  <c r="J48" i="13"/>
  <c r="K48" i="13"/>
  <c r="L48" i="13"/>
  <c r="M48" i="13"/>
  <c r="N48" i="13"/>
  <c r="O48" i="13"/>
  <c r="P48" i="13"/>
  <c r="Q48" i="13"/>
  <c r="R48" i="13"/>
  <c r="S48" i="13"/>
  <c r="T48" i="13"/>
  <c r="U48" i="13"/>
  <c r="V48" i="13"/>
  <c r="W48" i="13"/>
  <c r="X48" i="13"/>
  <c r="Y48" i="13"/>
  <c r="Z48" i="13"/>
  <c r="AA48" i="13"/>
  <c r="AB48" i="13"/>
  <c r="AC48" i="13"/>
  <c r="AD48" i="13"/>
  <c r="AE48" i="13"/>
  <c r="AF48" i="13"/>
  <c r="AG48" i="13"/>
  <c r="AH48" i="13"/>
  <c r="AI48" i="13"/>
  <c r="AJ48" i="13"/>
  <c r="AK48" i="13"/>
  <c r="AL48" i="13"/>
  <c r="D49" i="13"/>
  <c r="E49" i="13"/>
  <c r="F49" i="13"/>
  <c r="G49" i="13"/>
  <c r="H49" i="13"/>
  <c r="I49" i="13"/>
  <c r="J49" i="13"/>
  <c r="K49" i="13"/>
  <c r="L49" i="13"/>
  <c r="M49" i="13"/>
  <c r="N49" i="13"/>
  <c r="O49" i="13"/>
  <c r="P49" i="13"/>
  <c r="Q49" i="13"/>
  <c r="R49" i="13"/>
  <c r="S49" i="13"/>
  <c r="T49" i="13"/>
  <c r="U49" i="13"/>
  <c r="V49" i="13"/>
  <c r="W49" i="13"/>
  <c r="X49" i="13"/>
  <c r="Y49" i="13"/>
  <c r="Z49" i="13"/>
  <c r="AA49" i="13"/>
  <c r="AB49" i="13"/>
  <c r="AC49" i="13"/>
  <c r="AD49" i="13"/>
  <c r="AE49" i="13"/>
  <c r="AF49" i="13"/>
  <c r="AG49" i="13"/>
  <c r="AH49" i="13"/>
  <c r="AI49" i="13"/>
  <c r="AJ49" i="13"/>
  <c r="AK49" i="13"/>
  <c r="AL49" i="13"/>
  <c r="R50" i="13"/>
  <c r="V50" i="13"/>
  <c r="Z50" i="13"/>
  <c r="AD50" i="13"/>
  <c r="AH50" i="13"/>
  <c r="AL50" i="13"/>
  <c r="E52" i="13"/>
  <c r="F52" i="13"/>
  <c r="J52" i="13"/>
  <c r="M52" i="13"/>
  <c r="N52" i="13"/>
  <c r="Z52" i="13"/>
  <c r="AD52" i="13"/>
  <c r="D53" i="13"/>
  <c r="Q53" i="13"/>
  <c r="Y53" i="13"/>
  <c r="AG53" i="13"/>
  <c r="D54" i="13"/>
  <c r="F54" i="13"/>
  <c r="H54" i="13"/>
  <c r="J54" i="13"/>
  <c r="L54" i="13"/>
  <c r="N54" i="13"/>
  <c r="S54" i="13"/>
  <c r="W54" i="13"/>
  <c r="AA54" i="13"/>
  <c r="AE54" i="13"/>
  <c r="AI54" i="13"/>
  <c r="P55" i="13"/>
  <c r="T55" i="13"/>
  <c r="X55" i="13"/>
  <c r="AB55" i="13"/>
  <c r="AF55" i="13"/>
  <c r="AJ55" i="13"/>
  <c r="G56" i="13"/>
  <c r="K56" i="13"/>
  <c r="S56" i="13"/>
  <c r="W56" i="13"/>
  <c r="AA56" i="13"/>
  <c r="AE56" i="13"/>
  <c r="AI56" i="13"/>
  <c r="C49" i="13"/>
  <c r="C48" i="13"/>
  <c r="F15" i="12"/>
  <c r="K15" i="12"/>
  <c r="N15" i="12"/>
  <c r="E16" i="12"/>
  <c r="M16" i="12"/>
  <c r="Q16" i="12"/>
  <c r="Y16" i="12"/>
  <c r="AG16" i="12"/>
  <c r="F18" i="12"/>
  <c r="G18" i="12"/>
  <c r="K18" i="12"/>
  <c r="N18" i="12"/>
  <c r="R18" i="12"/>
  <c r="W18" i="12"/>
  <c r="Z18" i="12"/>
  <c r="AE18" i="12"/>
  <c r="AH18" i="12"/>
  <c r="D19" i="12"/>
  <c r="H19" i="12"/>
  <c r="L19" i="12"/>
  <c r="F20" i="12"/>
  <c r="J20" i="12"/>
  <c r="N20" i="12"/>
  <c r="W21" i="12"/>
  <c r="Q23" i="12"/>
  <c r="E24" i="12"/>
  <c r="M24" i="12"/>
  <c r="Q24" i="12"/>
  <c r="W24" i="12"/>
  <c r="Y24" i="12"/>
  <c r="AE24" i="12"/>
  <c r="AG24" i="12"/>
  <c r="G26" i="12"/>
  <c r="T26" i="12"/>
  <c r="AB26" i="12"/>
  <c r="AJ26" i="12"/>
  <c r="I27" i="12"/>
  <c r="M27" i="12"/>
  <c r="AC27" i="12"/>
  <c r="R29" i="12"/>
  <c r="AH29" i="12"/>
  <c r="S31" i="12"/>
  <c r="W31" i="12"/>
  <c r="AA31" i="12"/>
  <c r="AI31" i="12"/>
  <c r="K33" i="12"/>
  <c r="W33" i="12"/>
  <c r="AE33" i="12"/>
  <c r="D34" i="12"/>
  <c r="H34" i="12"/>
  <c r="L34" i="12"/>
  <c r="Q34" i="12"/>
  <c r="Y34" i="12"/>
  <c r="AC34" i="12"/>
  <c r="AG34" i="12"/>
  <c r="K35" i="12"/>
  <c r="S35" i="12"/>
  <c r="W35" i="12"/>
  <c r="AI35" i="12"/>
  <c r="I36" i="12"/>
  <c r="M36" i="12"/>
  <c r="Q36" i="12"/>
  <c r="Y36" i="12"/>
  <c r="AC36" i="12"/>
  <c r="AG36" i="12"/>
  <c r="G37" i="12"/>
  <c r="K37" i="12"/>
  <c r="P37" i="12"/>
  <c r="T37" i="12"/>
  <c r="X37" i="12"/>
  <c r="AB37" i="12"/>
  <c r="AF37" i="12"/>
  <c r="AJ37" i="12"/>
  <c r="M38" i="12"/>
  <c r="E40" i="12"/>
  <c r="I40" i="12"/>
  <c r="M40" i="12"/>
  <c r="Q40" i="12"/>
  <c r="Y40" i="12"/>
  <c r="AG40" i="12"/>
  <c r="E42" i="12"/>
  <c r="I42" i="12"/>
  <c r="S42" i="12"/>
  <c r="U42" i="12"/>
  <c r="AA42" i="12"/>
  <c r="AC42" i="12"/>
  <c r="AI42" i="12"/>
  <c r="AK42" i="12"/>
  <c r="K43" i="12"/>
  <c r="P43" i="12"/>
  <c r="X43" i="12"/>
  <c r="AF43" i="12"/>
  <c r="H44" i="12"/>
  <c r="Q44" i="12"/>
  <c r="U44" i="12"/>
  <c r="AG44" i="12"/>
  <c r="AK44" i="12"/>
  <c r="E45" i="12"/>
  <c r="M45" i="12"/>
  <c r="Q45" i="12"/>
  <c r="U45" i="12"/>
  <c r="AG45" i="12"/>
  <c r="AK45" i="12"/>
  <c r="F46" i="12"/>
  <c r="V46" i="12"/>
  <c r="AL46" i="12"/>
  <c r="E50" i="12"/>
  <c r="Q50" i="12"/>
  <c r="U50" i="12"/>
  <c r="AG50" i="12"/>
  <c r="AK50" i="12"/>
  <c r="L53" i="12"/>
  <c r="P53" i="12"/>
  <c r="AF53" i="12"/>
  <c r="E54" i="12"/>
  <c r="F54" i="12"/>
  <c r="I54" i="12"/>
  <c r="J54" i="12"/>
  <c r="M54" i="12"/>
  <c r="N54" i="12"/>
  <c r="R54" i="12"/>
  <c r="V54" i="12"/>
  <c r="Z54" i="12"/>
  <c r="AD54" i="12"/>
  <c r="AH54" i="12"/>
  <c r="AL54" i="12"/>
  <c r="F55" i="12"/>
  <c r="V55" i="12"/>
  <c r="AL55" i="12"/>
  <c r="AB56" i="12"/>
  <c r="D15" i="11"/>
  <c r="E15" i="11"/>
  <c r="F15" i="11"/>
  <c r="G15" i="11"/>
  <c r="H15" i="11"/>
  <c r="I15" i="11"/>
  <c r="J15" i="11"/>
  <c r="K15" i="11"/>
  <c r="L15" i="11"/>
  <c r="M15" i="11"/>
  <c r="N15" i="11"/>
  <c r="O15" i="11"/>
  <c r="P15" i="11"/>
  <c r="Q15" i="11"/>
  <c r="R15" i="11"/>
  <c r="S15" i="11"/>
  <c r="T15" i="11"/>
  <c r="U15" i="11"/>
  <c r="V15" i="11"/>
  <c r="W15" i="11"/>
  <c r="X15" i="11"/>
  <c r="Y15" i="11"/>
  <c r="Z15" i="11"/>
  <c r="AA15" i="11"/>
  <c r="AB15" i="11"/>
  <c r="AC15" i="11"/>
  <c r="AD15" i="11"/>
  <c r="AE15" i="11"/>
  <c r="AF15" i="11"/>
  <c r="AG15" i="11"/>
  <c r="AH15" i="11"/>
  <c r="AI15" i="11"/>
  <c r="AJ15" i="11"/>
  <c r="AK15" i="11"/>
  <c r="AL15" i="11"/>
  <c r="D16" i="11"/>
  <c r="E16" i="11"/>
  <c r="F16" i="11"/>
  <c r="G16" i="11"/>
  <c r="H16" i="11"/>
  <c r="I16" i="11"/>
  <c r="J16" i="11"/>
  <c r="K16" i="11"/>
  <c r="L16" i="11"/>
  <c r="M16" i="11"/>
  <c r="N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AL16" i="11"/>
  <c r="D17" i="11"/>
  <c r="E17" i="11"/>
  <c r="F17" i="11"/>
  <c r="G17" i="11"/>
  <c r="H17" i="11"/>
  <c r="I17" i="11"/>
  <c r="J17" i="11"/>
  <c r="K17" i="11"/>
  <c r="L17" i="11"/>
  <c r="M17" i="11"/>
  <c r="N17" i="11"/>
  <c r="O17" i="11"/>
  <c r="P17" i="11"/>
  <c r="Q17" i="11"/>
  <c r="R17" i="11"/>
  <c r="S17" i="11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AF17" i="11"/>
  <c r="AG17" i="11"/>
  <c r="AH17" i="11"/>
  <c r="AI17" i="11"/>
  <c r="AJ17" i="11"/>
  <c r="AK17" i="11"/>
  <c r="AL17" i="11"/>
  <c r="D18" i="11"/>
  <c r="E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T18" i="11"/>
  <c r="U18" i="11"/>
  <c r="V18" i="11"/>
  <c r="W18" i="11"/>
  <c r="X18" i="11"/>
  <c r="Y18" i="11"/>
  <c r="Z18" i="11"/>
  <c r="AA18" i="11"/>
  <c r="AB18" i="11"/>
  <c r="AC18" i="11"/>
  <c r="AD18" i="11"/>
  <c r="AE18" i="11"/>
  <c r="AF18" i="11"/>
  <c r="AG18" i="11"/>
  <c r="AH18" i="11"/>
  <c r="AI18" i="11"/>
  <c r="AJ18" i="11"/>
  <c r="AK18" i="11"/>
  <c r="AL18" i="11"/>
  <c r="D19" i="11"/>
  <c r="E19" i="11"/>
  <c r="F19" i="11"/>
  <c r="G19" i="11"/>
  <c r="H19" i="11"/>
  <c r="I19" i="11"/>
  <c r="J19" i="11"/>
  <c r="K19" i="11"/>
  <c r="L19" i="11"/>
  <c r="M19" i="11"/>
  <c r="N19" i="11"/>
  <c r="O19" i="11"/>
  <c r="P19" i="11"/>
  <c r="Q19" i="11"/>
  <c r="R19" i="11"/>
  <c r="S19" i="11"/>
  <c r="T19" i="11"/>
  <c r="U19" i="11"/>
  <c r="V19" i="11"/>
  <c r="W19" i="11"/>
  <c r="X19" i="11"/>
  <c r="Y19" i="11"/>
  <c r="Z19" i="11"/>
  <c r="AA19" i="11"/>
  <c r="AB19" i="11"/>
  <c r="AC19" i="11"/>
  <c r="AD19" i="11"/>
  <c r="AE19" i="11"/>
  <c r="AF19" i="11"/>
  <c r="AG19" i="11"/>
  <c r="AH19" i="11"/>
  <c r="AI19" i="11"/>
  <c r="AJ19" i="11"/>
  <c r="AK19" i="11"/>
  <c r="AL19" i="11"/>
  <c r="D20" i="11"/>
  <c r="E20" i="11"/>
  <c r="F20" i="11"/>
  <c r="G20" i="11"/>
  <c r="H20" i="11"/>
  <c r="I20" i="11"/>
  <c r="J20" i="11"/>
  <c r="K20" i="11"/>
  <c r="L20" i="11"/>
  <c r="M20" i="11"/>
  <c r="N20" i="11"/>
  <c r="O20" i="11"/>
  <c r="P20" i="11"/>
  <c r="Q20" i="11"/>
  <c r="R20" i="11"/>
  <c r="S20" i="11"/>
  <c r="T20" i="11"/>
  <c r="U20" i="11"/>
  <c r="V20" i="11"/>
  <c r="W20" i="11"/>
  <c r="X20" i="11"/>
  <c r="Y20" i="11"/>
  <c r="Z20" i="11"/>
  <c r="AA20" i="11"/>
  <c r="AB20" i="11"/>
  <c r="AC20" i="11"/>
  <c r="AD20" i="11"/>
  <c r="AE20" i="11"/>
  <c r="AF20" i="11"/>
  <c r="AG20" i="11"/>
  <c r="AH20" i="11"/>
  <c r="AI20" i="11"/>
  <c r="AJ20" i="11"/>
  <c r="AK20" i="11"/>
  <c r="AL20" i="11"/>
  <c r="D21" i="11"/>
  <c r="E21" i="11"/>
  <c r="F21" i="11"/>
  <c r="G21" i="11"/>
  <c r="H21" i="11"/>
  <c r="I21" i="11"/>
  <c r="J21" i="11"/>
  <c r="K21" i="11"/>
  <c r="L21" i="11"/>
  <c r="M21" i="11"/>
  <c r="N21" i="11"/>
  <c r="O21" i="11"/>
  <c r="P21" i="11"/>
  <c r="Q21" i="11"/>
  <c r="R21" i="11"/>
  <c r="S21" i="11"/>
  <c r="T21" i="11"/>
  <c r="U21" i="11"/>
  <c r="V21" i="11"/>
  <c r="W21" i="11"/>
  <c r="X21" i="11"/>
  <c r="Y21" i="11"/>
  <c r="Z21" i="11"/>
  <c r="AA21" i="11"/>
  <c r="AB21" i="11"/>
  <c r="AC21" i="11"/>
  <c r="AD21" i="11"/>
  <c r="AE21" i="11"/>
  <c r="AF21" i="11"/>
  <c r="AG21" i="11"/>
  <c r="AH21" i="11"/>
  <c r="AI21" i="11"/>
  <c r="AJ21" i="11"/>
  <c r="AK21" i="11"/>
  <c r="AL21" i="11"/>
  <c r="D22" i="11"/>
  <c r="E22" i="11"/>
  <c r="F22" i="11"/>
  <c r="G22" i="11"/>
  <c r="H22" i="11"/>
  <c r="I22" i="11"/>
  <c r="J22" i="11"/>
  <c r="K22" i="11"/>
  <c r="L22" i="11"/>
  <c r="M22" i="11"/>
  <c r="N22" i="11"/>
  <c r="O22" i="11"/>
  <c r="P22" i="11"/>
  <c r="Q22" i="11"/>
  <c r="R22" i="11"/>
  <c r="S22" i="11"/>
  <c r="T22" i="11"/>
  <c r="U22" i="11"/>
  <c r="V22" i="11"/>
  <c r="W22" i="11"/>
  <c r="X22" i="11"/>
  <c r="Y22" i="11"/>
  <c r="Z22" i="11"/>
  <c r="AA22" i="11"/>
  <c r="AB22" i="11"/>
  <c r="AC22" i="11"/>
  <c r="AD22" i="11"/>
  <c r="AE22" i="11"/>
  <c r="AF22" i="11"/>
  <c r="AG22" i="11"/>
  <c r="AH22" i="11"/>
  <c r="AI22" i="11"/>
  <c r="AJ22" i="11"/>
  <c r="AK22" i="11"/>
  <c r="AL22" i="11"/>
  <c r="D23" i="11"/>
  <c r="E23" i="11"/>
  <c r="F23" i="11"/>
  <c r="G23" i="11"/>
  <c r="H23" i="11"/>
  <c r="I23" i="11"/>
  <c r="J23" i="11"/>
  <c r="K23" i="11"/>
  <c r="L23" i="11"/>
  <c r="M23" i="11"/>
  <c r="N23" i="11"/>
  <c r="O23" i="11"/>
  <c r="P23" i="11"/>
  <c r="Q23" i="11"/>
  <c r="R23" i="11"/>
  <c r="S23" i="11"/>
  <c r="T23" i="11"/>
  <c r="U23" i="11"/>
  <c r="V23" i="11"/>
  <c r="W23" i="11"/>
  <c r="X23" i="11"/>
  <c r="Y23" i="11"/>
  <c r="Z23" i="11"/>
  <c r="AA23" i="11"/>
  <c r="AB23" i="11"/>
  <c r="AC23" i="11"/>
  <c r="AD23" i="11"/>
  <c r="AE23" i="11"/>
  <c r="AF23" i="11"/>
  <c r="AG23" i="11"/>
  <c r="AH23" i="11"/>
  <c r="AI23" i="11"/>
  <c r="AJ23" i="11"/>
  <c r="AK23" i="11"/>
  <c r="AL23" i="11"/>
  <c r="D24" i="11"/>
  <c r="E24" i="11"/>
  <c r="F24" i="11"/>
  <c r="G24" i="11"/>
  <c r="H24" i="11"/>
  <c r="I24" i="11"/>
  <c r="J24" i="11"/>
  <c r="K24" i="11"/>
  <c r="L24" i="11"/>
  <c r="M24" i="11"/>
  <c r="N24" i="11"/>
  <c r="O24" i="11"/>
  <c r="P24" i="11"/>
  <c r="Q24" i="11"/>
  <c r="R24" i="11"/>
  <c r="S24" i="11"/>
  <c r="T24" i="11"/>
  <c r="U24" i="11"/>
  <c r="V24" i="11"/>
  <c r="W24" i="11"/>
  <c r="X24" i="11"/>
  <c r="Y24" i="11"/>
  <c r="Z24" i="11"/>
  <c r="AA24" i="11"/>
  <c r="AB24" i="11"/>
  <c r="AC24" i="11"/>
  <c r="AD24" i="11"/>
  <c r="AE24" i="11"/>
  <c r="AF24" i="11"/>
  <c r="AG24" i="11"/>
  <c r="AH24" i="11"/>
  <c r="AI24" i="11"/>
  <c r="AJ24" i="11"/>
  <c r="AK24" i="11"/>
  <c r="AL24" i="11"/>
  <c r="D25" i="11"/>
  <c r="E25" i="11"/>
  <c r="F25" i="11"/>
  <c r="G25" i="11"/>
  <c r="H25" i="11"/>
  <c r="I25" i="11"/>
  <c r="J25" i="11"/>
  <c r="K25" i="11"/>
  <c r="L25" i="11"/>
  <c r="M25" i="11"/>
  <c r="N25" i="11"/>
  <c r="O25" i="11"/>
  <c r="P25" i="11"/>
  <c r="Q25" i="11"/>
  <c r="R25" i="11"/>
  <c r="S25" i="11"/>
  <c r="T25" i="11"/>
  <c r="U25" i="11"/>
  <c r="V25" i="11"/>
  <c r="W25" i="11"/>
  <c r="X25" i="11"/>
  <c r="Y25" i="11"/>
  <c r="Z25" i="11"/>
  <c r="AA25" i="11"/>
  <c r="AB25" i="11"/>
  <c r="AC25" i="11"/>
  <c r="AD25" i="11"/>
  <c r="AE25" i="11"/>
  <c r="AF25" i="11"/>
  <c r="AG25" i="11"/>
  <c r="AH25" i="11"/>
  <c r="AI25" i="11"/>
  <c r="AJ25" i="11"/>
  <c r="AK25" i="11"/>
  <c r="AL25" i="11"/>
  <c r="D26" i="11"/>
  <c r="E26" i="11"/>
  <c r="F26" i="11"/>
  <c r="G26" i="11"/>
  <c r="H26" i="11"/>
  <c r="I26" i="11"/>
  <c r="J26" i="11"/>
  <c r="K26" i="11"/>
  <c r="L26" i="11"/>
  <c r="M26" i="11"/>
  <c r="N26" i="11"/>
  <c r="O26" i="11"/>
  <c r="P26" i="11"/>
  <c r="Q26" i="11"/>
  <c r="R26" i="11"/>
  <c r="S26" i="11"/>
  <c r="T26" i="11"/>
  <c r="U26" i="11"/>
  <c r="V26" i="11"/>
  <c r="W26" i="11"/>
  <c r="X26" i="11"/>
  <c r="Y26" i="11"/>
  <c r="Z26" i="11"/>
  <c r="AA26" i="11"/>
  <c r="AB26" i="11"/>
  <c r="AC26" i="11"/>
  <c r="AD26" i="11"/>
  <c r="AE26" i="11"/>
  <c r="AF26" i="11"/>
  <c r="AG26" i="11"/>
  <c r="AH26" i="11"/>
  <c r="AI26" i="11"/>
  <c r="AJ26" i="11"/>
  <c r="AK26" i="11"/>
  <c r="AL26" i="11"/>
  <c r="D27" i="11"/>
  <c r="E27" i="11"/>
  <c r="F27" i="11"/>
  <c r="G27" i="11"/>
  <c r="H27" i="11"/>
  <c r="I27" i="11"/>
  <c r="J27" i="11"/>
  <c r="K27" i="11"/>
  <c r="L27" i="11"/>
  <c r="M27" i="11"/>
  <c r="N27" i="11"/>
  <c r="O27" i="11"/>
  <c r="P27" i="11"/>
  <c r="Q27" i="11"/>
  <c r="R27" i="11"/>
  <c r="S27" i="11"/>
  <c r="T27" i="11"/>
  <c r="U27" i="11"/>
  <c r="V27" i="11"/>
  <c r="W27" i="11"/>
  <c r="X27" i="11"/>
  <c r="Y27" i="11"/>
  <c r="Z27" i="11"/>
  <c r="AA27" i="11"/>
  <c r="AB27" i="11"/>
  <c r="AC27" i="11"/>
  <c r="AD27" i="11"/>
  <c r="AE27" i="11"/>
  <c r="AF27" i="11"/>
  <c r="AG27" i="11"/>
  <c r="AH27" i="11"/>
  <c r="AI27" i="11"/>
  <c r="AJ27" i="11"/>
  <c r="AK27" i="11"/>
  <c r="AL27" i="11"/>
  <c r="D28" i="11"/>
  <c r="E28" i="11"/>
  <c r="F28" i="11"/>
  <c r="G28" i="11"/>
  <c r="H28" i="11"/>
  <c r="I28" i="11"/>
  <c r="J28" i="11"/>
  <c r="K28" i="11"/>
  <c r="L28" i="11"/>
  <c r="M28" i="11"/>
  <c r="N28" i="11"/>
  <c r="O28" i="11"/>
  <c r="P28" i="11"/>
  <c r="Q28" i="11"/>
  <c r="R28" i="11"/>
  <c r="S28" i="11"/>
  <c r="T28" i="11"/>
  <c r="U28" i="11"/>
  <c r="V28" i="11"/>
  <c r="W28" i="11"/>
  <c r="X28" i="11"/>
  <c r="Y28" i="11"/>
  <c r="Z28" i="11"/>
  <c r="AA28" i="11"/>
  <c r="AB28" i="11"/>
  <c r="AC28" i="11"/>
  <c r="AD28" i="11"/>
  <c r="AE28" i="11"/>
  <c r="AF28" i="11"/>
  <c r="AG28" i="11"/>
  <c r="AH28" i="11"/>
  <c r="AI28" i="11"/>
  <c r="AJ28" i="11"/>
  <c r="AK28" i="11"/>
  <c r="AL28" i="11"/>
  <c r="D29" i="11"/>
  <c r="E29" i="11"/>
  <c r="F29" i="11"/>
  <c r="G29" i="11"/>
  <c r="H29" i="11"/>
  <c r="I29" i="11"/>
  <c r="J29" i="11"/>
  <c r="K29" i="11"/>
  <c r="L29" i="11"/>
  <c r="M29" i="11"/>
  <c r="N29" i="11"/>
  <c r="O29" i="11"/>
  <c r="P29" i="11"/>
  <c r="Q29" i="11"/>
  <c r="R29" i="11"/>
  <c r="S29" i="11"/>
  <c r="T29" i="11"/>
  <c r="U29" i="11"/>
  <c r="V29" i="11"/>
  <c r="W29" i="11"/>
  <c r="X29" i="11"/>
  <c r="Y29" i="11"/>
  <c r="Z29" i="11"/>
  <c r="AA29" i="11"/>
  <c r="AB29" i="11"/>
  <c r="AC29" i="11"/>
  <c r="AD29" i="11"/>
  <c r="AE29" i="11"/>
  <c r="AF29" i="11"/>
  <c r="AG29" i="11"/>
  <c r="AH29" i="11"/>
  <c r="AI29" i="11"/>
  <c r="AJ29" i="11"/>
  <c r="AK29" i="11"/>
  <c r="AL29" i="11"/>
  <c r="D30" i="11"/>
  <c r="E30" i="11"/>
  <c r="F30" i="11"/>
  <c r="G30" i="11"/>
  <c r="H30" i="11"/>
  <c r="I30" i="11"/>
  <c r="J30" i="11"/>
  <c r="K30" i="11"/>
  <c r="L30" i="11"/>
  <c r="M30" i="11"/>
  <c r="N30" i="11"/>
  <c r="O30" i="11"/>
  <c r="P30" i="11"/>
  <c r="Q30" i="11"/>
  <c r="R30" i="11"/>
  <c r="S30" i="11"/>
  <c r="T30" i="11"/>
  <c r="U30" i="11"/>
  <c r="V30" i="11"/>
  <c r="W30" i="11"/>
  <c r="X30" i="11"/>
  <c r="Y30" i="11"/>
  <c r="Z30" i="11"/>
  <c r="AA30" i="11"/>
  <c r="AB30" i="11"/>
  <c r="AC30" i="11"/>
  <c r="AD30" i="11"/>
  <c r="AE30" i="11"/>
  <c r="AF30" i="11"/>
  <c r="AG30" i="11"/>
  <c r="AH30" i="11"/>
  <c r="AI30" i="11"/>
  <c r="AJ30" i="11"/>
  <c r="AK30" i="11"/>
  <c r="AL30" i="11"/>
  <c r="D31" i="11"/>
  <c r="E31" i="11"/>
  <c r="F31" i="11"/>
  <c r="G31" i="11"/>
  <c r="H31" i="11"/>
  <c r="I31" i="11"/>
  <c r="J31" i="11"/>
  <c r="K31" i="11"/>
  <c r="L31" i="11"/>
  <c r="M31" i="11"/>
  <c r="N31" i="11"/>
  <c r="O31" i="11"/>
  <c r="P31" i="11"/>
  <c r="Q31" i="11"/>
  <c r="R31" i="11"/>
  <c r="S31" i="11"/>
  <c r="T31" i="11"/>
  <c r="U31" i="11"/>
  <c r="V31" i="11"/>
  <c r="W31" i="11"/>
  <c r="X31" i="11"/>
  <c r="Y31" i="11"/>
  <c r="Z31" i="11"/>
  <c r="AA31" i="11"/>
  <c r="AB31" i="11"/>
  <c r="AC31" i="11"/>
  <c r="AD31" i="11"/>
  <c r="AE31" i="11"/>
  <c r="AF31" i="11"/>
  <c r="AG31" i="11"/>
  <c r="AH31" i="11"/>
  <c r="AI31" i="11"/>
  <c r="AJ31" i="11"/>
  <c r="AK31" i="11"/>
  <c r="AL31" i="11"/>
  <c r="D33" i="11"/>
  <c r="E33" i="11"/>
  <c r="F33" i="11"/>
  <c r="G33" i="11"/>
  <c r="H33" i="11"/>
  <c r="I33" i="11"/>
  <c r="J33" i="11"/>
  <c r="K33" i="11"/>
  <c r="L33" i="11"/>
  <c r="M33" i="11"/>
  <c r="N33" i="11"/>
  <c r="O33" i="11"/>
  <c r="P33" i="11"/>
  <c r="Q33" i="11"/>
  <c r="R33" i="11"/>
  <c r="S33" i="11"/>
  <c r="T33" i="11"/>
  <c r="U33" i="11"/>
  <c r="V33" i="11"/>
  <c r="W33" i="11"/>
  <c r="X33" i="11"/>
  <c r="Y33" i="11"/>
  <c r="Z33" i="11"/>
  <c r="AA33" i="11"/>
  <c r="AB33" i="11"/>
  <c r="AC33" i="11"/>
  <c r="AD33" i="11"/>
  <c r="AE33" i="11"/>
  <c r="AF33" i="11"/>
  <c r="AG33" i="11"/>
  <c r="AH33" i="11"/>
  <c r="AI33" i="11"/>
  <c r="AJ33" i="11"/>
  <c r="AK33" i="11"/>
  <c r="AL33" i="11"/>
  <c r="D34" i="11"/>
  <c r="E34" i="11"/>
  <c r="F34" i="11"/>
  <c r="G34" i="11"/>
  <c r="H34" i="11"/>
  <c r="I34" i="11"/>
  <c r="J34" i="11"/>
  <c r="K34" i="11"/>
  <c r="L34" i="11"/>
  <c r="M34" i="11"/>
  <c r="N34" i="11"/>
  <c r="O34" i="11"/>
  <c r="P34" i="11"/>
  <c r="Q34" i="11"/>
  <c r="R34" i="11"/>
  <c r="S34" i="11"/>
  <c r="T34" i="11"/>
  <c r="U34" i="11"/>
  <c r="V34" i="11"/>
  <c r="W34" i="11"/>
  <c r="X34" i="11"/>
  <c r="Y34" i="11"/>
  <c r="Z34" i="11"/>
  <c r="AA34" i="11"/>
  <c r="AB34" i="11"/>
  <c r="AC34" i="11"/>
  <c r="AD34" i="11"/>
  <c r="AE34" i="11"/>
  <c r="AF34" i="11"/>
  <c r="AG34" i="11"/>
  <c r="AH34" i="11"/>
  <c r="AI34" i="11"/>
  <c r="AJ34" i="11"/>
  <c r="AK34" i="11"/>
  <c r="AL34" i="11"/>
  <c r="D35" i="11"/>
  <c r="E35" i="11"/>
  <c r="F35" i="11"/>
  <c r="G35" i="11"/>
  <c r="H35" i="11"/>
  <c r="I35" i="11"/>
  <c r="J35" i="11"/>
  <c r="K35" i="11"/>
  <c r="L35" i="11"/>
  <c r="M35" i="11"/>
  <c r="N35" i="11"/>
  <c r="O35" i="11"/>
  <c r="P35" i="11"/>
  <c r="Q35" i="11"/>
  <c r="R35" i="11"/>
  <c r="S35" i="11"/>
  <c r="T35" i="11"/>
  <c r="U35" i="11"/>
  <c r="V35" i="11"/>
  <c r="W35" i="11"/>
  <c r="X35" i="11"/>
  <c r="Y35" i="11"/>
  <c r="Z35" i="11"/>
  <c r="AA35" i="11"/>
  <c r="AB35" i="11"/>
  <c r="AC35" i="11"/>
  <c r="AD35" i="11"/>
  <c r="AE35" i="11"/>
  <c r="AF35" i="11"/>
  <c r="AG35" i="11"/>
  <c r="AH35" i="11"/>
  <c r="AI35" i="11"/>
  <c r="AJ35" i="11"/>
  <c r="AK35" i="11"/>
  <c r="AL35" i="11"/>
  <c r="D36" i="11"/>
  <c r="E36" i="11"/>
  <c r="F36" i="11"/>
  <c r="G36" i="11"/>
  <c r="H36" i="11"/>
  <c r="I36" i="11"/>
  <c r="J36" i="11"/>
  <c r="K36" i="11"/>
  <c r="L36" i="11"/>
  <c r="M36" i="11"/>
  <c r="N36" i="11"/>
  <c r="O36" i="11"/>
  <c r="P36" i="11"/>
  <c r="Q36" i="11"/>
  <c r="R36" i="11"/>
  <c r="S36" i="11"/>
  <c r="T36" i="11"/>
  <c r="U36" i="11"/>
  <c r="V36" i="11"/>
  <c r="W36" i="11"/>
  <c r="X36" i="11"/>
  <c r="Y36" i="11"/>
  <c r="Z36" i="11"/>
  <c r="AA36" i="11"/>
  <c r="AB36" i="11"/>
  <c r="AC36" i="11"/>
  <c r="AD36" i="11"/>
  <c r="AE36" i="11"/>
  <c r="AF36" i="11"/>
  <c r="AG36" i="11"/>
  <c r="AH36" i="11"/>
  <c r="AI36" i="11"/>
  <c r="AJ36" i="11"/>
  <c r="AK36" i="11"/>
  <c r="AL36" i="11"/>
  <c r="D37" i="11"/>
  <c r="E37" i="11"/>
  <c r="F37" i="11"/>
  <c r="G37" i="11"/>
  <c r="H37" i="11"/>
  <c r="I37" i="11"/>
  <c r="J37" i="11"/>
  <c r="K37" i="11"/>
  <c r="L37" i="11"/>
  <c r="M37" i="11"/>
  <c r="N37" i="11"/>
  <c r="P37" i="11"/>
  <c r="Q37" i="11"/>
  <c r="R37" i="11"/>
  <c r="S37" i="11"/>
  <c r="T37" i="11"/>
  <c r="U37" i="11"/>
  <c r="V37" i="11"/>
  <c r="W37" i="11"/>
  <c r="X37" i="11"/>
  <c r="Y37" i="11"/>
  <c r="Z37" i="11"/>
  <c r="AA37" i="11"/>
  <c r="AB37" i="11"/>
  <c r="AC37" i="11"/>
  <c r="AD37" i="11"/>
  <c r="AE37" i="11"/>
  <c r="AF37" i="11"/>
  <c r="AG37" i="11"/>
  <c r="AH37" i="11"/>
  <c r="AI37" i="11"/>
  <c r="AJ37" i="11"/>
  <c r="AK37" i="11"/>
  <c r="AL37" i="11"/>
  <c r="D38" i="11"/>
  <c r="E38" i="11"/>
  <c r="F38" i="11"/>
  <c r="G38" i="11"/>
  <c r="H38" i="11"/>
  <c r="I38" i="11"/>
  <c r="J38" i="11"/>
  <c r="K38" i="11"/>
  <c r="L38" i="11"/>
  <c r="M38" i="11"/>
  <c r="N38" i="11"/>
  <c r="O38" i="11"/>
  <c r="P38" i="11"/>
  <c r="Q38" i="11"/>
  <c r="R38" i="11"/>
  <c r="S38" i="11"/>
  <c r="T38" i="11"/>
  <c r="U38" i="11"/>
  <c r="V38" i="11"/>
  <c r="W38" i="11"/>
  <c r="X38" i="11"/>
  <c r="Y38" i="11"/>
  <c r="Z38" i="11"/>
  <c r="AA38" i="11"/>
  <c r="AB38" i="11"/>
  <c r="AC38" i="11"/>
  <c r="AD38" i="11"/>
  <c r="AE38" i="11"/>
  <c r="AF38" i="11"/>
  <c r="AG38" i="11"/>
  <c r="AH38" i="11"/>
  <c r="AI38" i="11"/>
  <c r="AJ38" i="11"/>
  <c r="AK38" i="11"/>
  <c r="AL38" i="11"/>
  <c r="D39" i="11"/>
  <c r="E39" i="11"/>
  <c r="F39" i="11"/>
  <c r="G39" i="11"/>
  <c r="H39" i="11"/>
  <c r="I39" i="11"/>
  <c r="J39" i="11"/>
  <c r="K39" i="11"/>
  <c r="L39" i="11"/>
  <c r="M39" i="11"/>
  <c r="N39" i="11"/>
  <c r="O39" i="11"/>
  <c r="P39" i="11"/>
  <c r="Q39" i="11"/>
  <c r="R39" i="11"/>
  <c r="S39" i="11"/>
  <c r="T39" i="11"/>
  <c r="U39" i="11"/>
  <c r="V39" i="11"/>
  <c r="W39" i="11"/>
  <c r="X39" i="11"/>
  <c r="Y39" i="11"/>
  <c r="Z39" i="11"/>
  <c r="AA39" i="11"/>
  <c r="AB39" i="11"/>
  <c r="AC39" i="11"/>
  <c r="AD39" i="11"/>
  <c r="AE39" i="11"/>
  <c r="AF39" i="11"/>
  <c r="AG39" i="11"/>
  <c r="AH39" i="11"/>
  <c r="AI39" i="11"/>
  <c r="AJ39" i="11"/>
  <c r="AK39" i="11"/>
  <c r="AL39" i="11"/>
  <c r="D40" i="11"/>
  <c r="E40" i="11"/>
  <c r="F40" i="11"/>
  <c r="G40" i="11"/>
  <c r="H40" i="11"/>
  <c r="I40" i="11"/>
  <c r="J40" i="11"/>
  <c r="K40" i="11"/>
  <c r="L40" i="11"/>
  <c r="M40" i="11"/>
  <c r="N40" i="11"/>
  <c r="O40" i="11"/>
  <c r="P40" i="11"/>
  <c r="Q40" i="11"/>
  <c r="R40" i="11"/>
  <c r="S40" i="11"/>
  <c r="T40" i="11"/>
  <c r="U40" i="11"/>
  <c r="V40" i="11"/>
  <c r="W40" i="11"/>
  <c r="X40" i="11"/>
  <c r="Y40" i="11"/>
  <c r="Z40" i="11"/>
  <c r="AA40" i="11"/>
  <c r="AB40" i="11"/>
  <c r="AC40" i="11"/>
  <c r="AD40" i="11"/>
  <c r="AE40" i="11"/>
  <c r="AF40" i="11"/>
  <c r="AG40" i="11"/>
  <c r="AH40" i="11"/>
  <c r="AI40" i="11"/>
  <c r="AJ40" i="11"/>
  <c r="AK40" i="11"/>
  <c r="AL40" i="11"/>
  <c r="D41" i="11"/>
  <c r="E41" i="11"/>
  <c r="F41" i="11"/>
  <c r="G41" i="11"/>
  <c r="H41" i="11"/>
  <c r="I41" i="11"/>
  <c r="J41" i="11"/>
  <c r="K41" i="11"/>
  <c r="L41" i="11"/>
  <c r="M41" i="11"/>
  <c r="N41" i="11"/>
  <c r="O41" i="11"/>
  <c r="P41" i="11"/>
  <c r="Q41" i="11"/>
  <c r="R41" i="11"/>
  <c r="S41" i="11"/>
  <c r="T41" i="11"/>
  <c r="U41" i="11"/>
  <c r="V41" i="11"/>
  <c r="W41" i="11"/>
  <c r="X41" i="11"/>
  <c r="Y41" i="11"/>
  <c r="Z41" i="11"/>
  <c r="AA41" i="11"/>
  <c r="AB41" i="11"/>
  <c r="AC41" i="11"/>
  <c r="AD41" i="11"/>
  <c r="AE41" i="11"/>
  <c r="AF41" i="11"/>
  <c r="AG41" i="11"/>
  <c r="AH41" i="11"/>
  <c r="AI41" i="11"/>
  <c r="AJ41" i="11"/>
  <c r="AK41" i="11"/>
  <c r="AL41" i="11"/>
  <c r="D42" i="11"/>
  <c r="E42" i="11"/>
  <c r="F42" i="11"/>
  <c r="G42" i="11"/>
  <c r="H42" i="11"/>
  <c r="I42" i="11"/>
  <c r="J42" i="11"/>
  <c r="K42" i="11"/>
  <c r="L42" i="11"/>
  <c r="M42" i="11"/>
  <c r="N42" i="11"/>
  <c r="O42" i="11"/>
  <c r="P42" i="11"/>
  <c r="Q42" i="11"/>
  <c r="R42" i="11"/>
  <c r="S42" i="11"/>
  <c r="T42" i="11"/>
  <c r="U42" i="11"/>
  <c r="V42" i="11"/>
  <c r="W42" i="11"/>
  <c r="X42" i="11"/>
  <c r="Y42" i="11"/>
  <c r="Z42" i="11"/>
  <c r="AA42" i="11"/>
  <c r="AB42" i="11"/>
  <c r="AC42" i="11"/>
  <c r="AD42" i="11"/>
  <c r="AE42" i="11"/>
  <c r="AF42" i="11"/>
  <c r="AG42" i="11"/>
  <c r="AH42" i="11"/>
  <c r="AI42" i="11"/>
  <c r="AJ42" i="11"/>
  <c r="AK42" i="11"/>
  <c r="AL42" i="11"/>
  <c r="D43" i="11"/>
  <c r="E43" i="11"/>
  <c r="F43" i="11"/>
  <c r="G43" i="11"/>
  <c r="H43" i="11"/>
  <c r="I43" i="11"/>
  <c r="J43" i="11"/>
  <c r="K43" i="11"/>
  <c r="L43" i="11"/>
  <c r="M43" i="11"/>
  <c r="N43" i="11"/>
  <c r="O43" i="11"/>
  <c r="P43" i="11"/>
  <c r="Q43" i="11"/>
  <c r="R43" i="11"/>
  <c r="S43" i="11"/>
  <c r="T43" i="11"/>
  <c r="U43" i="11"/>
  <c r="V43" i="11"/>
  <c r="W43" i="11"/>
  <c r="X43" i="11"/>
  <c r="Y43" i="11"/>
  <c r="Z43" i="11"/>
  <c r="AA43" i="11"/>
  <c r="AB43" i="11"/>
  <c r="AC43" i="11"/>
  <c r="AD43" i="11"/>
  <c r="AE43" i="11"/>
  <c r="AF43" i="11"/>
  <c r="AG43" i="11"/>
  <c r="AH43" i="11"/>
  <c r="AI43" i="11"/>
  <c r="AJ43" i="11"/>
  <c r="AK43" i="11"/>
  <c r="AL43" i="11"/>
  <c r="D44" i="11"/>
  <c r="E44" i="11"/>
  <c r="F44" i="11"/>
  <c r="G44" i="11"/>
  <c r="H44" i="11"/>
  <c r="I44" i="11"/>
  <c r="J44" i="11"/>
  <c r="K44" i="11"/>
  <c r="L44" i="11"/>
  <c r="M44" i="11"/>
  <c r="N44" i="11"/>
  <c r="O44" i="11"/>
  <c r="P44" i="11"/>
  <c r="Q44" i="11"/>
  <c r="R44" i="11"/>
  <c r="S44" i="11"/>
  <c r="T44" i="11"/>
  <c r="U44" i="11"/>
  <c r="V44" i="11"/>
  <c r="W44" i="11"/>
  <c r="X44" i="11"/>
  <c r="Y44" i="11"/>
  <c r="Z44" i="11"/>
  <c r="AA44" i="11"/>
  <c r="AB44" i="11"/>
  <c r="AC44" i="11"/>
  <c r="AD44" i="11"/>
  <c r="AE44" i="11"/>
  <c r="AF44" i="11"/>
  <c r="AG44" i="11"/>
  <c r="AH44" i="11"/>
  <c r="AI44" i="11"/>
  <c r="AJ44" i="11"/>
  <c r="AK44" i="11"/>
  <c r="AL44" i="11"/>
  <c r="D45" i="11"/>
  <c r="E45" i="11"/>
  <c r="F45" i="11"/>
  <c r="G45" i="11"/>
  <c r="H45" i="11"/>
  <c r="I45" i="11"/>
  <c r="J45" i="11"/>
  <c r="K45" i="11"/>
  <c r="L45" i="11"/>
  <c r="M45" i="11"/>
  <c r="N45" i="11"/>
  <c r="O45" i="11"/>
  <c r="P45" i="11"/>
  <c r="Q45" i="11"/>
  <c r="R45" i="11"/>
  <c r="S45" i="11"/>
  <c r="T45" i="11"/>
  <c r="U45" i="11"/>
  <c r="V45" i="11"/>
  <c r="W45" i="11"/>
  <c r="X45" i="11"/>
  <c r="Y45" i="11"/>
  <c r="Z45" i="11"/>
  <c r="AA45" i="11"/>
  <c r="AB45" i="11"/>
  <c r="AC45" i="11"/>
  <c r="AD45" i="11"/>
  <c r="AE45" i="11"/>
  <c r="AF45" i="11"/>
  <c r="AG45" i="11"/>
  <c r="AH45" i="11"/>
  <c r="AI45" i="11"/>
  <c r="AJ45" i="11"/>
  <c r="AK45" i="11"/>
  <c r="AL45" i="11"/>
  <c r="D46" i="11"/>
  <c r="E46" i="11"/>
  <c r="F46" i="11"/>
  <c r="G46" i="11"/>
  <c r="H46" i="11"/>
  <c r="I46" i="11"/>
  <c r="J46" i="11"/>
  <c r="K46" i="11"/>
  <c r="L46" i="11"/>
  <c r="M46" i="11"/>
  <c r="N46" i="11"/>
  <c r="O46" i="11"/>
  <c r="P46" i="11"/>
  <c r="Q46" i="11"/>
  <c r="R46" i="11"/>
  <c r="S46" i="11"/>
  <c r="T46" i="11"/>
  <c r="U46" i="11"/>
  <c r="V46" i="11"/>
  <c r="W46" i="11"/>
  <c r="X46" i="11"/>
  <c r="Y46" i="11"/>
  <c r="Z46" i="11"/>
  <c r="AA46" i="11"/>
  <c r="AB46" i="11"/>
  <c r="AC46" i="11"/>
  <c r="AD46" i="11"/>
  <c r="AE46" i="11"/>
  <c r="AF46" i="11"/>
  <c r="AG46" i="11"/>
  <c r="AH46" i="11"/>
  <c r="AI46" i="11"/>
  <c r="AJ46" i="11"/>
  <c r="AK46" i="11"/>
  <c r="AL46" i="11"/>
  <c r="D47" i="11"/>
  <c r="E47" i="11"/>
  <c r="F47" i="11"/>
  <c r="G47" i="11"/>
  <c r="H47" i="11"/>
  <c r="I47" i="11"/>
  <c r="J47" i="11"/>
  <c r="K47" i="11"/>
  <c r="L47" i="11"/>
  <c r="M47" i="11"/>
  <c r="N47" i="11"/>
  <c r="O47" i="11"/>
  <c r="P47" i="11"/>
  <c r="Q47" i="11"/>
  <c r="R47" i="11"/>
  <c r="S47" i="11"/>
  <c r="T47" i="11"/>
  <c r="U47" i="11"/>
  <c r="V47" i="11"/>
  <c r="W47" i="11"/>
  <c r="X47" i="11"/>
  <c r="Y47" i="11"/>
  <c r="Z47" i="11"/>
  <c r="AA47" i="11"/>
  <c r="AB47" i="11"/>
  <c r="AC47" i="11"/>
  <c r="AD47" i="11"/>
  <c r="AE47" i="11"/>
  <c r="AF47" i="11"/>
  <c r="AG47" i="11"/>
  <c r="AH47" i="11"/>
  <c r="AI47" i="11"/>
  <c r="AJ47" i="11"/>
  <c r="AK47" i="11"/>
  <c r="AL47" i="11"/>
  <c r="D48" i="11"/>
  <c r="E48" i="11"/>
  <c r="F48" i="11"/>
  <c r="G48" i="11"/>
  <c r="H48" i="11"/>
  <c r="I48" i="11"/>
  <c r="J48" i="11"/>
  <c r="K48" i="11"/>
  <c r="L48" i="11"/>
  <c r="M48" i="11"/>
  <c r="N48" i="11"/>
  <c r="O48" i="11"/>
  <c r="P48" i="11"/>
  <c r="Q48" i="11"/>
  <c r="R48" i="11"/>
  <c r="S48" i="11"/>
  <c r="T48" i="11"/>
  <c r="U48" i="11"/>
  <c r="V48" i="11"/>
  <c r="W48" i="11"/>
  <c r="X48" i="11"/>
  <c r="Y48" i="11"/>
  <c r="Z48" i="11"/>
  <c r="AA48" i="11"/>
  <c r="AB48" i="11"/>
  <c r="AC48" i="11"/>
  <c r="AD48" i="11"/>
  <c r="AE48" i="11"/>
  <c r="AF48" i="11"/>
  <c r="AG48" i="11"/>
  <c r="AH48" i="11"/>
  <c r="AI48" i="11"/>
  <c r="AJ48" i="11"/>
  <c r="AK48" i="11"/>
  <c r="AL48" i="11"/>
  <c r="D49" i="11"/>
  <c r="E49" i="11"/>
  <c r="F49" i="11"/>
  <c r="G49" i="11"/>
  <c r="H49" i="11"/>
  <c r="I49" i="11"/>
  <c r="J49" i="11"/>
  <c r="K49" i="11"/>
  <c r="L49" i="11"/>
  <c r="M49" i="11"/>
  <c r="N49" i="11"/>
  <c r="O49" i="11"/>
  <c r="P49" i="11"/>
  <c r="Q49" i="11"/>
  <c r="R49" i="11"/>
  <c r="S49" i="11"/>
  <c r="T49" i="11"/>
  <c r="U49" i="11"/>
  <c r="V49" i="11"/>
  <c r="W49" i="11"/>
  <c r="X49" i="11"/>
  <c r="Y49" i="11"/>
  <c r="Z49" i="11"/>
  <c r="AA49" i="11"/>
  <c r="AB49" i="11"/>
  <c r="AC49" i="11"/>
  <c r="AD49" i="11"/>
  <c r="AE49" i="11"/>
  <c r="AF49" i="11"/>
  <c r="AG49" i="11"/>
  <c r="AH49" i="11"/>
  <c r="AI49" i="11"/>
  <c r="AJ49" i="11"/>
  <c r="AK49" i="11"/>
  <c r="AL49" i="11"/>
  <c r="D50" i="11"/>
  <c r="E50" i="11"/>
  <c r="F50" i="11"/>
  <c r="G50" i="11"/>
  <c r="H50" i="11"/>
  <c r="I50" i="11"/>
  <c r="J50" i="11"/>
  <c r="K50" i="11"/>
  <c r="L50" i="11"/>
  <c r="M50" i="11"/>
  <c r="N50" i="11"/>
  <c r="O50" i="11"/>
  <c r="P50" i="11"/>
  <c r="Q50" i="11"/>
  <c r="R50" i="11"/>
  <c r="S50" i="11"/>
  <c r="T50" i="11"/>
  <c r="U50" i="11"/>
  <c r="V50" i="11"/>
  <c r="W50" i="11"/>
  <c r="X50" i="11"/>
  <c r="Y50" i="11"/>
  <c r="Z50" i="11"/>
  <c r="AA50" i="11"/>
  <c r="AB50" i="11"/>
  <c r="AC50" i="11"/>
  <c r="AD50" i="11"/>
  <c r="AE50" i="11"/>
  <c r="AF50" i="11"/>
  <c r="AG50" i="11"/>
  <c r="AH50" i="11"/>
  <c r="AI50" i="11"/>
  <c r="AJ50" i="11"/>
  <c r="AK50" i="11"/>
  <c r="AL50" i="11"/>
  <c r="D51" i="11"/>
  <c r="E51" i="11"/>
  <c r="F51" i="11"/>
  <c r="G51" i="11"/>
  <c r="H51" i="11"/>
  <c r="I51" i="11"/>
  <c r="J51" i="11"/>
  <c r="K51" i="11"/>
  <c r="L51" i="11"/>
  <c r="M51" i="11"/>
  <c r="N51" i="11"/>
  <c r="O51" i="11"/>
  <c r="P51" i="11"/>
  <c r="Q51" i="11"/>
  <c r="R51" i="11"/>
  <c r="S51" i="11"/>
  <c r="T51" i="11"/>
  <c r="U51" i="11"/>
  <c r="V51" i="11"/>
  <c r="W51" i="11"/>
  <c r="X51" i="11"/>
  <c r="Y51" i="11"/>
  <c r="Z51" i="11"/>
  <c r="AA51" i="11"/>
  <c r="AB51" i="11"/>
  <c r="AC51" i="11"/>
  <c r="AD51" i="11"/>
  <c r="AE51" i="11"/>
  <c r="AF51" i="11"/>
  <c r="AG51" i="11"/>
  <c r="AH51" i="11"/>
  <c r="AI51" i="11"/>
  <c r="AJ51" i="11"/>
  <c r="AK51" i="11"/>
  <c r="AL51" i="11"/>
  <c r="D52" i="11"/>
  <c r="E52" i="11"/>
  <c r="F52" i="11"/>
  <c r="G52" i="11"/>
  <c r="H52" i="11"/>
  <c r="I52" i="11"/>
  <c r="J52" i="11"/>
  <c r="K52" i="11"/>
  <c r="L52" i="11"/>
  <c r="M52" i="11"/>
  <c r="N52" i="11"/>
  <c r="O52" i="11"/>
  <c r="P52" i="11"/>
  <c r="Q52" i="11"/>
  <c r="R52" i="11"/>
  <c r="S52" i="11"/>
  <c r="T52" i="11"/>
  <c r="U52" i="11"/>
  <c r="V52" i="11"/>
  <c r="W52" i="11"/>
  <c r="X52" i="11"/>
  <c r="Y52" i="11"/>
  <c r="Z52" i="11"/>
  <c r="AA52" i="11"/>
  <c r="AB52" i="11"/>
  <c r="AC52" i="11"/>
  <c r="AD52" i="11"/>
  <c r="AE52" i="11"/>
  <c r="AF52" i="11"/>
  <c r="AG52" i="11"/>
  <c r="AH52" i="11"/>
  <c r="AI52" i="11"/>
  <c r="AJ52" i="11"/>
  <c r="AK52" i="11"/>
  <c r="AL52" i="11"/>
  <c r="D53" i="11"/>
  <c r="E53" i="11"/>
  <c r="F53" i="11"/>
  <c r="G53" i="11"/>
  <c r="H53" i="11"/>
  <c r="I53" i="11"/>
  <c r="J53" i="11"/>
  <c r="K53" i="11"/>
  <c r="L53" i="11"/>
  <c r="M53" i="11"/>
  <c r="N53" i="11"/>
  <c r="O53" i="11"/>
  <c r="P53" i="11"/>
  <c r="Q53" i="11"/>
  <c r="R53" i="11"/>
  <c r="S53" i="11"/>
  <c r="T53" i="11"/>
  <c r="U53" i="11"/>
  <c r="V53" i="11"/>
  <c r="W53" i="11"/>
  <c r="X53" i="11"/>
  <c r="Y53" i="11"/>
  <c r="Z53" i="11"/>
  <c r="AA53" i="11"/>
  <c r="AB53" i="11"/>
  <c r="AC53" i="11"/>
  <c r="AD53" i="11"/>
  <c r="AE53" i="11"/>
  <c r="AF53" i="11"/>
  <c r="AG53" i="11"/>
  <c r="AH53" i="11"/>
  <c r="AI53" i="11"/>
  <c r="AJ53" i="11"/>
  <c r="AK53" i="11"/>
  <c r="AL53" i="11"/>
  <c r="D54" i="11"/>
  <c r="E54" i="11"/>
  <c r="F54" i="11"/>
  <c r="G54" i="11"/>
  <c r="H54" i="11"/>
  <c r="I54" i="11"/>
  <c r="J54" i="11"/>
  <c r="K54" i="11"/>
  <c r="L54" i="11"/>
  <c r="M54" i="11"/>
  <c r="N54" i="11"/>
  <c r="O54" i="11"/>
  <c r="P54" i="11"/>
  <c r="Q54" i="11"/>
  <c r="R54" i="11"/>
  <c r="S54" i="11"/>
  <c r="T54" i="11"/>
  <c r="U54" i="11"/>
  <c r="V54" i="11"/>
  <c r="W54" i="11"/>
  <c r="X54" i="11"/>
  <c r="Y54" i="11"/>
  <c r="Z54" i="11"/>
  <c r="AA54" i="11"/>
  <c r="AB54" i="11"/>
  <c r="AC54" i="11"/>
  <c r="AD54" i="11"/>
  <c r="AE54" i="11"/>
  <c r="AF54" i="11"/>
  <c r="AG54" i="11"/>
  <c r="AH54" i="11"/>
  <c r="AI54" i="11"/>
  <c r="AJ54" i="11"/>
  <c r="AK54" i="11"/>
  <c r="AL54" i="11"/>
  <c r="D55" i="11"/>
  <c r="E55" i="11"/>
  <c r="F55" i="11"/>
  <c r="G55" i="11"/>
  <c r="H55" i="11"/>
  <c r="I55" i="11"/>
  <c r="J55" i="11"/>
  <c r="K55" i="11"/>
  <c r="L55" i="11"/>
  <c r="M55" i="11"/>
  <c r="N55" i="11"/>
  <c r="P55" i="11"/>
  <c r="Q55" i="11"/>
  <c r="R55" i="11"/>
  <c r="S55" i="11"/>
  <c r="T55" i="11"/>
  <c r="U55" i="11"/>
  <c r="V55" i="11"/>
  <c r="W55" i="11"/>
  <c r="X55" i="11"/>
  <c r="Y55" i="11"/>
  <c r="Z55" i="11"/>
  <c r="AA55" i="11"/>
  <c r="AB55" i="11"/>
  <c r="AC55" i="11"/>
  <c r="AD55" i="11"/>
  <c r="AE55" i="11"/>
  <c r="AF55" i="11"/>
  <c r="AG55" i="11"/>
  <c r="AH55" i="11"/>
  <c r="AI55" i="11"/>
  <c r="AJ55" i="11"/>
  <c r="AK55" i="11"/>
  <c r="AL55" i="11"/>
  <c r="D56" i="11"/>
  <c r="E56" i="11"/>
  <c r="F56" i="11"/>
  <c r="G56" i="11"/>
  <c r="H56" i="11"/>
  <c r="I56" i="11"/>
  <c r="J56" i="11"/>
  <c r="K56" i="11"/>
  <c r="L56" i="11"/>
  <c r="M56" i="11"/>
  <c r="N56" i="11"/>
  <c r="O56" i="11"/>
  <c r="P56" i="11"/>
  <c r="Q56" i="11"/>
  <c r="R56" i="11"/>
  <c r="S56" i="11"/>
  <c r="T56" i="11"/>
  <c r="U56" i="11"/>
  <c r="V56" i="11"/>
  <c r="W56" i="11"/>
  <c r="X56" i="11"/>
  <c r="Y56" i="11"/>
  <c r="Z56" i="11"/>
  <c r="AA56" i="11"/>
  <c r="AB56" i="11"/>
  <c r="AC56" i="11"/>
  <c r="AD56" i="11"/>
  <c r="AE56" i="11"/>
  <c r="AF56" i="11"/>
  <c r="AG56" i="11"/>
  <c r="AH56" i="11"/>
  <c r="AI56" i="11"/>
  <c r="AJ56" i="11"/>
  <c r="AK56" i="11"/>
  <c r="AL56" i="11"/>
  <c r="C56" i="11"/>
  <c r="C54" i="11"/>
  <c r="C53" i="11"/>
  <c r="C52" i="11"/>
  <c r="C51" i="11"/>
  <c r="C50" i="11"/>
  <c r="C49" i="11"/>
  <c r="C48" i="11"/>
  <c r="C45" i="11"/>
  <c r="C42" i="11"/>
  <c r="C41" i="11"/>
  <c r="C39" i="11"/>
  <c r="C38" i="11"/>
  <c r="C33" i="11"/>
  <c r="C30" i="11"/>
  <c r="C26" i="11"/>
  <c r="C25" i="11"/>
  <c r="C22" i="11"/>
  <c r="C21" i="11"/>
  <c r="C19" i="11"/>
  <c r="C18" i="11"/>
  <c r="C15" i="11"/>
  <c r="P143" i="48"/>
  <c r="D143" i="48"/>
  <c r="P142" i="48"/>
  <c r="D142" i="48"/>
  <c r="P141" i="48"/>
  <c r="D141" i="48"/>
  <c r="P140" i="48"/>
  <c r="D140" i="48"/>
  <c r="P139" i="48"/>
  <c r="D139" i="48"/>
  <c r="P138" i="48"/>
  <c r="D138" i="48"/>
  <c r="P137" i="48"/>
  <c r="D137" i="48"/>
  <c r="P136" i="48"/>
  <c r="D136" i="48"/>
  <c r="P135" i="48"/>
  <c r="D135" i="48"/>
  <c r="P134" i="48"/>
  <c r="D134" i="48"/>
  <c r="P133" i="48"/>
  <c r="D133" i="48"/>
  <c r="P132" i="48"/>
  <c r="D132" i="48"/>
  <c r="P131" i="48"/>
  <c r="D131" i="48"/>
  <c r="P130" i="48"/>
  <c r="D130" i="48"/>
  <c r="P129" i="48"/>
  <c r="D129" i="48"/>
  <c r="P128" i="48"/>
  <c r="D128" i="48"/>
  <c r="P127" i="48"/>
  <c r="D127" i="48"/>
  <c r="P126" i="48"/>
  <c r="D126" i="48"/>
  <c r="P125" i="48"/>
  <c r="D125" i="48"/>
  <c r="P124" i="48"/>
  <c r="D124" i="48"/>
  <c r="P123" i="48"/>
  <c r="D123" i="48"/>
  <c r="P122" i="48"/>
  <c r="D122" i="48"/>
  <c r="P121" i="48"/>
  <c r="D121" i="48"/>
  <c r="P120" i="48"/>
  <c r="D120" i="48"/>
  <c r="P119" i="48"/>
  <c r="D119" i="48"/>
  <c r="P118" i="48"/>
  <c r="D118" i="48"/>
  <c r="P117" i="48"/>
  <c r="D117" i="48"/>
  <c r="P116" i="48"/>
  <c r="D116" i="48"/>
  <c r="P115" i="48"/>
  <c r="D115" i="48"/>
  <c r="P114" i="48"/>
  <c r="D114" i="48"/>
  <c r="P113" i="48"/>
  <c r="D113" i="48"/>
  <c r="P112" i="48"/>
  <c r="D112" i="48"/>
  <c r="P111" i="48"/>
  <c r="D111" i="48"/>
  <c r="P110" i="48"/>
  <c r="D110" i="48"/>
  <c r="P109" i="48"/>
  <c r="D109" i="48"/>
  <c r="P108" i="48"/>
  <c r="D108" i="48"/>
  <c r="P107" i="48"/>
  <c r="D107" i="48"/>
  <c r="P106" i="48"/>
  <c r="D106" i="48"/>
  <c r="P105" i="48"/>
  <c r="D105" i="48"/>
  <c r="P104" i="48"/>
  <c r="D104" i="48"/>
  <c r="P103" i="48"/>
  <c r="D103" i="48"/>
  <c r="P102" i="48"/>
  <c r="D102" i="48"/>
  <c r="P101" i="48"/>
  <c r="D101" i="48"/>
  <c r="P100" i="48"/>
  <c r="D100" i="48"/>
  <c r="P99" i="48"/>
  <c r="D99" i="48"/>
  <c r="P98" i="48"/>
  <c r="D98" i="48"/>
  <c r="P97" i="48"/>
  <c r="D97" i="48"/>
  <c r="P96" i="48"/>
  <c r="D96" i="48"/>
  <c r="P95" i="48"/>
  <c r="D95" i="48"/>
  <c r="P94" i="48"/>
  <c r="D94" i="48"/>
  <c r="P93" i="48"/>
  <c r="D93" i="48"/>
  <c r="P92" i="48"/>
  <c r="D92" i="48"/>
  <c r="P91" i="48"/>
  <c r="D91" i="48"/>
  <c r="P90" i="48"/>
  <c r="D90" i="48"/>
  <c r="P89" i="48"/>
  <c r="D89" i="48"/>
  <c r="P88" i="48"/>
  <c r="D88" i="48"/>
  <c r="P87" i="48"/>
  <c r="D87" i="48"/>
  <c r="AM54" i="48"/>
  <c r="AL54" i="48"/>
  <c r="AK39" i="14" s="1"/>
  <c r="AK54" i="48"/>
  <c r="AJ39" i="14" s="1"/>
  <c r="AJ54" i="48"/>
  <c r="AI39" i="14" s="1"/>
  <c r="AI54" i="48"/>
  <c r="AH39" i="14" s="1"/>
  <c r="AH54" i="48"/>
  <c r="AG39" i="14" s="1"/>
  <c r="AG54" i="48"/>
  <c r="AF39" i="14" s="1"/>
  <c r="AF54" i="48"/>
  <c r="AE39" i="14" s="1"/>
  <c r="AE54" i="48"/>
  <c r="AD54" i="48"/>
  <c r="AC39" i="14" s="1"/>
  <c r="AC54" i="48"/>
  <c r="AB39" i="14" s="1"/>
  <c r="AB54" i="48"/>
  <c r="AA39" i="14" s="1"/>
  <c r="AA54" i="48"/>
  <c r="Z39" i="14" s="1"/>
  <c r="Z54" i="48"/>
  <c r="Y39" i="14" s="1"/>
  <c r="Y54" i="48"/>
  <c r="X39" i="14" s="1"/>
  <c r="X54" i="48"/>
  <c r="W39" i="14" s="1"/>
  <c r="W54" i="48"/>
  <c r="V54" i="48"/>
  <c r="U39" i="14" s="1"/>
  <c r="U54" i="48"/>
  <c r="T39" i="14" s="1"/>
  <c r="T54" i="48"/>
  <c r="S39" i="14" s="1"/>
  <c r="S54" i="48"/>
  <c r="R39" i="14" s="1"/>
  <c r="R54" i="48"/>
  <c r="Q39" i="14" s="1"/>
  <c r="Q54" i="48"/>
  <c r="P39" i="14" s="1"/>
  <c r="O54" i="48"/>
  <c r="N54" i="48"/>
  <c r="M54" i="48"/>
  <c r="L39" i="14" s="1"/>
  <c r="L54" i="48"/>
  <c r="K39" i="14" s="1"/>
  <c r="K54" i="48"/>
  <c r="J39" i="14" s="1"/>
  <c r="J54" i="48"/>
  <c r="I39" i="14" s="1"/>
  <c r="I54" i="48"/>
  <c r="H39" i="14" s="1"/>
  <c r="H54" i="48"/>
  <c r="G39" i="14" s="1"/>
  <c r="G54" i="48"/>
  <c r="F39" i="14" s="1"/>
  <c r="F54" i="48"/>
  <c r="E39" i="14" s="1"/>
  <c r="E54" i="48"/>
  <c r="D39" i="14" s="1"/>
  <c r="P53" i="48"/>
  <c r="P52" i="48"/>
  <c r="P51" i="48"/>
  <c r="P50" i="48"/>
  <c r="P49" i="48"/>
  <c r="P48" i="48"/>
  <c r="P47" i="48"/>
  <c r="P46" i="48"/>
  <c r="P45" i="48"/>
  <c r="P44" i="48"/>
  <c r="P43" i="48"/>
  <c r="P42" i="48"/>
  <c r="AM33" i="48"/>
  <c r="AL39" i="13" s="1"/>
  <c r="AL33" i="48"/>
  <c r="AK39" i="13" s="1"/>
  <c r="AK33" i="48"/>
  <c r="AJ39" i="13" s="1"/>
  <c r="AJ33" i="48"/>
  <c r="AI39" i="13" s="1"/>
  <c r="AI33" i="48"/>
  <c r="AH39" i="13" s="1"/>
  <c r="AH33" i="48"/>
  <c r="AG39" i="13" s="1"/>
  <c r="AG33" i="48"/>
  <c r="AF39" i="13" s="1"/>
  <c r="AF33" i="48"/>
  <c r="AE39" i="13" s="1"/>
  <c r="AE33" i="48"/>
  <c r="AD39" i="13" s="1"/>
  <c r="AD33" i="48"/>
  <c r="AC39" i="13" s="1"/>
  <c r="AC33" i="48"/>
  <c r="AB39" i="13" s="1"/>
  <c r="AB33" i="48"/>
  <c r="AA39" i="13" s="1"/>
  <c r="AA33" i="48"/>
  <c r="Z39" i="13" s="1"/>
  <c r="Z33" i="48"/>
  <c r="Y39" i="13" s="1"/>
  <c r="Y33" i="48"/>
  <c r="X39" i="13" s="1"/>
  <c r="X33" i="48"/>
  <c r="W39" i="13" s="1"/>
  <c r="W33" i="48"/>
  <c r="V39" i="13" s="1"/>
  <c r="V33" i="48"/>
  <c r="U39" i="13" s="1"/>
  <c r="U33" i="48"/>
  <c r="T39" i="13" s="1"/>
  <c r="T33" i="48"/>
  <c r="S39" i="13" s="1"/>
  <c r="S33" i="48"/>
  <c r="R39" i="13" s="1"/>
  <c r="R33" i="48"/>
  <c r="Q33" i="48"/>
  <c r="P39" i="13" s="1"/>
  <c r="O33" i="48"/>
  <c r="N39" i="13" s="1"/>
  <c r="N33" i="48"/>
  <c r="M33" i="48"/>
  <c r="L39" i="13" s="1"/>
  <c r="L33" i="48"/>
  <c r="K39" i="13" s="1"/>
  <c r="K33" i="48"/>
  <c r="J39" i="13" s="1"/>
  <c r="J33" i="48"/>
  <c r="I39" i="13" s="1"/>
  <c r="I33" i="48"/>
  <c r="H39" i="13" s="1"/>
  <c r="H33" i="48"/>
  <c r="G39" i="13" s="1"/>
  <c r="G33" i="48"/>
  <c r="F39" i="13" s="1"/>
  <c r="F33" i="48"/>
  <c r="E33" i="48"/>
  <c r="D39" i="13" s="1"/>
  <c r="P32" i="48"/>
  <c r="D32" i="48"/>
  <c r="P31" i="48"/>
  <c r="D31" i="48"/>
  <c r="P30" i="48"/>
  <c r="D30" i="48"/>
  <c r="P29" i="48"/>
  <c r="D29" i="48"/>
  <c r="P28" i="48"/>
  <c r="D28" i="48"/>
  <c r="P27" i="48"/>
  <c r="D27" i="48"/>
  <c r="P26" i="48"/>
  <c r="D26" i="48"/>
  <c r="AM16" i="48"/>
  <c r="AL39" i="12" s="1"/>
  <c r="AL16" i="48"/>
  <c r="AK16" i="48"/>
  <c r="AJ16" i="48"/>
  <c r="AI39" i="12" s="1"/>
  <c r="AI16" i="48"/>
  <c r="AI14" i="48" s="1"/>
  <c r="AH16" i="48"/>
  <c r="AG39" i="12" s="1"/>
  <c r="AG16" i="48"/>
  <c r="AF16" i="48"/>
  <c r="AE39" i="12" s="1"/>
  <c r="AE16" i="48"/>
  <c r="AD39" i="12" s="1"/>
  <c r="AD16" i="48"/>
  <c r="AC16" i="48"/>
  <c r="AB16" i="48"/>
  <c r="AA16" i="48"/>
  <c r="AA14" i="48" s="1"/>
  <c r="Z16" i="48"/>
  <c r="Y39" i="12" s="1"/>
  <c r="Y16" i="48"/>
  <c r="X16" i="48"/>
  <c r="W39" i="12" s="1"/>
  <c r="W16" i="48"/>
  <c r="V39" i="12" s="1"/>
  <c r="V16" i="48"/>
  <c r="U16" i="48"/>
  <c r="T16" i="48"/>
  <c r="S39" i="12" s="1"/>
  <c r="S16" i="48"/>
  <c r="S14" i="48" s="1"/>
  <c r="R16" i="48"/>
  <c r="Q39" i="12" s="1"/>
  <c r="Q16" i="48"/>
  <c r="O16" i="48"/>
  <c r="N39" i="12" s="1"/>
  <c r="N16" i="48"/>
  <c r="N14" i="48" s="1"/>
  <c r="M16" i="48"/>
  <c r="L16" i="48"/>
  <c r="K16" i="48"/>
  <c r="J16" i="48"/>
  <c r="I39" i="12" s="1"/>
  <c r="I16" i="48"/>
  <c r="H16" i="48"/>
  <c r="G16" i="48"/>
  <c r="F39" i="12" s="1"/>
  <c r="F16" i="48"/>
  <c r="F14" i="48" s="1"/>
  <c r="E16" i="48"/>
  <c r="D15" i="48"/>
  <c r="P143" i="47"/>
  <c r="D143" i="47"/>
  <c r="P142" i="47"/>
  <c r="D142" i="47"/>
  <c r="P141" i="47"/>
  <c r="D141" i="47"/>
  <c r="P140" i="47"/>
  <c r="D140" i="47"/>
  <c r="P139" i="47"/>
  <c r="D139" i="47"/>
  <c r="P138" i="47"/>
  <c r="D138" i="47"/>
  <c r="P137" i="47"/>
  <c r="D137" i="47"/>
  <c r="P136" i="47"/>
  <c r="D136" i="47"/>
  <c r="P135" i="47"/>
  <c r="D135" i="47"/>
  <c r="P134" i="47"/>
  <c r="D134" i="47"/>
  <c r="P133" i="47"/>
  <c r="D133" i="47"/>
  <c r="P132" i="47"/>
  <c r="D132" i="47"/>
  <c r="P131" i="47"/>
  <c r="D131" i="47"/>
  <c r="P130" i="47"/>
  <c r="D130" i="47"/>
  <c r="P129" i="47"/>
  <c r="D129" i="47"/>
  <c r="P128" i="47"/>
  <c r="D128" i="47"/>
  <c r="P127" i="47"/>
  <c r="D127" i="47"/>
  <c r="P126" i="47"/>
  <c r="D126" i="47"/>
  <c r="P125" i="47"/>
  <c r="D125" i="47"/>
  <c r="P124" i="47"/>
  <c r="D124" i="47"/>
  <c r="P123" i="47"/>
  <c r="D123" i="47"/>
  <c r="P122" i="47"/>
  <c r="D122" i="47"/>
  <c r="P121" i="47"/>
  <c r="D121" i="47"/>
  <c r="P120" i="47"/>
  <c r="D120" i="47"/>
  <c r="P119" i="47"/>
  <c r="D119" i="47"/>
  <c r="P118" i="47"/>
  <c r="D118" i="47"/>
  <c r="AM54" i="47"/>
  <c r="AL40" i="14" s="1"/>
  <c r="AL54" i="47"/>
  <c r="AK40" i="14" s="1"/>
  <c r="AK54" i="47"/>
  <c r="AJ40" i="14" s="1"/>
  <c r="AJ54" i="47"/>
  <c r="AI40" i="14" s="1"/>
  <c r="AI54" i="47"/>
  <c r="AH40" i="14" s="1"/>
  <c r="AH54" i="47"/>
  <c r="AG40" i="14" s="1"/>
  <c r="AG54" i="47"/>
  <c r="AF40" i="14" s="1"/>
  <c r="AF54" i="47"/>
  <c r="AE40" i="14" s="1"/>
  <c r="AE54" i="47"/>
  <c r="AD40" i="14" s="1"/>
  <c r="AD54" i="47"/>
  <c r="AC40" i="14" s="1"/>
  <c r="AC54" i="47"/>
  <c r="AB40" i="14" s="1"/>
  <c r="AB54" i="47"/>
  <c r="AA40" i="14" s="1"/>
  <c r="AA54" i="47"/>
  <c r="Z40" i="14" s="1"/>
  <c r="Z54" i="47"/>
  <c r="Y40" i="14" s="1"/>
  <c r="Y54" i="47"/>
  <c r="X40" i="14" s="1"/>
  <c r="X54" i="47"/>
  <c r="W40" i="14" s="1"/>
  <c r="W54" i="47"/>
  <c r="V40" i="14" s="1"/>
  <c r="V54" i="47"/>
  <c r="U40" i="14" s="1"/>
  <c r="U54" i="47"/>
  <c r="T40" i="14" s="1"/>
  <c r="T54" i="47"/>
  <c r="S40" i="14" s="1"/>
  <c r="S54" i="47"/>
  <c r="R40" i="14" s="1"/>
  <c r="R54" i="47"/>
  <c r="Q54" i="47"/>
  <c r="P40" i="14" s="1"/>
  <c r="O54" i="47"/>
  <c r="N40" i="14" s="1"/>
  <c r="N54" i="47"/>
  <c r="M40" i="14" s="1"/>
  <c r="M54" i="47"/>
  <c r="L40" i="14" s="1"/>
  <c r="L54" i="47"/>
  <c r="K40" i="14" s="1"/>
  <c r="K54" i="47"/>
  <c r="J40" i="14" s="1"/>
  <c r="J54" i="47"/>
  <c r="I40" i="14" s="1"/>
  <c r="I54" i="47"/>
  <c r="H40" i="14" s="1"/>
  <c r="H54" i="47"/>
  <c r="G40" i="14" s="1"/>
  <c r="G54" i="47"/>
  <c r="F40" i="14" s="1"/>
  <c r="F54" i="47"/>
  <c r="E40" i="14" s="1"/>
  <c r="E54" i="47"/>
  <c r="D40" i="14" s="1"/>
  <c r="P53" i="47"/>
  <c r="P52" i="47"/>
  <c r="P51" i="47"/>
  <c r="P50" i="47"/>
  <c r="P49" i="47"/>
  <c r="P48" i="47"/>
  <c r="P47" i="47"/>
  <c r="P46" i="47"/>
  <c r="P45" i="47"/>
  <c r="AM33" i="47"/>
  <c r="AL40" i="13" s="1"/>
  <c r="AL33" i="47"/>
  <c r="AK33" i="47"/>
  <c r="AJ40" i="13" s="1"/>
  <c r="AJ33" i="47"/>
  <c r="AI40" i="13" s="1"/>
  <c r="AI33" i="47"/>
  <c r="AH40" i="13" s="1"/>
  <c r="AH33" i="47"/>
  <c r="AG40" i="13" s="1"/>
  <c r="AG33" i="47"/>
  <c r="AF33" i="47"/>
  <c r="AE40" i="13" s="1"/>
  <c r="AE33" i="47"/>
  <c r="AD40" i="13" s="1"/>
  <c r="AD33" i="47"/>
  <c r="AC33" i="47"/>
  <c r="AB33" i="47"/>
  <c r="AA40" i="13" s="1"/>
  <c r="AA33" i="47"/>
  <c r="Z40" i="13" s="1"/>
  <c r="Z33" i="47"/>
  <c r="Y40" i="13" s="1"/>
  <c r="Y33" i="47"/>
  <c r="X40" i="13" s="1"/>
  <c r="X33" i="47"/>
  <c r="W40" i="13" s="1"/>
  <c r="W33" i="47"/>
  <c r="V40" i="13" s="1"/>
  <c r="V33" i="47"/>
  <c r="U33" i="47"/>
  <c r="T33" i="47"/>
  <c r="S40" i="13" s="1"/>
  <c r="S33" i="47"/>
  <c r="R40" i="13" s="1"/>
  <c r="R33" i="47"/>
  <c r="P33" i="47" s="1"/>
  <c r="O40" i="13" s="1"/>
  <c r="Q33" i="47"/>
  <c r="P40" i="13" s="1"/>
  <c r="O33" i="47"/>
  <c r="N40" i="13" s="1"/>
  <c r="N33" i="47"/>
  <c r="M40" i="13" s="1"/>
  <c r="M33" i="47"/>
  <c r="L40" i="13" s="1"/>
  <c r="L33" i="47"/>
  <c r="K40" i="13" s="1"/>
  <c r="K33" i="47"/>
  <c r="J40" i="13" s="1"/>
  <c r="J33" i="47"/>
  <c r="I33" i="47"/>
  <c r="H40" i="13" s="1"/>
  <c r="H33" i="47"/>
  <c r="G33" i="47"/>
  <c r="F40" i="13" s="1"/>
  <c r="F33" i="47"/>
  <c r="E40" i="13" s="1"/>
  <c r="E33" i="47"/>
  <c r="D40" i="13" s="1"/>
  <c r="P32" i="47"/>
  <c r="D32" i="47"/>
  <c r="P31" i="47"/>
  <c r="D31" i="47"/>
  <c r="P30" i="47"/>
  <c r="D30" i="47"/>
  <c r="P29" i="47"/>
  <c r="D29" i="47"/>
  <c r="P28" i="47"/>
  <c r="D28" i="47"/>
  <c r="P27" i="47"/>
  <c r="D27" i="47"/>
  <c r="P26" i="47"/>
  <c r="D26" i="47"/>
  <c r="P25" i="47"/>
  <c r="D25" i="47"/>
  <c r="P24" i="47"/>
  <c r="D24" i="47"/>
  <c r="P23" i="47"/>
  <c r="D23" i="47"/>
  <c r="P22" i="47"/>
  <c r="D22" i="47"/>
  <c r="P21" i="47"/>
  <c r="D21" i="47"/>
  <c r="P20" i="47"/>
  <c r="D20" i="47"/>
  <c r="AM16" i="47"/>
  <c r="AL40" i="12" s="1"/>
  <c r="AL16" i="47"/>
  <c r="AK40" i="12" s="1"/>
  <c r="AK16" i="47"/>
  <c r="AJ16" i="47"/>
  <c r="AI40" i="12" s="1"/>
  <c r="AI16" i="47"/>
  <c r="AH40" i="12" s="1"/>
  <c r="AH16" i="47"/>
  <c r="AG16" i="47"/>
  <c r="AF16" i="47"/>
  <c r="AE40" i="12" s="1"/>
  <c r="AE16" i="47"/>
  <c r="AD40" i="12" s="1"/>
  <c r="AD16" i="47"/>
  <c r="AC40" i="12" s="1"/>
  <c r="AC16" i="47"/>
  <c r="AB16" i="47"/>
  <c r="AA40" i="12" s="1"/>
  <c r="AA16" i="47"/>
  <c r="Z40" i="12" s="1"/>
  <c r="Z16" i="47"/>
  <c r="Y16" i="47"/>
  <c r="X16" i="47"/>
  <c r="W40" i="12" s="1"/>
  <c r="W16" i="47"/>
  <c r="V40" i="12" s="1"/>
  <c r="V16" i="47"/>
  <c r="U40" i="12" s="1"/>
  <c r="U16" i="47"/>
  <c r="T16" i="47"/>
  <c r="S40" i="12" s="1"/>
  <c r="S16" i="47"/>
  <c r="R40" i="12" s="1"/>
  <c r="R16" i="47"/>
  <c r="Q16" i="47"/>
  <c r="O16" i="47"/>
  <c r="N40" i="12" s="1"/>
  <c r="N16" i="47"/>
  <c r="M16" i="47"/>
  <c r="L16" i="47"/>
  <c r="K40" i="12" s="1"/>
  <c r="K16" i="47"/>
  <c r="J40" i="12" s="1"/>
  <c r="J16" i="47"/>
  <c r="I16" i="47"/>
  <c r="H16" i="47"/>
  <c r="G40" i="12" s="1"/>
  <c r="G16" i="47"/>
  <c r="F40" i="12" s="1"/>
  <c r="F16" i="47"/>
  <c r="E16" i="47"/>
  <c r="D15" i="47"/>
  <c r="C40" i="11" s="1"/>
  <c r="O14" i="47"/>
  <c r="F14" i="47"/>
  <c r="AK38" i="14"/>
  <c r="AJ38" i="14"/>
  <c r="AG38" i="14"/>
  <c r="AF38" i="14"/>
  <c r="AC38" i="14"/>
  <c r="AB38" i="14"/>
  <c r="Y38" i="14"/>
  <c r="X38" i="14"/>
  <c r="T38" i="14"/>
  <c r="P38" i="14"/>
  <c r="M38" i="14"/>
  <c r="L38" i="14"/>
  <c r="K38" i="14"/>
  <c r="H38" i="14"/>
  <c r="G38" i="14"/>
  <c r="E38" i="14"/>
  <c r="D38" i="14"/>
  <c r="P53" i="46"/>
  <c r="P52" i="46"/>
  <c r="P51" i="46"/>
  <c r="P50" i="46"/>
  <c r="P49" i="46"/>
  <c r="P48" i="46"/>
  <c r="P47" i="46"/>
  <c r="P46" i="46"/>
  <c r="P45" i="46"/>
  <c r="P44" i="46"/>
  <c r="P43" i="46"/>
  <c r="P42" i="46"/>
  <c r="P41" i="46"/>
  <c r="D41" i="46"/>
  <c r="P40" i="46"/>
  <c r="D40" i="46"/>
  <c r="P39" i="46"/>
  <c r="D39" i="46"/>
  <c r="P38" i="46"/>
  <c r="D38" i="46"/>
  <c r="P37" i="46"/>
  <c r="D37" i="46"/>
  <c r="AM33" i="46"/>
  <c r="AL38" i="13" s="1"/>
  <c r="AL33" i="46"/>
  <c r="AK38" i="13" s="1"/>
  <c r="AK33" i="46"/>
  <c r="AJ38" i="13" s="1"/>
  <c r="AJ33" i="46"/>
  <c r="AI33" i="46"/>
  <c r="AH38" i="13" s="1"/>
  <c r="AH33" i="46"/>
  <c r="AG38" i="13" s="1"/>
  <c r="AG33" i="46"/>
  <c r="AF38" i="13" s="1"/>
  <c r="AF33" i="46"/>
  <c r="AE33" i="46"/>
  <c r="AD38" i="13" s="1"/>
  <c r="AD33" i="46"/>
  <c r="AC38" i="13" s="1"/>
  <c r="AC33" i="46"/>
  <c r="AB38" i="13" s="1"/>
  <c r="AB33" i="46"/>
  <c r="AA33" i="46"/>
  <c r="Z38" i="13" s="1"/>
  <c r="Z33" i="46"/>
  <c r="Y38" i="13" s="1"/>
  <c r="Y33" i="46"/>
  <c r="X38" i="13" s="1"/>
  <c r="X33" i="46"/>
  <c r="W33" i="46"/>
  <c r="V38" i="13" s="1"/>
  <c r="V33" i="46"/>
  <c r="U38" i="13" s="1"/>
  <c r="U33" i="46"/>
  <c r="T38" i="13" s="1"/>
  <c r="T33" i="46"/>
  <c r="S33" i="46"/>
  <c r="R38" i="13" s="1"/>
  <c r="R33" i="46"/>
  <c r="Q33" i="46"/>
  <c r="P38" i="13" s="1"/>
  <c r="O33" i="46"/>
  <c r="N38" i="13" s="1"/>
  <c r="N33" i="46"/>
  <c r="M38" i="13" s="1"/>
  <c r="M33" i="46"/>
  <c r="L38" i="13" s="1"/>
  <c r="L33" i="46"/>
  <c r="K38" i="13" s="1"/>
  <c r="K33" i="46"/>
  <c r="J38" i="13" s="1"/>
  <c r="J33" i="46"/>
  <c r="I38" i="13" s="1"/>
  <c r="I33" i="46"/>
  <c r="H38" i="13" s="1"/>
  <c r="H33" i="46"/>
  <c r="G38" i="13" s="1"/>
  <c r="G33" i="46"/>
  <c r="F38" i="13" s="1"/>
  <c r="F33" i="46"/>
  <c r="E38" i="13" s="1"/>
  <c r="E33" i="46"/>
  <c r="D38" i="13" s="1"/>
  <c r="P32" i="46"/>
  <c r="D32" i="46"/>
  <c r="P31" i="46"/>
  <c r="D31" i="46"/>
  <c r="P30" i="46"/>
  <c r="D30" i="46"/>
  <c r="P29" i="46"/>
  <c r="D29" i="46"/>
  <c r="P28" i="46"/>
  <c r="D28" i="46"/>
  <c r="P27" i="46"/>
  <c r="D27" i="46"/>
  <c r="P26" i="46"/>
  <c r="D26" i="46"/>
  <c r="P25" i="46"/>
  <c r="D25" i="46"/>
  <c r="P24" i="46"/>
  <c r="D24" i="46"/>
  <c r="P23" i="46"/>
  <c r="D23" i="46"/>
  <c r="P22" i="46"/>
  <c r="D22" i="46"/>
  <c r="P21" i="46"/>
  <c r="D21" i="46"/>
  <c r="P20" i="46"/>
  <c r="D20" i="46"/>
  <c r="AM16" i="46"/>
  <c r="AM14" i="46" s="1"/>
  <c r="AL16" i="46"/>
  <c r="AK38" i="12" s="1"/>
  <c r="AK16" i="46"/>
  <c r="AK14" i="46" s="1"/>
  <c r="AJ16" i="46"/>
  <c r="AJ14" i="46" s="1"/>
  <c r="AI16" i="46"/>
  <c r="AH38" i="12" s="1"/>
  <c r="AH16" i="46"/>
  <c r="AG38" i="12" s="1"/>
  <c r="AG16" i="46"/>
  <c r="AG14" i="46" s="1"/>
  <c r="AF16" i="46"/>
  <c r="AF14" i="46" s="1"/>
  <c r="AE16" i="46"/>
  <c r="AE14" i="46" s="1"/>
  <c r="AD16" i="46"/>
  <c r="AC38" i="12" s="1"/>
  <c r="AC16" i="46"/>
  <c r="AC14" i="46" s="1"/>
  <c r="AB16" i="46"/>
  <c r="AB14" i="46" s="1"/>
  <c r="AA16" i="46"/>
  <c r="Z38" i="12" s="1"/>
  <c r="Z16" i="46"/>
  <c r="Y38" i="12" s="1"/>
  <c r="Y16" i="46"/>
  <c r="Y14" i="46" s="1"/>
  <c r="X16" i="46"/>
  <c r="X14" i="46" s="1"/>
  <c r="W16" i="46"/>
  <c r="W14" i="46" s="1"/>
  <c r="V16" i="46"/>
  <c r="U38" i="12" s="1"/>
  <c r="U16" i="46"/>
  <c r="U14" i="46" s="1"/>
  <c r="T16" i="46"/>
  <c r="T14" i="46" s="1"/>
  <c r="S16" i="46"/>
  <c r="R16" i="46"/>
  <c r="Q38" i="12" s="1"/>
  <c r="Q16" i="46"/>
  <c r="Q14" i="46" s="1"/>
  <c r="O16" i="46"/>
  <c r="N38" i="12" s="1"/>
  <c r="N16" i="46"/>
  <c r="M16" i="46"/>
  <c r="M14" i="46" s="1"/>
  <c r="L16" i="46"/>
  <c r="L14" i="46" s="1"/>
  <c r="K16" i="46"/>
  <c r="J16" i="46"/>
  <c r="I38" i="12" s="1"/>
  <c r="I16" i="46"/>
  <c r="I14" i="46" s="1"/>
  <c r="H16" i="46"/>
  <c r="H14" i="46" s="1"/>
  <c r="G16" i="46"/>
  <c r="F38" i="12" s="1"/>
  <c r="F16" i="46"/>
  <c r="E38" i="12" s="1"/>
  <c r="E16" i="46"/>
  <c r="E14" i="46" s="1"/>
  <c r="D15" i="46"/>
  <c r="P143" i="45"/>
  <c r="D143" i="45"/>
  <c r="P142" i="45"/>
  <c r="D142" i="45"/>
  <c r="P141" i="45"/>
  <c r="D141" i="45"/>
  <c r="P140" i="45"/>
  <c r="D140" i="45"/>
  <c r="P139" i="45"/>
  <c r="D139" i="45"/>
  <c r="P138" i="45"/>
  <c r="D138" i="45"/>
  <c r="P137" i="45"/>
  <c r="D137" i="45"/>
  <c r="P136" i="45"/>
  <c r="D136" i="45"/>
  <c r="P135" i="45"/>
  <c r="D135" i="45"/>
  <c r="P134" i="45"/>
  <c r="D134" i="45"/>
  <c r="P133" i="45"/>
  <c r="D133" i="45"/>
  <c r="P132" i="45"/>
  <c r="D132" i="45"/>
  <c r="P131" i="45"/>
  <c r="D131" i="45"/>
  <c r="P130" i="45"/>
  <c r="D130" i="45"/>
  <c r="P129" i="45"/>
  <c r="D129" i="45"/>
  <c r="P128" i="45"/>
  <c r="D128" i="45"/>
  <c r="P127" i="45"/>
  <c r="D127" i="45"/>
  <c r="P126" i="45"/>
  <c r="D126" i="45"/>
  <c r="P125" i="45"/>
  <c r="D125" i="45"/>
  <c r="P124" i="45"/>
  <c r="D124" i="45"/>
  <c r="P123" i="45"/>
  <c r="D123" i="45"/>
  <c r="P122" i="45"/>
  <c r="D122" i="45"/>
  <c r="P121" i="45"/>
  <c r="D121" i="45"/>
  <c r="P120" i="45"/>
  <c r="D120" i="45"/>
  <c r="P119" i="45"/>
  <c r="D119" i="45"/>
  <c r="P118" i="45"/>
  <c r="D118" i="45"/>
  <c r="P117" i="45"/>
  <c r="D117" i="45"/>
  <c r="P116" i="45"/>
  <c r="D116" i="45"/>
  <c r="P115" i="45"/>
  <c r="D115" i="45"/>
  <c r="P114" i="45"/>
  <c r="D114" i="45"/>
  <c r="P113" i="45"/>
  <c r="D113" i="45"/>
  <c r="P112" i="45"/>
  <c r="D112" i="45"/>
  <c r="P111" i="45"/>
  <c r="D111" i="45"/>
  <c r="P110" i="45"/>
  <c r="D110" i="45"/>
  <c r="P109" i="45"/>
  <c r="D109" i="45"/>
  <c r="P108" i="45"/>
  <c r="D108" i="45"/>
  <c r="P107" i="45"/>
  <c r="D107" i="45"/>
  <c r="P106" i="45"/>
  <c r="D106" i="45"/>
  <c r="P105" i="45"/>
  <c r="D105" i="45"/>
  <c r="P104" i="45"/>
  <c r="D104" i="45"/>
  <c r="P103" i="45"/>
  <c r="D103" i="45"/>
  <c r="P102" i="45"/>
  <c r="D102" i="45"/>
  <c r="P101" i="45"/>
  <c r="D101" i="45"/>
  <c r="P100" i="45"/>
  <c r="D100" i="45"/>
  <c r="P99" i="45"/>
  <c r="D99" i="45"/>
  <c r="P98" i="45"/>
  <c r="D98" i="45"/>
  <c r="P97" i="45"/>
  <c r="D97" i="45"/>
  <c r="P96" i="45"/>
  <c r="D96" i="45"/>
  <c r="P95" i="45"/>
  <c r="D95" i="45"/>
  <c r="P94" i="45"/>
  <c r="D94" i="45"/>
  <c r="P93" i="45"/>
  <c r="D93" i="45"/>
  <c r="P92" i="45"/>
  <c r="D92" i="45"/>
  <c r="P91" i="45"/>
  <c r="D91" i="45"/>
  <c r="P90" i="45"/>
  <c r="D90" i="45"/>
  <c r="P89" i="45"/>
  <c r="D89" i="45"/>
  <c r="P88" i="45"/>
  <c r="D88" i="45"/>
  <c r="P87" i="45"/>
  <c r="D87" i="45"/>
  <c r="P86" i="45"/>
  <c r="D86" i="45"/>
  <c r="P85" i="45"/>
  <c r="D85" i="45"/>
  <c r="P84" i="45"/>
  <c r="D84" i="45"/>
  <c r="P83" i="45"/>
  <c r="D83" i="45"/>
  <c r="P82" i="45"/>
  <c r="D82" i="45"/>
  <c r="P81" i="45"/>
  <c r="D81" i="45"/>
  <c r="P80" i="45"/>
  <c r="D80" i="45"/>
  <c r="P79" i="45"/>
  <c r="D79" i="45"/>
  <c r="P78" i="45"/>
  <c r="D78" i="45"/>
  <c r="P77" i="45"/>
  <c r="D77" i="45"/>
  <c r="P76" i="45"/>
  <c r="D76" i="45"/>
  <c r="P75" i="45"/>
  <c r="D75" i="45"/>
  <c r="P74" i="45"/>
  <c r="D74" i="45"/>
  <c r="P73" i="45"/>
  <c r="D73" i="45"/>
  <c r="P72" i="45"/>
  <c r="D72" i="45"/>
  <c r="P71" i="45"/>
  <c r="D71" i="45"/>
  <c r="P70" i="45"/>
  <c r="D70" i="45"/>
  <c r="P69" i="45"/>
  <c r="D69" i="45"/>
  <c r="P68" i="45"/>
  <c r="D68" i="45"/>
  <c r="P67" i="45"/>
  <c r="D67" i="45"/>
  <c r="P66" i="45"/>
  <c r="D66" i="45"/>
  <c r="P65" i="45"/>
  <c r="D65" i="45"/>
  <c r="P64" i="45"/>
  <c r="D64" i="45"/>
  <c r="P63" i="45"/>
  <c r="D63" i="45"/>
  <c r="P62" i="45"/>
  <c r="D62" i="45"/>
  <c r="P61" i="45"/>
  <c r="D61" i="45"/>
  <c r="P60" i="45"/>
  <c r="D60" i="45"/>
  <c r="P59" i="45"/>
  <c r="D59" i="45"/>
  <c r="P58" i="45"/>
  <c r="D58" i="45"/>
  <c r="P57" i="45"/>
  <c r="D57" i="45"/>
  <c r="P56" i="45"/>
  <c r="D56" i="45"/>
  <c r="P55" i="45"/>
  <c r="D55" i="45"/>
  <c r="AM54" i="45"/>
  <c r="AL54" i="45"/>
  <c r="AK37" i="14" s="1"/>
  <c r="AK54" i="45"/>
  <c r="AJ37" i="14" s="1"/>
  <c r="AJ54" i="45"/>
  <c r="AI37" i="14" s="1"/>
  <c r="AI54" i="45"/>
  <c r="AH37" i="14" s="1"/>
  <c r="AH54" i="45"/>
  <c r="AG37" i="14" s="1"/>
  <c r="AG54" i="45"/>
  <c r="AF37" i="14" s="1"/>
  <c r="AF54" i="45"/>
  <c r="AE37" i="14" s="1"/>
  <c r="AE54" i="45"/>
  <c r="AD54" i="45"/>
  <c r="AC37" i="14" s="1"/>
  <c r="AC54" i="45"/>
  <c r="AC14" i="45" s="1"/>
  <c r="AB54" i="45"/>
  <c r="AA37" i="14" s="1"/>
  <c r="AA54" i="45"/>
  <c r="Z37" i="14" s="1"/>
  <c r="Z54" i="45"/>
  <c r="Y37" i="14" s="1"/>
  <c r="Y54" i="45"/>
  <c r="X37" i="14" s="1"/>
  <c r="X54" i="45"/>
  <c r="W37" i="14" s="1"/>
  <c r="W54" i="45"/>
  <c r="V54" i="45"/>
  <c r="U37" i="14" s="1"/>
  <c r="U54" i="45"/>
  <c r="T37" i="14" s="1"/>
  <c r="T54" i="45"/>
  <c r="S37" i="14" s="1"/>
  <c r="S54" i="45"/>
  <c r="R37" i="14" s="1"/>
  <c r="R54" i="45"/>
  <c r="Q54" i="45"/>
  <c r="P37" i="14" s="1"/>
  <c r="O54" i="45"/>
  <c r="N37" i="14" s="1"/>
  <c r="N54" i="45"/>
  <c r="M37" i="14" s="1"/>
  <c r="M54" i="45"/>
  <c r="L37" i="14" s="1"/>
  <c r="L54" i="45"/>
  <c r="K37" i="14" s="1"/>
  <c r="K54" i="45"/>
  <c r="D54" i="45" s="1"/>
  <c r="C37" i="14" s="1"/>
  <c r="J54" i="45"/>
  <c r="I37" i="14" s="1"/>
  <c r="I54" i="45"/>
  <c r="H37" i="14" s="1"/>
  <c r="H54" i="45"/>
  <c r="G54" i="45"/>
  <c r="F37" i="14" s="1"/>
  <c r="F54" i="45"/>
  <c r="E37" i="14" s="1"/>
  <c r="E54" i="45"/>
  <c r="D37" i="14" s="1"/>
  <c r="P53" i="45"/>
  <c r="P52" i="45"/>
  <c r="P51" i="45"/>
  <c r="P50" i="45"/>
  <c r="P49" i="45"/>
  <c r="P48" i="45"/>
  <c r="P47" i="45"/>
  <c r="P46" i="45"/>
  <c r="P45" i="45"/>
  <c r="P44" i="45"/>
  <c r="P43" i="45"/>
  <c r="P42" i="45"/>
  <c r="P41" i="45"/>
  <c r="D41" i="45"/>
  <c r="P40" i="45"/>
  <c r="D40" i="45"/>
  <c r="P39" i="45"/>
  <c r="D39" i="45"/>
  <c r="P38" i="45"/>
  <c r="D38" i="45"/>
  <c r="P37" i="45"/>
  <c r="D37" i="45"/>
  <c r="P36" i="45"/>
  <c r="D36" i="45"/>
  <c r="P35" i="45"/>
  <c r="D35" i="45"/>
  <c r="P34" i="45"/>
  <c r="D34" i="45"/>
  <c r="AM33" i="45"/>
  <c r="AL37" i="13" s="1"/>
  <c r="AL33" i="45"/>
  <c r="AK37" i="13" s="1"/>
  <c r="AK33" i="45"/>
  <c r="AJ37" i="13" s="1"/>
  <c r="AJ33" i="45"/>
  <c r="AI33" i="45"/>
  <c r="AH37" i="13" s="1"/>
  <c r="AH33" i="45"/>
  <c r="AG37" i="13" s="1"/>
  <c r="AG33" i="45"/>
  <c r="AF37" i="13" s="1"/>
  <c r="AF33" i="45"/>
  <c r="AE33" i="45"/>
  <c r="AD37" i="13" s="1"/>
  <c r="AD33" i="45"/>
  <c r="AC37" i="13" s="1"/>
  <c r="AC33" i="45"/>
  <c r="AB37" i="13" s="1"/>
  <c r="AB33" i="45"/>
  <c r="AA33" i="45"/>
  <c r="Z37" i="13" s="1"/>
  <c r="Z33" i="45"/>
  <c r="Y37" i="13" s="1"/>
  <c r="Y33" i="45"/>
  <c r="X37" i="13" s="1"/>
  <c r="X33" i="45"/>
  <c r="W33" i="45"/>
  <c r="V37" i="13" s="1"/>
  <c r="V33" i="45"/>
  <c r="U37" i="13" s="1"/>
  <c r="U33" i="45"/>
  <c r="T37" i="13" s="1"/>
  <c r="T33" i="45"/>
  <c r="S33" i="45"/>
  <c r="R37" i="13" s="1"/>
  <c r="R33" i="45"/>
  <c r="Q37" i="13" s="1"/>
  <c r="Q33" i="45"/>
  <c r="P37" i="13" s="1"/>
  <c r="O33" i="45"/>
  <c r="N37" i="13" s="1"/>
  <c r="N33" i="45"/>
  <c r="M37" i="13" s="1"/>
  <c r="M33" i="45"/>
  <c r="L37" i="13" s="1"/>
  <c r="L33" i="45"/>
  <c r="K37" i="13" s="1"/>
  <c r="K33" i="45"/>
  <c r="J37" i="13" s="1"/>
  <c r="J33" i="45"/>
  <c r="I33" i="45"/>
  <c r="H37" i="13" s="1"/>
  <c r="H33" i="45"/>
  <c r="G37" i="13" s="1"/>
  <c r="G33" i="45"/>
  <c r="F37" i="13" s="1"/>
  <c r="F33" i="45"/>
  <c r="E37" i="13" s="1"/>
  <c r="E33" i="45"/>
  <c r="D37" i="13" s="1"/>
  <c r="P32" i="45"/>
  <c r="D32" i="45"/>
  <c r="P31" i="45"/>
  <c r="D31" i="45"/>
  <c r="P30" i="45"/>
  <c r="D30" i="45"/>
  <c r="P29" i="45"/>
  <c r="D29" i="45"/>
  <c r="P28" i="45"/>
  <c r="D28" i="45"/>
  <c r="P27" i="45"/>
  <c r="D27" i="45"/>
  <c r="P26" i="45"/>
  <c r="D26" i="45"/>
  <c r="P25" i="45"/>
  <c r="D25" i="45"/>
  <c r="P24" i="45"/>
  <c r="D24" i="45"/>
  <c r="P23" i="45"/>
  <c r="D23" i="45"/>
  <c r="P22" i="45"/>
  <c r="D22" i="45"/>
  <c r="P21" i="45"/>
  <c r="D21" i="45"/>
  <c r="P20" i="45"/>
  <c r="D20" i="45"/>
  <c r="P19" i="45"/>
  <c r="D19" i="45"/>
  <c r="P18" i="45"/>
  <c r="D18" i="45"/>
  <c r="AM16" i="45"/>
  <c r="AL16" i="45"/>
  <c r="AL14" i="45" s="1"/>
  <c r="AK16" i="45"/>
  <c r="AJ16" i="45"/>
  <c r="AI16" i="45"/>
  <c r="AH16" i="45"/>
  <c r="AH14" i="45" s="1"/>
  <c r="AG16" i="45"/>
  <c r="AF16" i="45"/>
  <c r="AE37" i="12" s="1"/>
  <c r="AE16" i="45"/>
  <c r="AD16" i="45"/>
  <c r="AD14" i="45" s="1"/>
  <c r="AC16" i="45"/>
  <c r="AB16" i="45"/>
  <c r="AA16" i="45"/>
  <c r="Z16" i="45"/>
  <c r="Z14" i="45" s="1"/>
  <c r="Y16" i="45"/>
  <c r="X16" i="45"/>
  <c r="W37" i="12" s="1"/>
  <c r="W16" i="45"/>
  <c r="V16" i="45"/>
  <c r="V14" i="45" s="1"/>
  <c r="U16" i="45"/>
  <c r="T16" i="45"/>
  <c r="S16" i="45"/>
  <c r="R16" i="45"/>
  <c r="Q37" i="12" s="1"/>
  <c r="Q16" i="45"/>
  <c r="O16" i="45"/>
  <c r="N16" i="45"/>
  <c r="N14" i="45" s="1"/>
  <c r="M16" i="45"/>
  <c r="L37" i="12" s="1"/>
  <c r="L16" i="45"/>
  <c r="K16" i="45"/>
  <c r="J16" i="45"/>
  <c r="I37" i="12" s="1"/>
  <c r="I16" i="45"/>
  <c r="H37" i="12" s="1"/>
  <c r="H16" i="45"/>
  <c r="G16" i="45"/>
  <c r="F16" i="45"/>
  <c r="F14" i="45" s="1"/>
  <c r="E16" i="45"/>
  <c r="D37" i="12" s="1"/>
  <c r="P15" i="45"/>
  <c r="O37" i="11" s="1"/>
  <c r="D15" i="45"/>
  <c r="C37" i="11" s="1"/>
  <c r="AF14" i="45"/>
  <c r="E14" i="45"/>
  <c r="P143" i="44"/>
  <c r="D143" i="44"/>
  <c r="P142" i="44"/>
  <c r="D142" i="44"/>
  <c r="P141" i="44"/>
  <c r="D141" i="44"/>
  <c r="P140" i="44"/>
  <c r="D140" i="44"/>
  <c r="P139" i="44"/>
  <c r="D139" i="44"/>
  <c r="P138" i="44"/>
  <c r="D138" i="44"/>
  <c r="P137" i="44"/>
  <c r="D137" i="44"/>
  <c r="P136" i="44"/>
  <c r="D136" i="44"/>
  <c r="P135" i="44"/>
  <c r="D135" i="44"/>
  <c r="P134" i="44"/>
  <c r="D134" i="44"/>
  <c r="P133" i="44"/>
  <c r="D133" i="44"/>
  <c r="P132" i="44"/>
  <c r="D132" i="44"/>
  <c r="P131" i="44"/>
  <c r="D131" i="44"/>
  <c r="P130" i="44"/>
  <c r="D130" i="44"/>
  <c r="P129" i="44"/>
  <c r="D129" i="44"/>
  <c r="P128" i="44"/>
  <c r="D128" i="44"/>
  <c r="P127" i="44"/>
  <c r="D127" i="44"/>
  <c r="P126" i="44"/>
  <c r="D126" i="44"/>
  <c r="P125" i="44"/>
  <c r="D125" i="44"/>
  <c r="P124" i="44"/>
  <c r="D124" i="44"/>
  <c r="P123" i="44"/>
  <c r="D123" i="44"/>
  <c r="P122" i="44"/>
  <c r="D122" i="44"/>
  <c r="P121" i="44"/>
  <c r="D121" i="44"/>
  <c r="P120" i="44"/>
  <c r="D120" i="44"/>
  <c r="P119" i="44"/>
  <c r="D119" i="44"/>
  <c r="P118" i="44"/>
  <c r="D118" i="44"/>
  <c r="P117" i="44"/>
  <c r="D117" i="44"/>
  <c r="P116" i="44"/>
  <c r="D116" i="44"/>
  <c r="P115" i="44"/>
  <c r="D115" i="44"/>
  <c r="P114" i="44"/>
  <c r="D114" i="44"/>
  <c r="P113" i="44"/>
  <c r="D113" i="44"/>
  <c r="P112" i="44"/>
  <c r="D112" i="44"/>
  <c r="P111" i="44"/>
  <c r="D111" i="44"/>
  <c r="P110" i="44"/>
  <c r="D110" i="44"/>
  <c r="AM54" i="44"/>
  <c r="AL54" i="44"/>
  <c r="AK36" i="14" s="1"/>
  <c r="AK54" i="44"/>
  <c r="AJ36" i="14" s="1"/>
  <c r="AJ54" i="44"/>
  <c r="AI36" i="14" s="1"/>
  <c r="AI54" i="44"/>
  <c r="AH36" i="14" s="1"/>
  <c r="AH54" i="44"/>
  <c r="AG36" i="14" s="1"/>
  <c r="AG54" i="44"/>
  <c r="AF36" i="14" s="1"/>
  <c r="AF54" i="44"/>
  <c r="AE36" i="14" s="1"/>
  <c r="AE54" i="44"/>
  <c r="AD54" i="44"/>
  <c r="AC36" i="14" s="1"/>
  <c r="AC54" i="44"/>
  <c r="AB36" i="14" s="1"/>
  <c r="AB54" i="44"/>
  <c r="AA36" i="14" s="1"/>
  <c r="AA54" i="44"/>
  <c r="Z54" i="44"/>
  <c r="Y36" i="14" s="1"/>
  <c r="Y54" i="44"/>
  <c r="X36" i="14" s="1"/>
  <c r="X54" i="44"/>
  <c r="W36" i="14" s="1"/>
  <c r="W54" i="44"/>
  <c r="V36" i="14" s="1"/>
  <c r="V54" i="44"/>
  <c r="U36" i="14" s="1"/>
  <c r="U54" i="44"/>
  <c r="T36" i="14" s="1"/>
  <c r="T54" i="44"/>
  <c r="S36" i="14" s="1"/>
  <c r="S54" i="44"/>
  <c r="R36" i="14" s="1"/>
  <c r="R54" i="44"/>
  <c r="Q54" i="44"/>
  <c r="P36" i="14" s="1"/>
  <c r="O54" i="44"/>
  <c r="N36" i="14" s="1"/>
  <c r="N54" i="44"/>
  <c r="M36" i="14" s="1"/>
  <c r="M54" i="44"/>
  <c r="L36" i="14" s="1"/>
  <c r="L54" i="44"/>
  <c r="K36" i="14" s="1"/>
  <c r="K54" i="44"/>
  <c r="J36" i="14" s="1"/>
  <c r="J54" i="44"/>
  <c r="I36" i="14" s="1"/>
  <c r="I54" i="44"/>
  <c r="H36" i="14" s="1"/>
  <c r="H54" i="44"/>
  <c r="G36" i="14" s="1"/>
  <c r="G54" i="44"/>
  <c r="F36" i="14" s="1"/>
  <c r="F54" i="44"/>
  <c r="E36" i="14" s="1"/>
  <c r="E54" i="44"/>
  <c r="D36" i="14" s="1"/>
  <c r="P53" i="44"/>
  <c r="P52" i="44"/>
  <c r="P51" i="44"/>
  <c r="P50" i="44"/>
  <c r="P49" i="44"/>
  <c r="P48" i="44"/>
  <c r="P47" i="44"/>
  <c r="P46" i="44"/>
  <c r="P45" i="44"/>
  <c r="P44" i="44"/>
  <c r="P43" i="44"/>
  <c r="P42" i="44"/>
  <c r="P41" i="44"/>
  <c r="D41" i="44"/>
  <c r="AM33" i="44"/>
  <c r="AL36" i="13" s="1"/>
  <c r="AL33" i="44"/>
  <c r="AL14" i="44" s="1"/>
  <c r="AK33" i="44"/>
  <c r="AJ36" i="13" s="1"/>
  <c r="AJ33" i="44"/>
  <c r="AI36" i="13" s="1"/>
  <c r="AI33" i="44"/>
  <c r="AH36" i="13" s="1"/>
  <c r="AH33" i="44"/>
  <c r="AH14" i="44" s="1"/>
  <c r="AG33" i="44"/>
  <c r="AF36" i="13" s="1"/>
  <c r="AF33" i="44"/>
  <c r="AE36" i="13" s="1"/>
  <c r="AE33" i="44"/>
  <c r="AD33" i="44"/>
  <c r="AD14" i="44" s="1"/>
  <c r="AC33" i="44"/>
  <c r="AB36" i="13" s="1"/>
  <c r="AB33" i="44"/>
  <c r="AA36" i="13" s="1"/>
  <c r="AA33" i="44"/>
  <c r="Z36" i="13" s="1"/>
  <c r="Z33" i="44"/>
  <c r="Y36" i="13" s="1"/>
  <c r="Y33" i="44"/>
  <c r="X36" i="13" s="1"/>
  <c r="X33" i="44"/>
  <c r="W36" i="13" s="1"/>
  <c r="W33" i="44"/>
  <c r="V36" i="13" s="1"/>
  <c r="V33" i="44"/>
  <c r="V14" i="44" s="1"/>
  <c r="U33" i="44"/>
  <c r="T36" i="13" s="1"/>
  <c r="T33" i="44"/>
  <c r="S36" i="13" s="1"/>
  <c r="S33" i="44"/>
  <c r="R36" i="13" s="1"/>
  <c r="R33" i="44"/>
  <c r="Q33" i="44"/>
  <c r="P36" i="13" s="1"/>
  <c r="O33" i="44"/>
  <c r="N33" i="44"/>
  <c r="N14" i="44" s="1"/>
  <c r="M33" i="44"/>
  <c r="L36" i="13" s="1"/>
  <c r="L33" i="44"/>
  <c r="K36" i="13" s="1"/>
  <c r="K33" i="44"/>
  <c r="J36" i="13" s="1"/>
  <c r="J33" i="44"/>
  <c r="I36" i="13" s="1"/>
  <c r="I33" i="44"/>
  <c r="H36" i="13" s="1"/>
  <c r="H33" i="44"/>
  <c r="G36" i="13" s="1"/>
  <c r="G33" i="44"/>
  <c r="F33" i="44"/>
  <c r="E36" i="13" s="1"/>
  <c r="E33" i="44"/>
  <c r="D36" i="13" s="1"/>
  <c r="P32" i="44"/>
  <c r="D32" i="44"/>
  <c r="P31" i="44"/>
  <c r="D31" i="44"/>
  <c r="P30" i="44"/>
  <c r="D30" i="44"/>
  <c r="P29" i="44"/>
  <c r="D29" i="44"/>
  <c r="P28" i="44"/>
  <c r="D28" i="44"/>
  <c r="P27" i="44"/>
  <c r="D27" i="44"/>
  <c r="P26" i="44"/>
  <c r="D26" i="44"/>
  <c r="P25" i="44"/>
  <c r="D25" i="44"/>
  <c r="AM16" i="44"/>
  <c r="AL36" i="12" s="1"/>
  <c r="AL16" i="44"/>
  <c r="AK36" i="12" s="1"/>
  <c r="AK16" i="44"/>
  <c r="AJ16" i="44"/>
  <c r="AI16" i="44"/>
  <c r="AH36" i="12" s="1"/>
  <c r="AH16" i="44"/>
  <c r="AG16" i="44"/>
  <c r="AF16" i="44"/>
  <c r="AE16" i="44"/>
  <c r="AD36" i="12" s="1"/>
  <c r="AD16" i="44"/>
  <c r="AC16" i="44"/>
  <c r="AB16" i="44"/>
  <c r="AA16" i="44"/>
  <c r="Z36" i="12" s="1"/>
  <c r="Z16" i="44"/>
  <c r="Y16" i="44"/>
  <c r="X16" i="44"/>
  <c r="W16" i="44"/>
  <c r="V36" i="12" s="1"/>
  <c r="V16" i="44"/>
  <c r="U36" i="12" s="1"/>
  <c r="U16" i="44"/>
  <c r="T16" i="44"/>
  <c r="S36" i="12" s="1"/>
  <c r="S16" i="44"/>
  <c r="R36" i="12" s="1"/>
  <c r="R16" i="44"/>
  <c r="Q16" i="44"/>
  <c r="O16" i="44"/>
  <c r="N36" i="12" s="1"/>
  <c r="N16" i="44"/>
  <c r="M16" i="44"/>
  <c r="L16" i="44"/>
  <c r="K36" i="12" s="1"/>
  <c r="K16" i="44"/>
  <c r="J36" i="12" s="1"/>
  <c r="J16" i="44"/>
  <c r="I16" i="44"/>
  <c r="H16" i="44"/>
  <c r="G16" i="44"/>
  <c r="F36" i="12" s="1"/>
  <c r="F16" i="44"/>
  <c r="E36" i="12" s="1"/>
  <c r="E16" i="44"/>
  <c r="D15" i="44"/>
  <c r="C36" i="11" s="1"/>
  <c r="P143" i="43"/>
  <c r="D143" i="43"/>
  <c r="P142" i="43"/>
  <c r="D142" i="43"/>
  <c r="P141" i="43"/>
  <c r="D141" i="43"/>
  <c r="P140" i="43"/>
  <c r="D140" i="43"/>
  <c r="P139" i="43"/>
  <c r="D139" i="43"/>
  <c r="P138" i="43"/>
  <c r="D138" i="43"/>
  <c r="P137" i="43"/>
  <c r="D137" i="43"/>
  <c r="P136" i="43"/>
  <c r="D136" i="43"/>
  <c r="P135" i="43"/>
  <c r="D135" i="43"/>
  <c r="P134" i="43"/>
  <c r="D134" i="43"/>
  <c r="P133" i="43"/>
  <c r="D133" i="43"/>
  <c r="P132" i="43"/>
  <c r="D132" i="43"/>
  <c r="P131" i="43"/>
  <c r="D131" i="43"/>
  <c r="P130" i="43"/>
  <c r="D130" i="43"/>
  <c r="P129" i="43"/>
  <c r="D129" i="43"/>
  <c r="P128" i="43"/>
  <c r="D128" i="43"/>
  <c r="P127" i="43"/>
  <c r="D127" i="43"/>
  <c r="P126" i="43"/>
  <c r="D126" i="43"/>
  <c r="P125" i="43"/>
  <c r="D125" i="43"/>
  <c r="P124" i="43"/>
  <c r="D124" i="43"/>
  <c r="P123" i="43"/>
  <c r="D123" i="43"/>
  <c r="P122" i="43"/>
  <c r="D122" i="43"/>
  <c r="P121" i="43"/>
  <c r="D121" i="43"/>
  <c r="P120" i="43"/>
  <c r="D120" i="43"/>
  <c r="P119" i="43"/>
  <c r="D119" i="43"/>
  <c r="P118" i="43"/>
  <c r="D118" i="43"/>
  <c r="P117" i="43"/>
  <c r="D117" i="43"/>
  <c r="P116" i="43"/>
  <c r="D116" i="43"/>
  <c r="P115" i="43"/>
  <c r="D115" i="43"/>
  <c r="P114" i="43"/>
  <c r="D114" i="43"/>
  <c r="P113" i="43"/>
  <c r="D113" i="43"/>
  <c r="AM54" i="43"/>
  <c r="AL54" i="43"/>
  <c r="AK35" i="14" s="1"/>
  <c r="AK54" i="43"/>
  <c r="AJ35" i="14" s="1"/>
  <c r="AJ54" i="43"/>
  <c r="AI35" i="14" s="1"/>
  <c r="AI54" i="43"/>
  <c r="AH35" i="14" s="1"/>
  <c r="AH54" i="43"/>
  <c r="AG35" i="14" s="1"/>
  <c r="AG54" i="43"/>
  <c r="AF54" i="43"/>
  <c r="AE35" i="14" s="1"/>
  <c r="AE54" i="43"/>
  <c r="AD54" i="43"/>
  <c r="AC35" i="14" s="1"/>
  <c r="AC54" i="43"/>
  <c r="AB35" i="14" s="1"/>
  <c r="AB54" i="43"/>
  <c r="AA35" i="14" s="1"/>
  <c r="AA54" i="43"/>
  <c r="Z35" i="14" s="1"/>
  <c r="Z54" i="43"/>
  <c r="Y35" i="14" s="1"/>
  <c r="Y54" i="43"/>
  <c r="X54" i="43"/>
  <c r="W35" i="14" s="1"/>
  <c r="W54" i="43"/>
  <c r="V54" i="43"/>
  <c r="U35" i="14" s="1"/>
  <c r="U54" i="43"/>
  <c r="T35" i="14" s="1"/>
  <c r="T54" i="43"/>
  <c r="S35" i="14" s="1"/>
  <c r="S54" i="43"/>
  <c r="R35" i="14" s="1"/>
  <c r="R54" i="43"/>
  <c r="Q54" i="43"/>
  <c r="O54" i="43"/>
  <c r="N35" i="14" s="1"/>
  <c r="N54" i="43"/>
  <c r="M35" i="14" s="1"/>
  <c r="M54" i="43"/>
  <c r="L54" i="43"/>
  <c r="K35" i="14" s="1"/>
  <c r="K54" i="43"/>
  <c r="J35" i="14" s="1"/>
  <c r="J54" i="43"/>
  <c r="I54" i="43"/>
  <c r="H35" i="14" s="1"/>
  <c r="H54" i="43"/>
  <c r="G35" i="14" s="1"/>
  <c r="G54" i="43"/>
  <c r="F35" i="14" s="1"/>
  <c r="F54" i="43"/>
  <c r="E35" i="14" s="1"/>
  <c r="E54" i="43"/>
  <c r="D35" i="14" s="1"/>
  <c r="P53" i="43"/>
  <c r="P52" i="43"/>
  <c r="P51" i="43"/>
  <c r="P50" i="43"/>
  <c r="P49" i="43"/>
  <c r="P48" i="43"/>
  <c r="P47" i="43"/>
  <c r="P46" i="43"/>
  <c r="P45" i="43"/>
  <c r="P44" i="43"/>
  <c r="P43" i="43"/>
  <c r="P42" i="43"/>
  <c r="P41" i="43"/>
  <c r="D41" i="43"/>
  <c r="P40" i="43"/>
  <c r="D40" i="43"/>
  <c r="P39" i="43"/>
  <c r="D39" i="43"/>
  <c r="AM33" i="43"/>
  <c r="AL33" i="43"/>
  <c r="AK35" i="13" s="1"/>
  <c r="AK33" i="43"/>
  <c r="AJ35" i="13" s="1"/>
  <c r="AJ33" i="43"/>
  <c r="AI33" i="43"/>
  <c r="AH35" i="13" s="1"/>
  <c r="AH33" i="43"/>
  <c r="AG35" i="13" s="1"/>
  <c r="AG33" i="43"/>
  <c r="AF35" i="13" s="1"/>
  <c r="AF33" i="43"/>
  <c r="AE35" i="13" s="1"/>
  <c r="AE33" i="43"/>
  <c r="AD33" i="43"/>
  <c r="AC35" i="13" s="1"/>
  <c r="AC33" i="43"/>
  <c r="AB35" i="13" s="1"/>
  <c r="AB33" i="43"/>
  <c r="AA33" i="43"/>
  <c r="Z35" i="13" s="1"/>
  <c r="Z33" i="43"/>
  <c r="Y35" i="13" s="1"/>
  <c r="Y33" i="43"/>
  <c r="X35" i="13" s="1"/>
  <c r="X33" i="43"/>
  <c r="W35" i="13" s="1"/>
  <c r="W33" i="43"/>
  <c r="V33" i="43"/>
  <c r="U35" i="13" s="1"/>
  <c r="U33" i="43"/>
  <c r="T35" i="13" s="1"/>
  <c r="T33" i="43"/>
  <c r="S33" i="43"/>
  <c r="R35" i="13" s="1"/>
  <c r="R33" i="43"/>
  <c r="Q33" i="43"/>
  <c r="P35" i="13" s="1"/>
  <c r="O33" i="43"/>
  <c r="N35" i="13" s="1"/>
  <c r="N33" i="43"/>
  <c r="M35" i="13" s="1"/>
  <c r="M33" i="43"/>
  <c r="L35" i="13" s="1"/>
  <c r="L33" i="43"/>
  <c r="K35" i="13" s="1"/>
  <c r="K33" i="43"/>
  <c r="J33" i="43"/>
  <c r="I33" i="43"/>
  <c r="H35" i="13" s="1"/>
  <c r="H33" i="43"/>
  <c r="G35" i="13" s="1"/>
  <c r="G33" i="43"/>
  <c r="F33" i="43"/>
  <c r="E35" i="13" s="1"/>
  <c r="E33" i="43"/>
  <c r="D35" i="13" s="1"/>
  <c r="P32" i="43"/>
  <c r="D32" i="43"/>
  <c r="P31" i="43"/>
  <c r="D31" i="43"/>
  <c r="P30" i="43"/>
  <c r="D30" i="43"/>
  <c r="P29" i="43"/>
  <c r="D29" i="43"/>
  <c r="P28" i="43"/>
  <c r="D28" i="43"/>
  <c r="P27" i="43"/>
  <c r="D27" i="43"/>
  <c r="P26" i="43"/>
  <c r="D26" i="43"/>
  <c r="P25" i="43"/>
  <c r="D25" i="43"/>
  <c r="P24" i="43"/>
  <c r="D24" i="43"/>
  <c r="P23" i="43"/>
  <c r="D23" i="43"/>
  <c r="P22" i="43"/>
  <c r="D22" i="43"/>
  <c r="AM16" i="43"/>
  <c r="AM14" i="43" s="1"/>
  <c r="AL16" i="43"/>
  <c r="AK35" i="12" s="1"/>
  <c r="AK16" i="43"/>
  <c r="AK14" i="43" s="1"/>
  <c r="AJ16" i="43"/>
  <c r="AJ14" i="43" s="1"/>
  <c r="AI16" i="43"/>
  <c r="AI14" i="43" s="1"/>
  <c r="AH16" i="43"/>
  <c r="AG35" i="12" s="1"/>
  <c r="AG16" i="43"/>
  <c r="AF35" i="12" s="1"/>
  <c r="AF16" i="43"/>
  <c r="AE35" i="12" s="1"/>
  <c r="AE16" i="43"/>
  <c r="AE14" i="43" s="1"/>
  <c r="AD16" i="43"/>
  <c r="AD14" i="43" s="1"/>
  <c r="AC16" i="43"/>
  <c r="AC14" i="43" s="1"/>
  <c r="AB16" i="43"/>
  <c r="AB14" i="43" s="1"/>
  <c r="AA16" i="43"/>
  <c r="AA14" i="43" s="1"/>
  <c r="Z16" i="43"/>
  <c r="Y35" i="12" s="1"/>
  <c r="Y16" i="43"/>
  <c r="X35" i="12" s="1"/>
  <c r="X16" i="43"/>
  <c r="X14" i="43" s="1"/>
  <c r="W16" i="43"/>
  <c r="W14" i="43" s="1"/>
  <c r="V16" i="43"/>
  <c r="U35" i="12" s="1"/>
  <c r="U16" i="43"/>
  <c r="U14" i="43" s="1"/>
  <c r="T16" i="43"/>
  <c r="T14" i="43" s="1"/>
  <c r="S16" i="43"/>
  <c r="S14" i="43" s="1"/>
  <c r="R16" i="43"/>
  <c r="Q35" i="12" s="1"/>
  <c r="Q16" i="43"/>
  <c r="O16" i="43"/>
  <c r="O14" i="43" s="1"/>
  <c r="N16" i="43"/>
  <c r="N14" i="43" s="1"/>
  <c r="M16" i="43"/>
  <c r="M14" i="43" s="1"/>
  <c r="L16" i="43"/>
  <c r="L14" i="43" s="1"/>
  <c r="K16" i="43"/>
  <c r="K14" i="43" s="1"/>
  <c r="J16" i="43"/>
  <c r="I35" i="12" s="1"/>
  <c r="I16" i="43"/>
  <c r="I14" i="43" s="1"/>
  <c r="H16" i="43"/>
  <c r="H14" i="43" s="1"/>
  <c r="G16" i="43"/>
  <c r="G14" i="43" s="1"/>
  <c r="F16" i="43"/>
  <c r="E35" i="12" s="1"/>
  <c r="E16" i="43"/>
  <c r="D16" i="43" s="1"/>
  <c r="C35" i="12" s="1"/>
  <c r="D15" i="43"/>
  <c r="C35" i="11" s="1"/>
  <c r="AF14" i="43"/>
  <c r="P143" i="42"/>
  <c r="D143" i="42"/>
  <c r="P142" i="42"/>
  <c r="D142" i="42"/>
  <c r="P141" i="42"/>
  <c r="D141" i="42"/>
  <c r="P140" i="42"/>
  <c r="D140" i="42"/>
  <c r="P139" i="42"/>
  <c r="D139" i="42"/>
  <c r="P138" i="42"/>
  <c r="D138" i="42"/>
  <c r="P137" i="42"/>
  <c r="D137" i="42"/>
  <c r="P136" i="42"/>
  <c r="D136" i="42"/>
  <c r="P135" i="42"/>
  <c r="D135" i="42"/>
  <c r="P134" i="42"/>
  <c r="D134" i="42"/>
  <c r="P133" i="42"/>
  <c r="D133" i="42"/>
  <c r="P132" i="42"/>
  <c r="D132" i="42"/>
  <c r="P131" i="42"/>
  <c r="D131" i="42"/>
  <c r="P130" i="42"/>
  <c r="D130" i="42"/>
  <c r="P129" i="42"/>
  <c r="D129" i="42"/>
  <c r="P128" i="42"/>
  <c r="D128" i="42"/>
  <c r="P127" i="42"/>
  <c r="D127" i="42"/>
  <c r="P126" i="42"/>
  <c r="D126" i="42"/>
  <c r="P125" i="42"/>
  <c r="D125" i="42"/>
  <c r="P124" i="42"/>
  <c r="D124" i="42"/>
  <c r="P123" i="42"/>
  <c r="D123" i="42"/>
  <c r="P122" i="42"/>
  <c r="D122" i="42"/>
  <c r="P121" i="42"/>
  <c r="D121" i="42"/>
  <c r="P120" i="42"/>
  <c r="D120" i="42"/>
  <c r="P119" i="42"/>
  <c r="D119" i="42"/>
  <c r="P118" i="42"/>
  <c r="D118" i="42"/>
  <c r="P117" i="42"/>
  <c r="D117" i="42"/>
  <c r="P116" i="42"/>
  <c r="D116" i="42"/>
  <c r="AM54" i="42"/>
  <c r="AL54" i="42"/>
  <c r="AK34" i="14" s="1"/>
  <c r="AK54" i="42"/>
  <c r="AJ34" i="14" s="1"/>
  <c r="AJ54" i="42"/>
  <c r="AI54" i="42"/>
  <c r="AH34" i="14" s="1"/>
  <c r="AH54" i="42"/>
  <c r="AG34" i="14" s="1"/>
  <c r="AG54" i="42"/>
  <c r="AF34" i="14" s="1"/>
  <c r="AF54" i="42"/>
  <c r="AE34" i="14" s="1"/>
  <c r="AE54" i="42"/>
  <c r="AD54" i="42"/>
  <c r="AC34" i="14" s="1"/>
  <c r="AC54" i="42"/>
  <c r="AB34" i="14" s="1"/>
  <c r="AB54" i="42"/>
  <c r="AA54" i="42"/>
  <c r="Z34" i="14" s="1"/>
  <c r="Z54" i="42"/>
  <c r="Y34" i="14" s="1"/>
  <c r="Y54" i="42"/>
  <c r="X34" i="14" s="1"/>
  <c r="X54" i="42"/>
  <c r="W34" i="14" s="1"/>
  <c r="W54" i="42"/>
  <c r="V54" i="42"/>
  <c r="U34" i="14" s="1"/>
  <c r="U54" i="42"/>
  <c r="T34" i="14" s="1"/>
  <c r="T54" i="42"/>
  <c r="S54" i="42"/>
  <c r="R34" i="14" s="1"/>
  <c r="R54" i="42"/>
  <c r="Q34" i="14" s="1"/>
  <c r="Q54" i="42"/>
  <c r="P34" i="14" s="1"/>
  <c r="O54" i="42"/>
  <c r="N34" i="14" s="1"/>
  <c r="N54" i="42"/>
  <c r="M34" i="14" s="1"/>
  <c r="M54" i="42"/>
  <c r="L34" i="14" s="1"/>
  <c r="L54" i="42"/>
  <c r="K34" i="14" s="1"/>
  <c r="K54" i="42"/>
  <c r="J54" i="42"/>
  <c r="I34" i="14" s="1"/>
  <c r="I54" i="42"/>
  <c r="H34" i="14" s="1"/>
  <c r="H54" i="42"/>
  <c r="G34" i="14" s="1"/>
  <c r="G54" i="42"/>
  <c r="F54" i="42"/>
  <c r="E34" i="14" s="1"/>
  <c r="E54" i="42"/>
  <c r="D34" i="14" s="1"/>
  <c r="P53" i="42"/>
  <c r="P52" i="42"/>
  <c r="P51" i="42"/>
  <c r="P50" i="42"/>
  <c r="P49" i="42"/>
  <c r="P48" i="42"/>
  <c r="P47" i="42"/>
  <c r="P46" i="42"/>
  <c r="P45" i="42"/>
  <c r="P44" i="42"/>
  <c r="P43" i="42"/>
  <c r="P42" i="42"/>
  <c r="P41" i="42"/>
  <c r="D41" i="42"/>
  <c r="AM33" i="42"/>
  <c r="AL34" i="13" s="1"/>
  <c r="AL33" i="42"/>
  <c r="AK34" i="13" s="1"/>
  <c r="AK33" i="42"/>
  <c r="AJ33" i="42"/>
  <c r="AI34" i="13" s="1"/>
  <c r="AI33" i="42"/>
  <c r="AH34" i="13" s="1"/>
  <c r="AH33" i="42"/>
  <c r="AG34" i="13" s="1"/>
  <c r="AG33" i="42"/>
  <c r="AF33" i="42"/>
  <c r="AE34" i="13" s="1"/>
  <c r="AE33" i="42"/>
  <c r="AD34" i="13" s="1"/>
  <c r="AD33" i="42"/>
  <c r="AC33" i="42"/>
  <c r="AB33" i="42"/>
  <c r="AA34" i="13" s="1"/>
  <c r="AA33" i="42"/>
  <c r="Z34" i="13" s="1"/>
  <c r="Z33" i="42"/>
  <c r="Y34" i="13" s="1"/>
  <c r="Y33" i="42"/>
  <c r="X34" i="13" s="1"/>
  <c r="X33" i="42"/>
  <c r="W34" i="13" s="1"/>
  <c r="W33" i="42"/>
  <c r="V34" i="13" s="1"/>
  <c r="V33" i="42"/>
  <c r="U34" i="13" s="1"/>
  <c r="U33" i="42"/>
  <c r="T33" i="42"/>
  <c r="S34" i="13" s="1"/>
  <c r="S33" i="42"/>
  <c r="R33" i="42"/>
  <c r="Q34" i="13" s="1"/>
  <c r="Q33" i="42"/>
  <c r="O33" i="42"/>
  <c r="N34" i="13" s="1"/>
  <c r="N33" i="42"/>
  <c r="M34" i="13" s="1"/>
  <c r="M33" i="42"/>
  <c r="L34" i="13" s="1"/>
  <c r="L33" i="42"/>
  <c r="K34" i="13" s="1"/>
  <c r="K33" i="42"/>
  <c r="J34" i="13" s="1"/>
  <c r="J33" i="42"/>
  <c r="I33" i="42"/>
  <c r="H34" i="13" s="1"/>
  <c r="H33" i="42"/>
  <c r="G33" i="42"/>
  <c r="F34" i="13" s="1"/>
  <c r="F33" i="42"/>
  <c r="E34" i="13" s="1"/>
  <c r="E33" i="42"/>
  <c r="D34" i="13" s="1"/>
  <c r="P32" i="42"/>
  <c r="D32" i="42"/>
  <c r="P31" i="42"/>
  <c r="D31" i="42"/>
  <c r="P30" i="42"/>
  <c r="D30" i="42"/>
  <c r="P29" i="42"/>
  <c r="D29" i="42"/>
  <c r="P28" i="42"/>
  <c r="D28" i="42"/>
  <c r="P27" i="42"/>
  <c r="D27" i="42"/>
  <c r="P26" i="42"/>
  <c r="D26" i="42"/>
  <c r="P25" i="42"/>
  <c r="D25" i="42"/>
  <c r="P24" i="42"/>
  <c r="D24" i="42"/>
  <c r="P23" i="42"/>
  <c r="D23" i="42"/>
  <c r="P22" i="42"/>
  <c r="D22" i="42"/>
  <c r="P21" i="42"/>
  <c r="D21" i="42"/>
  <c r="P20" i="42"/>
  <c r="D20" i="42"/>
  <c r="AM16" i="42"/>
  <c r="AL34" i="12" s="1"/>
  <c r="AL16" i="42"/>
  <c r="AL14" i="42" s="1"/>
  <c r="AK16" i="42"/>
  <c r="AK14" i="42" s="1"/>
  <c r="AJ16" i="42"/>
  <c r="AI34" i="12" s="1"/>
  <c r="AI16" i="42"/>
  <c r="AH34" i="12" s="1"/>
  <c r="AH16" i="42"/>
  <c r="AG16" i="42"/>
  <c r="AG14" i="42" s="1"/>
  <c r="AF16" i="42"/>
  <c r="AE34" i="12" s="1"/>
  <c r="AE16" i="42"/>
  <c r="AD34" i="12" s="1"/>
  <c r="AD16" i="42"/>
  <c r="AC16" i="42"/>
  <c r="AC14" i="42" s="1"/>
  <c r="AB16" i="42"/>
  <c r="AA34" i="12" s="1"/>
  <c r="AA16" i="42"/>
  <c r="Z34" i="12" s="1"/>
  <c r="Z16" i="42"/>
  <c r="Z14" i="42" s="1"/>
  <c r="Y16" i="42"/>
  <c r="Y14" i="42" s="1"/>
  <c r="X16" i="42"/>
  <c r="X14" i="42" s="1"/>
  <c r="W16" i="42"/>
  <c r="V34" i="12" s="1"/>
  <c r="V16" i="42"/>
  <c r="V14" i="42" s="1"/>
  <c r="U16" i="42"/>
  <c r="U14" i="42" s="1"/>
  <c r="T16" i="42"/>
  <c r="S34" i="12" s="1"/>
  <c r="S16" i="42"/>
  <c r="R34" i="12" s="1"/>
  <c r="R16" i="42"/>
  <c r="Q16" i="42"/>
  <c r="Q14" i="42" s="1"/>
  <c r="O16" i="42"/>
  <c r="N34" i="12" s="1"/>
  <c r="N16" i="42"/>
  <c r="M34" i="12" s="1"/>
  <c r="M16" i="42"/>
  <c r="M14" i="42" s="1"/>
  <c r="L16" i="42"/>
  <c r="L14" i="42" s="1"/>
  <c r="K16" i="42"/>
  <c r="J34" i="12" s="1"/>
  <c r="J16" i="42"/>
  <c r="J14" i="42" s="1"/>
  <c r="I16" i="42"/>
  <c r="I14" i="42" s="1"/>
  <c r="H16" i="42"/>
  <c r="G34" i="12" s="1"/>
  <c r="G16" i="42"/>
  <c r="F34" i="12" s="1"/>
  <c r="F16" i="42"/>
  <c r="F14" i="42" s="1"/>
  <c r="E16" i="42"/>
  <c r="E14" i="42" s="1"/>
  <c r="D15" i="42"/>
  <c r="C34" i="11" s="1"/>
  <c r="P143" i="41"/>
  <c r="D143" i="41"/>
  <c r="P142" i="41"/>
  <c r="D142" i="41"/>
  <c r="P141" i="41"/>
  <c r="D141" i="41"/>
  <c r="P140" i="41"/>
  <c r="D140" i="41"/>
  <c r="P139" i="41"/>
  <c r="D139" i="41"/>
  <c r="P138" i="41"/>
  <c r="D138" i="41"/>
  <c r="P137" i="41"/>
  <c r="D137" i="41"/>
  <c r="P136" i="41"/>
  <c r="D136" i="41"/>
  <c r="P135" i="41"/>
  <c r="D135" i="41"/>
  <c r="P134" i="41"/>
  <c r="D134" i="41"/>
  <c r="P133" i="41"/>
  <c r="D133" i="41"/>
  <c r="P132" i="41"/>
  <c r="D132" i="41"/>
  <c r="P131" i="41"/>
  <c r="D131" i="41"/>
  <c r="P130" i="41"/>
  <c r="D130" i="41"/>
  <c r="P129" i="41"/>
  <c r="D129" i="41"/>
  <c r="P128" i="41"/>
  <c r="D128" i="41"/>
  <c r="P127" i="41"/>
  <c r="D127" i="41"/>
  <c r="P126" i="41"/>
  <c r="D126" i="41"/>
  <c r="P125" i="41"/>
  <c r="D125" i="41"/>
  <c r="P124" i="41"/>
  <c r="D124" i="41"/>
  <c r="P123" i="41"/>
  <c r="D123" i="41"/>
  <c r="P122" i="41"/>
  <c r="D122" i="41"/>
  <c r="P121" i="41"/>
  <c r="D121" i="41"/>
  <c r="P120" i="41"/>
  <c r="D120" i="41"/>
  <c r="P119" i="41"/>
  <c r="D119" i="41"/>
  <c r="P118" i="41"/>
  <c r="D118" i="41"/>
  <c r="P117" i="41"/>
  <c r="D117" i="41"/>
  <c r="P116" i="41"/>
  <c r="D116" i="41"/>
  <c r="P115" i="41"/>
  <c r="D115" i="41"/>
  <c r="P114" i="41"/>
  <c r="D114" i="41"/>
  <c r="P113" i="41"/>
  <c r="D113" i="41"/>
  <c r="P112" i="41"/>
  <c r="D112" i="41"/>
  <c r="P111" i="41"/>
  <c r="D111" i="41"/>
  <c r="P110" i="41"/>
  <c r="D110" i="41"/>
  <c r="P109" i="41"/>
  <c r="D109" i="41"/>
  <c r="P108" i="41"/>
  <c r="D108" i="41"/>
  <c r="P107" i="41"/>
  <c r="D107" i="41"/>
  <c r="P106" i="41"/>
  <c r="D106" i="41"/>
  <c r="AM54" i="41"/>
  <c r="AL33" i="14" s="1"/>
  <c r="AL54" i="41"/>
  <c r="AK33" i="14" s="1"/>
  <c r="AK54" i="41"/>
  <c r="AJ33" i="14" s="1"/>
  <c r="AJ54" i="41"/>
  <c r="AI33" i="14" s="1"/>
  <c r="AI54" i="41"/>
  <c r="AH54" i="41"/>
  <c r="AG54" i="41"/>
  <c r="AF33" i="14" s="1"/>
  <c r="AF54" i="41"/>
  <c r="AE33" i="14" s="1"/>
  <c r="AE54" i="41"/>
  <c r="AD33" i="14" s="1"/>
  <c r="AD54" i="41"/>
  <c r="AC33" i="14" s="1"/>
  <c r="AC54" i="41"/>
  <c r="AB33" i="14" s="1"/>
  <c r="AB54" i="41"/>
  <c r="AA33" i="14" s="1"/>
  <c r="AA54" i="41"/>
  <c r="Z54" i="41"/>
  <c r="Y54" i="41"/>
  <c r="X33" i="14" s="1"/>
  <c r="X54" i="41"/>
  <c r="W33" i="14" s="1"/>
  <c r="W54" i="41"/>
  <c r="V33" i="14" s="1"/>
  <c r="V54" i="41"/>
  <c r="U33" i="14" s="1"/>
  <c r="U54" i="41"/>
  <c r="T33" i="14" s="1"/>
  <c r="T54" i="41"/>
  <c r="S33" i="14" s="1"/>
  <c r="S54" i="41"/>
  <c r="R54" i="41"/>
  <c r="Q54" i="41"/>
  <c r="P33" i="14" s="1"/>
  <c r="O54" i="41"/>
  <c r="N33" i="14" s="1"/>
  <c r="N54" i="41"/>
  <c r="M33" i="14" s="1"/>
  <c r="M54" i="41"/>
  <c r="L33" i="14" s="1"/>
  <c r="L54" i="41"/>
  <c r="K33" i="14" s="1"/>
  <c r="K54" i="41"/>
  <c r="J54" i="41"/>
  <c r="I54" i="41"/>
  <c r="H33" i="14" s="1"/>
  <c r="H54" i="41"/>
  <c r="G33" i="14" s="1"/>
  <c r="G54" i="41"/>
  <c r="F33" i="14" s="1"/>
  <c r="F54" i="41"/>
  <c r="E33" i="14" s="1"/>
  <c r="E54" i="41"/>
  <c r="D33" i="14" s="1"/>
  <c r="P53" i="41"/>
  <c r="P52" i="41"/>
  <c r="P51" i="41"/>
  <c r="P50" i="41"/>
  <c r="P49" i="41"/>
  <c r="P48" i="41"/>
  <c r="P47" i="41"/>
  <c r="P46" i="41"/>
  <c r="P45" i="41"/>
  <c r="P44" i="41"/>
  <c r="P43" i="41"/>
  <c r="P42" i="41"/>
  <c r="P41" i="41"/>
  <c r="D41" i="41"/>
  <c r="P40" i="41"/>
  <c r="D40" i="41"/>
  <c r="P39" i="41"/>
  <c r="D39" i="41"/>
  <c r="P38" i="41"/>
  <c r="D38" i="41"/>
  <c r="P37" i="41"/>
  <c r="D37" i="41"/>
  <c r="P36" i="41"/>
  <c r="D36" i="41"/>
  <c r="AM33" i="41"/>
  <c r="AL33" i="13" s="1"/>
  <c r="AL33" i="41"/>
  <c r="AK33" i="13" s="1"/>
  <c r="AK33" i="41"/>
  <c r="AJ33" i="13" s="1"/>
  <c r="AJ33" i="41"/>
  <c r="AI33" i="13" s="1"/>
  <c r="AI33" i="41"/>
  <c r="AH33" i="13" s="1"/>
  <c r="AH33" i="41"/>
  <c r="AG33" i="13" s="1"/>
  <c r="AG33" i="41"/>
  <c r="AF33" i="13" s="1"/>
  <c r="AF33" i="41"/>
  <c r="AE33" i="13" s="1"/>
  <c r="AE33" i="41"/>
  <c r="AD33" i="13" s="1"/>
  <c r="AD33" i="41"/>
  <c r="AC33" i="13" s="1"/>
  <c r="AC33" i="41"/>
  <c r="AB33" i="13" s="1"/>
  <c r="AB33" i="41"/>
  <c r="AA33" i="13" s="1"/>
  <c r="AA33" i="41"/>
  <c r="Z33" i="13" s="1"/>
  <c r="Z33" i="41"/>
  <c r="Y33" i="13" s="1"/>
  <c r="Y33" i="41"/>
  <c r="X33" i="13" s="1"/>
  <c r="X33" i="41"/>
  <c r="W33" i="13" s="1"/>
  <c r="W33" i="41"/>
  <c r="V33" i="13" s="1"/>
  <c r="V33" i="41"/>
  <c r="U33" i="13" s="1"/>
  <c r="U33" i="41"/>
  <c r="T33" i="13" s="1"/>
  <c r="T33" i="41"/>
  <c r="S33" i="13" s="1"/>
  <c r="S33" i="41"/>
  <c r="R33" i="13" s="1"/>
  <c r="R33" i="41"/>
  <c r="Q33" i="13" s="1"/>
  <c r="Q33" i="41"/>
  <c r="P33" i="13" s="1"/>
  <c r="O33" i="41"/>
  <c r="N33" i="13" s="1"/>
  <c r="N33" i="41"/>
  <c r="M33" i="13" s="1"/>
  <c r="M33" i="41"/>
  <c r="L33" i="13" s="1"/>
  <c r="L33" i="41"/>
  <c r="K33" i="13" s="1"/>
  <c r="K33" i="41"/>
  <c r="J33" i="13" s="1"/>
  <c r="J33" i="41"/>
  <c r="I33" i="13" s="1"/>
  <c r="I33" i="41"/>
  <c r="H33" i="13" s="1"/>
  <c r="H33" i="41"/>
  <c r="G33" i="41"/>
  <c r="F33" i="13" s="1"/>
  <c r="F33" i="41"/>
  <c r="E33" i="13" s="1"/>
  <c r="E33" i="41"/>
  <c r="P32" i="41"/>
  <c r="D32" i="41"/>
  <c r="P31" i="41"/>
  <c r="D31" i="41"/>
  <c r="P30" i="41"/>
  <c r="D30" i="41"/>
  <c r="P29" i="41"/>
  <c r="D29" i="41"/>
  <c r="P28" i="41"/>
  <c r="D28" i="41"/>
  <c r="P27" i="41"/>
  <c r="D27" i="41"/>
  <c r="P26" i="41"/>
  <c r="D26" i="41"/>
  <c r="P25" i="41"/>
  <c r="D25" i="41"/>
  <c r="P24" i="41"/>
  <c r="D24" i="41"/>
  <c r="P23" i="41"/>
  <c r="D23" i="41"/>
  <c r="P22" i="41"/>
  <c r="D22" i="41"/>
  <c r="P21" i="41"/>
  <c r="D21" i="41"/>
  <c r="P20" i="41"/>
  <c r="D20" i="41"/>
  <c r="P19" i="41"/>
  <c r="D19" i="41"/>
  <c r="AM16" i="41"/>
  <c r="AM14" i="41" s="1"/>
  <c r="AL16" i="41"/>
  <c r="AL14" i="41" s="1"/>
  <c r="AK16" i="41"/>
  <c r="AJ33" i="12" s="1"/>
  <c r="AJ16" i="41"/>
  <c r="AI33" i="12" s="1"/>
  <c r="AI16" i="41"/>
  <c r="AI14" i="41" s="1"/>
  <c r="AH16" i="41"/>
  <c r="AH14" i="41" s="1"/>
  <c r="AG16" i="41"/>
  <c r="AF33" i="12" s="1"/>
  <c r="AF16" i="41"/>
  <c r="AE16" i="41"/>
  <c r="AE14" i="41" s="1"/>
  <c r="AD16" i="41"/>
  <c r="AD14" i="41" s="1"/>
  <c r="AC16" i="41"/>
  <c r="AB33" i="12" s="1"/>
  <c r="AB16" i="41"/>
  <c r="AA16" i="41"/>
  <c r="AA14" i="41" s="1"/>
  <c r="Z16" i="41"/>
  <c r="Z14" i="41" s="1"/>
  <c r="Y16" i="41"/>
  <c r="X33" i="12" s="1"/>
  <c r="X16" i="41"/>
  <c r="W16" i="41"/>
  <c r="W14" i="41" s="1"/>
  <c r="V16" i="41"/>
  <c r="V14" i="41" s="1"/>
  <c r="U16" i="41"/>
  <c r="T33" i="12" s="1"/>
  <c r="T16" i="41"/>
  <c r="S33" i="12" s="1"/>
  <c r="S16" i="41"/>
  <c r="S14" i="41" s="1"/>
  <c r="R16" i="41"/>
  <c r="Q33" i="12" s="1"/>
  <c r="Q16" i="41"/>
  <c r="P33" i="12" s="1"/>
  <c r="O16" i="41"/>
  <c r="N16" i="41"/>
  <c r="M16" i="41"/>
  <c r="L33" i="12" s="1"/>
  <c r="L16" i="41"/>
  <c r="K16" i="41"/>
  <c r="J16" i="41"/>
  <c r="I16" i="41"/>
  <c r="H33" i="12" s="1"/>
  <c r="H16" i="41"/>
  <c r="G33" i="12" s="1"/>
  <c r="G16" i="41"/>
  <c r="F16" i="41"/>
  <c r="E16" i="41"/>
  <c r="D33" i="12" s="1"/>
  <c r="D15" i="41"/>
  <c r="P143" i="40"/>
  <c r="D143" i="40"/>
  <c r="P142" i="40"/>
  <c r="D142" i="40"/>
  <c r="P141" i="40"/>
  <c r="D141" i="40"/>
  <c r="P140" i="40"/>
  <c r="D140" i="40"/>
  <c r="P139" i="40"/>
  <c r="D139" i="40"/>
  <c r="P138" i="40"/>
  <c r="D138" i="40"/>
  <c r="P137" i="40"/>
  <c r="D137" i="40"/>
  <c r="P136" i="40"/>
  <c r="D136" i="40"/>
  <c r="P135" i="40"/>
  <c r="D135" i="40"/>
  <c r="P134" i="40"/>
  <c r="D134" i="40"/>
  <c r="P133" i="40"/>
  <c r="D133" i="40"/>
  <c r="P132" i="40"/>
  <c r="D132" i="40"/>
  <c r="P131" i="40"/>
  <c r="D131" i="40"/>
  <c r="P130" i="40"/>
  <c r="D130" i="40"/>
  <c r="P129" i="40"/>
  <c r="D129" i="40"/>
  <c r="P128" i="40"/>
  <c r="D128" i="40"/>
  <c r="P127" i="40"/>
  <c r="D127" i="40"/>
  <c r="P126" i="40"/>
  <c r="D126" i="40"/>
  <c r="P125" i="40"/>
  <c r="D125" i="40"/>
  <c r="P124" i="40"/>
  <c r="D124" i="40"/>
  <c r="P123" i="40"/>
  <c r="D123" i="40"/>
  <c r="P122" i="40"/>
  <c r="D122" i="40"/>
  <c r="P121" i="40"/>
  <c r="D121" i="40"/>
  <c r="P120" i="40"/>
  <c r="D120" i="40"/>
  <c r="P119" i="40"/>
  <c r="D119" i="40"/>
  <c r="P118" i="40"/>
  <c r="D118" i="40"/>
  <c r="P117" i="40"/>
  <c r="D117" i="40"/>
  <c r="P116" i="40"/>
  <c r="D116" i="40"/>
  <c r="P115" i="40"/>
  <c r="D115" i="40"/>
  <c r="P114" i="40"/>
  <c r="D114" i="40"/>
  <c r="AM54" i="40"/>
  <c r="AL54" i="40"/>
  <c r="AK46" i="14" s="1"/>
  <c r="AK54" i="40"/>
  <c r="AJ46" i="14" s="1"/>
  <c r="AJ54" i="40"/>
  <c r="AI46" i="14" s="1"/>
  <c r="AI54" i="40"/>
  <c r="AH46" i="14" s="1"/>
  <c r="AH54" i="40"/>
  <c r="AG46" i="14" s="1"/>
  <c r="AG54" i="40"/>
  <c r="AF46" i="14" s="1"/>
  <c r="AF54" i="40"/>
  <c r="AE46" i="14" s="1"/>
  <c r="AE54" i="40"/>
  <c r="AD54" i="40"/>
  <c r="AC46" i="14" s="1"/>
  <c r="AC54" i="40"/>
  <c r="AB46" i="14" s="1"/>
  <c r="AB54" i="40"/>
  <c r="AA46" i="14" s="1"/>
  <c r="AA54" i="40"/>
  <c r="Z46" i="14" s="1"/>
  <c r="Z54" i="40"/>
  <c r="Y46" i="14" s="1"/>
  <c r="Y54" i="40"/>
  <c r="X46" i="14" s="1"/>
  <c r="X54" i="40"/>
  <c r="W46" i="14" s="1"/>
  <c r="W54" i="40"/>
  <c r="V46" i="14" s="1"/>
  <c r="V54" i="40"/>
  <c r="U46" i="14" s="1"/>
  <c r="U54" i="40"/>
  <c r="T46" i="14" s="1"/>
  <c r="T54" i="40"/>
  <c r="S46" i="14" s="1"/>
  <c r="S54" i="40"/>
  <c r="R46" i="14" s="1"/>
  <c r="R54" i="40"/>
  <c r="Q46" i="14" s="1"/>
  <c r="Q54" i="40"/>
  <c r="P46" i="14" s="1"/>
  <c r="O54" i="40"/>
  <c r="N46" i="14" s="1"/>
  <c r="N54" i="40"/>
  <c r="M54" i="40"/>
  <c r="L46" i="14" s="1"/>
  <c r="L54" i="40"/>
  <c r="K46" i="14" s="1"/>
  <c r="K54" i="40"/>
  <c r="J54" i="40"/>
  <c r="I54" i="40"/>
  <c r="H46" i="14" s="1"/>
  <c r="H54" i="40"/>
  <c r="G46" i="14" s="1"/>
  <c r="G54" i="40"/>
  <c r="F46" i="14" s="1"/>
  <c r="F54" i="40"/>
  <c r="E46" i="14" s="1"/>
  <c r="E54" i="40"/>
  <c r="D46" i="14" s="1"/>
  <c r="P53" i="40"/>
  <c r="P52" i="40"/>
  <c r="P51" i="40"/>
  <c r="P50" i="40"/>
  <c r="P49" i="40"/>
  <c r="P48" i="40"/>
  <c r="P47" i="40"/>
  <c r="P46" i="40"/>
  <c r="P45" i="40"/>
  <c r="P44" i="40"/>
  <c r="P43" i="40"/>
  <c r="P42" i="40"/>
  <c r="P41" i="40"/>
  <c r="D41" i="40"/>
  <c r="P40" i="40"/>
  <c r="D40" i="40"/>
  <c r="P39" i="40"/>
  <c r="D39" i="40"/>
  <c r="P38" i="40"/>
  <c r="D38" i="40"/>
  <c r="AM33" i="40"/>
  <c r="AL46" i="13" s="1"/>
  <c r="AL33" i="40"/>
  <c r="AK46" i="13" s="1"/>
  <c r="AK33" i="40"/>
  <c r="AJ33" i="40"/>
  <c r="AI46" i="13" s="1"/>
  <c r="AI33" i="40"/>
  <c r="AH33" i="40"/>
  <c r="AG46" i="13" s="1"/>
  <c r="AG33" i="40"/>
  <c r="AF46" i="13" s="1"/>
  <c r="AF33" i="40"/>
  <c r="AE46" i="13" s="1"/>
  <c r="AE33" i="40"/>
  <c r="AD46" i="13" s="1"/>
  <c r="AD33" i="40"/>
  <c r="AC46" i="13" s="1"/>
  <c r="AC33" i="40"/>
  <c r="AB33" i="40"/>
  <c r="AA46" i="13" s="1"/>
  <c r="AA33" i="40"/>
  <c r="Z33" i="40"/>
  <c r="Y46" i="13" s="1"/>
  <c r="Y33" i="40"/>
  <c r="X46" i="13" s="1"/>
  <c r="X33" i="40"/>
  <c r="W46" i="13" s="1"/>
  <c r="W33" i="40"/>
  <c r="V46" i="13" s="1"/>
  <c r="V33" i="40"/>
  <c r="U46" i="13" s="1"/>
  <c r="U33" i="40"/>
  <c r="T33" i="40"/>
  <c r="S46" i="13" s="1"/>
  <c r="S33" i="40"/>
  <c r="R33" i="40"/>
  <c r="Q33" i="40"/>
  <c r="P46" i="13" s="1"/>
  <c r="O33" i="40"/>
  <c r="N46" i="13" s="1"/>
  <c r="N33" i="40"/>
  <c r="M46" i="13" s="1"/>
  <c r="M33" i="40"/>
  <c r="L46" i="13" s="1"/>
  <c r="L33" i="40"/>
  <c r="K46" i="13" s="1"/>
  <c r="K33" i="40"/>
  <c r="J46" i="13" s="1"/>
  <c r="J33" i="40"/>
  <c r="I33" i="40"/>
  <c r="H33" i="40"/>
  <c r="G46" i="13" s="1"/>
  <c r="G33" i="40"/>
  <c r="F46" i="13" s="1"/>
  <c r="F33" i="40"/>
  <c r="E46" i="13" s="1"/>
  <c r="E33" i="40"/>
  <c r="P32" i="40"/>
  <c r="D32" i="40"/>
  <c r="P31" i="40"/>
  <c r="D31" i="40"/>
  <c r="P30" i="40"/>
  <c r="D30" i="40"/>
  <c r="P29" i="40"/>
  <c r="D29" i="40"/>
  <c r="P28" i="40"/>
  <c r="D28" i="40"/>
  <c r="P27" i="40"/>
  <c r="D27" i="40"/>
  <c r="P26" i="40"/>
  <c r="D26" i="40"/>
  <c r="P25" i="40"/>
  <c r="D25" i="40"/>
  <c r="P24" i="40"/>
  <c r="D24" i="40"/>
  <c r="P23" i="40"/>
  <c r="D23" i="40"/>
  <c r="P22" i="40"/>
  <c r="D22" i="40"/>
  <c r="P21" i="40"/>
  <c r="D21" i="40"/>
  <c r="P20" i="40"/>
  <c r="D20" i="40"/>
  <c r="AM16" i="40"/>
  <c r="AL16" i="40"/>
  <c r="AK46" i="12" s="1"/>
  <c r="AK16" i="40"/>
  <c r="AK14" i="40" s="1"/>
  <c r="AJ16" i="40"/>
  <c r="AI16" i="40"/>
  <c r="AH46" i="12" s="1"/>
  <c r="AH16" i="40"/>
  <c r="AG16" i="40"/>
  <c r="AG14" i="40" s="1"/>
  <c r="AF16" i="40"/>
  <c r="AE16" i="40"/>
  <c r="AD46" i="12" s="1"/>
  <c r="AD16" i="40"/>
  <c r="AC46" i="12" s="1"/>
  <c r="AC16" i="40"/>
  <c r="AC14" i="40" s="1"/>
  <c r="AB16" i="40"/>
  <c r="AA16" i="40"/>
  <c r="Z46" i="12" s="1"/>
  <c r="Z16" i="40"/>
  <c r="Y16" i="40"/>
  <c r="Y14" i="40" s="1"/>
  <c r="X16" i="40"/>
  <c r="W16" i="40"/>
  <c r="V16" i="40"/>
  <c r="U46" i="12" s="1"/>
  <c r="U16" i="40"/>
  <c r="U14" i="40" s="1"/>
  <c r="T16" i="40"/>
  <c r="S16" i="40"/>
  <c r="R46" i="12" s="1"/>
  <c r="R16" i="40"/>
  <c r="Q16" i="40"/>
  <c r="Q14" i="40" s="1"/>
  <c r="O16" i="40"/>
  <c r="N46" i="12" s="1"/>
  <c r="N16" i="40"/>
  <c r="M46" i="12" s="1"/>
  <c r="M16" i="40"/>
  <c r="L16" i="40"/>
  <c r="L14" i="40" s="1"/>
  <c r="K16" i="40"/>
  <c r="J46" i="12" s="1"/>
  <c r="J16" i="40"/>
  <c r="I16" i="40"/>
  <c r="H16" i="40"/>
  <c r="H14" i="40" s="1"/>
  <c r="G16" i="40"/>
  <c r="F16" i="40"/>
  <c r="E46" i="12" s="1"/>
  <c r="E16" i="40"/>
  <c r="D15" i="40"/>
  <c r="C46" i="11" s="1"/>
  <c r="W14" i="40"/>
  <c r="AK44" i="14"/>
  <c r="AJ44" i="14"/>
  <c r="AG44" i="14"/>
  <c r="AF44" i="14"/>
  <c r="AC44" i="14"/>
  <c r="AB44" i="14"/>
  <c r="Y44" i="14"/>
  <c r="X44" i="14"/>
  <c r="U44" i="14"/>
  <c r="T44" i="14"/>
  <c r="Q44" i="14"/>
  <c r="P44" i="14"/>
  <c r="M44" i="14"/>
  <c r="L44" i="14"/>
  <c r="I44" i="14"/>
  <c r="H44" i="14"/>
  <c r="E44" i="14"/>
  <c r="D44" i="14"/>
  <c r="P53" i="39"/>
  <c r="P52" i="39"/>
  <c r="P51" i="39"/>
  <c r="P50" i="39"/>
  <c r="P49" i="39"/>
  <c r="P48" i="39"/>
  <c r="P47" i="39"/>
  <c r="P46" i="39"/>
  <c r="P45" i="39"/>
  <c r="P44" i="39"/>
  <c r="P43" i="39"/>
  <c r="P42" i="39"/>
  <c r="P41" i="39"/>
  <c r="D41" i="39"/>
  <c r="P40" i="39"/>
  <c r="D40" i="39"/>
  <c r="AM33" i="39"/>
  <c r="AL44" i="13" s="1"/>
  <c r="AL33" i="39"/>
  <c r="AK44" i="13" s="1"/>
  <c r="AK33" i="39"/>
  <c r="AJ44" i="13" s="1"/>
  <c r="AJ33" i="39"/>
  <c r="AI44" i="13" s="1"/>
  <c r="AI33" i="39"/>
  <c r="AH44" i="13" s="1"/>
  <c r="AH33" i="39"/>
  <c r="AG44" i="13" s="1"/>
  <c r="AG33" i="39"/>
  <c r="AF44" i="13" s="1"/>
  <c r="AF33" i="39"/>
  <c r="AE44" i="13" s="1"/>
  <c r="AE33" i="39"/>
  <c r="AD44" i="13" s="1"/>
  <c r="AD33" i="39"/>
  <c r="AC44" i="13" s="1"/>
  <c r="AC33" i="39"/>
  <c r="AB33" i="39"/>
  <c r="AA44" i="13" s="1"/>
  <c r="AA33" i="39"/>
  <c r="Z44" i="13" s="1"/>
  <c r="Z33" i="39"/>
  <c r="Y44" i="13" s="1"/>
  <c r="Y33" i="39"/>
  <c r="X44" i="13" s="1"/>
  <c r="X33" i="39"/>
  <c r="W44" i="13" s="1"/>
  <c r="W33" i="39"/>
  <c r="V44" i="13" s="1"/>
  <c r="V33" i="39"/>
  <c r="U44" i="13" s="1"/>
  <c r="U33" i="39"/>
  <c r="T44" i="13" s="1"/>
  <c r="T33" i="39"/>
  <c r="S44" i="13" s="1"/>
  <c r="S33" i="39"/>
  <c r="R44" i="13" s="1"/>
  <c r="R33" i="39"/>
  <c r="Q44" i="13" s="1"/>
  <c r="Q33" i="39"/>
  <c r="P33" i="39" s="1"/>
  <c r="O44" i="13" s="1"/>
  <c r="O33" i="39"/>
  <c r="N44" i="13" s="1"/>
  <c r="N33" i="39"/>
  <c r="M44" i="13" s="1"/>
  <c r="M33" i="39"/>
  <c r="L33" i="39"/>
  <c r="K44" i="13" s="1"/>
  <c r="K33" i="39"/>
  <c r="J44" i="13" s="1"/>
  <c r="J33" i="39"/>
  <c r="I44" i="13" s="1"/>
  <c r="I33" i="39"/>
  <c r="H44" i="13" s="1"/>
  <c r="H33" i="39"/>
  <c r="G44" i="13" s="1"/>
  <c r="G33" i="39"/>
  <c r="F44" i="13" s="1"/>
  <c r="F33" i="39"/>
  <c r="E44" i="13" s="1"/>
  <c r="E33" i="39"/>
  <c r="P32" i="39"/>
  <c r="D32" i="39"/>
  <c r="P31" i="39"/>
  <c r="D31" i="39"/>
  <c r="P30" i="39"/>
  <c r="D30" i="39"/>
  <c r="P29" i="39"/>
  <c r="D29" i="39"/>
  <c r="P28" i="39"/>
  <c r="D28" i="39"/>
  <c r="P27" i="39"/>
  <c r="D27" i="39"/>
  <c r="P26" i="39"/>
  <c r="D26" i="39"/>
  <c r="P25" i="39"/>
  <c r="D25" i="39"/>
  <c r="P24" i="39"/>
  <c r="D24" i="39"/>
  <c r="P23" i="39"/>
  <c r="D23" i="39"/>
  <c r="P22" i="39"/>
  <c r="D22" i="39"/>
  <c r="P21" i="39"/>
  <c r="D21" i="39"/>
  <c r="P20" i="39"/>
  <c r="D20" i="39"/>
  <c r="AM16" i="39"/>
  <c r="AM14" i="39" s="1"/>
  <c r="AL16" i="39"/>
  <c r="AL14" i="39" s="1"/>
  <c r="AK16" i="39"/>
  <c r="AJ44" i="12" s="1"/>
  <c r="AJ16" i="39"/>
  <c r="AI44" i="12" s="1"/>
  <c r="AI16" i="39"/>
  <c r="AI14" i="39" s="1"/>
  <c r="AH16" i="39"/>
  <c r="AH14" i="39" s="1"/>
  <c r="AG16" i="39"/>
  <c r="AG14" i="39" s="1"/>
  <c r="AF16" i="39"/>
  <c r="AE44" i="12" s="1"/>
  <c r="AE16" i="39"/>
  <c r="AE14" i="39" s="1"/>
  <c r="AD16" i="39"/>
  <c r="AD14" i="39" s="1"/>
  <c r="AC16" i="39"/>
  <c r="AB44" i="12" s="1"/>
  <c r="AB16" i="39"/>
  <c r="AA44" i="12" s="1"/>
  <c r="AA16" i="39"/>
  <c r="AA14" i="39" s="1"/>
  <c r="Z16" i="39"/>
  <c r="Z14" i="39" s="1"/>
  <c r="Y16" i="39"/>
  <c r="Y14" i="39" s="1"/>
  <c r="X16" i="39"/>
  <c r="W44" i="12" s="1"/>
  <c r="W16" i="39"/>
  <c r="W14" i="39" s="1"/>
  <c r="V16" i="39"/>
  <c r="V14" i="39" s="1"/>
  <c r="U16" i="39"/>
  <c r="T44" i="12" s="1"/>
  <c r="T16" i="39"/>
  <c r="S44" i="12" s="1"/>
  <c r="S16" i="39"/>
  <c r="S14" i="39" s="1"/>
  <c r="R16" i="39"/>
  <c r="Q16" i="39"/>
  <c r="Q14" i="39" s="1"/>
  <c r="O16" i="39"/>
  <c r="N44" i="12" s="1"/>
  <c r="N16" i="39"/>
  <c r="M16" i="39"/>
  <c r="L44" i="12" s="1"/>
  <c r="L16" i="39"/>
  <c r="K44" i="12" s="1"/>
  <c r="K16" i="39"/>
  <c r="J44" i="12" s="1"/>
  <c r="J16" i="39"/>
  <c r="I16" i="39"/>
  <c r="H16" i="39"/>
  <c r="G44" i="12" s="1"/>
  <c r="G16" i="39"/>
  <c r="F44" i="12" s="1"/>
  <c r="F16" i="39"/>
  <c r="E16" i="39"/>
  <c r="D44" i="12" s="1"/>
  <c r="D15" i="39"/>
  <c r="C44" i="11" s="1"/>
  <c r="AJ14" i="39"/>
  <c r="AL42" i="14"/>
  <c r="AJ42" i="14"/>
  <c r="AI42" i="14"/>
  <c r="AH42" i="14"/>
  <c r="AF42" i="14"/>
  <c r="AE42" i="14"/>
  <c r="AD42" i="14"/>
  <c r="AB42" i="14"/>
  <c r="AA42" i="14"/>
  <c r="Z42" i="14"/>
  <c r="X42" i="14"/>
  <c r="W42" i="14"/>
  <c r="V42" i="14"/>
  <c r="T42" i="14"/>
  <c r="R42" i="14"/>
  <c r="P42" i="14"/>
  <c r="O42" i="14"/>
  <c r="N42" i="14"/>
  <c r="M14" i="38"/>
  <c r="K42" i="14"/>
  <c r="J42" i="14"/>
  <c r="H42" i="14"/>
  <c r="G42" i="14"/>
  <c r="F42" i="14"/>
  <c r="D42" i="14"/>
  <c r="D54" i="38"/>
  <c r="C42" i="14" s="1"/>
  <c r="P53" i="38"/>
  <c r="P52" i="38"/>
  <c r="P51" i="38"/>
  <c r="P50" i="38"/>
  <c r="P49" i="38"/>
  <c r="P48" i="38"/>
  <c r="P47" i="38"/>
  <c r="P46" i="38"/>
  <c r="P45" i="38"/>
  <c r="P44" i="38"/>
  <c r="P43" i="38"/>
  <c r="P42" i="38"/>
  <c r="P41" i="38"/>
  <c r="D41" i="38"/>
  <c r="AM33" i="38"/>
  <c r="AL42" i="13" s="1"/>
  <c r="AL33" i="38"/>
  <c r="AK42" i="13" s="1"/>
  <c r="AK33" i="38"/>
  <c r="AJ42" i="13" s="1"/>
  <c r="AJ33" i="38"/>
  <c r="AI42" i="13" s="1"/>
  <c r="AI33" i="38"/>
  <c r="AH42" i="13" s="1"/>
  <c r="AH33" i="38"/>
  <c r="AG42" i="13" s="1"/>
  <c r="AG33" i="38"/>
  <c r="AF42" i="13" s="1"/>
  <c r="AF33" i="38"/>
  <c r="AE33" i="38"/>
  <c r="AD42" i="13" s="1"/>
  <c r="AD33" i="38"/>
  <c r="AC42" i="13" s="1"/>
  <c r="AC33" i="38"/>
  <c r="AB33" i="38"/>
  <c r="AA42" i="13" s="1"/>
  <c r="AA33" i="38"/>
  <c r="Z42" i="13" s="1"/>
  <c r="Z33" i="38"/>
  <c r="Y42" i="13" s="1"/>
  <c r="Y33" i="38"/>
  <c r="X42" i="13" s="1"/>
  <c r="X33" i="38"/>
  <c r="W42" i="13" s="1"/>
  <c r="W33" i="38"/>
  <c r="V42" i="13" s="1"/>
  <c r="V33" i="38"/>
  <c r="U42" i="13" s="1"/>
  <c r="U33" i="38"/>
  <c r="T42" i="13" s="1"/>
  <c r="T33" i="38"/>
  <c r="S42" i="13" s="1"/>
  <c r="S33" i="38"/>
  <c r="R42" i="13" s="1"/>
  <c r="R33" i="38"/>
  <c r="Q42" i="13" s="1"/>
  <c r="Q33" i="38"/>
  <c r="P42" i="13" s="1"/>
  <c r="O33" i="38"/>
  <c r="N42" i="13" s="1"/>
  <c r="N33" i="38"/>
  <c r="M42" i="13" s="1"/>
  <c r="M33" i="38"/>
  <c r="L33" i="38"/>
  <c r="K42" i="13" s="1"/>
  <c r="K33" i="38"/>
  <c r="J42" i="13" s="1"/>
  <c r="J33" i="38"/>
  <c r="I42" i="13" s="1"/>
  <c r="I33" i="38"/>
  <c r="H33" i="38"/>
  <c r="G42" i="13" s="1"/>
  <c r="G33" i="38"/>
  <c r="F42" i="13" s="1"/>
  <c r="F33" i="38"/>
  <c r="E42" i="13" s="1"/>
  <c r="E33" i="38"/>
  <c r="D42" i="13" s="1"/>
  <c r="P32" i="38"/>
  <c r="D32" i="38"/>
  <c r="P31" i="38"/>
  <c r="D31" i="38"/>
  <c r="P30" i="38"/>
  <c r="D30" i="38"/>
  <c r="P29" i="38"/>
  <c r="D29" i="38"/>
  <c r="P28" i="38"/>
  <c r="D28" i="38"/>
  <c r="P27" i="38"/>
  <c r="D27" i="38"/>
  <c r="P26" i="38"/>
  <c r="D26" i="38"/>
  <c r="P25" i="38"/>
  <c r="D25" i="38"/>
  <c r="P24" i="38"/>
  <c r="D24" i="38"/>
  <c r="P23" i="38"/>
  <c r="D23" i="38"/>
  <c r="P22" i="38"/>
  <c r="D22" i="38"/>
  <c r="AM16" i="38"/>
  <c r="AL16" i="38"/>
  <c r="AK16" i="38"/>
  <c r="AJ16" i="38"/>
  <c r="AI16" i="38"/>
  <c r="AH16" i="38"/>
  <c r="AG42" i="12" s="1"/>
  <c r="AG16" i="38"/>
  <c r="AF42" i="12" s="1"/>
  <c r="AF16" i="38"/>
  <c r="AE42" i="12" s="1"/>
  <c r="AE16" i="38"/>
  <c r="AD16" i="38"/>
  <c r="AC16" i="38"/>
  <c r="AB16" i="38"/>
  <c r="AA16" i="38"/>
  <c r="Z16" i="38"/>
  <c r="Y42" i="12" s="1"/>
  <c r="Y16" i="38"/>
  <c r="X42" i="12" s="1"/>
  <c r="X16" i="38"/>
  <c r="W42" i="12" s="1"/>
  <c r="W16" i="38"/>
  <c r="V16" i="38"/>
  <c r="U16" i="38"/>
  <c r="T16" i="38"/>
  <c r="S16" i="38"/>
  <c r="R16" i="38"/>
  <c r="Q42" i="12" s="1"/>
  <c r="Q16" i="38"/>
  <c r="P42" i="12" s="1"/>
  <c r="O16" i="38"/>
  <c r="N16" i="38"/>
  <c r="M42" i="12" s="1"/>
  <c r="M16" i="38"/>
  <c r="L42" i="12" s="1"/>
  <c r="L16" i="38"/>
  <c r="K16" i="38"/>
  <c r="J16" i="38"/>
  <c r="I16" i="38"/>
  <c r="I14" i="38" s="1"/>
  <c r="H16" i="38"/>
  <c r="G42" i="12" s="1"/>
  <c r="G16" i="38"/>
  <c r="F16" i="38"/>
  <c r="E16" i="38"/>
  <c r="D42" i="12" s="1"/>
  <c r="D15" i="38"/>
  <c r="X14" i="38"/>
  <c r="P143" i="37"/>
  <c r="D143" i="37"/>
  <c r="P142" i="37"/>
  <c r="D142" i="37"/>
  <c r="P141" i="37"/>
  <c r="D141" i="37"/>
  <c r="P140" i="37"/>
  <c r="D140" i="37"/>
  <c r="P139" i="37"/>
  <c r="D139" i="37"/>
  <c r="P138" i="37"/>
  <c r="D138" i="37"/>
  <c r="P137" i="37"/>
  <c r="D137" i="37"/>
  <c r="P136" i="37"/>
  <c r="D136" i="37"/>
  <c r="P135" i="37"/>
  <c r="D135" i="37"/>
  <c r="P134" i="37"/>
  <c r="D134" i="37"/>
  <c r="P133" i="37"/>
  <c r="D133" i="37"/>
  <c r="AM54" i="37"/>
  <c r="AL43" i="14" s="1"/>
  <c r="AL54" i="37"/>
  <c r="AK43" i="14" s="1"/>
  <c r="AK54" i="37"/>
  <c r="AJ43" i="14" s="1"/>
  <c r="AJ54" i="37"/>
  <c r="AI43" i="14" s="1"/>
  <c r="AI54" i="37"/>
  <c r="AH54" i="37"/>
  <c r="AG43" i="14" s="1"/>
  <c r="AG54" i="37"/>
  <c r="AF43" i="14" s="1"/>
  <c r="AF54" i="37"/>
  <c r="AE43" i="14" s="1"/>
  <c r="AE54" i="37"/>
  <c r="AD43" i="14" s="1"/>
  <c r="AD54" i="37"/>
  <c r="AC43" i="14" s="1"/>
  <c r="AC54" i="37"/>
  <c r="AB43" i="14" s="1"/>
  <c r="AB54" i="37"/>
  <c r="AA43" i="14" s="1"/>
  <c r="AA54" i="37"/>
  <c r="Z54" i="37"/>
  <c r="Y43" i="14" s="1"/>
  <c r="Y54" i="37"/>
  <c r="X54" i="37"/>
  <c r="W43" i="14" s="1"/>
  <c r="W54" i="37"/>
  <c r="V43" i="14" s="1"/>
  <c r="V54" i="37"/>
  <c r="U43" i="14" s="1"/>
  <c r="U54" i="37"/>
  <c r="T43" i="14" s="1"/>
  <c r="T54" i="37"/>
  <c r="S43" i="14" s="1"/>
  <c r="S54" i="37"/>
  <c r="R54" i="37"/>
  <c r="Q43" i="14" s="1"/>
  <c r="Q54" i="37"/>
  <c r="O54" i="37"/>
  <c r="N43" i="14" s="1"/>
  <c r="N54" i="37"/>
  <c r="M43" i="14" s="1"/>
  <c r="M54" i="37"/>
  <c r="L43" i="14" s="1"/>
  <c r="L54" i="37"/>
  <c r="K43" i="14" s="1"/>
  <c r="K54" i="37"/>
  <c r="J43" i="14" s="1"/>
  <c r="J54" i="37"/>
  <c r="I43" i="14" s="1"/>
  <c r="I54" i="37"/>
  <c r="H43" i="14" s="1"/>
  <c r="H54" i="37"/>
  <c r="G43" i="14" s="1"/>
  <c r="G54" i="37"/>
  <c r="F43" i="14" s="1"/>
  <c r="F54" i="37"/>
  <c r="E43" i="14" s="1"/>
  <c r="E54" i="37"/>
  <c r="P53" i="37"/>
  <c r="P52" i="37"/>
  <c r="P51" i="37"/>
  <c r="P50" i="37"/>
  <c r="P49" i="37"/>
  <c r="P48" i="37"/>
  <c r="P47" i="37"/>
  <c r="P46" i="37"/>
  <c r="P45" i="37"/>
  <c r="P44" i="37"/>
  <c r="P43" i="37"/>
  <c r="P42" i="37"/>
  <c r="P41" i="37"/>
  <c r="D41" i="37"/>
  <c r="P40" i="37"/>
  <c r="D40" i="37"/>
  <c r="P39" i="37"/>
  <c r="D39" i="37"/>
  <c r="P38" i="37"/>
  <c r="D38" i="37"/>
  <c r="P37" i="37"/>
  <c r="D37" i="37"/>
  <c r="AM33" i="37"/>
  <c r="AL43" i="13" s="1"/>
  <c r="AL33" i="37"/>
  <c r="AK43" i="13" s="1"/>
  <c r="AK33" i="37"/>
  <c r="AJ43" i="13" s="1"/>
  <c r="AJ33" i="37"/>
  <c r="AI33" i="37"/>
  <c r="AH43" i="13" s="1"/>
  <c r="AH33" i="37"/>
  <c r="AG43" i="13" s="1"/>
  <c r="AG33" i="37"/>
  <c r="AF33" i="37"/>
  <c r="AE43" i="13" s="1"/>
  <c r="AE33" i="37"/>
  <c r="AD43" i="13" s="1"/>
  <c r="AD33" i="37"/>
  <c r="AC43" i="13" s="1"/>
  <c r="AC33" i="37"/>
  <c r="AB33" i="37"/>
  <c r="AA33" i="37"/>
  <c r="Z43" i="13" s="1"/>
  <c r="Z33" i="37"/>
  <c r="Y43" i="13" s="1"/>
  <c r="Y33" i="37"/>
  <c r="X43" i="13" s="1"/>
  <c r="X33" i="37"/>
  <c r="W43" i="13" s="1"/>
  <c r="W33" i="37"/>
  <c r="V43" i="13" s="1"/>
  <c r="V33" i="37"/>
  <c r="U43" i="13" s="1"/>
  <c r="U33" i="37"/>
  <c r="T33" i="37"/>
  <c r="S33" i="37"/>
  <c r="R43" i="13" s="1"/>
  <c r="R33" i="37"/>
  <c r="Q43" i="13" s="1"/>
  <c r="Q33" i="37"/>
  <c r="O33" i="37"/>
  <c r="N43" i="13" s="1"/>
  <c r="N33" i="37"/>
  <c r="M43" i="13" s="1"/>
  <c r="M33" i="37"/>
  <c r="L43" i="13" s="1"/>
  <c r="L33" i="37"/>
  <c r="K33" i="37"/>
  <c r="J43" i="13" s="1"/>
  <c r="J33" i="37"/>
  <c r="I43" i="13" s="1"/>
  <c r="I33" i="37"/>
  <c r="H43" i="13" s="1"/>
  <c r="H33" i="37"/>
  <c r="G33" i="37"/>
  <c r="F43" i="13" s="1"/>
  <c r="F33" i="37"/>
  <c r="E43" i="13" s="1"/>
  <c r="E33" i="37"/>
  <c r="D33" i="37" s="1"/>
  <c r="C43" i="13" s="1"/>
  <c r="P32" i="37"/>
  <c r="D32" i="37"/>
  <c r="P31" i="37"/>
  <c r="D31" i="37"/>
  <c r="P30" i="37"/>
  <c r="D30" i="37"/>
  <c r="P29" i="37"/>
  <c r="D29" i="37"/>
  <c r="P28" i="37"/>
  <c r="D28" i="37"/>
  <c r="P27" i="37"/>
  <c r="D27" i="37"/>
  <c r="P26" i="37"/>
  <c r="D26" i="37"/>
  <c r="P25" i="37"/>
  <c r="D25" i="37"/>
  <c r="P24" i="37"/>
  <c r="D24" i="37"/>
  <c r="P23" i="37"/>
  <c r="D23" i="37"/>
  <c r="P22" i="37"/>
  <c r="D22" i="37"/>
  <c r="P21" i="37"/>
  <c r="D21" i="37"/>
  <c r="P20" i="37"/>
  <c r="D20" i="37"/>
  <c r="AM16" i="37"/>
  <c r="AM14" i="37" s="1"/>
  <c r="AL16" i="37"/>
  <c r="AK16" i="37"/>
  <c r="AJ43" i="12" s="1"/>
  <c r="AJ16" i="37"/>
  <c r="AI43" i="12" s="1"/>
  <c r="AI16" i="37"/>
  <c r="AI14" i="37" s="1"/>
  <c r="AH16" i="37"/>
  <c r="AG16" i="37"/>
  <c r="AF16" i="37"/>
  <c r="AF14" i="37" s="1"/>
  <c r="AE16" i="37"/>
  <c r="AE14" i="37" s="1"/>
  <c r="AD16" i="37"/>
  <c r="AC16" i="37"/>
  <c r="AB43" i="12" s="1"/>
  <c r="AB16" i="37"/>
  <c r="AA43" i="12" s="1"/>
  <c r="AA16" i="37"/>
  <c r="AA14" i="37" s="1"/>
  <c r="Z16" i="37"/>
  <c r="Y16" i="37"/>
  <c r="X16" i="37"/>
  <c r="X14" i="37" s="1"/>
  <c r="W16" i="37"/>
  <c r="W14" i="37" s="1"/>
  <c r="V16" i="37"/>
  <c r="U16" i="37"/>
  <c r="T43" i="12" s="1"/>
  <c r="T16" i="37"/>
  <c r="S43" i="12" s="1"/>
  <c r="S16" i="37"/>
  <c r="S14" i="37" s="1"/>
  <c r="R16" i="37"/>
  <c r="Q16" i="37"/>
  <c r="O16" i="37"/>
  <c r="O14" i="37" s="1"/>
  <c r="N16" i="37"/>
  <c r="N14" i="37" s="1"/>
  <c r="M16" i="37"/>
  <c r="L16" i="37"/>
  <c r="K16" i="37"/>
  <c r="K14" i="37" s="1"/>
  <c r="J16" i="37"/>
  <c r="I16" i="37"/>
  <c r="H16" i="37"/>
  <c r="G43" i="12" s="1"/>
  <c r="G16" i="37"/>
  <c r="G14" i="37" s="1"/>
  <c r="F16" i="37"/>
  <c r="F14" i="37" s="1"/>
  <c r="E16" i="37"/>
  <c r="D15" i="37"/>
  <c r="C43" i="11" s="1"/>
  <c r="AJ14" i="37"/>
  <c r="L14" i="37"/>
  <c r="H14" i="37"/>
  <c r="D143" i="36"/>
  <c r="D142" i="36"/>
  <c r="D141" i="36"/>
  <c r="D140" i="36"/>
  <c r="D139" i="36"/>
  <c r="D138" i="36"/>
  <c r="D137" i="36"/>
  <c r="D136" i="36"/>
  <c r="D135" i="36"/>
  <c r="D134" i="36"/>
  <c r="D133" i="36"/>
  <c r="D132" i="36"/>
  <c r="D131" i="36"/>
  <c r="D130" i="36"/>
  <c r="D129" i="36"/>
  <c r="D128" i="36"/>
  <c r="D127" i="36"/>
  <c r="D126" i="36"/>
  <c r="D125" i="36"/>
  <c r="D124" i="36"/>
  <c r="D123" i="36"/>
  <c r="D122" i="36"/>
  <c r="D121" i="36"/>
  <c r="D120" i="36"/>
  <c r="D119" i="36"/>
  <c r="D118" i="36"/>
  <c r="D117" i="36"/>
  <c r="D116" i="36"/>
  <c r="D115" i="36"/>
  <c r="D114" i="36"/>
  <c r="D113" i="36"/>
  <c r="D112" i="36"/>
  <c r="D111" i="36"/>
  <c r="D110" i="36"/>
  <c r="D109" i="36"/>
  <c r="D108" i="36"/>
  <c r="D107" i="36"/>
  <c r="D106" i="36"/>
  <c r="D105" i="36"/>
  <c r="D104" i="36"/>
  <c r="D103" i="36"/>
  <c r="D102" i="36"/>
  <c r="D101" i="36"/>
  <c r="D100" i="36"/>
  <c r="D99" i="36"/>
  <c r="D98" i="36"/>
  <c r="D97" i="36"/>
  <c r="D96" i="36"/>
  <c r="D95" i="36"/>
  <c r="D94" i="36"/>
  <c r="D93" i="36"/>
  <c r="D92" i="36"/>
  <c r="D91" i="36"/>
  <c r="D90" i="36"/>
  <c r="D89" i="36"/>
  <c r="D88" i="36"/>
  <c r="D87" i="36"/>
  <c r="D86" i="36"/>
  <c r="D85" i="36"/>
  <c r="D84" i="36"/>
  <c r="D83" i="36"/>
  <c r="D82" i="36"/>
  <c r="D81" i="36"/>
  <c r="D80" i="36"/>
  <c r="D79" i="36"/>
  <c r="D78" i="36"/>
  <c r="D77" i="36"/>
  <c r="D76" i="36"/>
  <c r="D75" i="36"/>
  <c r="D74" i="36"/>
  <c r="D73" i="36"/>
  <c r="D72" i="36"/>
  <c r="D71" i="36"/>
  <c r="D70" i="36"/>
  <c r="D69" i="36"/>
  <c r="D68" i="36"/>
  <c r="D67" i="36"/>
  <c r="D66" i="36"/>
  <c r="D65" i="36"/>
  <c r="D64" i="36"/>
  <c r="D63" i="36"/>
  <c r="D62" i="36"/>
  <c r="D61" i="36"/>
  <c r="D60" i="36"/>
  <c r="D59" i="36"/>
  <c r="D58" i="36"/>
  <c r="D57" i="36"/>
  <c r="D56" i="36"/>
  <c r="D55" i="36"/>
  <c r="AJ45" i="14"/>
  <c r="AI45" i="14"/>
  <c r="AG45" i="14"/>
  <c r="AF45" i="14"/>
  <c r="AE45" i="14"/>
  <c r="AC45" i="14"/>
  <c r="AB45" i="14"/>
  <c r="AA45" i="14"/>
  <c r="Y45" i="14"/>
  <c r="X45" i="14"/>
  <c r="W45" i="14"/>
  <c r="U45" i="14"/>
  <c r="T45" i="14"/>
  <c r="S45" i="14"/>
  <c r="Q45" i="14"/>
  <c r="N45" i="14"/>
  <c r="L45" i="14"/>
  <c r="J45" i="14"/>
  <c r="H45" i="14"/>
  <c r="F45" i="14"/>
  <c r="P53" i="36"/>
  <c r="P52" i="36"/>
  <c r="P51" i="36"/>
  <c r="P50" i="36"/>
  <c r="P49" i="36"/>
  <c r="P48" i="36"/>
  <c r="P47" i="36"/>
  <c r="P46" i="36"/>
  <c r="D34" i="36"/>
  <c r="AM33" i="36"/>
  <c r="AL33" i="36"/>
  <c r="AK45" i="13" s="1"/>
  <c r="AK33" i="36"/>
  <c r="AJ45" i="13" s="1"/>
  <c r="AJ33" i="36"/>
  <c r="AI45" i="13" s="1"/>
  <c r="AI33" i="36"/>
  <c r="AH33" i="36"/>
  <c r="AG33" i="36"/>
  <c r="AF45" i="13" s="1"/>
  <c r="AF33" i="36"/>
  <c r="AE45" i="13" s="1"/>
  <c r="AE33" i="36"/>
  <c r="AD33" i="36"/>
  <c r="AC33" i="36"/>
  <c r="AB45" i="13" s="1"/>
  <c r="AB33" i="36"/>
  <c r="AA45" i="13" s="1"/>
  <c r="AA33" i="36"/>
  <c r="Z33" i="36"/>
  <c r="Y45" i="13" s="1"/>
  <c r="Y33" i="36"/>
  <c r="X45" i="13" s="1"/>
  <c r="X33" i="36"/>
  <c r="W45" i="13" s="1"/>
  <c r="W33" i="36"/>
  <c r="V33" i="36"/>
  <c r="U45" i="13" s="1"/>
  <c r="U33" i="36"/>
  <c r="T45" i="13" s="1"/>
  <c r="T33" i="36"/>
  <c r="S45" i="13" s="1"/>
  <c r="S33" i="36"/>
  <c r="R33" i="36"/>
  <c r="Q33" i="36"/>
  <c r="P45" i="13" s="1"/>
  <c r="O33" i="36"/>
  <c r="N45" i="13" s="1"/>
  <c r="N33" i="36"/>
  <c r="M45" i="13" s="1"/>
  <c r="M33" i="36"/>
  <c r="L45" i="13" s="1"/>
  <c r="L33" i="36"/>
  <c r="K45" i="13" s="1"/>
  <c r="K33" i="36"/>
  <c r="J45" i="13" s="1"/>
  <c r="J33" i="36"/>
  <c r="I45" i="13" s="1"/>
  <c r="I33" i="36"/>
  <c r="H45" i="13" s="1"/>
  <c r="H33" i="36"/>
  <c r="G45" i="13" s="1"/>
  <c r="G33" i="36"/>
  <c r="F45" i="13" s="1"/>
  <c r="F33" i="36"/>
  <c r="E45" i="13" s="1"/>
  <c r="P32" i="36"/>
  <c r="D32" i="36"/>
  <c r="P31" i="36"/>
  <c r="D31" i="36"/>
  <c r="P30" i="36"/>
  <c r="D30" i="36"/>
  <c r="P29" i="36"/>
  <c r="D29" i="36"/>
  <c r="P28" i="36"/>
  <c r="D28" i="36"/>
  <c r="P27" i="36"/>
  <c r="D27" i="36"/>
  <c r="P26" i="36"/>
  <c r="D26" i="36"/>
  <c r="P25" i="36"/>
  <c r="D25" i="36"/>
  <c r="P24" i="36"/>
  <c r="D24" i="36"/>
  <c r="P23" i="36"/>
  <c r="D23" i="36"/>
  <c r="P22" i="36"/>
  <c r="D22" i="36"/>
  <c r="P21" i="36"/>
  <c r="D21" i="36"/>
  <c r="P20" i="36"/>
  <c r="D20" i="36"/>
  <c r="D19" i="36"/>
  <c r="D18" i="36"/>
  <c r="AM16" i="36"/>
  <c r="AL16" i="36"/>
  <c r="AL14" i="36" s="1"/>
  <c r="AK16" i="36"/>
  <c r="AJ16" i="36"/>
  <c r="AI16" i="36"/>
  <c r="AH16" i="36"/>
  <c r="AG16" i="36"/>
  <c r="AF16" i="36"/>
  <c r="AE16" i="36"/>
  <c r="AD16" i="36"/>
  <c r="AC45" i="12" s="1"/>
  <c r="AC16" i="36"/>
  <c r="AB16" i="36"/>
  <c r="AA16" i="36"/>
  <c r="Z16" i="36"/>
  <c r="Y45" i="12" s="1"/>
  <c r="Y16" i="36"/>
  <c r="X16" i="36"/>
  <c r="W16" i="36"/>
  <c r="V16" i="36"/>
  <c r="U16" i="36"/>
  <c r="T16" i="36"/>
  <c r="S16" i="36"/>
  <c r="R16" i="36"/>
  <c r="Q16" i="36"/>
  <c r="O16" i="36"/>
  <c r="N16" i="36"/>
  <c r="M16" i="36"/>
  <c r="L16" i="36"/>
  <c r="K16" i="36"/>
  <c r="D16" i="36" s="1"/>
  <c r="C45" i="12" s="1"/>
  <c r="J16" i="36"/>
  <c r="I45" i="12" s="1"/>
  <c r="I16" i="36"/>
  <c r="H16" i="36"/>
  <c r="G16" i="36"/>
  <c r="F16" i="36"/>
  <c r="E16" i="36"/>
  <c r="D15" i="36"/>
  <c r="V14" i="36"/>
  <c r="N14" i="36"/>
  <c r="J14" i="36"/>
  <c r="F14" i="36"/>
  <c r="P143" i="35"/>
  <c r="D143" i="35"/>
  <c r="P142" i="35"/>
  <c r="D142" i="35"/>
  <c r="P141" i="35"/>
  <c r="D141" i="35"/>
  <c r="P140" i="35"/>
  <c r="D140" i="35"/>
  <c r="P139" i="35"/>
  <c r="D139" i="35"/>
  <c r="P138" i="35"/>
  <c r="D138" i="35"/>
  <c r="P137" i="35"/>
  <c r="D137" i="35"/>
  <c r="P136" i="35"/>
  <c r="D136" i="35"/>
  <c r="P135" i="35"/>
  <c r="D135" i="35"/>
  <c r="P134" i="35"/>
  <c r="D134" i="35"/>
  <c r="P133" i="35"/>
  <c r="D133" i="35"/>
  <c r="P132" i="35"/>
  <c r="D132" i="35"/>
  <c r="P131" i="35"/>
  <c r="D131" i="35"/>
  <c r="P130" i="35"/>
  <c r="D130" i="35"/>
  <c r="P129" i="35"/>
  <c r="D129" i="35"/>
  <c r="P128" i="35"/>
  <c r="D128" i="35"/>
  <c r="P127" i="35"/>
  <c r="D127" i="35"/>
  <c r="P126" i="35"/>
  <c r="D126" i="35"/>
  <c r="P125" i="35"/>
  <c r="D125" i="35"/>
  <c r="P124" i="35"/>
  <c r="D124" i="35"/>
  <c r="P123" i="35"/>
  <c r="D123" i="35"/>
  <c r="P122" i="35"/>
  <c r="D122" i="35"/>
  <c r="P121" i="35"/>
  <c r="D121" i="35"/>
  <c r="P120" i="35"/>
  <c r="D120" i="35"/>
  <c r="P119" i="35"/>
  <c r="D119" i="35"/>
  <c r="P118" i="35"/>
  <c r="D118" i="35"/>
  <c r="P117" i="35"/>
  <c r="D117" i="35"/>
  <c r="P116" i="35"/>
  <c r="D116" i="35"/>
  <c r="P115" i="35"/>
  <c r="D115" i="35"/>
  <c r="P114" i="35"/>
  <c r="D114" i="35"/>
  <c r="P113" i="35"/>
  <c r="D113" i="35"/>
  <c r="P112" i="35"/>
  <c r="D112" i="35"/>
  <c r="P111" i="35"/>
  <c r="D111" i="35"/>
  <c r="P110" i="35"/>
  <c r="D110" i="35"/>
  <c r="P109" i="35"/>
  <c r="D109" i="35"/>
  <c r="P108" i="35"/>
  <c r="D108" i="35"/>
  <c r="P107" i="35"/>
  <c r="D107" i="35"/>
  <c r="P106" i="35"/>
  <c r="D106" i="35"/>
  <c r="P105" i="35"/>
  <c r="D105" i="35"/>
  <c r="P104" i="35"/>
  <c r="D104" i="35"/>
  <c r="P103" i="35"/>
  <c r="D103" i="35"/>
  <c r="P102" i="35"/>
  <c r="D102" i="35"/>
  <c r="P101" i="35"/>
  <c r="D101" i="35"/>
  <c r="AM54" i="35"/>
  <c r="AL52" i="14" s="1"/>
  <c r="AL54" i="35"/>
  <c r="AK52" i="14" s="1"/>
  <c r="AK54" i="35"/>
  <c r="AJ52" i="14" s="1"/>
  <c r="AJ54" i="35"/>
  <c r="AI54" i="35"/>
  <c r="AH52" i="14" s="1"/>
  <c r="AH54" i="35"/>
  <c r="AG52" i="14" s="1"/>
  <c r="AG54" i="35"/>
  <c r="AF52" i="14" s="1"/>
  <c r="AF54" i="35"/>
  <c r="AE52" i="14" s="1"/>
  <c r="AE54" i="35"/>
  <c r="AD52" i="14" s="1"/>
  <c r="AD54" i="35"/>
  <c r="AC52" i="14" s="1"/>
  <c r="AC54" i="35"/>
  <c r="AB52" i="14" s="1"/>
  <c r="AB54" i="35"/>
  <c r="AA54" i="35"/>
  <c r="Z52" i="14" s="1"/>
  <c r="Z54" i="35"/>
  <c r="Y52" i="14" s="1"/>
  <c r="Y54" i="35"/>
  <c r="X52" i="14" s="1"/>
  <c r="X54" i="35"/>
  <c r="W52" i="14" s="1"/>
  <c r="W54" i="35"/>
  <c r="V52" i="14" s="1"/>
  <c r="V54" i="35"/>
  <c r="U52" i="14" s="1"/>
  <c r="U54" i="35"/>
  <c r="T52" i="14" s="1"/>
  <c r="T54" i="35"/>
  <c r="S54" i="35"/>
  <c r="R52" i="14" s="1"/>
  <c r="R54" i="35"/>
  <c r="Q54" i="35"/>
  <c r="P52" i="14" s="1"/>
  <c r="O54" i="35"/>
  <c r="N52" i="14" s="1"/>
  <c r="N54" i="35"/>
  <c r="M52" i="14" s="1"/>
  <c r="M54" i="35"/>
  <c r="L52" i="14" s="1"/>
  <c r="L54" i="35"/>
  <c r="K52" i="14" s="1"/>
  <c r="K54" i="35"/>
  <c r="J52" i="14" s="1"/>
  <c r="J54" i="35"/>
  <c r="I54" i="35"/>
  <c r="H52" i="14" s="1"/>
  <c r="H54" i="35"/>
  <c r="G52" i="14" s="1"/>
  <c r="G54" i="35"/>
  <c r="F54" i="35"/>
  <c r="E52" i="14" s="1"/>
  <c r="E54" i="35"/>
  <c r="D52" i="14" s="1"/>
  <c r="P53" i="35"/>
  <c r="P52" i="35"/>
  <c r="P51" i="35"/>
  <c r="P50" i="35"/>
  <c r="P49" i="35"/>
  <c r="P48" i="35"/>
  <c r="P47" i="35"/>
  <c r="P46" i="35"/>
  <c r="P45" i="35"/>
  <c r="P44" i="35"/>
  <c r="P43" i="35"/>
  <c r="P42" i="35"/>
  <c r="P41" i="35"/>
  <c r="D41" i="35"/>
  <c r="P40" i="35"/>
  <c r="D40" i="35"/>
  <c r="P39" i="35"/>
  <c r="D39" i="35"/>
  <c r="P38" i="35"/>
  <c r="D38" i="35"/>
  <c r="AM33" i="35"/>
  <c r="AL52" i="13" s="1"/>
  <c r="AL33" i="35"/>
  <c r="AK52" i="13" s="1"/>
  <c r="AK33" i="35"/>
  <c r="AJ52" i="13" s="1"/>
  <c r="AJ33" i="35"/>
  <c r="AI52" i="13" s="1"/>
  <c r="AI33" i="35"/>
  <c r="AH52" i="13" s="1"/>
  <c r="AH33" i="35"/>
  <c r="AG52" i="13" s="1"/>
  <c r="AG33" i="35"/>
  <c r="AF52" i="13" s="1"/>
  <c r="AF33" i="35"/>
  <c r="AE52" i="13" s="1"/>
  <c r="AE33" i="35"/>
  <c r="AD33" i="35"/>
  <c r="AC52" i="13" s="1"/>
  <c r="AC33" i="35"/>
  <c r="AB52" i="13" s="1"/>
  <c r="AB33" i="35"/>
  <c r="AA52" i="13" s="1"/>
  <c r="AA33" i="35"/>
  <c r="Z33" i="35"/>
  <c r="Y52" i="13" s="1"/>
  <c r="Y33" i="35"/>
  <c r="X52" i="13" s="1"/>
  <c r="X33" i="35"/>
  <c r="W52" i="13" s="1"/>
  <c r="W33" i="35"/>
  <c r="V52" i="13" s="1"/>
  <c r="V33" i="35"/>
  <c r="U52" i="13" s="1"/>
  <c r="U33" i="35"/>
  <c r="T52" i="13" s="1"/>
  <c r="T33" i="35"/>
  <c r="S52" i="13" s="1"/>
  <c r="S33" i="35"/>
  <c r="R52" i="13" s="1"/>
  <c r="R33" i="35"/>
  <c r="Q33" i="35"/>
  <c r="P52" i="13" s="1"/>
  <c r="O33" i="35"/>
  <c r="N33" i="35"/>
  <c r="M33" i="35"/>
  <c r="L52" i="13" s="1"/>
  <c r="L33" i="35"/>
  <c r="K52" i="13" s="1"/>
  <c r="K33" i="35"/>
  <c r="J33" i="35"/>
  <c r="I52" i="13" s="1"/>
  <c r="I33" i="35"/>
  <c r="H52" i="13" s="1"/>
  <c r="H33" i="35"/>
  <c r="G52" i="13" s="1"/>
  <c r="G33" i="35"/>
  <c r="F33" i="35"/>
  <c r="E33" i="35"/>
  <c r="D52" i="13" s="1"/>
  <c r="P32" i="35"/>
  <c r="D32" i="35"/>
  <c r="P31" i="35"/>
  <c r="D31" i="35"/>
  <c r="P30" i="35"/>
  <c r="D30" i="35"/>
  <c r="P29" i="35"/>
  <c r="D29" i="35"/>
  <c r="P28" i="35"/>
  <c r="D28" i="35"/>
  <c r="P27" i="35"/>
  <c r="D27" i="35"/>
  <c r="P26" i="35"/>
  <c r="D26" i="35"/>
  <c r="P25" i="35"/>
  <c r="D25" i="35"/>
  <c r="P24" i="35"/>
  <c r="D24" i="35"/>
  <c r="P23" i="35"/>
  <c r="D23" i="35"/>
  <c r="P22" i="35"/>
  <c r="D22" i="35"/>
  <c r="P21" i="35"/>
  <c r="D21" i="35"/>
  <c r="P20" i="35"/>
  <c r="D20" i="35"/>
  <c r="P19" i="35"/>
  <c r="D19" i="35"/>
  <c r="AM16" i="35"/>
  <c r="AL52" i="12" s="1"/>
  <c r="AL16" i="35"/>
  <c r="AK16" i="35"/>
  <c r="AJ16" i="35"/>
  <c r="AJ14" i="35" s="1"/>
  <c r="AI16" i="35"/>
  <c r="AH52" i="12" s="1"/>
  <c r="AH16" i="35"/>
  <c r="AG52" i="12" s="1"/>
  <c r="AG16" i="35"/>
  <c r="AF16" i="35"/>
  <c r="AF14" i="35" s="1"/>
  <c r="AE16" i="35"/>
  <c r="AD52" i="12" s="1"/>
  <c r="AD16" i="35"/>
  <c r="AC16" i="35"/>
  <c r="AB16" i="35"/>
  <c r="AB14" i="35" s="1"/>
  <c r="AA16" i="35"/>
  <c r="Z52" i="12" s="1"/>
  <c r="Z16" i="35"/>
  <c r="Y52" i="12" s="1"/>
  <c r="Y16" i="35"/>
  <c r="X16" i="35"/>
  <c r="X14" i="35" s="1"/>
  <c r="W16" i="35"/>
  <c r="V52" i="12" s="1"/>
  <c r="V16" i="35"/>
  <c r="U16" i="35"/>
  <c r="T16" i="35"/>
  <c r="T14" i="35" s="1"/>
  <c r="S16" i="35"/>
  <c r="R52" i="12" s="1"/>
  <c r="R16" i="35"/>
  <c r="Q52" i="12" s="1"/>
  <c r="Q16" i="35"/>
  <c r="O16" i="35"/>
  <c r="N52" i="12" s="1"/>
  <c r="N16" i="35"/>
  <c r="N14" i="35" s="1"/>
  <c r="M16" i="35"/>
  <c r="L16" i="35"/>
  <c r="K16" i="35"/>
  <c r="J52" i="12" s="1"/>
  <c r="J16" i="35"/>
  <c r="I52" i="12" s="1"/>
  <c r="I16" i="35"/>
  <c r="H16" i="35"/>
  <c r="G16" i="35"/>
  <c r="F52" i="12" s="1"/>
  <c r="F16" i="35"/>
  <c r="F14" i="35" s="1"/>
  <c r="E16" i="35"/>
  <c r="D15" i="35"/>
  <c r="K14" i="35"/>
  <c r="G14" i="35"/>
  <c r="P143" i="34"/>
  <c r="D143" i="34"/>
  <c r="P142" i="34"/>
  <c r="D142" i="34"/>
  <c r="P141" i="34"/>
  <c r="D141" i="34"/>
  <c r="P140" i="34"/>
  <c r="D140" i="34"/>
  <c r="P139" i="34"/>
  <c r="D139" i="34"/>
  <c r="P138" i="34"/>
  <c r="D138" i="34"/>
  <c r="P137" i="34"/>
  <c r="D137" i="34"/>
  <c r="P136" i="34"/>
  <c r="D136" i="34"/>
  <c r="AM54" i="34"/>
  <c r="AL53" i="14" s="1"/>
  <c r="AL54" i="34"/>
  <c r="AK53" i="14" s="1"/>
  <c r="AK54" i="34"/>
  <c r="AJ53" i="14" s="1"/>
  <c r="AJ54" i="34"/>
  <c r="AI53" i="14" s="1"/>
  <c r="AI54" i="34"/>
  <c r="AH54" i="34"/>
  <c r="AG54" i="34"/>
  <c r="AF53" i="14" s="1"/>
  <c r="AF54" i="34"/>
  <c r="AE53" i="14" s="1"/>
  <c r="AE54" i="34"/>
  <c r="AD53" i="14" s="1"/>
  <c r="AD54" i="34"/>
  <c r="AC53" i="14" s="1"/>
  <c r="AC54" i="34"/>
  <c r="AB53" i="14" s="1"/>
  <c r="AB54" i="34"/>
  <c r="AA53" i="14" s="1"/>
  <c r="AA54" i="34"/>
  <c r="Z54" i="34"/>
  <c r="Y54" i="34"/>
  <c r="X53" i="14" s="1"/>
  <c r="X54" i="34"/>
  <c r="W53" i="14" s="1"/>
  <c r="W54" i="34"/>
  <c r="V53" i="14" s="1"/>
  <c r="V54" i="34"/>
  <c r="U53" i="14" s="1"/>
  <c r="U54" i="34"/>
  <c r="T53" i="14" s="1"/>
  <c r="T54" i="34"/>
  <c r="S53" i="14" s="1"/>
  <c r="S54" i="34"/>
  <c r="R54" i="34"/>
  <c r="Q54" i="34"/>
  <c r="P53" i="14" s="1"/>
  <c r="O54" i="34"/>
  <c r="N53" i="14" s="1"/>
  <c r="N54" i="34"/>
  <c r="M53" i="14" s="1"/>
  <c r="M54" i="34"/>
  <c r="L53" i="14" s="1"/>
  <c r="L54" i="34"/>
  <c r="K53" i="14" s="1"/>
  <c r="K54" i="34"/>
  <c r="J53" i="14" s="1"/>
  <c r="J54" i="34"/>
  <c r="I53" i="14" s="1"/>
  <c r="I54" i="34"/>
  <c r="H53" i="14" s="1"/>
  <c r="H54" i="34"/>
  <c r="G53" i="14" s="1"/>
  <c r="G54" i="34"/>
  <c r="F53" i="14" s="1"/>
  <c r="F54" i="34"/>
  <c r="E54" i="34"/>
  <c r="D53" i="14" s="1"/>
  <c r="P53" i="34"/>
  <c r="P52" i="34"/>
  <c r="P51" i="34"/>
  <c r="P50" i="34"/>
  <c r="P49" i="34"/>
  <c r="P48" i="34"/>
  <c r="P47" i="34"/>
  <c r="P46" i="34"/>
  <c r="P45" i="34"/>
  <c r="P44" i="34"/>
  <c r="P43" i="34"/>
  <c r="P42" i="34"/>
  <c r="P41" i="34"/>
  <c r="D41" i="34"/>
  <c r="P40" i="34"/>
  <c r="D40" i="34"/>
  <c r="P39" i="34"/>
  <c r="D39" i="34"/>
  <c r="P38" i="34"/>
  <c r="D38" i="34"/>
  <c r="P37" i="34"/>
  <c r="D37" i="34"/>
  <c r="P36" i="34"/>
  <c r="D36" i="34"/>
  <c r="AM33" i="34"/>
  <c r="AL53" i="13" s="1"/>
  <c r="AL33" i="34"/>
  <c r="AK53" i="13" s="1"/>
  <c r="AK33" i="34"/>
  <c r="AJ53" i="13" s="1"/>
  <c r="AJ33" i="34"/>
  <c r="AI53" i="13" s="1"/>
  <c r="AI33" i="34"/>
  <c r="AH53" i="13" s="1"/>
  <c r="AH33" i="34"/>
  <c r="AG33" i="34"/>
  <c r="AF53" i="13" s="1"/>
  <c r="AF33" i="34"/>
  <c r="AE53" i="13" s="1"/>
  <c r="AE33" i="34"/>
  <c r="AD53" i="13" s="1"/>
  <c r="AD33" i="34"/>
  <c r="AC53" i="13" s="1"/>
  <c r="AC33" i="34"/>
  <c r="AB53" i="13" s="1"/>
  <c r="AB33" i="34"/>
  <c r="AA53" i="13" s="1"/>
  <c r="AA33" i="34"/>
  <c r="Z53" i="13" s="1"/>
  <c r="Z33" i="34"/>
  <c r="Y33" i="34"/>
  <c r="X53" i="13" s="1"/>
  <c r="X33" i="34"/>
  <c r="W53" i="13" s="1"/>
  <c r="W33" i="34"/>
  <c r="V53" i="13" s="1"/>
  <c r="V33" i="34"/>
  <c r="U53" i="13" s="1"/>
  <c r="U33" i="34"/>
  <c r="T53" i="13" s="1"/>
  <c r="T33" i="34"/>
  <c r="S53" i="13" s="1"/>
  <c r="S33" i="34"/>
  <c r="R53" i="13" s="1"/>
  <c r="R33" i="34"/>
  <c r="Q33" i="34"/>
  <c r="P53" i="13" s="1"/>
  <c r="O33" i="34"/>
  <c r="N53" i="13" s="1"/>
  <c r="N33" i="34"/>
  <c r="M53" i="13" s="1"/>
  <c r="M33" i="34"/>
  <c r="L53" i="13" s="1"/>
  <c r="L33" i="34"/>
  <c r="K53" i="13" s="1"/>
  <c r="K33" i="34"/>
  <c r="J53" i="13" s="1"/>
  <c r="J33" i="34"/>
  <c r="I33" i="34"/>
  <c r="H53" i="13" s="1"/>
  <c r="H33" i="34"/>
  <c r="G53" i="13" s="1"/>
  <c r="G33" i="34"/>
  <c r="F53" i="13" s="1"/>
  <c r="F33" i="34"/>
  <c r="E53" i="13" s="1"/>
  <c r="E33" i="34"/>
  <c r="P32" i="34"/>
  <c r="D32" i="34"/>
  <c r="P31" i="34"/>
  <c r="D31" i="34"/>
  <c r="P30" i="34"/>
  <c r="D30" i="34"/>
  <c r="P29" i="34"/>
  <c r="D29" i="34"/>
  <c r="P28" i="34"/>
  <c r="D28" i="34"/>
  <c r="P27" i="34"/>
  <c r="D27" i="34"/>
  <c r="P26" i="34"/>
  <c r="D26" i="34"/>
  <c r="P25" i="34"/>
  <c r="D25" i="34"/>
  <c r="P24" i="34"/>
  <c r="D24" i="34"/>
  <c r="P23" i="34"/>
  <c r="D23" i="34"/>
  <c r="P22" i="34"/>
  <c r="D22" i="34"/>
  <c r="P21" i="34"/>
  <c r="D21" i="34"/>
  <c r="AM16" i="34"/>
  <c r="AL16" i="34"/>
  <c r="AK53" i="12" s="1"/>
  <c r="AK16" i="34"/>
  <c r="AJ16" i="34"/>
  <c r="AI16" i="34"/>
  <c r="AH53" i="12" s="1"/>
  <c r="AH16" i="34"/>
  <c r="AG53" i="12" s="1"/>
  <c r="AG16" i="34"/>
  <c r="AF16" i="34"/>
  <c r="AE16" i="34"/>
  <c r="AD16" i="34"/>
  <c r="AC53" i="12" s="1"/>
  <c r="AC16" i="34"/>
  <c r="AB16" i="34"/>
  <c r="AA16" i="34"/>
  <c r="Z53" i="12" s="1"/>
  <c r="Z16" i="34"/>
  <c r="Y53" i="12" s="1"/>
  <c r="Y16" i="34"/>
  <c r="X16" i="34"/>
  <c r="W16" i="34"/>
  <c r="V16" i="34"/>
  <c r="U53" i="12" s="1"/>
  <c r="U16" i="34"/>
  <c r="T16" i="34"/>
  <c r="S16" i="34"/>
  <c r="R53" i="12" s="1"/>
  <c r="R16" i="34"/>
  <c r="Q53" i="12" s="1"/>
  <c r="Q16" i="34"/>
  <c r="O16" i="34"/>
  <c r="N16" i="34"/>
  <c r="M53" i="12" s="1"/>
  <c r="M16" i="34"/>
  <c r="L16" i="34"/>
  <c r="K16" i="34"/>
  <c r="J53" i="12" s="1"/>
  <c r="J16" i="34"/>
  <c r="I53" i="12" s="1"/>
  <c r="I16" i="34"/>
  <c r="H16" i="34"/>
  <c r="G16" i="34"/>
  <c r="F16" i="34"/>
  <c r="E53" i="12" s="1"/>
  <c r="E16" i="34"/>
  <c r="D15" i="34"/>
  <c r="AH14" i="34"/>
  <c r="J14" i="34"/>
  <c r="AL50" i="14"/>
  <c r="AJ50" i="14"/>
  <c r="AF50" i="14"/>
  <c r="AE14" i="33"/>
  <c r="AB50" i="14"/>
  <c r="Z50" i="14"/>
  <c r="X50" i="14"/>
  <c r="V50" i="14"/>
  <c r="T50" i="14"/>
  <c r="R50" i="14"/>
  <c r="P50" i="14"/>
  <c r="M50" i="14"/>
  <c r="L50" i="14"/>
  <c r="J50" i="14"/>
  <c r="D54" i="33"/>
  <c r="C50" i="14" s="1"/>
  <c r="H50" i="14"/>
  <c r="E50" i="14"/>
  <c r="D50" i="14"/>
  <c r="P52" i="33"/>
  <c r="P51" i="33"/>
  <c r="P50" i="33"/>
  <c r="P49" i="33"/>
  <c r="P48" i="33"/>
  <c r="P47" i="33"/>
  <c r="P46" i="33"/>
  <c r="P45" i="33"/>
  <c r="P44" i="33"/>
  <c r="P43" i="33"/>
  <c r="P42" i="33"/>
  <c r="P41" i="33"/>
  <c r="D41" i="33"/>
  <c r="P40" i="33"/>
  <c r="D40" i="33"/>
  <c r="P39" i="33"/>
  <c r="D39" i="33"/>
  <c r="P38" i="33"/>
  <c r="D38" i="33"/>
  <c r="P37" i="33"/>
  <c r="D37" i="33"/>
  <c r="P36" i="33"/>
  <c r="D36" i="33"/>
  <c r="AM33" i="33"/>
  <c r="AL33" i="33"/>
  <c r="AK50" i="13" s="1"/>
  <c r="AK33" i="33"/>
  <c r="AJ50" i="13" s="1"/>
  <c r="AJ33" i="33"/>
  <c r="AI50" i="13" s="1"/>
  <c r="AI33" i="33"/>
  <c r="AH33" i="33"/>
  <c r="AG50" i="13" s="1"/>
  <c r="AG33" i="33"/>
  <c r="AF50" i="13" s="1"/>
  <c r="AF33" i="33"/>
  <c r="AE50" i="13" s="1"/>
  <c r="AE33" i="33"/>
  <c r="AD33" i="33"/>
  <c r="AD14" i="33" s="1"/>
  <c r="AC33" i="33"/>
  <c r="AB50" i="13" s="1"/>
  <c r="AB33" i="33"/>
  <c r="AA50" i="13" s="1"/>
  <c r="AA33" i="33"/>
  <c r="Z33" i="33"/>
  <c r="Y50" i="13" s="1"/>
  <c r="Y33" i="33"/>
  <c r="X50" i="13" s="1"/>
  <c r="X33" i="33"/>
  <c r="W50" i="13" s="1"/>
  <c r="W33" i="33"/>
  <c r="V33" i="33"/>
  <c r="U50" i="13" s="1"/>
  <c r="U33" i="33"/>
  <c r="T50" i="13" s="1"/>
  <c r="T33" i="33"/>
  <c r="S50" i="13" s="1"/>
  <c r="S33" i="33"/>
  <c r="R33" i="33"/>
  <c r="Q33" i="33"/>
  <c r="P50" i="13" s="1"/>
  <c r="O33" i="33"/>
  <c r="O14" i="33" s="1"/>
  <c r="N33" i="33"/>
  <c r="M50" i="13" s="1"/>
  <c r="M33" i="33"/>
  <c r="L50" i="13" s="1"/>
  <c r="L33" i="33"/>
  <c r="K50" i="13" s="1"/>
  <c r="K33" i="33"/>
  <c r="J50" i="13" s="1"/>
  <c r="J33" i="33"/>
  <c r="I33" i="33"/>
  <c r="H50" i="13" s="1"/>
  <c r="H33" i="33"/>
  <c r="G50" i="13" s="1"/>
  <c r="G33" i="33"/>
  <c r="F50" i="13" s="1"/>
  <c r="F33" i="33"/>
  <c r="E50" i="13" s="1"/>
  <c r="E33" i="33"/>
  <c r="D50" i="13" s="1"/>
  <c r="P32" i="33"/>
  <c r="D32" i="33"/>
  <c r="P31" i="33"/>
  <c r="D31" i="33"/>
  <c r="P30" i="33"/>
  <c r="D30" i="33"/>
  <c r="P29" i="33"/>
  <c r="D29" i="33"/>
  <c r="P28" i="33"/>
  <c r="D28" i="33"/>
  <c r="P27" i="33"/>
  <c r="D27" i="33"/>
  <c r="P26" i="33"/>
  <c r="D26" i="33"/>
  <c r="P25" i="33"/>
  <c r="D25" i="33"/>
  <c r="P24" i="33"/>
  <c r="D24" i="33"/>
  <c r="P23" i="33"/>
  <c r="D23" i="33"/>
  <c r="P22" i="33"/>
  <c r="D22" i="33"/>
  <c r="P21" i="33"/>
  <c r="D21" i="33"/>
  <c r="AM16" i="33"/>
  <c r="AL50" i="12" s="1"/>
  <c r="AL16" i="33"/>
  <c r="AK16" i="33"/>
  <c r="AJ16" i="33"/>
  <c r="AI16" i="33"/>
  <c r="AH50" i="12" s="1"/>
  <c r="AH16" i="33"/>
  <c r="AG16" i="33"/>
  <c r="AF16" i="33"/>
  <c r="AE16" i="33"/>
  <c r="AD50" i="12" s="1"/>
  <c r="AD16" i="33"/>
  <c r="AC50" i="12" s="1"/>
  <c r="AC16" i="33"/>
  <c r="AB16" i="33"/>
  <c r="AA16" i="33"/>
  <c r="Z50" i="12" s="1"/>
  <c r="Z16" i="33"/>
  <c r="Y50" i="12" s="1"/>
  <c r="Y16" i="33"/>
  <c r="X16" i="33"/>
  <c r="W16" i="33"/>
  <c r="V50" i="12" s="1"/>
  <c r="V16" i="33"/>
  <c r="U16" i="33"/>
  <c r="T16" i="33"/>
  <c r="S16" i="33"/>
  <c r="R50" i="12" s="1"/>
  <c r="R16" i="33"/>
  <c r="Q16" i="33"/>
  <c r="P16" i="33"/>
  <c r="O50" i="12" s="1"/>
  <c r="O16" i="33"/>
  <c r="N50" i="12" s="1"/>
  <c r="N16" i="33"/>
  <c r="M50" i="12" s="1"/>
  <c r="M16" i="33"/>
  <c r="L16" i="33"/>
  <c r="K16" i="33"/>
  <c r="J50" i="12" s="1"/>
  <c r="J16" i="33"/>
  <c r="I50" i="12" s="1"/>
  <c r="I16" i="33"/>
  <c r="H16" i="33"/>
  <c r="G16" i="33"/>
  <c r="F50" i="12" s="1"/>
  <c r="F16" i="33"/>
  <c r="E16" i="33"/>
  <c r="D16" i="33"/>
  <c r="C50" i="12" s="1"/>
  <c r="D15" i="33"/>
  <c r="W14" i="33"/>
  <c r="P143" i="32"/>
  <c r="D143" i="32"/>
  <c r="P142" i="32"/>
  <c r="D142" i="32"/>
  <c r="P141" i="32"/>
  <c r="D141" i="32"/>
  <c r="P140" i="32"/>
  <c r="D140" i="32"/>
  <c r="P139" i="32"/>
  <c r="D139" i="32"/>
  <c r="P138" i="32"/>
  <c r="D138" i="32"/>
  <c r="P137" i="32"/>
  <c r="D137" i="32"/>
  <c r="P136" i="32"/>
  <c r="D136" i="32"/>
  <c r="P135" i="32"/>
  <c r="D135" i="32"/>
  <c r="P134" i="32"/>
  <c r="D134" i="32"/>
  <c r="P133" i="32"/>
  <c r="D133" i="32"/>
  <c r="P132" i="32"/>
  <c r="D132" i="32"/>
  <c r="P131" i="32"/>
  <c r="D131" i="32"/>
  <c r="P130" i="32"/>
  <c r="D130" i="32"/>
  <c r="P129" i="32"/>
  <c r="D129" i="32"/>
  <c r="P128" i="32"/>
  <c r="D128" i="32"/>
  <c r="P127" i="32"/>
  <c r="D127" i="32"/>
  <c r="P126" i="32"/>
  <c r="D126" i="32"/>
  <c r="P125" i="32"/>
  <c r="D125" i="32"/>
  <c r="P124" i="32"/>
  <c r="D124" i="32"/>
  <c r="P123" i="32"/>
  <c r="D123" i="32"/>
  <c r="AM54" i="32"/>
  <c r="AL55" i="14" s="1"/>
  <c r="AL54" i="32"/>
  <c r="AK54" i="32"/>
  <c r="AJ55" i="14" s="1"/>
  <c r="AJ54" i="32"/>
  <c r="AI55" i="14" s="1"/>
  <c r="AI54" i="32"/>
  <c r="AH54" i="32"/>
  <c r="AG55" i="14" s="1"/>
  <c r="AG54" i="32"/>
  <c r="AF55" i="14" s="1"/>
  <c r="AF54" i="32"/>
  <c r="AE55" i="14" s="1"/>
  <c r="AE54" i="32"/>
  <c r="AD55" i="14" s="1"/>
  <c r="AD54" i="32"/>
  <c r="AC55" i="14" s="1"/>
  <c r="AC54" i="32"/>
  <c r="AB55" i="14" s="1"/>
  <c r="AB54" i="32"/>
  <c r="AA55" i="14" s="1"/>
  <c r="AA54" i="32"/>
  <c r="Z54" i="32"/>
  <c r="Y54" i="32"/>
  <c r="X55" i="14" s="1"/>
  <c r="X54" i="32"/>
  <c r="W55" i="14" s="1"/>
  <c r="W54" i="32"/>
  <c r="V55" i="14" s="1"/>
  <c r="V54" i="32"/>
  <c r="U55" i="14" s="1"/>
  <c r="U54" i="32"/>
  <c r="T55" i="14" s="1"/>
  <c r="T54" i="32"/>
  <c r="S55" i="14" s="1"/>
  <c r="S54" i="32"/>
  <c r="R54" i="32"/>
  <c r="Q54" i="32"/>
  <c r="P55" i="14" s="1"/>
  <c r="O54" i="32"/>
  <c r="N55" i="14" s="1"/>
  <c r="N54" i="32"/>
  <c r="M55" i="14" s="1"/>
  <c r="M54" i="32"/>
  <c r="L55" i="14" s="1"/>
  <c r="L54" i="32"/>
  <c r="K55" i="14" s="1"/>
  <c r="K54" i="32"/>
  <c r="J55" i="14" s="1"/>
  <c r="J54" i="32"/>
  <c r="I54" i="32"/>
  <c r="H55" i="14" s="1"/>
  <c r="H54" i="32"/>
  <c r="G55" i="14" s="1"/>
  <c r="G54" i="32"/>
  <c r="F54" i="32"/>
  <c r="E55" i="14" s="1"/>
  <c r="E54" i="32"/>
  <c r="D55" i="14" s="1"/>
  <c r="P53" i="32"/>
  <c r="P52" i="32"/>
  <c r="P51" i="32"/>
  <c r="P50" i="32"/>
  <c r="P49" i="32"/>
  <c r="P48" i="32"/>
  <c r="P47" i="32"/>
  <c r="P46" i="32"/>
  <c r="P45" i="32"/>
  <c r="P44" i="32"/>
  <c r="P43" i="32"/>
  <c r="P42" i="32"/>
  <c r="P41" i="32"/>
  <c r="D41" i="32"/>
  <c r="P40" i="32"/>
  <c r="D40" i="32"/>
  <c r="P39" i="32"/>
  <c r="D39" i="32"/>
  <c r="P38" i="32"/>
  <c r="D38" i="32"/>
  <c r="P37" i="32"/>
  <c r="D37" i="32"/>
  <c r="AM33" i="32"/>
  <c r="AL55" i="13" s="1"/>
  <c r="AL33" i="32"/>
  <c r="AK55" i="13" s="1"/>
  <c r="AK33" i="32"/>
  <c r="AJ33" i="32"/>
  <c r="AI55" i="13" s="1"/>
  <c r="AI33" i="32"/>
  <c r="AH55" i="13" s="1"/>
  <c r="AH33" i="32"/>
  <c r="AG55" i="13" s="1"/>
  <c r="AG33" i="32"/>
  <c r="AF33" i="32"/>
  <c r="AE55" i="13" s="1"/>
  <c r="AE33" i="32"/>
  <c r="AD55" i="13" s="1"/>
  <c r="AD33" i="32"/>
  <c r="AC55" i="13" s="1"/>
  <c r="AC33" i="32"/>
  <c r="AB33" i="32"/>
  <c r="AA55" i="13" s="1"/>
  <c r="AA33" i="32"/>
  <c r="Z55" i="13" s="1"/>
  <c r="Z33" i="32"/>
  <c r="Y55" i="13" s="1"/>
  <c r="Y33" i="32"/>
  <c r="X33" i="32"/>
  <c r="W55" i="13" s="1"/>
  <c r="W33" i="32"/>
  <c r="V55" i="13" s="1"/>
  <c r="V33" i="32"/>
  <c r="U55" i="13" s="1"/>
  <c r="U33" i="32"/>
  <c r="T33" i="32"/>
  <c r="S55" i="13" s="1"/>
  <c r="S33" i="32"/>
  <c r="R55" i="13" s="1"/>
  <c r="R33" i="32"/>
  <c r="Q55" i="13" s="1"/>
  <c r="Q33" i="32"/>
  <c r="O33" i="32"/>
  <c r="N55" i="13" s="1"/>
  <c r="N33" i="32"/>
  <c r="M33" i="32"/>
  <c r="L55" i="13" s="1"/>
  <c r="L33" i="32"/>
  <c r="K55" i="13" s="1"/>
  <c r="K33" i="32"/>
  <c r="J55" i="13" s="1"/>
  <c r="J33" i="32"/>
  <c r="I33" i="32"/>
  <c r="H55" i="13" s="1"/>
  <c r="H33" i="32"/>
  <c r="G55" i="13" s="1"/>
  <c r="G33" i="32"/>
  <c r="F55" i="13" s="1"/>
  <c r="F33" i="32"/>
  <c r="E33" i="32"/>
  <c r="D55" i="13" s="1"/>
  <c r="P32" i="32"/>
  <c r="D32" i="32"/>
  <c r="P31" i="32"/>
  <c r="D31" i="32"/>
  <c r="P30" i="32"/>
  <c r="D30" i="32"/>
  <c r="P29" i="32"/>
  <c r="D29" i="32"/>
  <c r="P28" i="32"/>
  <c r="D28" i="32"/>
  <c r="P27" i="32"/>
  <c r="D27" i="32"/>
  <c r="P26" i="32"/>
  <c r="D26" i="32"/>
  <c r="P25" i="32"/>
  <c r="D25" i="32"/>
  <c r="P24" i="32"/>
  <c r="D24" i="32"/>
  <c r="P23" i="32"/>
  <c r="D23" i="32"/>
  <c r="P22" i="32"/>
  <c r="D22" i="32"/>
  <c r="P21" i="32"/>
  <c r="D21" i="32"/>
  <c r="P20" i="32"/>
  <c r="D20" i="32"/>
  <c r="AM16" i="32"/>
  <c r="AL16" i="32"/>
  <c r="AK55" i="12" s="1"/>
  <c r="AK16" i="32"/>
  <c r="AK14" i="32" s="1"/>
  <c r="AJ16" i="32"/>
  <c r="AJ14" i="32" s="1"/>
  <c r="AI16" i="32"/>
  <c r="AH55" i="12" s="1"/>
  <c r="AH16" i="32"/>
  <c r="AG55" i="12" s="1"/>
  <c r="AG16" i="32"/>
  <c r="AG14" i="32" s="1"/>
  <c r="AF16" i="32"/>
  <c r="AF14" i="32" s="1"/>
  <c r="AE16" i="32"/>
  <c r="AD55" i="12" s="1"/>
  <c r="AD16" i="32"/>
  <c r="AC55" i="12" s="1"/>
  <c r="AC16" i="32"/>
  <c r="AC14" i="32" s="1"/>
  <c r="AB16" i="32"/>
  <c r="AB14" i="32" s="1"/>
  <c r="AA16" i="32"/>
  <c r="Z55" i="12" s="1"/>
  <c r="Z16" i="32"/>
  <c r="Y55" i="12" s="1"/>
  <c r="Y16" i="32"/>
  <c r="Y14" i="32" s="1"/>
  <c r="X16" i="32"/>
  <c r="X14" i="32" s="1"/>
  <c r="W16" i="32"/>
  <c r="V16" i="32"/>
  <c r="U55" i="12" s="1"/>
  <c r="U16" i="32"/>
  <c r="U14" i="32" s="1"/>
  <c r="T16" i="32"/>
  <c r="T14" i="32" s="1"/>
  <c r="S16" i="32"/>
  <c r="S14" i="32" s="1"/>
  <c r="R16" i="32"/>
  <c r="Q55" i="12" s="1"/>
  <c r="Q16" i="32"/>
  <c r="Q14" i="32" s="1"/>
  <c r="O16" i="32"/>
  <c r="N55" i="12" s="1"/>
  <c r="N16" i="32"/>
  <c r="M55" i="12" s="1"/>
  <c r="M16" i="32"/>
  <c r="L16" i="32"/>
  <c r="L14" i="32" s="1"/>
  <c r="K16" i="32"/>
  <c r="J55" i="12" s="1"/>
  <c r="J16" i="32"/>
  <c r="I55" i="12" s="1"/>
  <c r="I16" i="32"/>
  <c r="H16" i="32"/>
  <c r="H14" i="32" s="1"/>
  <c r="G16" i="32"/>
  <c r="F16" i="32"/>
  <c r="E55" i="12" s="1"/>
  <c r="E16" i="32"/>
  <c r="P15" i="32"/>
  <c r="O55" i="11" s="1"/>
  <c r="D15" i="32"/>
  <c r="C55" i="11" s="1"/>
  <c r="K14" i="32"/>
  <c r="P143" i="31"/>
  <c r="D143" i="31"/>
  <c r="P142" i="31"/>
  <c r="D142" i="31"/>
  <c r="P141" i="31"/>
  <c r="D141" i="31"/>
  <c r="P140" i="31"/>
  <c r="D140" i="31"/>
  <c r="P139" i="31"/>
  <c r="D139" i="31"/>
  <c r="P138" i="31"/>
  <c r="D138" i="31"/>
  <c r="P137" i="31"/>
  <c r="D137" i="31"/>
  <c r="P136" i="31"/>
  <c r="D136" i="31"/>
  <c r="P135" i="31"/>
  <c r="D135" i="31"/>
  <c r="P134" i="31"/>
  <c r="D134" i="31"/>
  <c r="P133" i="31"/>
  <c r="D133" i="31"/>
  <c r="P132" i="31"/>
  <c r="D132" i="31"/>
  <c r="P131" i="31"/>
  <c r="D131" i="31"/>
  <c r="P130" i="31"/>
  <c r="D130" i="31"/>
  <c r="P129" i="31"/>
  <c r="D129" i="31"/>
  <c r="P128" i="31"/>
  <c r="D128" i="31"/>
  <c r="P127" i="31"/>
  <c r="D127" i="31"/>
  <c r="P126" i="31"/>
  <c r="D126" i="31"/>
  <c r="P125" i="31"/>
  <c r="D125" i="31"/>
  <c r="P124" i="31"/>
  <c r="D124" i="31"/>
  <c r="P123" i="31"/>
  <c r="D123" i="31"/>
  <c r="P122" i="31"/>
  <c r="D122" i="31"/>
  <c r="P121" i="31"/>
  <c r="D121" i="31"/>
  <c r="P120" i="31"/>
  <c r="D120" i="31"/>
  <c r="P119" i="31"/>
  <c r="D119" i="31"/>
  <c r="P118" i="31"/>
  <c r="D118" i="31"/>
  <c r="P117" i="31"/>
  <c r="D117" i="31"/>
  <c r="P116" i="31"/>
  <c r="D116" i="31"/>
  <c r="P115" i="31"/>
  <c r="D115" i="31"/>
  <c r="P114" i="31"/>
  <c r="D114" i="31"/>
  <c r="P113" i="31"/>
  <c r="D113" i="31"/>
  <c r="P112" i="31"/>
  <c r="D112" i="31"/>
  <c r="P111" i="31"/>
  <c r="D111" i="31"/>
  <c r="P110" i="31"/>
  <c r="D110" i="31"/>
  <c r="P109" i="31"/>
  <c r="D109" i="31"/>
  <c r="P108" i="31"/>
  <c r="D108" i="31"/>
  <c r="P107" i="31"/>
  <c r="D107" i="31"/>
  <c r="P106" i="31"/>
  <c r="D106" i="31"/>
  <c r="P105" i="31"/>
  <c r="D105" i="31"/>
  <c r="P104" i="31"/>
  <c r="D104" i="31"/>
  <c r="P103" i="31"/>
  <c r="D103" i="31"/>
  <c r="P102" i="31"/>
  <c r="D102" i="31"/>
  <c r="P101" i="31"/>
  <c r="D101" i="31"/>
  <c r="P100" i="31"/>
  <c r="D100" i="31"/>
  <c r="P99" i="31"/>
  <c r="D99" i="31"/>
  <c r="P98" i="31"/>
  <c r="D98" i="31"/>
  <c r="P97" i="31"/>
  <c r="D97" i="31"/>
  <c r="P96" i="31"/>
  <c r="D96" i="31"/>
  <c r="P95" i="31"/>
  <c r="D95" i="31"/>
  <c r="P94" i="31"/>
  <c r="D94" i="31"/>
  <c r="P93" i="31"/>
  <c r="D93" i="31"/>
  <c r="P92" i="31"/>
  <c r="D92" i="31"/>
  <c r="P91" i="31"/>
  <c r="D91" i="31"/>
  <c r="P90" i="31"/>
  <c r="D90" i="31"/>
  <c r="P89" i="31"/>
  <c r="D89" i="31"/>
  <c r="P88" i="31"/>
  <c r="D88" i="31"/>
  <c r="P87" i="31"/>
  <c r="D87" i="31"/>
  <c r="P86" i="31"/>
  <c r="D86" i="31"/>
  <c r="P85" i="31"/>
  <c r="D85" i="31"/>
  <c r="P84" i="31"/>
  <c r="D84" i="31"/>
  <c r="P83" i="31"/>
  <c r="D83" i="31"/>
  <c r="P82" i="31"/>
  <c r="D82" i="31"/>
  <c r="P81" i="31"/>
  <c r="D81" i="31"/>
  <c r="P80" i="31"/>
  <c r="D80" i="31"/>
  <c r="P79" i="31"/>
  <c r="D79" i="31"/>
  <c r="P78" i="31"/>
  <c r="D78" i="31"/>
  <c r="P77" i="31"/>
  <c r="D77" i="31"/>
  <c r="P76" i="31"/>
  <c r="D76" i="31"/>
  <c r="P75" i="31"/>
  <c r="D75" i="31"/>
  <c r="P74" i="31"/>
  <c r="D74" i="31"/>
  <c r="P73" i="31"/>
  <c r="D73" i="31"/>
  <c r="P72" i="31"/>
  <c r="D72" i="31"/>
  <c r="P71" i="31"/>
  <c r="D71" i="31"/>
  <c r="P70" i="31"/>
  <c r="D70" i="31"/>
  <c r="P69" i="31"/>
  <c r="D69" i="31"/>
  <c r="P68" i="31"/>
  <c r="D68" i="31"/>
  <c r="P67" i="31"/>
  <c r="D67" i="31"/>
  <c r="P66" i="31"/>
  <c r="D66" i="31"/>
  <c r="P65" i="31"/>
  <c r="D65" i="31"/>
  <c r="P64" i="31"/>
  <c r="D64" i="31"/>
  <c r="P63" i="31"/>
  <c r="D63" i="31"/>
  <c r="P62" i="31"/>
  <c r="D62" i="31"/>
  <c r="P61" i="31"/>
  <c r="D61" i="31"/>
  <c r="P60" i="31"/>
  <c r="D60" i="31"/>
  <c r="P59" i="31"/>
  <c r="D59" i="31"/>
  <c r="P58" i="31"/>
  <c r="D58" i="31"/>
  <c r="P57" i="31"/>
  <c r="D57" i="31"/>
  <c r="P56" i="31"/>
  <c r="D56" i="31"/>
  <c r="P55" i="31"/>
  <c r="D55" i="31"/>
  <c r="AM54" i="31"/>
  <c r="AL56" i="14" s="1"/>
  <c r="AL54" i="31"/>
  <c r="AK56" i="14" s="1"/>
  <c r="AK54" i="31"/>
  <c r="AJ56" i="14" s="1"/>
  <c r="AJ54" i="31"/>
  <c r="AI56" i="14" s="1"/>
  <c r="AI54" i="31"/>
  <c r="AH56" i="14" s="1"/>
  <c r="AH54" i="31"/>
  <c r="AG56" i="14" s="1"/>
  <c r="AG54" i="31"/>
  <c r="AF56" i="14" s="1"/>
  <c r="AF54" i="31"/>
  <c r="AE56" i="14" s="1"/>
  <c r="AE54" i="31"/>
  <c r="AD56" i="14" s="1"/>
  <c r="AD54" i="31"/>
  <c r="AC56" i="14" s="1"/>
  <c r="AC54" i="31"/>
  <c r="AB56" i="14" s="1"/>
  <c r="AB54" i="31"/>
  <c r="AA56" i="14" s="1"/>
  <c r="AA54" i="31"/>
  <c r="Z56" i="14" s="1"/>
  <c r="Z54" i="31"/>
  <c r="Y56" i="14" s="1"/>
  <c r="Y54" i="31"/>
  <c r="X56" i="14" s="1"/>
  <c r="X54" i="31"/>
  <c r="W56" i="14" s="1"/>
  <c r="W54" i="31"/>
  <c r="V56" i="14" s="1"/>
  <c r="V54" i="31"/>
  <c r="U56" i="14" s="1"/>
  <c r="U54" i="31"/>
  <c r="T56" i="14" s="1"/>
  <c r="T54" i="31"/>
  <c r="S56" i="14" s="1"/>
  <c r="S54" i="31"/>
  <c r="R56" i="14" s="1"/>
  <c r="R54" i="31"/>
  <c r="Q56" i="14" s="1"/>
  <c r="Q54" i="31"/>
  <c r="P54" i="31" s="1"/>
  <c r="O56" i="14" s="1"/>
  <c r="O54" i="31"/>
  <c r="N56" i="14" s="1"/>
  <c r="N54" i="31"/>
  <c r="M56" i="14" s="1"/>
  <c r="M54" i="31"/>
  <c r="L56" i="14" s="1"/>
  <c r="L54" i="31"/>
  <c r="K56" i="14" s="1"/>
  <c r="K54" i="31"/>
  <c r="J56" i="14" s="1"/>
  <c r="J54" i="31"/>
  <c r="I56" i="14" s="1"/>
  <c r="I54" i="31"/>
  <c r="H56" i="14" s="1"/>
  <c r="H54" i="31"/>
  <c r="G56" i="14" s="1"/>
  <c r="G54" i="31"/>
  <c r="F56" i="14" s="1"/>
  <c r="F54" i="31"/>
  <c r="E56" i="14" s="1"/>
  <c r="E54" i="31"/>
  <c r="D54" i="31" s="1"/>
  <c r="C56" i="14" s="1"/>
  <c r="P53" i="31"/>
  <c r="P52" i="31"/>
  <c r="P51" i="31"/>
  <c r="P50" i="31"/>
  <c r="P49" i="31"/>
  <c r="P48" i="31"/>
  <c r="P47" i="31"/>
  <c r="P46" i="31"/>
  <c r="P45" i="31"/>
  <c r="P44" i="31"/>
  <c r="P43" i="31"/>
  <c r="P42" i="31"/>
  <c r="P41" i="31"/>
  <c r="D41" i="31"/>
  <c r="P40" i="31"/>
  <c r="D40" i="31"/>
  <c r="P39" i="31"/>
  <c r="D39" i="31"/>
  <c r="P38" i="31"/>
  <c r="D38" i="31"/>
  <c r="P37" i="31"/>
  <c r="D37" i="31"/>
  <c r="P36" i="31"/>
  <c r="D36" i="31"/>
  <c r="P35" i="31"/>
  <c r="D35" i="31"/>
  <c r="P34" i="31"/>
  <c r="D34" i="31"/>
  <c r="AM33" i="31"/>
  <c r="AL56" i="13" s="1"/>
  <c r="AL33" i="31"/>
  <c r="AK56" i="13" s="1"/>
  <c r="AK33" i="31"/>
  <c r="AJ56" i="13" s="1"/>
  <c r="AJ33" i="31"/>
  <c r="AI33" i="31"/>
  <c r="AH56" i="13" s="1"/>
  <c r="AH33" i="31"/>
  <c r="AG56" i="13" s="1"/>
  <c r="AG33" i="31"/>
  <c r="AF56" i="13" s="1"/>
  <c r="AF33" i="31"/>
  <c r="AE33" i="31"/>
  <c r="AD56" i="13" s="1"/>
  <c r="AD33" i="31"/>
  <c r="AC56" i="13" s="1"/>
  <c r="AC33" i="31"/>
  <c r="AB56" i="13" s="1"/>
  <c r="AB33" i="31"/>
  <c r="AA33" i="31"/>
  <c r="Z56" i="13" s="1"/>
  <c r="Z33" i="31"/>
  <c r="Y56" i="13" s="1"/>
  <c r="Y33" i="31"/>
  <c r="X56" i="13" s="1"/>
  <c r="X33" i="31"/>
  <c r="W33" i="31"/>
  <c r="V56" i="13" s="1"/>
  <c r="V33" i="31"/>
  <c r="U56" i="13" s="1"/>
  <c r="U33" i="31"/>
  <c r="T56" i="13" s="1"/>
  <c r="T33" i="31"/>
  <c r="S33" i="31"/>
  <c r="R56" i="13" s="1"/>
  <c r="R33" i="31"/>
  <c r="Q56" i="13" s="1"/>
  <c r="Q33" i="31"/>
  <c r="P56" i="13" s="1"/>
  <c r="O33" i="31"/>
  <c r="N56" i="13" s="1"/>
  <c r="N33" i="31"/>
  <c r="M56" i="13" s="1"/>
  <c r="M33" i="31"/>
  <c r="L56" i="13" s="1"/>
  <c r="L33" i="31"/>
  <c r="K33" i="31"/>
  <c r="J56" i="13" s="1"/>
  <c r="J33" i="31"/>
  <c r="I56" i="13" s="1"/>
  <c r="I33" i="31"/>
  <c r="H56" i="13" s="1"/>
  <c r="H33" i="31"/>
  <c r="G33" i="31"/>
  <c r="F56" i="13" s="1"/>
  <c r="F33" i="31"/>
  <c r="E56" i="13" s="1"/>
  <c r="E33" i="31"/>
  <c r="D56" i="13" s="1"/>
  <c r="P32" i="31"/>
  <c r="D32" i="31"/>
  <c r="P31" i="31"/>
  <c r="D31" i="31"/>
  <c r="P30" i="31"/>
  <c r="D30" i="31"/>
  <c r="P29" i="31"/>
  <c r="D29" i="31"/>
  <c r="P28" i="31"/>
  <c r="D28" i="31"/>
  <c r="P27" i="31"/>
  <c r="D27" i="31"/>
  <c r="P26" i="31"/>
  <c r="D26" i="31"/>
  <c r="P25" i="31"/>
  <c r="D25" i="31"/>
  <c r="AM16" i="31"/>
  <c r="AM14" i="31" s="1"/>
  <c r="AL16" i="31"/>
  <c r="AL14" i="31" s="1"/>
  <c r="AK16" i="31"/>
  <c r="AJ56" i="12" s="1"/>
  <c r="AJ16" i="31"/>
  <c r="AJ14" i="31" s="1"/>
  <c r="AI16" i="31"/>
  <c r="AI14" i="31" s="1"/>
  <c r="AH16" i="31"/>
  <c r="AH14" i="31" s="1"/>
  <c r="AG16" i="31"/>
  <c r="AF56" i="12" s="1"/>
  <c r="AF16" i="31"/>
  <c r="AE56" i="12" s="1"/>
  <c r="AE16" i="31"/>
  <c r="AE14" i="31" s="1"/>
  <c r="AD16" i="31"/>
  <c r="AD14" i="31" s="1"/>
  <c r="AC16" i="31"/>
  <c r="AC14" i="31" s="1"/>
  <c r="AB16" i="31"/>
  <c r="AB14" i="31" s="1"/>
  <c r="AA16" i="31"/>
  <c r="AA14" i="31" s="1"/>
  <c r="Z16" i="31"/>
  <c r="Z14" i="31" s="1"/>
  <c r="Y16" i="31"/>
  <c r="X56" i="12" s="1"/>
  <c r="X16" i="31"/>
  <c r="W56" i="12" s="1"/>
  <c r="W16" i="31"/>
  <c r="W14" i="31" s="1"/>
  <c r="V16" i="31"/>
  <c r="V14" i="31" s="1"/>
  <c r="U16" i="31"/>
  <c r="T56" i="12" s="1"/>
  <c r="T16" i="31"/>
  <c r="T14" i="31" s="1"/>
  <c r="S16" i="31"/>
  <c r="S14" i="31" s="1"/>
  <c r="R16" i="31"/>
  <c r="Q16" i="31"/>
  <c r="P56" i="12" s="1"/>
  <c r="O16" i="31"/>
  <c r="N16" i="31"/>
  <c r="M16" i="31"/>
  <c r="M14" i="31" s="1"/>
  <c r="L16" i="31"/>
  <c r="K56" i="12" s="1"/>
  <c r="K16" i="31"/>
  <c r="J16" i="31"/>
  <c r="I16" i="31"/>
  <c r="I14" i="31" s="1"/>
  <c r="H16" i="31"/>
  <c r="G56" i="12" s="1"/>
  <c r="G16" i="31"/>
  <c r="F16" i="31"/>
  <c r="E16" i="31"/>
  <c r="D56" i="12" s="1"/>
  <c r="P15" i="31"/>
  <c r="D15" i="31"/>
  <c r="AK14" i="31"/>
  <c r="AG14" i="31"/>
  <c r="AF14" i="31"/>
  <c r="Y14" i="31"/>
  <c r="X14" i="31"/>
  <c r="U14" i="31"/>
  <c r="L14" i="31"/>
  <c r="AL31" i="14"/>
  <c r="AJ31" i="14"/>
  <c r="AH31" i="14"/>
  <c r="AF31" i="14"/>
  <c r="AD31" i="14"/>
  <c r="AB31" i="14"/>
  <c r="Z31" i="14"/>
  <c r="X31" i="14"/>
  <c r="V31" i="14"/>
  <c r="T31" i="14"/>
  <c r="R31" i="14"/>
  <c r="P31" i="14"/>
  <c r="N31" i="14"/>
  <c r="L31" i="14"/>
  <c r="K31" i="14"/>
  <c r="J31" i="14"/>
  <c r="H31" i="14"/>
  <c r="G31" i="14"/>
  <c r="F31" i="14"/>
  <c r="D31" i="14"/>
  <c r="P53" i="30"/>
  <c r="P52" i="30"/>
  <c r="P51" i="30"/>
  <c r="P50" i="30"/>
  <c r="P49" i="30"/>
  <c r="P48" i="30"/>
  <c r="P47" i="30"/>
  <c r="P46" i="30"/>
  <c r="P45" i="30"/>
  <c r="P44" i="30"/>
  <c r="P43" i="30"/>
  <c r="P42" i="30"/>
  <c r="P41" i="30"/>
  <c r="D41" i="30"/>
  <c r="P40" i="30"/>
  <c r="D40" i="30"/>
  <c r="P39" i="30"/>
  <c r="D39" i="30"/>
  <c r="P38" i="30"/>
  <c r="D38" i="30"/>
  <c r="AM33" i="30"/>
  <c r="AL31" i="13" s="1"/>
  <c r="AL33" i="30"/>
  <c r="AK31" i="13" s="1"/>
  <c r="AK33" i="30"/>
  <c r="AJ33" i="30"/>
  <c r="AI31" i="13" s="1"/>
  <c r="AI33" i="30"/>
  <c r="AH31" i="13" s="1"/>
  <c r="AH33" i="30"/>
  <c r="AG31" i="13" s="1"/>
  <c r="AG33" i="30"/>
  <c r="AF31" i="13" s="1"/>
  <c r="AF33" i="30"/>
  <c r="AE31" i="13" s="1"/>
  <c r="AE33" i="30"/>
  <c r="AE14" i="30" s="1"/>
  <c r="AD33" i="30"/>
  <c r="AC31" i="13" s="1"/>
  <c r="AC33" i="30"/>
  <c r="AB33" i="30"/>
  <c r="AA31" i="13" s="1"/>
  <c r="AA33" i="30"/>
  <c r="Z31" i="13" s="1"/>
  <c r="Z33" i="30"/>
  <c r="Y31" i="13" s="1"/>
  <c r="Y33" i="30"/>
  <c r="X31" i="13" s="1"/>
  <c r="X33" i="30"/>
  <c r="W31" i="13" s="1"/>
  <c r="W33" i="30"/>
  <c r="W14" i="30" s="1"/>
  <c r="V33" i="30"/>
  <c r="U31" i="13" s="1"/>
  <c r="U33" i="30"/>
  <c r="T33" i="30"/>
  <c r="S31" i="13" s="1"/>
  <c r="S33" i="30"/>
  <c r="R31" i="13" s="1"/>
  <c r="R33" i="30"/>
  <c r="Q33" i="30"/>
  <c r="P31" i="13" s="1"/>
  <c r="O33" i="30"/>
  <c r="N31" i="13" s="1"/>
  <c r="N33" i="30"/>
  <c r="M31" i="13" s="1"/>
  <c r="M33" i="30"/>
  <c r="L31" i="13" s="1"/>
  <c r="L33" i="30"/>
  <c r="K31" i="13" s="1"/>
  <c r="K33" i="30"/>
  <c r="J33" i="30"/>
  <c r="I33" i="30"/>
  <c r="H31" i="13" s="1"/>
  <c r="H33" i="30"/>
  <c r="G31" i="13" s="1"/>
  <c r="G33" i="30"/>
  <c r="G14" i="30" s="1"/>
  <c r="F33" i="30"/>
  <c r="E31" i="13" s="1"/>
  <c r="E33" i="30"/>
  <c r="D31" i="13" s="1"/>
  <c r="P32" i="30"/>
  <c r="D32" i="30"/>
  <c r="P31" i="30"/>
  <c r="D31" i="30"/>
  <c r="P30" i="30"/>
  <c r="D30" i="30"/>
  <c r="P29" i="30"/>
  <c r="D29" i="30"/>
  <c r="P28" i="30"/>
  <c r="D28" i="30"/>
  <c r="P27" i="30"/>
  <c r="D27" i="30"/>
  <c r="P26" i="30"/>
  <c r="D26" i="30"/>
  <c r="P25" i="30"/>
  <c r="D25" i="30"/>
  <c r="P24" i="30"/>
  <c r="D24" i="30"/>
  <c r="P23" i="30"/>
  <c r="D23" i="30"/>
  <c r="P22" i="30"/>
  <c r="D22" i="30"/>
  <c r="P21" i="30"/>
  <c r="D21" i="30"/>
  <c r="AM16" i="30"/>
  <c r="AL31" i="12" s="1"/>
  <c r="AL16" i="30"/>
  <c r="AK16" i="30"/>
  <c r="AK14" i="30" s="1"/>
  <c r="AJ16" i="30"/>
  <c r="AI16" i="30"/>
  <c r="AH16" i="30"/>
  <c r="AG31" i="12" s="1"/>
  <c r="AG16" i="30"/>
  <c r="AG14" i="30" s="1"/>
  <c r="AF16" i="30"/>
  <c r="AE16" i="30"/>
  <c r="AD31" i="12" s="1"/>
  <c r="AD16" i="30"/>
  <c r="AC16" i="30"/>
  <c r="AC14" i="30" s="1"/>
  <c r="AB16" i="30"/>
  <c r="AA16" i="30"/>
  <c r="Z16" i="30"/>
  <c r="Y31" i="12" s="1"/>
  <c r="Y16" i="30"/>
  <c r="Y14" i="30" s="1"/>
  <c r="X16" i="30"/>
  <c r="W16" i="30"/>
  <c r="V31" i="12" s="1"/>
  <c r="V16" i="30"/>
  <c r="U16" i="30"/>
  <c r="U14" i="30" s="1"/>
  <c r="T16" i="30"/>
  <c r="S16" i="30"/>
  <c r="R16" i="30"/>
  <c r="Q31" i="12" s="1"/>
  <c r="Q16" i="30"/>
  <c r="Q14" i="30" s="1"/>
  <c r="O16" i="30"/>
  <c r="N31" i="12" s="1"/>
  <c r="N16" i="30"/>
  <c r="M16" i="30"/>
  <c r="L16" i="30"/>
  <c r="L14" i="30" s="1"/>
  <c r="K16" i="30"/>
  <c r="J16" i="30"/>
  <c r="I31" i="12" s="1"/>
  <c r="I16" i="30"/>
  <c r="H16" i="30"/>
  <c r="H14" i="30" s="1"/>
  <c r="G16" i="30"/>
  <c r="F31" i="12" s="1"/>
  <c r="F16" i="30"/>
  <c r="E16" i="30"/>
  <c r="D15" i="30"/>
  <c r="C31" i="11" s="1"/>
  <c r="P143" i="29"/>
  <c r="D143" i="29"/>
  <c r="P142" i="29"/>
  <c r="D142" i="29"/>
  <c r="P141" i="29"/>
  <c r="D141" i="29"/>
  <c r="P140" i="29"/>
  <c r="D140" i="29"/>
  <c r="P139" i="29"/>
  <c r="D139" i="29"/>
  <c r="P138" i="29"/>
  <c r="D138" i="29"/>
  <c r="P137" i="29"/>
  <c r="D137" i="29"/>
  <c r="AM54" i="29"/>
  <c r="AL30" i="14" s="1"/>
  <c r="AL54" i="29"/>
  <c r="AK30" i="14" s="1"/>
  <c r="AK54" i="29"/>
  <c r="AJ54" i="29"/>
  <c r="AI30" i="14" s="1"/>
  <c r="AI54" i="29"/>
  <c r="AH30" i="14" s="1"/>
  <c r="AH54" i="29"/>
  <c r="AG30" i="14" s="1"/>
  <c r="AG54" i="29"/>
  <c r="AF54" i="29"/>
  <c r="AE30" i="14" s="1"/>
  <c r="AE54" i="29"/>
  <c r="AD30" i="14" s="1"/>
  <c r="AD54" i="29"/>
  <c r="AC30" i="14" s="1"/>
  <c r="AC54" i="29"/>
  <c r="AB30" i="14" s="1"/>
  <c r="AB54" i="29"/>
  <c r="AA30" i="14" s="1"/>
  <c r="AA54" i="29"/>
  <c r="Z30" i="14" s="1"/>
  <c r="Z54" i="29"/>
  <c r="Y30" i="14" s="1"/>
  <c r="Y54" i="29"/>
  <c r="X54" i="29"/>
  <c r="W30" i="14" s="1"/>
  <c r="W54" i="29"/>
  <c r="V30" i="14" s="1"/>
  <c r="V54" i="29"/>
  <c r="U30" i="14" s="1"/>
  <c r="U54" i="29"/>
  <c r="T54" i="29"/>
  <c r="S30" i="14" s="1"/>
  <c r="S54" i="29"/>
  <c r="R30" i="14" s="1"/>
  <c r="R54" i="29"/>
  <c r="Q54" i="29"/>
  <c r="O54" i="29"/>
  <c r="N30" i="14" s="1"/>
  <c r="N54" i="29"/>
  <c r="M30" i="14" s="1"/>
  <c r="M54" i="29"/>
  <c r="L30" i="14" s="1"/>
  <c r="L54" i="29"/>
  <c r="K54" i="29"/>
  <c r="J30" i="14" s="1"/>
  <c r="J54" i="29"/>
  <c r="D54" i="29" s="1"/>
  <c r="C30" i="14" s="1"/>
  <c r="I54" i="29"/>
  <c r="H54" i="29"/>
  <c r="G54" i="29"/>
  <c r="F30" i="14" s="1"/>
  <c r="F54" i="29"/>
  <c r="E30" i="14" s="1"/>
  <c r="E54" i="29"/>
  <c r="D30" i="14" s="1"/>
  <c r="P53" i="29"/>
  <c r="P52" i="29"/>
  <c r="P51" i="29"/>
  <c r="P50" i="29"/>
  <c r="P49" i="29"/>
  <c r="P48" i="29"/>
  <c r="P47" i="29"/>
  <c r="P46" i="29"/>
  <c r="P45" i="29"/>
  <c r="P44" i="29"/>
  <c r="P43" i="29"/>
  <c r="P42" i="29"/>
  <c r="P41" i="29"/>
  <c r="D41" i="29"/>
  <c r="P40" i="29"/>
  <c r="D40" i="29"/>
  <c r="P39" i="29"/>
  <c r="D39" i="29"/>
  <c r="AM33" i="29"/>
  <c r="AL30" i="13" s="1"/>
  <c r="AL33" i="29"/>
  <c r="AK30" i="13" s="1"/>
  <c r="AK33" i="29"/>
  <c r="AJ30" i="13" s="1"/>
  <c r="AJ33" i="29"/>
  <c r="AI33" i="29"/>
  <c r="AH30" i="13" s="1"/>
  <c r="AH33" i="29"/>
  <c r="AG30" i="13" s="1"/>
  <c r="AG33" i="29"/>
  <c r="AF30" i="13" s="1"/>
  <c r="AF33" i="29"/>
  <c r="AE30" i="13" s="1"/>
  <c r="AE33" i="29"/>
  <c r="AD30" i="13" s="1"/>
  <c r="AD33" i="29"/>
  <c r="AC30" i="13" s="1"/>
  <c r="AC33" i="29"/>
  <c r="AB30" i="13" s="1"/>
  <c r="AB33" i="29"/>
  <c r="AA33" i="29"/>
  <c r="Z30" i="13" s="1"/>
  <c r="Z33" i="29"/>
  <c r="Y30" i="13" s="1"/>
  <c r="Y33" i="29"/>
  <c r="X30" i="13" s="1"/>
  <c r="X33" i="29"/>
  <c r="W30" i="13" s="1"/>
  <c r="W33" i="29"/>
  <c r="V30" i="13" s="1"/>
  <c r="V33" i="29"/>
  <c r="U30" i="13" s="1"/>
  <c r="U33" i="29"/>
  <c r="T30" i="13" s="1"/>
  <c r="T33" i="29"/>
  <c r="S33" i="29"/>
  <c r="R30" i="13" s="1"/>
  <c r="R33" i="29"/>
  <c r="Q33" i="29"/>
  <c r="P30" i="13" s="1"/>
  <c r="O33" i="29"/>
  <c r="N30" i="13" s="1"/>
  <c r="N33" i="29"/>
  <c r="M30" i="13" s="1"/>
  <c r="M33" i="29"/>
  <c r="L30" i="13" s="1"/>
  <c r="L33" i="29"/>
  <c r="K30" i="13" s="1"/>
  <c r="K33" i="29"/>
  <c r="J30" i="13" s="1"/>
  <c r="J33" i="29"/>
  <c r="I33" i="29"/>
  <c r="H30" i="13" s="1"/>
  <c r="H33" i="29"/>
  <c r="G30" i="13" s="1"/>
  <c r="G33" i="29"/>
  <c r="F30" i="13" s="1"/>
  <c r="F33" i="29"/>
  <c r="E30" i="13" s="1"/>
  <c r="E33" i="29"/>
  <c r="D30" i="13" s="1"/>
  <c r="P32" i="29"/>
  <c r="D32" i="29"/>
  <c r="P31" i="29"/>
  <c r="D31" i="29"/>
  <c r="P30" i="29"/>
  <c r="D30" i="29"/>
  <c r="P29" i="29"/>
  <c r="D29" i="29"/>
  <c r="P28" i="29"/>
  <c r="D28" i="29"/>
  <c r="P27" i="29"/>
  <c r="D27" i="29"/>
  <c r="P26" i="29"/>
  <c r="D26" i="29"/>
  <c r="P25" i="29"/>
  <c r="D25" i="29"/>
  <c r="P24" i="29"/>
  <c r="D24" i="29"/>
  <c r="P23" i="29"/>
  <c r="D23" i="29"/>
  <c r="P22" i="29"/>
  <c r="D22" i="29"/>
  <c r="P21" i="29"/>
  <c r="D21" i="29"/>
  <c r="P20" i="29"/>
  <c r="D20" i="29"/>
  <c r="AM16" i="29"/>
  <c r="AM14" i="29" s="1"/>
  <c r="AL16" i="29"/>
  <c r="AK30" i="12" s="1"/>
  <c r="AK16" i="29"/>
  <c r="AK14" i="29" s="1"/>
  <c r="AJ16" i="29"/>
  <c r="AJ14" i="29" s="1"/>
  <c r="AI16" i="29"/>
  <c r="AI14" i="29" s="1"/>
  <c r="AH16" i="29"/>
  <c r="AG30" i="12" s="1"/>
  <c r="AG16" i="29"/>
  <c r="AG14" i="29" s="1"/>
  <c r="AF16" i="29"/>
  <c r="AF14" i="29" s="1"/>
  <c r="AE16" i="29"/>
  <c r="AE14" i="29" s="1"/>
  <c r="AD16" i="29"/>
  <c r="AD14" i="29" s="1"/>
  <c r="AC16" i="29"/>
  <c r="AC14" i="29" s="1"/>
  <c r="AB16" i="29"/>
  <c r="AB14" i="29" s="1"/>
  <c r="AA16" i="29"/>
  <c r="AA14" i="29" s="1"/>
  <c r="Z16" i="29"/>
  <c r="Y30" i="12" s="1"/>
  <c r="Y16" i="29"/>
  <c r="Y14" i="29" s="1"/>
  <c r="X16" i="29"/>
  <c r="X14" i="29" s="1"/>
  <c r="W16" i="29"/>
  <c r="V16" i="29"/>
  <c r="U30" i="12" s="1"/>
  <c r="U16" i="29"/>
  <c r="U14" i="29" s="1"/>
  <c r="T16" i="29"/>
  <c r="T14" i="29" s="1"/>
  <c r="S16" i="29"/>
  <c r="R16" i="29"/>
  <c r="Q30" i="12" s="1"/>
  <c r="Q16" i="29"/>
  <c r="Q14" i="29" s="1"/>
  <c r="O16" i="29"/>
  <c r="O14" i="29" s="1"/>
  <c r="N16" i="29"/>
  <c r="M30" i="12" s="1"/>
  <c r="M16" i="29"/>
  <c r="M14" i="29" s="1"/>
  <c r="L16" i="29"/>
  <c r="L14" i="29" s="1"/>
  <c r="K16" i="29"/>
  <c r="J16" i="29"/>
  <c r="I30" i="12" s="1"/>
  <c r="I16" i="29"/>
  <c r="I14" i="29" s="1"/>
  <c r="H16" i="29"/>
  <c r="H14" i="29" s="1"/>
  <c r="G16" i="29"/>
  <c r="G14" i="29" s="1"/>
  <c r="F16" i="29"/>
  <c r="E30" i="12" s="1"/>
  <c r="E16" i="29"/>
  <c r="E14" i="29" s="1"/>
  <c r="D15" i="29"/>
  <c r="P143" i="28"/>
  <c r="D143" i="28"/>
  <c r="P142" i="28"/>
  <c r="D142" i="28"/>
  <c r="P141" i="28"/>
  <c r="D141" i="28"/>
  <c r="P140" i="28"/>
  <c r="D140" i="28"/>
  <c r="P139" i="28"/>
  <c r="D139" i="28"/>
  <c r="P138" i="28"/>
  <c r="D138" i="28"/>
  <c r="P137" i="28"/>
  <c r="D137" i="28"/>
  <c r="P136" i="28"/>
  <c r="D136" i="28"/>
  <c r="P135" i="28"/>
  <c r="D135" i="28"/>
  <c r="P134" i="28"/>
  <c r="D134" i="28"/>
  <c r="P133" i="28"/>
  <c r="D133" i="28"/>
  <c r="P132" i="28"/>
  <c r="D132" i="28"/>
  <c r="P131" i="28"/>
  <c r="D131" i="28"/>
  <c r="P130" i="28"/>
  <c r="D130" i="28"/>
  <c r="P129" i="28"/>
  <c r="D129" i="28"/>
  <c r="P128" i="28"/>
  <c r="D128" i="28"/>
  <c r="P127" i="28"/>
  <c r="D127" i="28"/>
  <c r="P126" i="28"/>
  <c r="D126" i="28"/>
  <c r="P125" i="28"/>
  <c r="D125" i="28"/>
  <c r="P124" i="28"/>
  <c r="D124" i="28"/>
  <c r="P123" i="28"/>
  <c r="D123" i="28"/>
  <c r="P122" i="28"/>
  <c r="D122" i="28"/>
  <c r="P121" i="28"/>
  <c r="D121" i="28"/>
  <c r="P120" i="28"/>
  <c r="D120" i="28"/>
  <c r="P119" i="28"/>
  <c r="D119" i="28"/>
  <c r="P118" i="28"/>
  <c r="D118" i="28"/>
  <c r="P117" i="28"/>
  <c r="D117" i="28"/>
  <c r="P116" i="28"/>
  <c r="D116" i="28"/>
  <c r="P115" i="28"/>
  <c r="D115" i="28"/>
  <c r="P114" i="28"/>
  <c r="D114" i="28"/>
  <c r="P113" i="28"/>
  <c r="D113" i="28"/>
  <c r="P112" i="28"/>
  <c r="D112" i="28"/>
  <c r="P111" i="28"/>
  <c r="D111" i="28"/>
  <c r="P110" i="28"/>
  <c r="D110" i="28"/>
  <c r="P109" i="28"/>
  <c r="D109" i="28"/>
  <c r="P108" i="28"/>
  <c r="D108" i="28"/>
  <c r="P107" i="28"/>
  <c r="D107" i="28"/>
  <c r="P106" i="28"/>
  <c r="D106" i="28"/>
  <c r="P105" i="28"/>
  <c r="D105" i="28"/>
  <c r="P104" i="28"/>
  <c r="D104" i="28"/>
  <c r="P103" i="28"/>
  <c r="D103" i="28"/>
  <c r="P102" i="28"/>
  <c r="D102" i="28"/>
  <c r="P101" i="28"/>
  <c r="D101" i="28"/>
  <c r="P100" i="28"/>
  <c r="D100" i="28"/>
  <c r="P99" i="28"/>
  <c r="D99" i="28"/>
  <c r="P98" i="28"/>
  <c r="D98" i="28"/>
  <c r="P97" i="28"/>
  <c r="D97" i="28"/>
  <c r="P96" i="28"/>
  <c r="D96" i="28"/>
  <c r="P95" i="28"/>
  <c r="D95" i="28"/>
  <c r="AM54" i="28"/>
  <c r="AL54" i="28"/>
  <c r="AK54" i="28"/>
  <c r="AJ29" i="14" s="1"/>
  <c r="AJ54" i="28"/>
  <c r="AI29" i="14" s="1"/>
  <c r="AI54" i="28"/>
  <c r="AH29" i="14" s="1"/>
  <c r="AH54" i="28"/>
  <c r="AG29" i="14" s="1"/>
  <c r="AG54" i="28"/>
  <c r="AF29" i="14" s="1"/>
  <c r="AF54" i="28"/>
  <c r="AE29" i="14" s="1"/>
  <c r="AE54" i="28"/>
  <c r="AD54" i="28"/>
  <c r="AC54" i="28"/>
  <c r="AB29" i="14" s="1"/>
  <c r="AB54" i="28"/>
  <c r="AA29" i="14" s="1"/>
  <c r="AA54" i="28"/>
  <c r="Z29" i="14" s="1"/>
  <c r="Z54" i="28"/>
  <c r="Y29" i="14" s="1"/>
  <c r="Y54" i="28"/>
  <c r="X29" i="14" s="1"/>
  <c r="X54" i="28"/>
  <c r="W29" i="14" s="1"/>
  <c r="W54" i="28"/>
  <c r="V54" i="28"/>
  <c r="U54" i="28"/>
  <c r="T29" i="14" s="1"/>
  <c r="T54" i="28"/>
  <c r="S29" i="14" s="1"/>
  <c r="S54" i="28"/>
  <c r="R29" i="14" s="1"/>
  <c r="R54" i="28"/>
  <c r="Q29" i="14" s="1"/>
  <c r="Q54" i="28"/>
  <c r="P29" i="14" s="1"/>
  <c r="O54" i="28"/>
  <c r="N29" i="14" s="1"/>
  <c r="N54" i="28"/>
  <c r="M54" i="28"/>
  <c r="L29" i="14" s="1"/>
  <c r="L54" i="28"/>
  <c r="K29" i="14" s="1"/>
  <c r="K54" i="28"/>
  <c r="J29" i="14" s="1"/>
  <c r="J54" i="28"/>
  <c r="I54" i="28"/>
  <c r="H29" i="14" s="1"/>
  <c r="H54" i="28"/>
  <c r="G29" i="14" s="1"/>
  <c r="G54" i="28"/>
  <c r="F29" i="14" s="1"/>
  <c r="F54" i="28"/>
  <c r="E29" i="14" s="1"/>
  <c r="E54" i="28"/>
  <c r="D29" i="14" s="1"/>
  <c r="P53" i="28"/>
  <c r="P52" i="28"/>
  <c r="P51" i="28"/>
  <c r="P50" i="28"/>
  <c r="P49" i="28"/>
  <c r="P48" i="28"/>
  <c r="P47" i="28"/>
  <c r="P46" i="28"/>
  <c r="P45" i="28"/>
  <c r="P44" i="28"/>
  <c r="P43" i="28"/>
  <c r="P42" i="28"/>
  <c r="P41" i="28"/>
  <c r="D41" i="28"/>
  <c r="P40" i="28"/>
  <c r="D40" i="28"/>
  <c r="P39" i="28"/>
  <c r="D39" i="28"/>
  <c r="P38" i="28"/>
  <c r="D38" i="28"/>
  <c r="P37" i="28"/>
  <c r="D37" i="28"/>
  <c r="AM33" i="28"/>
  <c r="AL29" i="13" s="1"/>
  <c r="AL33" i="28"/>
  <c r="AK29" i="13" s="1"/>
  <c r="AK33" i="28"/>
  <c r="AJ29" i="13" s="1"/>
  <c r="AJ33" i="28"/>
  <c r="AI29" i="13" s="1"/>
  <c r="AI33" i="28"/>
  <c r="AH29" i="13" s="1"/>
  <c r="AH33" i="28"/>
  <c r="AG29" i="13" s="1"/>
  <c r="AG33" i="28"/>
  <c r="AF29" i="13" s="1"/>
  <c r="AF33" i="28"/>
  <c r="AE29" i="13" s="1"/>
  <c r="AE33" i="28"/>
  <c r="AD29" i="13" s="1"/>
  <c r="AD33" i="28"/>
  <c r="AC29" i="13" s="1"/>
  <c r="AC33" i="28"/>
  <c r="AB29" i="13" s="1"/>
  <c r="AB33" i="28"/>
  <c r="AA29" i="13" s="1"/>
  <c r="AA33" i="28"/>
  <c r="Z29" i="13" s="1"/>
  <c r="Z33" i="28"/>
  <c r="Y29" i="13" s="1"/>
  <c r="Y33" i="28"/>
  <c r="X29" i="13" s="1"/>
  <c r="X33" i="28"/>
  <c r="W29" i="13" s="1"/>
  <c r="W33" i="28"/>
  <c r="V29" i="13" s="1"/>
  <c r="V33" i="28"/>
  <c r="U29" i="13" s="1"/>
  <c r="U33" i="28"/>
  <c r="T29" i="13" s="1"/>
  <c r="T33" i="28"/>
  <c r="S29" i="13" s="1"/>
  <c r="S33" i="28"/>
  <c r="S14" i="28" s="1"/>
  <c r="R33" i="28"/>
  <c r="Q33" i="28"/>
  <c r="P29" i="13" s="1"/>
  <c r="O33" i="28"/>
  <c r="N33" i="28"/>
  <c r="M29" i="13" s="1"/>
  <c r="M33" i="28"/>
  <c r="L29" i="13" s="1"/>
  <c r="L33" i="28"/>
  <c r="K33" i="28"/>
  <c r="J29" i="13" s="1"/>
  <c r="J33" i="28"/>
  <c r="I33" i="28"/>
  <c r="H29" i="13" s="1"/>
  <c r="H33" i="28"/>
  <c r="G29" i="13" s="1"/>
  <c r="G33" i="28"/>
  <c r="F33" i="28"/>
  <c r="E29" i="13" s="1"/>
  <c r="E33" i="28"/>
  <c r="D29" i="13" s="1"/>
  <c r="P32" i="28"/>
  <c r="D32" i="28"/>
  <c r="P31" i="28"/>
  <c r="D31" i="28"/>
  <c r="P30" i="28"/>
  <c r="D30" i="28"/>
  <c r="P29" i="28"/>
  <c r="D29" i="28"/>
  <c r="P28" i="28"/>
  <c r="D28" i="28"/>
  <c r="P27" i="28"/>
  <c r="D27" i="28"/>
  <c r="P26" i="28"/>
  <c r="D26" i="28"/>
  <c r="P25" i="28"/>
  <c r="D25" i="28"/>
  <c r="P24" i="28"/>
  <c r="D24" i="28"/>
  <c r="P23" i="28"/>
  <c r="D23" i="28"/>
  <c r="P22" i="28"/>
  <c r="D22" i="28"/>
  <c r="P21" i="28"/>
  <c r="D21" i="28"/>
  <c r="P20" i="28"/>
  <c r="D20" i="28"/>
  <c r="AM16" i="28"/>
  <c r="AL29" i="12" s="1"/>
  <c r="AL16" i="28"/>
  <c r="AK29" i="12" s="1"/>
  <c r="AK16" i="28"/>
  <c r="AK14" i="28" s="1"/>
  <c r="AJ16" i="28"/>
  <c r="AJ14" i="28" s="1"/>
  <c r="AI16" i="28"/>
  <c r="AI14" i="28" s="1"/>
  <c r="AH16" i="28"/>
  <c r="AH14" i="28" s="1"/>
  <c r="AG16" i="28"/>
  <c r="AG14" i="28" s="1"/>
  <c r="AF16" i="28"/>
  <c r="AF14" i="28" s="1"/>
  <c r="AE16" i="28"/>
  <c r="AD29" i="12" s="1"/>
  <c r="AD16" i="28"/>
  <c r="AC29" i="12" s="1"/>
  <c r="AC16" i="28"/>
  <c r="AC14" i="28" s="1"/>
  <c r="AB16" i="28"/>
  <c r="AB14" i="28" s="1"/>
  <c r="AA16" i="28"/>
  <c r="AA14" i="28" s="1"/>
  <c r="Z16" i="28"/>
  <c r="Z14" i="28" s="1"/>
  <c r="Y16" i="28"/>
  <c r="Y14" i="28" s="1"/>
  <c r="X16" i="28"/>
  <c r="X14" i="28" s="1"/>
  <c r="W16" i="28"/>
  <c r="V29" i="12" s="1"/>
  <c r="V16" i="28"/>
  <c r="U29" i="12" s="1"/>
  <c r="U16" i="28"/>
  <c r="U14" i="28" s="1"/>
  <c r="T16" i="28"/>
  <c r="T14" i="28" s="1"/>
  <c r="S16" i="28"/>
  <c r="R16" i="28"/>
  <c r="R14" i="28" s="1"/>
  <c r="Q16" i="28"/>
  <c r="Q14" i="28" s="1"/>
  <c r="O16" i="28"/>
  <c r="N29" i="12" s="1"/>
  <c r="N16" i="28"/>
  <c r="M29" i="12" s="1"/>
  <c r="M16" i="28"/>
  <c r="M14" i="28" s="1"/>
  <c r="L16" i="28"/>
  <c r="L14" i="28" s="1"/>
  <c r="K16" i="28"/>
  <c r="J29" i="12" s="1"/>
  <c r="J16" i="28"/>
  <c r="J14" i="28" s="1"/>
  <c r="I16" i="28"/>
  <c r="I14" i="28" s="1"/>
  <c r="H16" i="28"/>
  <c r="H14" i="28" s="1"/>
  <c r="G16" i="28"/>
  <c r="F29" i="12" s="1"/>
  <c r="F16" i="28"/>
  <c r="E29" i="12" s="1"/>
  <c r="E16" i="28"/>
  <c r="E14" i="28" s="1"/>
  <c r="D15" i="28"/>
  <c r="C29" i="11" s="1"/>
  <c r="AE14" i="28"/>
  <c r="AD14" i="28"/>
  <c r="P143" i="27"/>
  <c r="D143" i="27"/>
  <c r="P142" i="27"/>
  <c r="D142" i="27"/>
  <c r="P141" i="27"/>
  <c r="D141" i="27"/>
  <c r="P140" i="27"/>
  <c r="D140" i="27"/>
  <c r="P139" i="27"/>
  <c r="D139" i="27"/>
  <c r="P138" i="27"/>
  <c r="D138" i="27"/>
  <c r="P137" i="27"/>
  <c r="D137" i="27"/>
  <c r="P136" i="27"/>
  <c r="D136" i="27"/>
  <c r="P135" i="27"/>
  <c r="D135" i="27"/>
  <c r="P134" i="27"/>
  <c r="D134" i="27"/>
  <c r="P133" i="27"/>
  <c r="D133" i="27"/>
  <c r="P132" i="27"/>
  <c r="D132" i="27"/>
  <c r="P131" i="27"/>
  <c r="D131" i="27"/>
  <c r="P130" i="27"/>
  <c r="D130" i="27"/>
  <c r="AM54" i="27"/>
  <c r="AL27" i="14" s="1"/>
  <c r="AL54" i="27"/>
  <c r="AK27" i="14" s="1"/>
  <c r="AK54" i="27"/>
  <c r="AJ27" i="14" s="1"/>
  <c r="AJ54" i="27"/>
  <c r="AI27" i="14" s="1"/>
  <c r="AI54" i="27"/>
  <c r="AH27" i="14" s="1"/>
  <c r="AH54" i="27"/>
  <c r="AG27" i="14" s="1"/>
  <c r="AG54" i="27"/>
  <c r="AF27" i="14" s="1"/>
  <c r="AF54" i="27"/>
  <c r="AE27" i="14" s="1"/>
  <c r="AE54" i="27"/>
  <c r="AD27" i="14" s="1"/>
  <c r="AD54" i="27"/>
  <c r="AC54" i="27"/>
  <c r="AB27" i="14" s="1"/>
  <c r="AB54" i="27"/>
  <c r="AA27" i="14" s="1"/>
  <c r="AA54" i="27"/>
  <c r="Z27" i="14" s="1"/>
  <c r="Z54" i="27"/>
  <c r="Y27" i="14" s="1"/>
  <c r="Y54" i="27"/>
  <c r="X27" i="14" s="1"/>
  <c r="X54" i="27"/>
  <c r="W27" i="14" s="1"/>
  <c r="W54" i="27"/>
  <c r="V27" i="14" s="1"/>
  <c r="V54" i="27"/>
  <c r="U54" i="27"/>
  <c r="T27" i="14" s="1"/>
  <c r="T54" i="27"/>
  <c r="S27" i="14" s="1"/>
  <c r="S54" i="27"/>
  <c r="R27" i="14" s="1"/>
  <c r="R54" i="27"/>
  <c r="Q54" i="27"/>
  <c r="P27" i="14" s="1"/>
  <c r="O54" i="27"/>
  <c r="N27" i="14" s="1"/>
  <c r="N54" i="27"/>
  <c r="M27" i="14" s="1"/>
  <c r="M54" i="27"/>
  <c r="L27" i="14" s="1"/>
  <c r="L54" i="27"/>
  <c r="K27" i="14" s="1"/>
  <c r="K54" i="27"/>
  <c r="J27" i="14" s="1"/>
  <c r="J54" i="27"/>
  <c r="J14" i="27" s="1"/>
  <c r="I54" i="27"/>
  <c r="H27" i="14" s="1"/>
  <c r="H54" i="27"/>
  <c r="G27" i="14" s="1"/>
  <c r="G54" i="27"/>
  <c r="F27" i="14" s="1"/>
  <c r="F54" i="27"/>
  <c r="E27" i="14" s="1"/>
  <c r="E54" i="27"/>
  <c r="D27" i="14" s="1"/>
  <c r="P53" i="27"/>
  <c r="P52" i="27"/>
  <c r="P51" i="27"/>
  <c r="P50" i="27"/>
  <c r="P49" i="27"/>
  <c r="P48" i="27"/>
  <c r="P47" i="27"/>
  <c r="P46" i="27"/>
  <c r="P45" i="27"/>
  <c r="P44" i="27"/>
  <c r="P43" i="27"/>
  <c r="P42" i="27"/>
  <c r="P41" i="27"/>
  <c r="D41" i="27"/>
  <c r="P40" i="27"/>
  <c r="D40" i="27"/>
  <c r="P39" i="27"/>
  <c r="D39" i="27"/>
  <c r="P38" i="27"/>
  <c r="D38" i="27"/>
  <c r="P37" i="27"/>
  <c r="D37" i="27"/>
  <c r="P36" i="27"/>
  <c r="D36" i="27"/>
  <c r="P35" i="27"/>
  <c r="D35" i="27"/>
  <c r="AM33" i="27"/>
  <c r="AL27" i="13" s="1"/>
  <c r="AL33" i="27"/>
  <c r="AK27" i="13" s="1"/>
  <c r="AK33" i="27"/>
  <c r="AJ27" i="13" s="1"/>
  <c r="AJ33" i="27"/>
  <c r="AI27" i="13" s="1"/>
  <c r="AI33" i="27"/>
  <c r="AH33" i="27"/>
  <c r="AG27" i="13" s="1"/>
  <c r="AG33" i="27"/>
  <c r="AF27" i="13" s="1"/>
  <c r="AF33" i="27"/>
  <c r="AE27" i="13" s="1"/>
  <c r="AE33" i="27"/>
  <c r="AD27" i="13" s="1"/>
  <c r="AD33" i="27"/>
  <c r="AC27" i="13" s="1"/>
  <c r="AC33" i="27"/>
  <c r="AB27" i="13" s="1"/>
  <c r="AB33" i="27"/>
  <c r="AA27" i="13" s="1"/>
  <c r="AA33" i="27"/>
  <c r="Z33" i="27"/>
  <c r="Y33" i="27"/>
  <c r="X27" i="13" s="1"/>
  <c r="X33" i="27"/>
  <c r="W27" i="13" s="1"/>
  <c r="W33" i="27"/>
  <c r="V27" i="13" s="1"/>
  <c r="V33" i="27"/>
  <c r="U27" i="13" s="1"/>
  <c r="U33" i="27"/>
  <c r="T27" i="13" s="1"/>
  <c r="T33" i="27"/>
  <c r="S27" i="13" s="1"/>
  <c r="S33" i="27"/>
  <c r="R33" i="27"/>
  <c r="Q33" i="27"/>
  <c r="P27" i="13" s="1"/>
  <c r="O33" i="27"/>
  <c r="N27" i="13" s="1"/>
  <c r="N33" i="27"/>
  <c r="M27" i="13" s="1"/>
  <c r="M33" i="27"/>
  <c r="L27" i="13" s="1"/>
  <c r="L33" i="27"/>
  <c r="K27" i="13" s="1"/>
  <c r="K33" i="27"/>
  <c r="J27" i="13" s="1"/>
  <c r="J33" i="27"/>
  <c r="I27" i="13" s="1"/>
  <c r="I33" i="27"/>
  <c r="H27" i="13" s="1"/>
  <c r="H33" i="27"/>
  <c r="G27" i="13" s="1"/>
  <c r="G33" i="27"/>
  <c r="F27" i="13" s="1"/>
  <c r="F33" i="27"/>
  <c r="E27" i="13" s="1"/>
  <c r="E33" i="27"/>
  <c r="D27" i="13" s="1"/>
  <c r="P32" i="27"/>
  <c r="D32" i="27"/>
  <c r="P31" i="27"/>
  <c r="D31" i="27"/>
  <c r="P30" i="27"/>
  <c r="D30" i="27"/>
  <c r="P29" i="27"/>
  <c r="D29" i="27"/>
  <c r="P28" i="27"/>
  <c r="D28" i="27"/>
  <c r="P27" i="27"/>
  <c r="D27" i="27"/>
  <c r="P26" i="27"/>
  <c r="D26" i="27"/>
  <c r="P25" i="27"/>
  <c r="D25" i="27"/>
  <c r="P24" i="27"/>
  <c r="D24" i="27"/>
  <c r="P23" i="27"/>
  <c r="D23" i="27"/>
  <c r="AM16" i="27"/>
  <c r="AL16" i="27"/>
  <c r="AK16" i="27"/>
  <c r="AJ16" i="27"/>
  <c r="AI16" i="27"/>
  <c r="AH16" i="27"/>
  <c r="AG27" i="12" s="1"/>
  <c r="AG16" i="27"/>
  <c r="AF16" i="27"/>
  <c r="AE16" i="27"/>
  <c r="AD16" i="27"/>
  <c r="AC16" i="27"/>
  <c r="AB16" i="27"/>
  <c r="AA16" i="27"/>
  <c r="Z16" i="27"/>
  <c r="Y27" i="12" s="1"/>
  <c r="Y16" i="27"/>
  <c r="X16" i="27"/>
  <c r="W16" i="27"/>
  <c r="V16" i="27"/>
  <c r="U27" i="12" s="1"/>
  <c r="U16" i="27"/>
  <c r="T16" i="27"/>
  <c r="S16" i="27"/>
  <c r="R16" i="27"/>
  <c r="Q27" i="12" s="1"/>
  <c r="Q16" i="27"/>
  <c r="O16" i="27"/>
  <c r="N16" i="27"/>
  <c r="M16" i="27"/>
  <c r="L16" i="27"/>
  <c r="K16" i="27"/>
  <c r="J16" i="27"/>
  <c r="I16" i="27"/>
  <c r="H16" i="27"/>
  <c r="G16" i="27"/>
  <c r="F16" i="27"/>
  <c r="E27" i="12" s="1"/>
  <c r="E16" i="27"/>
  <c r="D15" i="27"/>
  <c r="C27" i="11" s="1"/>
  <c r="P143" i="26"/>
  <c r="D143" i="26"/>
  <c r="P142" i="26"/>
  <c r="D142" i="26"/>
  <c r="P141" i="26"/>
  <c r="D141" i="26"/>
  <c r="P140" i="26"/>
  <c r="D140" i="26"/>
  <c r="P139" i="26"/>
  <c r="D139" i="26"/>
  <c r="P138" i="26"/>
  <c r="D138" i="26"/>
  <c r="P137" i="26"/>
  <c r="D137" i="26"/>
  <c r="P136" i="26"/>
  <c r="D136" i="26"/>
  <c r="P135" i="26"/>
  <c r="D135" i="26"/>
  <c r="P134" i="26"/>
  <c r="D134" i="26"/>
  <c r="P133" i="26"/>
  <c r="D133" i="26"/>
  <c r="P132" i="26"/>
  <c r="D132" i="26"/>
  <c r="P131" i="26"/>
  <c r="D131" i="26"/>
  <c r="P130" i="26"/>
  <c r="D130" i="26"/>
  <c r="P129" i="26"/>
  <c r="D129" i="26"/>
  <c r="P128" i="26"/>
  <c r="D128" i="26"/>
  <c r="P127" i="26"/>
  <c r="D127" i="26"/>
  <c r="P126" i="26"/>
  <c r="D126" i="26"/>
  <c r="P125" i="26"/>
  <c r="D125" i="26"/>
  <c r="P124" i="26"/>
  <c r="D124" i="26"/>
  <c r="P123" i="26"/>
  <c r="D123" i="26"/>
  <c r="P122" i="26"/>
  <c r="D122" i="26"/>
  <c r="P121" i="26"/>
  <c r="D121" i="26"/>
  <c r="P120" i="26"/>
  <c r="D120" i="26"/>
  <c r="P119" i="26"/>
  <c r="D119" i="26"/>
  <c r="P118" i="26"/>
  <c r="D118" i="26"/>
  <c r="P117" i="26"/>
  <c r="D117" i="26"/>
  <c r="P116" i="26"/>
  <c r="D116" i="26"/>
  <c r="P115" i="26"/>
  <c r="D115" i="26"/>
  <c r="P114" i="26"/>
  <c r="D114" i="26"/>
  <c r="P113" i="26"/>
  <c r="D113" i="26"/>
  <c r="P112" i="26"/>
  <c r="D112" i="26"/>
  <c r="P111" i="26"/>
  <c r="D111" i="26"/>
  <c r="P110" i="26"/>
  <c r="D110" i="26"/>
  <c r="P109" i="26"/>
  <c r="D109" i="26"/>
  <c r="P108" i="26"/>
  <c r="D108" i="26"/>
  <c r="P107" i="26"/>
  <c r="D107" i="26"/>
  <c r="P106" i="26"/>
  <c r="D106" i="26"/>
  <c r="P105" i="26"/>
  <c r="D105" i="26"/>
  <c r="AM54" i="26"/>
  <c r="AL26" i="14" s="1"/>
  <c r="AL54" i="26"/>
  <c r="AK26" i="14" s="1"/>
  <c r="AK54" i="26"/>
  <c r="AJ26" i="14" s="1"/>
  <c r="AJ54" i="26"/>
  <c r="AI26" i="14" s="1"/>
  <c r="AI54" i="26"/>
  <c r="AH26" i="14" s="1"/>
  <c r="AH54" i="26"/>
  <c r="AG26" i="14" s="1"/>
  <c r="AG54" i="26"/>
  <c r="AF26" i="14" s="1"/>
  <c r="AF54" i="26"/>
  <c r="AE26" i="14" s="1"/>
  <c r="AE54" i="26"/>
  <c r="AD54" i="26"/>
  <c r="AC26" i="14" s="1"/>
  <c r="AC54" i="26"/>
  <c r="AB26" i="14" s="1"/>
  <c r="AB54" i="26"/>
  <c r="AA54" i="26"/>
  <c r="Z26" i="14" s="1"/>
  <c r="Z54" i="26"/>
  <c r="Y26" i="14" s="1"/>
  <c r="Y54" i="26"/>
  <c r="X26" i="14" s="1"/>
  <c r="X54" i="26"/>
  <c r="W54" i="26"/>
  <c r="V26" i="14" s="1"/>
  <c r="V54" i="26"/>
  <c r="U26" i="14" s="1"/>
  <c r="U54" i="26"/>
  <c r="T26" i="14" s="1"/>
  <c r="T54" i="26"/>
  <c r="S26" i="14" s="1"/>
  <c r="S54" i="26"/>
  <c r="R26" i="14" s="1"/>
  <c r="R54" i="26"/>
  <c r="Q26" i="14" s="1"/>
  <c r="Q54" i="26"/>
  <c r="O54" i="26"/>
  <c r="N26" i="14" s="1"/>
  <c r="N54" i="26"/>
  <c r="M26" i="14" s="1"/>
  <c r="M54" i="26"/>
  <c r="L54" i="26"/>
  <c r="K26" i="14" s="1"/>
  <c r="K54" i="26"/>
  <c r="J26" i="14" s="1"/>
  <c r="J54" i="26"/>
  <c r="I26" i="14" s="1"/>
  <c r="I54" i="26"/>
  <c r="H54" i="26"/>
  <c r="G54" i="26"/>
  <c r="F26" i="14" s="1"/>
  <c r="F54" i="26"/>
  <c r="E26" i="14" s="1"/>
  <c r="E54" i="26"/>
  <c r="D54" i="26" s="1"/>
  <c r="C26" i="14" s="1"/>
  <c r="P53" i="26"/>
  <c r="P52" i="26"/>
  <c r="P51" i="26"/>
  <c r="P50" i="26"/>
  <c r="P49" i="26"/>
  <c r="P48" i="26"/>
  <c r="P47" i="26"/>
  <c r="P46" i="26"/>
  <c r="P45" i="26"/>
  <c r="P44" i="26"/>
  <c r="P43" i="26"/>
  <c r="P42" i="26"/>
  <c r="P41" i="26"/>
  <c r="D41" i="26"/>
  <c r="P40" i="26"/>
  <c r="D40" i="26"/>
  <c r="P39" i="26"/>
  <c r="D39" i="26"/>
  <c r="P38" i="26"/>
  <c r="D38" i="26"/>
  <c r="P37" i="26"/>
  <c r="D37" i="26"/>
  <c r="AM33" i="26"/>
  <c r="AL26" i="13" s="1"/>
  <c r="AL33" i="26"/>
  <c r="AK26" i="13" s="1"/>
  <c r="AK33" i="26"/>
  <c r="AJ33" i="26"/>
  <c r="AI33" i="26"/>
  <c r="AH26" i="13" s="1"/>
  <c r="AH33" i="26"/>
  <c r="AG26" i="13" s="1"/>
  <c r="AG33" i="26"/>
  <c r="AF33" i="26"/>
  <c r="AE33" i="26"/>
  <c r="AD26" i="13" s="1"/>
  <c r="AD33" i="26"/>
  <c r="AC26" i="13" s="1"/>
  <c r="AC33" i="26"/>
  <c r="AB33" i="26"/>
  <c r="AA33" i="26"/>
  <c r="Z26" i="13" s="1"/>
  <c r="Z33" i="26"/>
  <c r="Y26" i="13" s="1"/>
  <c r="Y33" i="26"/>
  <c r="X33" i="26"/>
  <c r="W33" i="26"/>
  <c r="V26" i="13" s="1"/>
  <c r="V33" i="26"/>
  <c r="U26" i="13" s="1"/>
  <c r="U33" i="26"/>
  <c r="T33" i="26"/>
  <c r="S33" i="26"/>
  <c r="R26" i="13" s="1"/>
  <c r="R33" i="26"/>
  <c r="Q26" i="13" s="1"/>
  <c r="Q33" i="26"/>
  <c r="P33" i="26" s="1"/>
  <c r="O26" i="13" s="1"/>
  <c r="O33" i="26"/>
  <c r="N26" i="13" s="1"/>
  <c r="N33" i="26"/>
  <c r="M26" i="13" s="1"/>
  <c r="M33" i="26"/>
  <c r="L26" i="13" s="1"/>
  <c r="L33" i="26"/>
  <c r="K26" i="13" s="1"/>
  <c r="K33" i="26"/>
  <c r="J26" i="13" s="1"/>
  <c r="J33" i="26"/>
  <c r="I33" i="26"/>
  <c r="H26" i="13" s="1"/>
  <c r="H33" i="26"/>
  <c r="G26" i="13" s="1"/>
  <c r="G33" i="26"/>
  <c r="F26" i="13" s="1"/>
  <c r="F33" i="26"/>
  <c r="E26" i="13" s="1"/>
  <c r="E33" i="26"/>
  <c r="P32" i="26"/>
  <c r="D32" i="26"/>
  <c r="P31" i="26"/>
  <c r="D31" i="26"/>
  <c r="P30" i="26"/>
  <c r="D30" i="26"/>
  <c r="P29" i="26"/>
  <c r="D29" i="26"/>
  <c r="P28" i="26"/>
  <c r="D28" i="26"/>
  <c r="P27" i="26"/>
  <c r="D27" i="26"/>
  <c r="P26" i="26"/>
  <c r="D26" i="26"/>
  <c r="P25" i="26"/>
  <c r="D25" i="26"/>
  <c r="P24" i="26"/>
  <c r="D24" i="26"/>
  <c r="P23" i="26"/>
  <c r="D23" i="26"/>
  <c r="P22" i="26"/>
  <c r="D22" i="26"/>
  <c r="P21" i="26"/>
  <c r="D21" i="26"/>
  <c r="P20" i="26"/>
  <c r="D20" i="26"/>
  <c r="AM16" i="26"/>
  <c r="AL26" i="12" s="1"/>
  <c r="AL16" i="26"/>
  <c r="AK26" i="12" s="1"/>
  <c r="AK16" i="26"/>
  <c r="AJ16" i="26"/>
  <c r="AJ14" i="26" s="1"/>
  <c r="AI16" i="26"/>
  <c r="AH26" i="12" s="1"/>
  <c r="AH16" i="26"/>
  <c r="AG26" i="12" s="1"/>
  <c r="AG16" i="26"/>
  <c r="AF26" i="12" s="1"/>
  <c r="AF16" i="26"/>
  <c r="AE26" i="12" s="1"/>
  <c r="AE16" i="26"/>
  <c r="AD26" i="12" s="1"/>
  <c r="AD16" i="26"/>
  <c r="AC26" i="12" s="1"/>
  <c r="AC16" i="26"/>
  <c r="AB16" i="26"/>
  <c r="AB14" i="26" s="1"/>
  <c r="AA16" i="26"/>
  <c r="Z26" i="12" s="1"/>
  <c r="Z16" i="26"/>
  <c r="Y26" i="12" s="1"/>
  <c r="Y16" i="26"/>
  <c r="X26" i="12" s="1"/>
  <c r="X16" i="26"/>
  <c r="W26" i="12" s="1"/>
  <c r="W16" i="26"/>
  <c r="V26" i="12" s="1"/>
  <c r="V16" i="26"/>
  <c r="U26" i="12" s="1"/>
  <c r="U16" i="26"/>
  <c r="T16" i="26"/>
  <c r="S26" i="12" s="1"/>
  <c r="S16" i="26"/>
  <c r="R26" i="12" s="1"/>
  <c r="R16" i="26"/>
  <c r="Q16" i="26"/>
  <c r="P26" i="12" s="1"/>
  <c r="O16" i="26"/>
  <c r="N26" i="12" s="1"/>
  <c r="N16" i="26"/>
  <c r="M26" i="12" s="1"/>
  <c r="M16" i="26"/>
  <c r="L26" i="12" s="1"/>
  <c r="L16" i="26"/>
  <c r="K26" i="12" s="1"/>
  <c r="K16" i="26"/>
  <c r="J26" i="12" s="1"/>
  <c r="J16" i="26"/>
  <c r="I26" i="12" s="1"/>
  <c r="I16" i="26"/>
  <c r="H26" i="12" s="1"/>
  <c r="H16" i="26"/>
  <c r="H14" i="26" s="1"/>
  <c r="G16" i="26"/>
  <c r="F26" i="12" s="1"/>
  <c r="F16" i="26"/>
  <c r="E26" i="12" s="1"/>
  <c r="E16" i="26"/>
  <c r="D15" i="26"/>
  <c r="AA14" i="26"/>
  <c r="X14" i="26"/>
  <c r="S14" i="26"/>
  <c r="K14" i="26"/>
  <c r="P143" i="25"/>
  <c r="D143" i="25"/>
  <c r="P142" i="25"/>
  <c r="D142" i="25"/>
  <c r="P141" i="25"/>
  <c r="D141" i="25"/>
  <c r="P140" i="25"/>
  <c r="D140" i="25"/>
  <c r="P139" i="25"/>
  <c r="D139" i="25"/>
  <c r="P138" i="25"/>
  <c r="D138" i="25"/>
  <c r="P137" i="25"/>
  <c r="D137" i="25"/>
  <c r="P136" i="25"/>
  <c r="D136" i="25"/>
  <c r="P135" i="25"/>
  <c r="D135" i="25"/>
  <c r="P134" i="25"/>
  <c r="D134" i="25"/>
  <c r="P133" i="25"/>
  <c r="D133" i="25"/>
  <c r="P132" i="25"/>
  <c r="D132" i="25"/>
  <c r="P131" i="25"/>
  <c r="D131" i="25"/>
  <c r="P130" i="25"/>
  <c r="D130" i="25"/>
  <c r="P129" i="25"/>
  <c r="D129" i="25"/>
  <c r="P128" i="25"/>
  <c r="D128" i="25"/>
  <c r="P127" i="25"/>
  <c r="D127" i="25"/>
  <c r="P126" i="25"/>
  <c r="D126" i="25"/>
  <c r="P125" i="25"/>
  <c r="D125" i="25"/>
  <c r="P124" i="25"/>
  <c r="D124" i="25"/>
  <c r="P123" i="25"/>
  <c r="D123" i="25"/>
  <c r="P122" i="25"/>
  <c r="D122" i="25"/>
  <c r="P121" i="25"/>
  <c r="D121" i="25"/>
  <c r="P120" i="25"/>
  <c r="D120" i="25"/>
  <c r="P119" i="25"/>
  <c r="D119" i="25"/>
  <c r="P118" i="25"/>
  <c r="D118" i="25"/>
  <c r="P117" i="25"/>
  <c r="D117" i="25"/>
  <c r="P116" i="25"/>
  <c r="D116" i="25"/>
  <c r="P115" i="25"/>
  <c r="D115" i="25"/>
  <c r="P114" i="25"/>
  <c r="D114" i="25"/>
  <c r="P113" i="25"/>
  <c r="D113" i="25"/>
  <c r="AM54" i="25"/>
  <c r="AL28" i="14" s="1"/>
  <c r="AL54" i="25"/>
  <c r="AK28" i="14" s="1"/>
  <c r="AK54" i="25"/>
  <c r="AJ28" i="14" s="1"/>
  <c r="AJ54" i="25"/>
  <c r="AI28" i="14" s="1"/>
  <c r="AI54" i="25"/>
  <c r="AH28" i="14" s="1"/>
  <c r="AH54" i="25"/>
  <c r="AG28" i="14" s="1"/>
  <c r="AG54" i="25"/>
  <c r="AF28" i="14" s="1"/>
  <c r="AF54" i="25"/>
  <c r="AE28" i="14" s="1"/>
  <c r="AE54" i="25"/>
  <c r="AD28" i="14" s="1"/>
  <c r="AD54" i="25"/>
  <c r="AC28" i="14" s="1"/>
  <c r="AC54" i="25"/>
  <c r="AB28" i="14" s="1"/>
  <c r="AB54" i="25"/>
  <c r="AA54" i="25"/>
  <c r="Z28" i="14" s="1"/>
  <c r="Z54" i="25"/>
  <c r="Y28" i="14" s="1"/>
  <c r="Y54" i="25"/>
  <c r="X28" i="14" s="1"/>
  <c r="X54" i="25"/>
  <c r="W28" i="14" s="1"/>
  <c r="W54" i="25"/>
  <c r="V28" i="14" s="1"/>
  <c r="V54" i="25"/>
  <c r="U28" i="14" s="1"/>
  <c r="U54" i="25"/>
  <c r="T28" i="14" s="1"/>
  <c r="T54" i="25"/>
  <c r="S28" i="14" s="1"/>
  <c r="S54" i="25"/>
  <c r="R28" i="14" s="1"/>
  <c r="R54" i="25"/>
  <c r="Q28" i="14" s="1"/>
  <c r="Q54" i="25"/>
  <c r="P28" i="14" s="1"/>
  <c r="O54" i="25"/>
  <c r="N28" i="14" s="1"/>
  <c r="N54" i="25"/>
  <c r="M28" i="14" s="1"/>
  <c r="M54" i="25"/>
  <c r="L28" i="14" s="1"/>
  <c r="L54" i="25"/>
  <c r="K28" i="14" s="1"/>
  <c r="K54" i="25"/>
  <c r="J28" i="14" s="1"/>
  <c r="J54" i="25"/>
  <c r="I28" i="14" s="1"/>
  <c r="I54" i="25"/>
  <c r="H28" i="14" s="1"/>
  <c r="H54" i="25"/>
  <c r="G28" i="14" s="1"/>
  <c r="G54" i="25"/>
  <c r="F54" i="25"/>
  <c r="E28" i="14" s="1"/>
  <c r="E54" i="25"/>
  <c r="D28" i="14" s="1"/>
  <c r="P53" i="25"/>
  <c r="P52" i="25"/>
  <c r="P51" i="25"/>
  <c r="P50" i="25"/>
  <c r="P49" i="25"/>
  <c r="P48" i="25"/>
  <c r="P47" i="25"/>
  <c r="P46" i="25"/>
  <c r="P45" i="25"/>
  <c r="P44" i="25"/>
  <c r="P43" i="25"/>
  <c r="AM33" i="25"/>
  <c r="AL28" i="13" s="1"/>
  <c r="AL33" i="25"/>
  <c r="AK28" i="13" s="1"/>
  <c r="AK33" i="25"/>
  <c r="AJ28" i="13" s="1"/>
  <c r="AJ33" i="25"/>
  <c r="AI28" i="13" s="1"/>
  <c r="AI33" i="25"/>
  <c r="AH28" i="13" s="1"/>
  <c r="AH33" i="25"/>
  <c r="AG28" i="13" s="1"/>
  <c r="AG33" i="25"/>
  <c r="AF28" i="13" s="1"/>
  <c r="AF33" i="25"/>
  <c r="AE33" i="25"/>
  <c r="AD28" i="13" s="1"/>
  <c r="AD33" i="25"/>
  <c r="AC28" i="13" s="1"/>
  <c r="AC33" i="25"/>
  <c r="AB28" i="13" s="1"/>
  <c r="AB33" i="25"/>
  <c r="AA28" i="13" s="1"/>
  <c r="AA33" i="25"/>
  <c r="Z33" i="25"/>
  <c r="Y28" i="13" s="1"/>
  <c r="Y33" i="25"/>
  <c r="X28" i="13" s="1"/>
  <c r="X33" i="25"/>
  <c r="W33" i="25"/>
  <c r="V28" i="13" s="1"/>
  <c r="V33" i="25"/>
  <c r="U28" i="13" s="1"/>
  <c r="U33" i="25"/>
  <c r="T28" i="13" s="1"/>
  <c r="T33" i="25"/>
  <c r="S28" i="13" s="1"/>
  <c r="S33" i="25"/>
  <c r="R28" i="13" s="1"/>
  <c r="R33" i="25"/>
  <c r="Q28" i="13" s="1"/>
  <c r="Q33" i="25"/>
  <c r="P28" i="13" s="1"/>
  <c r="O33" i="25"/>
  <c r="N33" i="25"/>
  <c r="M28" i="13" s="1"/>
  <c r="M33" i="25"/>
  <c r="L28" i="13" s="1"/>
  <c r="L33" i="25"/>
  <c r="K28" i="13" s="1"/>
  <c r="K33" i="25"/>
  <c r="J28" i="13" s="1"/>
  <c r="J33" i="25"/>
  <c r="I28" i="13" s="1"/>
  <c r="I33" i="25"/>
  <c r="H28" i="13" s="1"/>
  <c r="H33" i="25"/>
  <c r="G28" i="13" s="1"/>
  <c r="G33" i="25"/>
  <c r="F28" i="13" s="1"/>
  <c r="F33" i="25"/>
  <c r="E28" i="13" s="1"/>
  <c r="E33" i="25"/>
  <c r="P32" i="25"/>
  <c r="D32" i="25"/>
  <c r="P31" i="25"/>
  <c r="D31" i="25"/>
  <c r="P30" i="25"/>
  <c r="D30" i="25"/>
  <c r="P29" i="25"/>
  <c r="D29" i="25"/>
  <c r="P28" i="25"/>
  <c r="D28" i="25"/>
  <c r="P27" i="25"/>
  <c r="D27" i="25"/>
  <c r="P26" i="25"/>
  <c r="D26" i="25"/>
  <c r="P25" i="25"/>
  <c r="D25" i="25"/>
  <c r="P24" i="25"/>
  <c r="D24" i="25"/>
  <c r="P23" i="25"/>
  <c r="D23" i="25"/>
  <c r="P22" i="25"/>
  <c r="D22" i="25"/>
  <c r="P21" i="25"/>
  <c r="D21" i="25"/>
  <c r="AM16" i="25"/>
  <c r="AL28" i="12" s="1"/>
  <c r="AL16" i="25"/>
  <c r="AK16" i="25"/>
  <c r="AJ28" i="12" s="1"/>
  <c r="AJ16" i="25"/>
  <c r="AI28" i="12" s="1"/>
  <c r="AI16" i="25"/>
  <c r="AH28" i="12" s="1"/>
  <c r="AH16" i="25"/>
  <c r="AG16" i="25"/>
  <c r="AF28" i="12" s="1"/>
  <c r="AF16" i="25"/>
  <c r="AE28" i="12" s="1"/>
  <c r="AE16" i="25"/>
  <c r="AD28" i="12" s="1"/>
  <c r="AD16" i="25"/>
  <c r="AC16" i="25"/>
  <c r="AB28" i="12" s="1"/>
  <c r="AB16" i="25"/>
  <c r="AA28" i="12" s="1"/>
  <c r="AA16" i="25"/>
  <c r="Z28" i="12" s="1"/>
  <c r="Z16" i="25"/>
  <c r="Y16" i="25"/>
  <c r="X28" i="12" s="1"/>
  <c r="X16" i="25"/>
  <c r="W28" i="12" s="1"/>
  <c r="W16" i="25"/>
  <c r="V28" i="12" s="1"/>
  <c r="V16" i="25"/>
  <c r="U16" i="25"/>
  <c r="T28" i="12" s="1"/>
  <c r="T16" i="25"/>
  <c r="S28" i="12" s="1"/>
  <c r="S16" i="25"/>
  <c r="R28" i="12" s="1"/>
  <c r="R16" i="25"/>
  <c r="Q16" i="25"/>
  <c r="P28" i="12" s="1"/>
  <c r="O16" i="25"/>
  <c r="N28" i="12" s="1"/>
  <c r="N16" i="25"/>
  <c r="M16" i="25"/>
  <c r="L28" i="12" s="1"/>
  <c r="L16" i="25"/>
  <c r="K28" i="12" s="1"/>
  <c r="K16" i="25"/>
  <c r="J28" i="12" s="1"/>
  <c r="J16" i="25"/>
  <c r="I16" i="25"/>
  <c r="H28" i="12" s="1"/>
  <c r="H16" i="25"/>
  <c r="G28" i="12" s="1"/>
  <c r="G16" i="25"/>
  <c r="F28" i="12" s="1"/>
  <c r="F16" i="25"/>
  <c r="E16" i="25"/>
  <c r="D28" i="12" s="1"/>
  <c r="D15" i="25"/>
  <c r="C28" i="11" s="1"/>
  <c r="P143" i="24"/>
  <c r="D143" i="24"/>
  <c r="P142" i="24"/>
  <c r="D142" i="24"/>
  <c r="P141" i="24"/>
  <c r="D141" i="24"/>
  <c r="P140" i="24"/>
  <c r="D140" i="24"/>
  <c r="P139" i="24"/>
  <c r="D139" i="24"/>
  <c r="P138" i="24"/>
  <c r="D138" i="24"/>
  <c r="P137" i="24"/>
  <c r="D137" i="24"/>
  <c r="P136" i="24"/>
  <c r="D136" i="24"/>
  <c r="P135" i="24"/>
  <c r="D135" i="24"/>
  <c r="P134" i="24"/>
  <c r="D134" i="24"/>
  <c r="P133" i="24"/>
  <c r="D133" i="24"/>
  <c r="P132" i="24"/>
  <c r="D132" i="24"/>
  <c r="P131" i="24"/>
  <c r="D131" i="24"/>
  <c r="P130" i="24"/>
  <c r="D130" i="24"/>
  <c r="P129" i="24"/>
  <c r="D129" i="24"/>
  <c r="P128" i="24"/>
  <c r="D128" i="24"/>
  <c r="P127" i="24"/>
  <c r="D127" i="24"/>
  <c r="P126" i="24"/>
  <c r="D126" i="24"/>
  <c r="P125" i="24"/>
  <c r="D125" i="24"/>
  <c r="P124" i="24"/>
  <c r="D124" i="24"/>
  <c r="P123" i="24"/>
  <c r="D123" i="24"/>
  <c r="P122" i="24"/>
  <c r="D122" i="24"/>
  <c r="P121" i="24"/>
  <c r="D121" i="24"/>
  <c r="P120" i="24"/>
  <c r="D120" i="24"/>
  <c r="P119" i="24"/>
  <c r="D119" i="24"/>
  <c r="P118" i="24"/>
  <c r="D118" i="24"/>
  <c r="P117" i="24"/>
  <c r="D117" i="24"/>
  <c r="P116" i="24"/>
  <c r="D116" i="24"/>
  <c r="P115" i="24"/>
  <c r="D115" i="24"/>
  <c r="P114" i="24"/>
  <c r="D114" i="24"/>
  <c r="P113" i="24"/>
  <c r="D113" i="24"/>
  <c r="P112" i="24"/>
  <c r="D112" i="24"/>
  <c r="P111" i="24"/>
  <c r="D111" i="24"/>
  <c r="P110" i="24"/>
  <c r="D110" i="24"/>
  <c r="P109" i="24"/>
  <c r="D109" i="24"/>
  <c r="P108" i="24"/>
  <c r="D108" i="24"/>
  <c r="P107" i="24"/>
  <c r="D107" i="24"/>
  <c r="P106" i="24"/>
  <c r="D106" i="24"/>
  <c r="P105" i="24"/>
  <c r="D105" i="24"/>
  <c r="P104" i="24"/>
  <c r="D104" i="24"/>
  <c r="P103" i="24"/>
  <c r="D103" i="24"/>
  <c r="P102" i="24"/>
  <c r="D102" i="24"/>
  <c r="P101" i="24"/>
  <c r="D101" i="24"/>
  <c r="P100" i="24"/>
  <c r="D100" i="24"/>
  <c r="P99" i="24"/>
  <c r="D99" i="24"/>
  <c r="P98" i="24"/>
  <c r="D98" i="24"/>
  <c r="P97" i="24"/>
  <c r="D97" i="24"/>
  <c r="P96" i="24"/>
  <c r="D96" i="24"/>
  <c r="P95" i="24"/>
  <c r="D95" i="24"/>
  <c r="AM54" i="24"/>
  <c r="AL54" i="24"/>
  <c r="AK23" i="14" s="1"/>
  <c r="AK54" i="24"/>
  <c r="AJ23" i="14" s="1"/>
  <c r="AJ54" i="24"/>
  <c r="AI23" i="14" s="1"/>
  <c r="AI54" i="24"/>
  <c r="AH23" i="14" s="1"/>
  <c r="AH54" i="24"/>
  <c r="AG23" i="14" s="1"/>
  <c r="AG54" i="24"/>
  <c r="AF23" i="14" s="1"/>
  <c r="AF54" i="24"/>
  <c r="AE23" i="14" s="1"/>
  <c r="AE54" i="24"/>
  <c r="AD23" i="14" s="1"/>
  <c r="AD54" i="24"/>
  <c r="AC23" i="14" s="1"/>
  <c r="AC54" i="24"/>
  <c r="AB23" i="14" s="1"/>
  <c r="AB54" i="24"/>
  <c r="AA23" i="14" s="1"/>
  <c r="AA54" i="24"/>
  <c r="Z23" i="14" s="1"/>
  <c r="Z54" i="24"/>
  <c r="Y23" i="14" s="1"/>
  <c r="Y54" i="24"/>
  <c r="X23" i="14" s="1"/>
  <c r="X54" i="24"/>
  <c r="W23" i="14" s="1"/>
  <c r="W54" i="24"/>
  <c r="V23" i="14" s="1"/>
  <c r="V54" i="24"/>
  <c r="U23" i="14" s="1"/>
  <c r="U54" i="24"/>
  <c r="T23" i="14" s="1"/>
  <c r="T54" i="24"/>
  <c r="S23" i="14" s="1"/>
  <c r="S54" i="24"/>
  <c r="R23" i="14" s="1"/>
  <c r="R54" i="24"/>
  <c r="Q54" i="24"/>
  <c r="P23" i="14" s="1"/>
  <c r="O54" i="24"/>
  <c r="N23" i="14" s="1"/>
  <c r="N54" i="24"/>
  <c r="M23" i="14" s="1"/>
  <c r="M54" i="24"/>
  <c r="L23" i="14" s="1"/>
  <c r="L54" i="24"/>
  <c r="K23" i="14" s="1"/>
  <c r="K54" i="24"/>
  <c r="J23" i="14" s="1"/>
  <c r="J54" i="24"/>
  <c r="I23" i="14" s="1"/>
  <c r="I54" i="24"/>
  <c r="H23" i="14" s="1"/>
  <c r="H54" i="24"/>
  <c r="G23" i="14" s="1"/>
  <c r="G54" i="24"/>
  <c r="F54" i="24"/>
  <c r="E23" i="14" s="1"/>
  <c r="E54" i="24"/>
  <c r="D23" i="14" s="1"/>
  <c r="P53" i="24"/>
  <c r="P52" i="24"/>
  <c r="P51" i="24"/>
  <c r="P50" i="24"/>
  <c r="P49" i="24"/>
  <c r="P48" i="24"/>
  <c r="P47" i="24"/>
  <c r="P46" i="24"/>
  <c r="P45" i="24"/>
  <c r="P44" i="24"/>
  <c r="P43" i="24"/>
  <c r="P42" i="24"/>
  <c r="P41" i="24"/>
  <c r="D41" i="24"/>
  <c r="P40" i="24"/>
  <c r="D40" i="24"/>
  <c r="P39" i="24"/>
  <c r="D39" i="24"/>
  <c r="P38" i="24"/>
  <c r="D38" i="24"/>
  <c r="P37" i="24"/>
  <c r="D37" i="24"/>
  <c r="AM33" i="24"/>
  <c r="AL33" i="24"/>
  <c r="AK23" i="13" s="1"/>
  <c r="AK33" i="24"/>
  <c r="AJ23" i="13" s="1"/>
  <c r="AJ33" i="24"/>
  <c r="AI23" i="13" s="1"/>
  <c r="AI33" i="24"/>
  <c r="AH23" i="13" s="1"/>
  <c r="AH33" i="24"/>
  <c r="AG23" i="13" s="1"/>
  <c r="AG33" i="24"/>
  <c r="AF23" i="13" s="1"/>
  <c r="AF33" i="24"/>
  <c r="AE23" i="13" s="1"/>
  <c r="AE33" i="24"/>
  <c r="AD33" i="24"/>
  <c r="AC23" i="13" s="1"/>
  <c r="AC33" i="24"/>
  <c r="AB23" i="13" s="1"/>
  <c r="AB33" i="24"/>
  <c r="AA23" i="13" s="1"/>
  <c r="AA33" i="24"/>
  <c r="Z23" i="13" s="1"/>
  <c r="Z33" i="24"/>
  <c r="Y23" i="13" s="1"/>
  <c r="Y33" i="24"/>
  <c r="X23" i="13" s="1"/>
  <c r="X33" i="24"/>
  <c r="W23" i="13" s="1"/>
  <c r="W33" i="24"/>
  <c r="V23" i="13" s="1"/>
  <c r="V33" i="24"/>
  <c r="U33" i="24"/>
  <c r="T23" i="13" s="1"/>
  <c r="T33" i="24"/>
  <c r="S23" i="13" s="1"/>
  <c r="S33" i="24"/>
  <c r="R33" i="24"/>
  <c r="Q33" i="24"/>
  <c r="P23" i="13" s="1"/>
  <c r="O33" i="24"/>
  <c r="N23" i="13" s="1"/>
  <c r="N33" i="24"/>
  <c r="M23" i="13" s="1"/>
  <c r="M33" i="24"/>
  <c r="L23" i="13" s="1"/>
  <c r="L33" i="24"/>
  <c r="K23" i="13" s="1"/>
  <c r="K33" i="24"/>
  <c r="J33" i="24"/>
  <c r="I33" i="24"/>
  <c r="H23" i="13" s="1"/>
  <c r="H33" i="24"/>
  <c r="G23" i="13" s="1"/>
  <c r="G33" i="24"/>
  <c r="F23" i="13" s="1"/>
  <c r="F33" i="24"/>
  <c r="E23" i="13" s="1"/>
  <c r="E33" i="24"/>
  <c r="D23" i="13" s="1"/>
  <c r="P32" i="24"/>
  <c r="D32" i="24"/>
  <c r="P31" i="24"/>
  <c r="D31" i="24"/>
  <c r="P30" i="24"/>
  <c r="D30" i="24"/>
  <c r="P29" i="24"/>
  <c r="D29" i="24"/>
  <c r="P28" i="24"/>
  <c r="D28" i="24"/>
  <c r="P27" i="24"/>
  <c r="D27" i="24"/>
  <c r="P26" i="24"/>
  <c r="D26" i="24"/>
  <c r="P25" i="24"/>
  <c r="D25" i="24"/>
  <c r="P24" i="24"/>
  <c r="D24" i="24"/>
  <c r="P23" i="24"/>
  <c r="D23" i="24"/>
  <c r="P22" i="24"/>
  <c r="D22" i="24"/>
  <c r="P21" i="24"/>
  <c r="D21" i="24"/>
  <c r="P20" i="24"/>
  <c r="D20" i="24"/>
  <c r="P19" i="24"/>
  <c r="D19" i="24"/>
  <c r="AM16" i="24"/>
  <c r="AL23" i="12" s="1"/>
  <c r="AL16" i="24"/>
  <c r="AK23" i="12" s="1"/>
  <c r="AK16" i="24"/>
  <c r="AJ16" i="24"/>
  <c r="AI16" i="24"/>
  <c r="AH23" i="12" s="1"/>
  <c r="AH16" i="24"/>
  <c r="AG23" i="12" s="1"/>
  <c r="AG16" i="24"/>
  <c r="AF16" i="24"/>
  <c r="AE16" i="24"/>
  <c r="AD23" i="12" s="1"/>
  <c r="AD16" i="24"/>
  <c r="AC23" i="12" s="1"/>
  <c r="AC16" i="24"/>
  <c r="AB16" i="24"/>
  <c r="AA16" i="24"/>
  <c r="Z23" i="12" s="1"/>
  <c r="Z16" i="24"/>
  <c r="Y23" i="12" s="1"/>
  <c r="Y16" i="24"/>
  <c r="X16" i="24"/>
  <c r="W16" i="24"/>
  <c r="V23" i="12" s="1"/>
  <c r="V16" i="24"/>
  <c r="U23" i="12" s="1"/>
  <c r="U16" i="24"/>
  <c r="T16" i="24"/>
  <c r="S16" i="24"/>
  <c r="R23" i="12" s="1"/>
  <c r="R16" i="24"/>
  <c r="Q16" i="24"/>
  <c r="O16" i="24"/>
  <c r="N23" i="12" s="1"/>
  <c r="N16" i="24"/>
  <c r="M16" i="24"/>
  <c r="L16" i="24"/>
  <c r="K16" i="24"/>
  <c r="J23" i="12" s="1"/>
  <c r="J16" i="24"/>
  <c r="I23" i="12" s="1"/>
  <c r="I16" i="24"/>
  <c r="H16" i="24"/>
  <c r="G16" i="24"/>
  <c r="F23" i="12" s="1"/>
  <c r="F16" i="24"/>
  <c r="E23" i="12" s="1"/>
  <c r="E16" i="24"/>
  <c r="D15" i="24"/>
  <c r="C23" i="11" s="1"/>
  <c r="P143" i="23"/>
  <c r="D143" i="23"/>
  <c r="P142" i="23"/>
  <c r="D142" i="23"/>
  <c r="D141" i="23"/>
  <c r="D140" i="23"/>
  <c r="D139" i="23"/>
  <c r="D138" i="23"/>
  <c r="D137" i="23"/>
  <c r="D136" i="23"/>
  <c r="D135" i="23"/>
  <c r="D134" i="23"/>
  <c r="D133" i="23"/>
  <c r="D132" i="23"/>
  <c r="D131" i="23"/>
  <c r="D130" i="23"/>
  <c r="D129" i="23"/>
  <c r="D128" i="23"/>
  <c r="D127" i="23"/>
  <c r="D126" i="23"/>
  <c r="D125" i="23"/>
  <c r="D124" i="23"/>
  <c r="D123" i="23"/>
  <c r="D122" i="23"/>
  <c r="D121" i="23"/>
  <c r="D120" i="23"/>
  <c r="D119" i="23"/>
  <c r="D118" i="23"/>
  <c r="D117" i="23"/>
  <c r="D116" i="23"/>
  <c r="D115" i="23"/>
  <c r="D114" i="23"/>
  <c r="D113" i="23"/>
  <c r="D112" i="23"/>
  <c r="D111" i="23"/>
  <c r="D110" i="23"/>
  <c r="D109" i="23"/>
  <c r="D108" i="23"/>
  <c r="D107" i="23"/>
  <c r="D106" i="23"/>
  <c r="D105" i="23"/>
  <c r="D104" i="23"/>
  <c r="D103" i="23"/>
  <c r="D102" i="23"/>
  <c r="D101" i="23"/>
  <c r="D100" i="23"/>
  <c r="D99" i="23"/>
  <c r="D98" i="23"/>
  <c r="D97" i="23"/>
  <c r="D96" i="23"/>
  <c r="D95" i="23"/>
  <c r="D94" i="23"/>
  <c r="D93" i="23"/>
  <c r="D92" i="23"/>
  <c r="D91" i="23"/>
  <c r="D90" i="23"/>
  <c r="D89" i="23"/>
  <c r="D88" i="23"/>
  <c r="D87" i="23"/>
  <c r="D86" i="23"/>
  <c r="D85" i="23"/>
  <c r="D84" i="23"/>
  <c r="D83" i="23"/>
  <c r="D82" i="23"/>
  <c r="D81" i="23"/>
  <c r="D80" i="23"/>
  <c r="D79" i="23"/>
  <c r="D78" i="23"/>
  <c r="D77" i="23"/>
  <c r="D76" i="23"/>
  <c r="D75" i="23"/>
  <c r="D74" i="23"/>
  <c r="D73" i="23"/>
  <c r="D72" i="23"/>
  <c r="D71" i="23"/>
  <c r="D70" i="23"/>
  <c r="D69" i="23"/>
  <c r="D68" i="23"/>
  <c r="D67" i="23"/>
  <c r="D66" i="23"/>
  <c r="D65" i="23"/>
  <c r="D64" i="23"/>
  <c r="D63" i="23"/>
  <c r="D62" i="23"/>
  <c r="D61" i="23"/>
  <c r="D60" i="23"/>
  <c r="D59" i="23"/>
  <c r="D58" i="23"/>
  <c r="D57" i="23"/>
  <c r="D56" i="23"/>
  <c r="D55" i="23"/>
  <c r="AM54" i="23"/>
  <c r="AL24" i="14" s="1"/>
  <c r="AL54" i="23"/>
  <c r="AK54" i="23"/>
  <c r="AJ24" i="14" s="1"/>
  <c r="AJ54" i="23"/>
  <c r="AI24" i="14" s="1"/>
  <c r="AI54" i="23"/>
  <c r="AH24" i="14" s="1"/>
  <c r="AH54" i="23"/>
  <c r="AG24" i="14" s="1"/>
  <c r="AG54" i="23"/>
  <c r="AF54" i="23"/>
  <c r="AE24" i="14" s="1"/>
  <c r="AE54" i="23"/>
  <c r="AD24" i="14" s="1"/>
  <c r="AD54" i="23"/>
  <c r="AC24" i="14" s="1"/>
  <c r="AC54" i="23"/>
  <c r="AB54" i="23"/>
  <c r="AA24" i="14" s="1"/>
  <c r="AA54" i="23"/>
  <c r="Z24" i="14" s="1"/>
  <c r="Z54" i="23"/>
  <c r="Y24" i="14" s="1"/>
  <c r="Y54" i="23"/>
  <c r="X24" i="14" s="1"/>
  <c r="X54" i="23"/>
  <c r="W24" i="14" s="1"/>
  <c r="W54" i="23"/>
  <c r="V24" i="14" s="1"/>
  <c r="V54" i="23"/>
  <c r="U24" i="14" s="1"/>
  <c r="U54" i="23"/>
  <c r="T24" i="14" s="1"/>
  <c r="T54" i="23"/>
  <c r="S24" i="14" s="1"/>
  <c r="S54" i="23"/>
  <c r="R24" i="14" s="1"/>
  <c r="R54" i="23"/>
  <c r="Q54" i="23"/>
  <c r="O54" i="23"/>
  <c r="N24" i="14" s="1"/>
  <c r="N54" i="23"/>
  <c r="M24" i="14" s="1"/>
  <c r="M54" i="23"/>
  <c r="L24" i="14" s="1"/>
  <c r="L54" i="23"/>
  <c r="K24" i="14" s="1"/>
  <c r="K54" i="23"/>
  <c r="J24" i="14" s="1"/>
  <c r="J54" i="23"/>
  <c r="I24" i="14" s="1"/>
  <c r="I54" i="23"/>
  <c r="H24" i="14" s="1"/>
  <c r="H54" i="23"/>
  <c r="G54" i="23"/>
  <c r="F24" i="14" s="1"/>
  <c r="F54" i="23"/>
  <c r="E24" i="14" s="1"/>
  <c r="E54" i="23"/>
  <c r="D24" i="14" s="1"/>
  <c r="P51" i="23"/>
  <c r="P50" i="23"/>
  <c r="P49" i="23"/>
  <c r="P48" i="23"/>
  <c r="P47" i="23"/>
  <c r="P46" i="23"/>
  <c r="P45" i="23"/>
  <c r="P44" i="23"/>
  <c r="P43" i="23"/>
  <c r="P42" i="23"/>
  <c r="P41" i="23"/>
  <c r="D41" i="23"/>
  <c r="P40" i="23"/>
  <c r="D40" i="23"/>
  <c r="P39" i="23"/>
  <c r="D39" i="23"/>
  <c r="P38" i="23"/>
  <c r="D38" i="23"/>
  <c r="P37" i="23"/>
  <c r="D37" i="23"/>
  <c r="D36" i="23"/>
  <c r="D35" i="23"/>
  <c r="D34" i="23"/>
  <c r="AM33" i="23"/>
  <c r="AL24" i="13" s="1"/>
  <c r="AL33" i="23"/>
  <c r="AK24" i="13" s="1"/>
  <c r="AK33" i="23"/>
  <c r="AJ24" i="13" s="1"/>
  <c r="AJ33" i="23"/>
  <c r="AI33" i="23"/>
  <c r="AH24" i="13" s="1"/>
  <c r="AH33" i="23"/>
  <c r="AG24" i="13" s="1"/>
  <c r="AG33" i="23"/>
  <c r="AF33" i="23"/>
  <c r="AE24" i="13" s="1"/>
  <c r="AE33" i="23"/>
  <c r="AD24" i="13" s="1"/>
  <c r="AD33" i="23"/>
  <c r="AC24" i="13" s="1"/>
  <c r="AC33" i="23"/>
  <c r="AB24" i="13" s="1"/>
  <c r="AB33" i="23"/>
  <c r="AA33" i="23"/>
  <c r="Z24" i="13" s="1"/>
  <c r="Z33" i="23"/>
  <c r="Y24" i="13" s="1"/>
  <c r="Y33" i="23"/>
  <c r="X33" i="23"/>
  <c r="W24" i="13" s="1"/>
  <c r="W33" i="23"/>
  <c r="V24" i="13" s="1"/>
  <c r="V33" i="23"/>
  <c r="U24" i="13" s="1"/>
  <c r="U33" i="23"/>
  <c r="T24" i="13" s="1"/>
  <c r="T33" i="23"/>
  <c r="S33" i="23"/>
  <c r="R24" i="13" s="1"/>
  <c r="R33" i="23"/>
  <c r="Q33" i="23"/>
  <c r="O33" i="23"/>
  <c r="N24" i="13" s="1"/>
  <c r="N33" i="23"/>
  <c r="M24" i="13" s="1"/>
  <c r="M33" i="23"/>
  <c r="L24" i="13" s="1"/>
  <c r="L33" i="23"/>
  <c r="K24" i="13" s="1"/>
  <c r="K33" i="23"/>
  <c r="J24" i="13" s="1"/>
  <c r="J33" i="23"/>
  <c r="I33" i="23"/>
  <c r="H24" i="13" s="1"/>
  <c r="H33" i="23"/>
  <c r="G24" i="13" s="1"/>
  <c r="G33" i="23"/>
  <c r="F24" i="13" s="1"/>
  <c r="F33" i="23"/>
  <c r="E24" i="13" s="1"/>
  <c r="E33" i="23"/>
  <c r="D24" i="13" s="1"/>
  <c r="D32" i="23"/>
  <c r="D31" i="23"/>
  <c r="D30" i="23"/>
  <c r="D29" i="23"/>
  <c r="D28" i="23"/>
  <c r="D27" i="23"/>
  <c r="D26" i="23"/>
  <c r="D25" i="23"/>
  <c r="D24" i="23"/>
  <c r="D23" i="23"/>
  <c r="D22" i="23"/>
  <c r="D21" i="23"/>
  <c r="D20" i="23"/>
  <c r="D19" i="23"/>
  <c r="D18" i="23"/>
  <c r="AM16" i="23"/>
  <c r="AL16" i="23"/>
  <c r="AK24" i="12" s="1"/>
  <c r="AK16" i="23"/>
  <c r="AK14" i="23" s="1"/>
  <c r="AJ16" i="23"/>
  <c r="AI16" i="23"/>
  <c r="AH24" i="12" s="1"/>
  <c r="AH16" i="23"/>
  <c r="AG16" i="23"/>
  <c r="AG14" i="23" s="1"/>
  <c r="AF16" i="23"/>
  <c r="AE16" i="23"/>
  <c r="AD16" i="23"/>
  <c r="AC24" i="12" s="1"/>
  <c r="AC16" i="23"/>
  <c r="AC14" i="23" s="1"/>
  <c r="AB16" i="23"/>
  <c r="AA16" i="23"/>
  <c r="Z24" i="12" s="1"/>
  <c r="Z16" i="23"/>
  <c r="Y16" i="23"/>
  <c r="Y14" i="23" s="1"/>
  <c r="X16" i="23"/>
  <c r="W16" i="23"/>
  <c r="V16" i="23"/>
  <c r="V14" i="23" s="1"/>
  <c r="U16" i="23"/>
  <c r="U14" i="23" s="1"/>
  <c r="T16" i="23"/>
  <c r="S16" i="23"/>
  <c r="R24" i="12" s="1"/>
  <c r="R16" i="23"/>
  <c r="Q16" i="23"/>
  <c r="O16" i="23"/>
  <c r="N16" i="23"/>
  <c r="M16" i="23"/>
  <c r="L16" i="23"/>
  <c r="L14" i="23" s="1"/>
  <c r="K16" i="23"/>
  <c r="J24" i="12" s="1"/>
  <c r="J16" i="23"/>
  <c r="I24" i="12" s="1"/>
  <c r="I16" i="23"/>
  <c r="H16" i="23"/>
  <c r="H14" i="23" s="1"/>
  <c r="G16" i="23"/>
  <c r="F16" i="23"/>
  <c r="E16" i="23"/>
  <c r="D15" i="23"/>
  <c r="C24" i="11" s="1"/>
  <c r="P143" i="22"/>
  <c r="D143" i="22"/>
  <c r="P142" i="22"/>
  <c r="D142" i="22"/>
  <c r="P141" i="22"/>
  <c r="D141" i="22"/>
  <c r="P140" i="22"/>
  <c r="D140" i="22"/>
  <c r="P139" i="22"/>
  <c r="D139" i="22"/>
  <c r="P138" i="22"/>
  <c r="D138" i="22"/>
  <c r="P137" i="22"/>
  <c r="D137" i="22"/>
  <c r="P136" i="22"/>
  <c r="D136" i="22"/>
  <c r="P135" i="22"/>
  <c r="D135" i="22"/>
  <c r="P134" i="22"/>
  <c r="D134" i="22"/>
  <c r="P133" i="22"/>
  <c r="D133" i="22"/>
  <c r="D132" i="22"/>
  <c r="D131" i="22"/>
  <c r="D130" i="22"/>
  <c r="D129" i="22"/>
  <c r="D128" i="22"/>
  <c r="D127" i="22"/>
  <c r="D126" i="22"/>
  <c r="AM54" i="22"/>
  <c r="AL21" i="14" s="1"/>
  <c r="AL54" i="22"/>
  <c r="AK21" i="14" s="1"/>
  <c r="AK54" i="22"/>
  <c r="AJ21" i="14" s="1"/>
  <c r="AJ54" i="22"/>
  <c r="AI21" i="14" s="1"/>
  <c r="AI54" i="22"/>
  <c r="AH21" i="14" s="1"/>
  <c r="AH54" i="22"/>
  <c r="AG21" i="14" s="1"/>
  <c r="AG54" i="22"/>
  <c r="AF21" i="14" s="1"/>
  <c r="AF54" i="22"/>
  <c r="AE21" i="14" s="1"/>
  <c r="AE54" i="22"/>
  <c r="AD21" i="14" s="1"/>
  <c r="AD54" i="22"/>
  <c r="AC21" i="14" s="1"/>
  <c r="AC54" i="22"/>
  <c r="AB21" i="14" s="1"/>
  <c r="AB54" i="22"/>
  <c r="AA21" i="14" s="1"/>
  <c r="AA54" i="22"/>
  <c r="Z21" i="14" s="1"/>
  <c r="Z54" i="22"/>
  <c r="Y21" i="14" s="1"/>
  <c r="Y54" i="22"/>
  <c r="X21" i="14" s="1"/>
  <c r="X54" i="22"/>
  <c r="W21" i="14" s="1"/>
  <c r="W54" i="22"/>
  <c r="V21" i="14" s="1"/>
  <c r="V54" i="22"/>
  <c r="U21" i="14" s="1"/>
  <c r="U54" i="22"/>
  <c r="T21" i="14" s="1"/>
  <c r="T54" i="22"/>
  <c r="S21" i="14" s="1"/>
  <c r="S54" i="22"/>
  <c r="R21" i="14" s="1"/>
  <c r="R54" i="22"/>
  <c r="Q54" i="22"/>
  <c r="O54" i="22"/>
  <c r="N21" i="14" s="1"/>
  <c r="N54" i="22"/>
  <c r="M21" i="14" s="1"/>
  <c r="M54" i="22"/>
  <c r="L54" i="22"/>
  <c r="K21" i="14" s="1"/>
  <c r="K54" i="22"/>
  <c r="J21" i="14" s="1"/>
  <c r="J54" i="22"/>
  <c r="I54" i="22"/>
  <c r="H54" i="22"/>
  <c r="G21" i="14" s="1"/>
  <c r="G54" i="22"/>
  <c r="F21" i="14" s="1"/>
  <c r="F54" i="22"/>
  <c r="E21" i="14" s="1"/>
  <c r="E54" i="22"/>
  <c r="P52" i="22"/>
  <c r="P51" i="22"/>
  <c r="P50" i="22"/>
  <c r="P49" i="22"/>
  <c r="P48" i="22"/>
  <c r="P47" i="22"/>
  <c r="P46" i="22"/>
  <c r="P45" i="22"/>
  <c r="P44" i="22"/>
  <c r="D41" i="22"/>
  <c r="D40" i="22"/>
  <c r="D39" i="22"/>
  <c r="AM33" i="22"/>
  <c r="AL21" i="13" s="1"/>
  <c r="AL33" i="22"/>
  <c r="AK21" i="13" s="1"/>
  <c r="AK33" i="22"/>
  <c r="AJ33" i="22"/>
  <c r="AI21" i="13" s="1"/>
  <c r="AI33" i="22"/>
  <c r="AH21" i="13" s="1"/>
  <c r="AH33" i="22"/>
  <c r="AG21" i="13" s="1"/>
  <c r="AG33" i="22"/>
  <c r="AF21" i="13" s="1"/>
  <c r="AF33" i="22"/>
  <c r="AE21" i="13" s="1"/>
  <c r="AE33" i="22"/>
  <c r="AD21" i="13" s="1"/>
  <c r="AD33" i="22"/>
  <c r="AC21" i="13" s="1"/>
  <c r="AC33" i="22"/>
  <c r="AB33" i="22"/>
  <c r="AA21" i="13" s="1"/>
  <c r="AA33" i="22"/>
  <c r="Z21" i="13" s="1"/>
  <c r="Z33" i="22"/>
  <c r="Y21" i="13" s="1"/>
  <c r="Y33" i="22"/>
  <c r="X21" i="13" s="1"/>
  <c r="X33" i="22"/>
  <c r="W21" i="13" s="1"/>
  <c r="W33" i="22"/>
  <c r="V21" i="13" s="1"/>
  <c r="V33" i="22"/>
  <c r="U21" i="13" s="1"/>
  <c r="U33" i="22"/>
  <c r="T33" i="22"/>
  <c r="S21" i="13" s="1"/>
  <c r="S33" i="22"/>
  <c r="R21" i="13" s="1"/>
  <c r="R33" i="22"/>
  <c r="Q33" i="22"/>
  <c r="P21" i="13" s="1"/>
  <c r="O33" i="22"/>
  <c r="N21" i="13" s="1"/>
  <c r="N33" i="22"/>
  <c r="M21" i="13" s="1"/>
  <c r="M33" i="22"/>
  <c r="L21" i="13" s="1"/>
  <c r="L33" i="22"/>
  <c r="K21" i="13" s="1"/>
  <c r="K33" i="22"/>
  <c r="J21" i="13" s="1"/>
  <c r="J33" i="22"/>
  <c r="I33" i="22"/>
  <c r="H33" i="22"/>
  <c r="G21" i="13" s="1"/>
  <c r="G33" i="22"/>
  <c r="F21" i="13" s="1"/>
  <c r="F33" i="22"/>
  <c r="E21" i="13" s="1"/>
  <c r="E33" i="22"/>
  <c r="P32" i="22"/>
  <c r="D32" i="22"/>
  <c r="P31" i="22"/>
  <c r="D31" i="22"/>
  <c r="P30" i="22"/>
  <c r="D30" i="22"/>
  <c r="P29" i="22"/>
  <c r="D29" i="22"/>
  <c r="P28" i="22"/>
  <c r="D28" i="22"/>
  <c r="P27" i="22"/>
  <c r="D27" i="22"/>
  <c r="P26" i="22"/>
  <c r="D26" i="22"/>
  <c r="P25" i="22"/>
  <c r="D25" i="22"/>
  <c r="P24" i="22"/>
  <c r="D24" i="22"/>
  <c r="P23" i="22"/>
  <c r="D23" i="22"/>
  <c r="P22" i="22"/>
  <c r="D22" i="22"/>
  <c r="D21" i="22"/>
  <c r="D20" i="22"/>
  <c r="AM16" i="22"/>
  <c r="AL16" i="22"/>
  <c r="AK21" i="12" s="1"/>
  <c r="AK16" i="22"/>
  <c r="AK14" i="22" s="1"/>
  <c r="AJ16" i="22"/>
  <c r="AI16" i="22"/>
  <c r="AH16" i="22"/>
  <c r="AH14" i="22" s="1"/>
  <c r="AG16" i="22"/>
  <c r="AG14" i="22" s="1"/>
  <c r="AF16" i="22"/>
  <c r="AE16" i="22"/>
  <c r="AD21" i="12" s="1"/>
  <c r="AD16" i="22"/>
  <c r="AC21" i="12" s="1"/>
  <c r="AC16" i="22"/>
  <c r="AC14" i="22" s="1"/>
  <c r="AB16" i="22"/>
  <c r="AA16" i="22"/>
  <c r="Z16" i="22"/>
  <c r="Z14" i="22" s="1"/>
  <c r="Y16" i="22"/>
  <c r="Y14" i="22" s="1"/>
  <c r="X16" i="22"/>
  <c r="W16" i="22"/>
  <c r="V21" i="12" s="1"/>
  <c r="V16" i="22"/>
  <c r="U21" i="12" s="1"/>
  <c r="U16" i="22"/>
  <c r="U14" i="22" s="1"/>
  <c r="T16" i="22"/>
  <c r="S16" i="22"/>
  <c r="R21" i="12" s="1"/>
  <c r="R16" i="22"/>
  <c r="R14" i="22" s="1"/>
  <c r="Q16" i="22"/>
  <c r="O16" i="22"/>
  <c r="N16" i="22"/>
  <c r="M21" i="12" s="1"/>
  <c r="M16" i="22"/>
  <c r="M14" i="22" s="1"/>
  <c r="L16" i="22"/>
  <c r="L14" i="22" s="1"/>
  <c r="K16" i="22"/>
  <c r="J21" i="12" s="1"/>
  <c r="J16" i="22"/>
  <c r="I16" i="22"/>
  <c r="I14" i="22" s="1"/>
  <c r="H16" i="22"/>
  <c r="H14" i="22" s="1"/>
  <c r="G16" i="22"/>
  <c r="F21" i="12" s="1"/>
  <c r="F16" i="22"/>
  <c r="E21" i="12" s="1"/>
  <c r="E16" i="22"/>
  <c r="E14" i="22" s="1"/>
  <c r="P141" i="21"/>
  <c r="P140" i="21"/>
  <c r="P139" i="21"/>
  <c r="P138" i="21"/>
  <c r="P137" i="21"/>
  <c r="P136" i="21"/>
  <c r="P135" i="21"/>
  <c r="P134" i="21"/>
  <c r="P133" i="21"/>
  <c r="P132" i="21"/>
  <c r="P131" i="21"/>
  <c r="P130" i="21"/>
  <c r="P129" i="21"/>
  <c r="P128" i="21"/>
  <c r="P127" i="21"/>
  <c r="P126" i="21"/>
  <c r="P125" i="21"/>
  <c r="P124" i="21"/>
  <c r="P123" i="21"/>
  <c r="P122" i="21"/>
  <c r="P121" i="21"/>
  <c r="P120" i="21"/>
  <c r="P119" i="21"/>
  <c r="P118" i="21"/>
  <c r="P117" i="21"/>
  <c r="P116" i="21"/>
  <c r="P115" i="21"/>
  <c r="P114" i="21"/>
  <c r="P113" i="21"/>
  <c r="P112" i="21"/>
  <c r="P111" i="21"/>
  <c r="P110" i="21"/>
  <c r="P109" i="21"/>
  <c r="P108" i="21"/>
  <c r="P107" i="21"/>
  <c r="P106" i="21"/>
  <c r="P105" i="21"/>
  <c r="P104" i="21"/>
  <c r="P103" i="21"/>
  <c r="P102" i="21"/>
  <c r="P101" i="21"/>
  <c r="P100" i="21"/>
  <c r="P99" i="21"/>
  <c r="P98" i="21"/>
  <c r="P97" i="21"/>
  <c r="P96" i="21"/>
  <c r="P95" i="21"/>
  <c r="P94" i="21"/>
  <c r="P93" i="21"/>
  <c r="P92" i="21"/>
  <c r="P91" i="21"/>
  <c r="P90" i="21"/>
  <c r="P89" i="21"/>
  <c r="P88" i="21"/>
  <c r="P87" i="21"/>
  <c r="P86" i="21"/>
  <c r="P85" i="21"/>
  <c r="P84" i="21"/>
  <c r="P83" i="21"/>
  <c r="P82" i="21"/>
  <c r="P81" i="21"/>
  <c r="P80" i="21"/>
  <c r="P79" i="21"/>
  <c r="P78" i="21"/>
  <c r="P77" i="21"/>
  <c r="P76" i="21"/>
  <c r="P75" i="21"/>
  <c r="P74" i="21"/>
  <c r="P73" i="21"/>
  <c r="P72" i="21"/>
  <c r="P71" i="21"/>
  <c r="P70" i="21"/>
  <c r="P69" i="21"/>
  <c r="P68" i="21"/>
  <c r="P67" i="21"/>
  <c r="P66" i="21"/>
  <c r="P65" i="21"/>
  <c r="P64" i="21"/>
  <c r="P63" i="21"/>
  <c r="P62" i="21"/>
  <c r="P61" i="21"/>
  <c r="P60" i="21"/>
  <c r="P59" i="21"/>
  <c r="P58" i="21"/>
  <c r="P57" i="21"/>
  <c r="AK17" i="14"/>
  <c r="AJ17" i="14"/>
  <c r="AG17" i="14"/>
  <c r="AF17" i="14"/>
  <c r="AC17" i="14"/>
  <c r="AB17" i="14"/>
  <c r="Y17" i="14"/>
  <c r="X17" i="14"/>
  <c r="U17" i="14"/>
  <c r="T17" i="14"/>
  <c r="P17" i="14"/>
  <c r="N17" i="14"/>
  <c r="L17" i="14"/>
  <c r="K17" i="14"/>
  <c r="H17" i="14"/>
  <c r="G17" i="14"/>
  <c r="D17" i="14"/>
  <c r="P53" i="21"/>
  <c r="P52" i="21"/>
  <c r="P51" i="21"/>
  <c r="P50" i="21"/>
  <c r="P49" i="21"/>
  <c r="P48" i="21"/>
  <c r="P47" i="21"/>
  <c r="P46" i="21"/>
  <c r="P45" i="21"/>
  <c r="P44" i="21"/>
  <c r="P43" i="21"/>
  <c r="P42" i="21"/>
  <c r="P41" i="21"/>
  <c r="D41" i="21"/>
  <c r="P40" i="21"/>
  <c r="D40" i="21"/>
  <c r="P39" i="21"/>
  <c r="D39" i="21"/>
  <c r="P38" i="21"/>
  <c r="D38" i="21"/>
  <c r="P37" i="21"/>
  <c r="P36" i="21"/>
  <c r="P35" i="21"/>
  <c r="P34" i="21"/>
  <c r="AM33" i="21"/>
  <c r="AL17" i="13" s="1"/>
  <c r="AL33" i="21"/>
  <c r="AK17" i="13" s="1"/>
  <c r="AK33" i="21"/>
  <c r="AJ17" i="13" s="1"/>
  <c r="AJ33" i="21"/>
  <c r="AI33" i="21"/>
  <c r="AH17" i="13" s="1"/>
  <c r="AH33" i="21"/>
  <c r="AG17" i="13" s="1"/>
  <c r="AG33" i="21"/>
  <c r="AF17" i="13" s="1"/>
  <c r="AF33" i="21"/>
  <c r="AE33" i="21"/>
  <c r="AD33" i="21"/>
  <c r="AC17" i="13" s="1"/>
  <c r="AC33" i="21"/>
  <c r="AB17" i="13" s="1"/>
  <c r="AB33" i="21"/>
  <c r="AA17" i="13" s="1"/>
  <c r="AA33" i="21"/>
  <c r="Z17" i="13" s="1"/>
  <c r="Z33" i="21"/>
  <c r="Y17" i="13" s="1"/>
  <c r="Y33" i="21"/>
  <c r="X17" i="13" s="1"/>
  <c r="X33" i="21"/>
  <c r="W17" i="13" s="1"/>
  <c r="W33" i="21"/>
  <c r="V33" i="21"/>
  <c r="U17" i="13" s="1"/>
  <c r="U33" i="21"/>
  <c r="T17" i="13" s="1"/>
  <c r="T33" i="21"/>
  <c r="S33" i="21"/>
  <c r="R17" i="13" s="1"/>
  <c r="R33" i="21"/>
  <c r="P33" i="21" s="1"/>
  <c r="O17" i="13" s="1"/>
  <c r="Q33" i="21"/>
  <c r="P17" i="13" s="1"/>
  <c r="O33" i="21"/>
  <c r="N33" i="21"/>
  <c r="M17" i="13" s="1"/>
  <c r="M33" i="21"/>
  <c r="L17" i="13" s="1"/>
  <c r="L33" i="21"/>
  <c r="K33" i="21"/>
  <c r="J17" i="13" s="1"/>
  <c r="J33" i="21"/>
  <c r="I33" i="21"/>
  <c r="H17" i="13" s="1"/>
  <c r="H33" i="21"/>
  <c r="G33" i="21"/>
  <c r="G14" i="21" s="1"/>
  <c r="F33" i="21"/>
  <c r="E17" i="13" s="1"/>
  <c r="E33" i="21"/>
  <c r="D17" i="13" s="1"/>
  <c r="P32" i="21"/>
  <c r="D32" i="21"/>
  <c r="P31" i="21"/>
  <c r="D31" i="21"/>
  <c r="P30" i="21"/>
  <c r="D30" i="21"/>
  <c r="P29" i="21"/>
  <c r="D29" i="21"/>
  <c r="P28" i="21"/>
  <c r="D28" i="21"/>
  <c r="P27" i="21"/>
  <c r="D27" i="21"/>
  <c r="P26" i="21"/>
  <c r="D26" i="21"/>
  <c r="P25" i="21"/>
  <c r="D25" i="21"/>
  <c r="P24" i="21"/>
  <c r="D24" i="21"/>
  <c r="P23" i="21"/>
  <c r="D23" i="21"/>
  <c r="P22" i="21"/>
  <c r="D22" i="21"/>
  <c r="P21" i="21"/>
  <c r="D21" i="21"/>
  <c r="P20" i="21"/>
  <c r="P19" i="21"/>
  <c r="P18" i="21"/>
  <c r="AM16" i="21"/>
  <c r="AL17" i="12" s="1"/>
  <c r="AL16" i="21"/>
  <c r="AK16" i="21"/>
  <c r="AJ17" i="12" s="1"/>
  <c r="AJ16" i="21"/>
  <c r="AJ14" i="21" s="1"/>
  <c r="AI16" i="21"/>
  <c r="AH17" i="12" s="1"/>
  <c r="AH16" i="21"/>
  <c r="AG16" i="21"/>
  <c r="AF17" i="12" s="1"/>
  <c r="AF16" i="21"/>
  <c r="AF14" i="21" s="1"/>
  <c r="AE16" i="21"/>
  <c r="AD17" i="12" s="1"/>
  <c r="AD16" i="21"/>
  <c r="AC16" i="21"/>
  <c r="AB17" i="12" s="1"/>
  <c r="AB16" i="21"/>
  <c r="AB14" i="21" s="1"/>
  <c r="AA16" i="21"/>
  <c r="Z17" i="12" s="1"/>
  <c r="Z16" i="21"/>
  <c r="Y16" i="21"/>
  <c r="X17" i="12" s="1"/>
  <c r="X16" i="21"/>
  <c r="X14" i="21" s="1"/>
  <c r="W16" i="21"/>
  <c r="V17" i="12" s="1"/>
  <c r="V16" i="21"/>
  <c r="U16" i="21"/>
  <c r="T17" i="12" s="1"/>
  <c r="T16" i="21"/>
  <c r="T14" i="21" s="1"/>
  <c r="S16" i="21"/>
  <c r="R17" i="12" s="1"/>
  <c r="R16" i="21"/>
  <c r="Q16" i="21"/>
  <c r="P17" i="12" s="1"/>
  <c r="O16" i="21"/>
  <c r="N17" i="12" s="1"/>
  <c r="N16" i="21"/>
  <c r="M17" i="12" s="1"/>
  <c r="M16" i="21"/>
  <c r="L16" i="21"/>
  <c r="L14" i="21" s="1"/>
  <c r="K16" i="21"/>
  <c r="J17" i="12" s="1"/>
  <c r="J16" i="21"/>
  <c r="I17" i="12" s="1"/>
  <c r="I16" i="21"/>
  <c r="H16" i="21"/>
  <c r="H14" i="21" s="1"/>
  <c r="G16" i="21"/>
  <c r="F17" i="12" s="1"/>
  <c r="F16" i="21"/>
  <c r="E17" i="12" s="1"/>
  <c r="E16" i="21"/>
  <c r="P15" i="21"/>
  <c r="D15" i="21"/>
  <c r="C17" i="11" s="1"/>
  <c r="J14" i="21"/>
  <c r="P143" i="20"/>
  <c r="D143" i="20"/>
  <c r="P142" i="20"/>
  <c r="D142" i="20"/>
  <c r="P141" i="20"/>
  <c r="D141" i="20"/>
  <c r="P140" i="20"/>
  <c r="D140" i="20"/>
  <c r="AM54" i="20"/>
  <c r="AL18" i="14" s="1"/>
  <c r="AL54" i="20"/>
  <c r="AK18" i="14" s="1"/>
  <c r="AK54" i="20"/>
  <c r="AJ18" i="14" s="1"/>
  <c r="AJ54" i="20"/>
  <c r="AI54" i="20"/>
  <c r="AH54" i="20"/>
  <c r="AG18" i="14" s="1"/>
  <c r="AG54" i="20"/>
  <c r="AF18" i="14" s="1"/>
  <c r="AF54" i="20"/>
  <c r="AE18" i="14" s="1"/>
  <c r="AE54" i="20"/>
  <c r="AD18" i="14" s="1"/>
  <c r="AD54" i="20"/>
  <c r="AC18" i="14" s="1"/>
  <c r="AC54" i="20"/>
  <c r="AB18" i="14" s="1"/>
  <c r="AB54" i="20"/>
  <c r="AA54" i="20"/>
  <c r="Z54" i="20"/>
  <c r="Y18" i="14" s="1"/>
  <c r="Y54" i="20"/>
  <c r="X18" i="14" s="1"/>
  <c r="X54" i="20"/>
  <c r="W18" i="14" s="1"/>
  <c r="W54" i="20"/>
  <c r="V18" i="14" s="1"/>
  <c r="V54" i="20"/>
  <c r="U18" i="14" s="1"/>
  <c r="U54" i="20"/>
  <c r="T18" i="14" s="1"/>
  <c r="T54" i="20"/>
  <c r="S54" i="20"/>
  <c r="R18" i="14" s="1"/>
  <c r="R54" i="20"/>
  <c r="Q18" i="14" s="1"/>
  <c r="Q54" i="20"/>
  <c r="O54" i="20"/>
  <c r="N18" i="14" s="1"/>
  <c r="N54" i="20"/>
  <c r="M18" i="14" s="1"/>
  <c r="M54" i="20"/>
  <c r="L18" i="14" s="1"/>
  <c r="L54" i="20"/>
  <c r="K54" i="20"/>
  <c r="J18" i="14" s="1"/>
  <c r="J54" i="20"/>
  <c r="I18" i="14" s="1"/>
  <c r="I54" i="20"/>
  <c r="H18" i="14" s="1"/>
  <c r="H54" i="20"/>
  <c r="G18" i="14" s="1"/>
  <c r="G54" i="20"/>
  <c r="F54" i="20"/>
  <c r="E18" i="14" s="1"/>
  <c r="E54" i="20"/>
  <c r="P53" i="20"/>
  <c r="P52" i="20"/>
  <c r="P51" i="20"/>
  <c r="P50" i="20"/>
  <c r="P49" i="20"/>
  <c r="P48" i="20"/>
  <c r="P47" i="20"/>
  <c r="P46" i="20"/>
  <c r="P45" i="20"/>
  <c r="P44" i="20"/>
  <c r="P43" i="20"/>
  <c r="P42" i="20"/>
  <c r="P41" i="20"/>
  <c r="D41" i="20"/>
  <c r="P40" i="20"/>
  <c r="D40" i="20"/>
  <c r="P39" i="20"/>
  <c r="D39" i="20"/>
  <c r="AM33" i="20"/>
  <c r="AL18" i="13" s="1"/>
  <c r="AL33" i="20"/>
  <c r="AK18" i="13" s="1"/>
  <c r="AK33" i="20"/>
  <c r="AJ18" i="13" s="1"/>
  <c r="AJ33" i="20"/>
  <c r="AI18" i="13" s="1"/>
  <c r="AI33" i="20"/>
  <c r="AH33" i="20"/>
  <c r="AG33" i="20"/>
  <c r="AF18" i="13" s="1"/>
  <c r="AF33" i="20"/>
  <c r="AE18" i="13" s="1"/>
  <c r="AE33" i="20"/>
  <c r="AD18" i="13" s="1"/>
  <c r="AD33" i="20"/>
  <c r="AC18" i="13" s="1"/>
  <c r="AC33" i="20"/>
  <c r="AB18" i="13" s="1"/>
  <c r="AB33" i="20"/>
  <c r="AA18" i="13" s="1"/>
  <c r="AA33" i="20"/>
  <c r="Z33" i="20"/>
  <c r="Y18" i="13" s="1"/>
  <c r="Y33" i="20"/>
  <c r="X18" i="13" s="1"/>
  <c r="X33" i="20"/>
  <c r="W18" i="13" s="1"/>
  <c r="W33" i="20"/>
  <c r="V18" i="13" s="1"/>
  <c r="V33" i="20"/>
  <c r="U18" i="13" s="1"/>
  <c r="U33" i="20"/>
  <c r="T18" i="13" s="1"/>
  <c r="T33" i="20"/>
  <c r="S18" i="13" s="1"/>
  <c r="S33" i="20"/>
  <c r="R33" i="20"/>
  <c r="Q18" i="13" s="1"/>
  <c r="Q33" i="20"/>
  <c r="P18" i="13" s="1"/>
  <c r="O33" i="20"/>
  <c r="N18" i="13" s="1"/>
  <c r="N33" i="20"/>
  <c r="M18" i="13" s="1"/>
  <c r="M33" i="20"/>
  <c r="L18" i="13" s="1"/>
  <c r="L33" i="20"/>
  <c r="K18" i="13" s="1"/>
  <c r="K33" i="20"/>
  <c r="K14" i="20" s="1"/>
  <c r="J33" i="20"/>
  <c r="I33" i="20"/>
  <c r="H18" i="13" s="1"/>
  <c r="H33" i="20"/>
  <c r="G18" i="13" s="1"/>
  <c r="G33" i="20"/>
  <c r="F33" i="20"/>
  <c r="E18" i="13" s="1"/>
  <c r="E33" i="20"/>
  <c r="P32" i="20"/>
  <c r="D32" i="20"/>
  <c r="P31" i="20"/>
  <c r="D31" i="20"/>
  <c r="P30" i="20"/>
  <c r="D30" i="20"/>
  <c r="P29" i="20"/>
  <c r="D29" i="20"/>
  <c r="P28" i="20"/>
  <c r="D28" i="20"/>
  <c r="P27" i="20"/>
  <c r="D27" i="20"/>
  <c r="P26" i="20"/>
  <c r="D26" i="20"/>
  <c r="P25" i="20"/>
  <c r="D25" i="20"/>
  <c r="P24" i="20"/>
  <c r="D24" i="20"/>
  <c r="P23" i="20"/>
  <c r="D23" i="20"/>
  <c r="P22" i="20"/>
  <c r="D22" i="20"/>
  <c r="P21" i="20"/>
  <c r="D21" i="20"/>
  <c r="AM16" i="20"/>
  <c r="AL16" i="20"/>
  <c r="AK16" i="20"/>
  <c r="AJ16" i="20"/>
  <c r="AI18" i="12" s="1"/>
  <c r="AI16" i="20"/>
  <c r="AH16" i="20"/>
  <c r="AG18" i="12" s="1"/>
  <c r="AG16" i="20"/>
  <c r="AF16" i="20"/>
  <c r="AE16" i="20"/>
  <c r="AD18" i="12" s="1"/>
  <c r="AD16" i="20"/>
  <c r="AC16" i="20"/>
  <c r="AB16" i="20"/>
  <c r="AA18" i="12" s="1"/>
  <c r="AA16" i="20"/>
  <c r="Z16" i="20"/>
  <c r="Y18" i="12" s="1"/>
  <c r="Y16" i="20"/>
  <c r="X16" i="20"/>
  <c r="W16" i="20"/>
  <c r="V18" i="12" s="1"/>
  <c r="V16" i="20"/>
  <c r="U16" i="20"/>
  <c r="T16" i="20"/>
  <c r="S18" i="12" s="1"/>
  <c r="S16" i="20"/>
  <c r="R16" i="20"/>
  <c r="Q18" i="12" s="1"/>
  <c r="Q16" i="20"/>
  <c r="O16" i="20"/>
  <c r="N16" i="20"/>
  <c r="M16" i="20"/>
  <c r="L16" i="20"/>
  <c r="K16" i="20"/>
  <c r="J18" i="12" s="1"/>
  <c r="J16" i="20"/>
  <c r="I18" i="12" s="1"/>
  <c r="I16" i="20"/>
  <c r="H16" i="20"/>
  <c r="G16" i="20"/>
  <c r="F16" i="20"/>
  <c r="E16" i="20"/>
  <c r="O14" i="20"/>
  <c r="P143" i="19"/>
  <c r="D143" i="19"/>
  <c r="P142" i="19"/>
  <c r="D142" i="19"/>
  <c r="P141" i="19"/>
  <c r="D141" i="19"/>
  <c r="P140" i="19"/>
  <c r="D140" i="19"/>
  <c r="P139" i="19"/>
  <c r="D139" i="19"/>
  <c r="P138" i="19"/>
  <c r="D138" i="19"/>
  <c r="P137" i="19"/>
  <c r="D137" i="19"/>
  <c r="P136" i="19"/>
  <c r="D136" i="19"/>
  <c r="P135" i="19"/>
  <c r="D135" i="19"/>
  <c r="P134" i="19"/>
  <c r="D134" i="19"/>
  <c r="P133" i="19"/>
  <c r="D133" i="19"/>
  <c r="P132" i="19"/>
  <c r="D132" i="19"/>
  <c r="P131" i="19"/>
  <c r="D131" i="19"/>
  <c r="P130" i="19"/>
  <c r="D130" i="19"/>
  <c r="P129" i="19"/>
  <c r="D129" i="19"/>
  <c r="P128" i="19"/>
  <c r="D128" i="19"/>
  <c r="P127" i="19"/>
  <c r="D127" i="19"/>
  <c r="P126" i="19"/>
  <c r="D126" i="19"/>
  <c r="P125" i="19"/>
  <c r="D125" i="19"/>
  <c r="P124" i="19"/>
  <c r="D124" i="19"/>
  <c r="P123" i="19"/>
  <c r="D123" i="19"/>
  <c r="P122" i="19"/>
  <c r="P121" i="19"/>
  <c r="P120" i="19"/>
  <c r="P119" i="19"/>
  <c r="P118" i="19"/>
  <c r="P117" i="19"/>
  <c r="P116" i="19"/>
  <c r="P115" i="19"/>
  <c r="P114" i="19"/>
  <c r="P113" i="19"/>
  <c r="P112" i="19"/>
  <c r="P111" i="19"/>
  <c r="P110" i="19"/>
  <c r="P109" i="19"/>
  <c r="P108" i="19"/>
  <c r="P107" i="19"/>
  <c r="P106" i="19"/>
  <c r="P105" i="19"/>
  <c r="P104" i="19"/>
  <c r="P103" i="19"/>
  <c r="P102" i="19"/>
  <c r="P101" i="19"/>
  <c r="P100" i="19"/>
  <c r="P99" i="19"/>
  <c r="P98" i="19"/>
  <c r="P97" i="19"/>
  <c r="P96" i="19"/>
  <c r="P95" i="19"/>
  <c r="P94" i="19"/>
  <c r="P93" i="19"/>
  <c r="P92" i="19"/>
  <c r="P91" i="19"/>
  <c r="P90" i="19"/>
  <c r="P89" i="19"/>
  <c r="P88" i="19"/>
  <c r="P87" i="19"/>
  <c r="P86" i="19"/>
  <c r="P85" i="19"/>
  <c r="P84" i="19"/>
  <c r="P83" i="19"/>
  <c r="P82" i="19"/>
  <c r="P81" i="19"/>
  <c r="P80" i="19"/>
  <c r="P79" i="19"/>
  <c r="P78" i="19"/>
  <c r="P77" i="19"/>
  <c r="P76" i="19"/>
  <c r="P75" i="19"/>
  <c r="P74" i="19"/>
  <c r="P73" i="19"/>
  <c r="P72" i="19"/>
  <c r="P71" i="19"/>
  <c r="P70" i="19"/>
  <c r="P69" i="19"/>
  <c r="P68" i="19"/>
  <c r="P67" i="19"/>
  <c r="P66" i="19"/>
  <c r="P65" i="19"/>
  <c r="P64" i="19"/>
  <c r="P63" i="19"/>
  <c r="P62" i="19"/>
  <c r="P61" i="19"/>
  <c r="P60" i="19"/>
  <c r="P59" i="19"/>
  <c r="P58" i="19"/>
  <c r="P57" i="19"/>
  <c r="P56" i="19"/>
  <c r="P55" i="19"/>
  <c r="AM54" i="19"/>
  <c r="AL16" i="14" s="1"/>
  <c r="AL54" i="19"/>
  <c r="AK16" i="14" s="1"/>
  <c r="AK54" i="19"/>
  <c r="AJ16" i="14" s="1"/>
  <c r="AJ54" i="19"/>
  <c r="AI16" i="14" s="1"/>
  <c r="AI54" i="19"/>
  <c r="AH16" i="14" s="1"/>
  <c r="AH54" i="19"/>
  <c r="AG16" i="14" s="1"/>
  <c r="AG54" i="19"/>
  <c r="AF16" i="14" s="1"/>
  <c r="AF54" i="19"/>
  <c r="AE16" i="14" s="1"/>
  <c r="AE54" i="19"/>
  <c r="AD16" i="14" s="1"/>
  <c r="AD54" i="19"/>
  <c r="AC16" i="14" s="1"/>
  <c r="AC54" i="19"/>
  <c r="AB16" i="14" s="1"/>
  <c r="AB54" i="19"/>
  <c r="AA16" i="14" s="1"/>
  <c r="AA54" i="19"/>
  <c r="Z16" i="14" s="1"/>
  <c r="Z54" i="19"/>
  <c r="Y16" i="14" s="1"/>
  <c r="Y54" i="19"/>
  <c r="X16" i="14" s="1"/>
  <c r="X54" i="19"/>
  <c r="W16" i="14" s="1"/>
  <c r="W54" i="19"/>
  <c r="V16" i="14" s="1"/>
  <c r="V54" i="19"/>
  <c r="U16" i="14" s="1"/>
  <c r="U54" i="19"/>
  <c r="T16" i="14" s="1"/>
  <c r="T54" i="19"/>
  <c r="S16" i="14" s="1"/>
  <c r="S54" i="19"/>
  <c r="R16" i="14" s="1"/>
  <c r="R54" i="19"/>
  <c r="R14" i="19" s="1"/>
  <c r="Q54" i="19"/>
  <c r="P16" i="14" s="1"/>
  <c r="O54" i="19"/>
  <c r="N54" i="19"/>
  <c r="M16" i="14" s="1"/>
  <c r="M54" i="19"/>
  <c r="L16" i="14" s="1"/>
  <c r="L54" i="19"/>
  <c r="K16" i="14" s="1"/>
  <c r="K54" i="19"/>
  <c r="J54" i="19"/>
  <c r="I54" i="19"/>
  <c r="H16" i="14" s="1"/>
  <c r="H54" i="19"/>
  <c r="G16" i="14" s="1"/>
  <c r="G54" i="19"/>
  <c r="F16" i="14" s="1"/>
  <c r="F54" i="19"/>
  <c r="E16" i="14" s="1"/>
  <c r="E54" i="19"/>
  <c r="D16" i="14" s="1"/>
  <c r="P53" i="19"/>
  <c r="P52" i="19"/>
  <c r="P51" i="19"/>
  <c r="P50" i="19"/>
  <c r="P49" i="19"/>
  <c r="P48" i="19"/>
  <c r="P47" i="19"/>
  <c r="P46" i="19"/>
  <c r="P45" i="19"/>
  <c r="P44" i="19"/>
  <c r="P43" i="19"/>
  <c r="P42" i="19"/>
  <c r="P41" i="19"/>
  <c r="P40" i="19"/>
  <c r="P39" i="19"/>
  <c r="P38" i="19"/>
  <c r="P37" i="19"/>
  <c r="P36" i="19"/>
  <c r="P35" i="19"/>
  <c r="P34" i="19"/>
  <c r="AM33" i="19"/>
  <c r="AL16" i="13" s="1"/>
  <c r="AL33" i="19"/>
  <c r="AK16" i="13" s="1"/>
  <c r="AK33" i="19"/>
  <c r="AJ16" i="13" s="1"/>
  <c r="AJ33" i="19"/>
  <c r="AI16" i="13" s="1"/>
  <c r="AI33" i="19"/>
  <c r="AH16" i="13" s="1"/>
  <c r="AH33" i="19"/>
  <c r="AG33" i="19"/>
  <c r="AF16" i="13" s="1"/>
  <c r="AF33" i="19"/>
  <c r="AE16" i="13" s="1"/>
  <c r="AE33" i="19"/>
  <c r="AD16" i="13" s="1"/>
  <c r="AD33" i="19"/>
  <c r="AC33" i="19"/>
  <c r="AB16" i="13" s="1"/>
  <c r="AB33" i="19"/>
  <c r="AA16" i="13" s="1"/>
  <c r="AA33" i="19"/>
  <c r="Z16" i="13" s="1"/>
  <c r="Z33" i="19"/>
  <c r="Y33" i="19"/>
  <c r="X16" i="13" s="1"/>
  <c r="X33" i="19"/>
  <c r="W16" i="13" s="1"/>
  <c r="W33" i="19"/>
  <c r="V16" i="13" s="1"/>
  <c r="V33" i="19"/>
  <c r="U16" i="13" s="1"/>
  <c r="U33" i="19"/>
  <c r="T16" i="13" s="1"/>
  <c r="T33" i="19"/>
  <c r="S16" i="13" s="1"/>
  <c r="S33" i="19"/>
  <c r="R16" i="13" s="1"/>
  <c r="R33" i="19"/>
  <c r="P16" i="13"/>
  <c r="O33" i="19"/>
  <c r="N16" i="13" s="1"/>
  <c r="N33" i="19"/>
  <c r="M16" i="13" s="1"/>
  <c r="M33" i="19"/>
  <c r="L33" i="19"/>
  <c r="K16" i="13" s="1"/>
  <c r="K33" i="19"/>
  <c r="J16" i="13" s="1"/>
  <c r="J33" i="19"/>
  <c r="I33" i="19"/>
  <c r="H16" i="13" s="1"/>
  <c r="H33" i="19"/>
  <c r="G33" i="19"/>
  <c r="F16" i="13" s="1"/>
  <c r="F33" i="19"/>
  <c r="E16" i="13" s="1"/>
  <c r="E33" i="19"/>
  <c r="P32" i="19"/>
  <c r="D32" i="19"/>
  <c r="P31" i="19"/>
  <c r="D31" i="19"/>
  <c r="P30" i="19"/>
  <c r="D30" i="19"/>
  <c r="P29" i="19"/>
  <c r="D29" i="19"/>
  <c r="P28" i="19"/>
  <c r="D28" i="19"/>
  <c r="P27" i="19"/>
  <c r="D27" i="19"/>
  <c r="P26" i="19"/>
  <c r="D26" i="19"/>
  <c r="P25" i="19"/>
  <c r="D25" i="19"/>
  <c r="P24" i="19"/>
  <c r="D24" i="19"/>
  <c r="P23" i="19"/>
  <c r="D23" i="19"/>
  <c r="P22" i="19"/>
  <c r="D22" i="19"/>
  <c r="P21" i="19"/>
  <c r="D21" i="19"/>
  <c r="P20" i="19"/>
  <c r="D20" i="19"/>
  <c r="P19" i="19"/>
  <c r="D19" i="19"/>
  <c r="P18" i="19"/>
  <c r="AM16" i="19"/>
  <c r="AL16" i="19"/>
  <c r="AK16" i="12" s="1"/>
  <c r="AK16" i="19"/>
  <c r="AJ16" i="19"/>
  <c r="AI16" i="12" s="1"/>
  <c r="AI16" i="19"/>
  <c r="AH16" i="12" s="1"/>
  <c r="AH16" i="19"/>
  <c r="AG16" i="19"/>
  <c r="AF16" i="19"/>
  <c r="AE16" i="12" s="1"/>
  <c r="AE16" i="19"/>
  <c r="AD16" i="19"/>
  <c r="AC16" i="12" s="1"/>
  <c r="AC16" i="19"/>
  <c r="AB16" i="19"/>
  <c r="AA16" i="12" s="1"/>
  <c r="AA16" i="19"/>
  <c r="Z16" i="12" s="1"/>
  <c r="Z16" i="19"/>
  <c r="Y16" i="19"/>
  <c r="X16" i="19"/>
  <c r="W16" i="12" s="1"/>
  <c r="W16" i="19"/>
  <c r="V16" i="19"/>
  <c r="U16" i="12" s="1"/>
  <c r="U16" i="19"/>
  <c r="T16" i="19"/>
  <c r="S16" i="12" s="1"/>
  <c r="S16" i="19"/>
  <c r="R16" i="12" s="1"/>
  <c r="R16" i="19"/>
  <c r="Q16" i="19"/>
  <c r="O16" i="19"/>
  <c r="N16" i="12" s="1"/>
  <c r="N16" i="19"/>
  <c r="M16" i="19"/>
  <c r="L16" i="19"/>
  <c r="K16" i="19"/>
  <c r="J16" i="19"/>
  <c r="I16" i="12" s="1"/>
  <c r="I16" i="19"/>
  <c r="H16" i="19"/>
  <c r="G16" i="19"/>
  <c r="F16" i="12" s="1"/>
  <c r="F16" i="19"/>
  <c r="E16" i="19"/>
  <c r="P15" i="19"/>
  <c r="O16" i="11" s="1"/>
  <c r="D15" i="19"/>
  <c r="C16" i="11" s="1"/>
  <c r="AH14" i="19"/>
  <c r="Z14" i="19"/>
  <c r="P143" i="18"/>
  <c r="D143" i="18"/>
  <c r="P142" i="18"/>
  <c r="D142" i="18"/>
  <c r="P141" i="18"/>
  <c r="D141" i="18"/>
  <c r="P140" i="18"/>
  <c r="D140" i="18"/>
  <c r="P139" i="18"/>
  <c r="D139" i="18"/>
  <c r="P138" i="18"/>
  <c r="D138" i="18"/>
  <c r="P137" i="18"/>
  <c r="D137" i="18"/>
  <c r="P136" i="18"/>
  <c r="D136" i="18"/>
  <c r="P135" i="18"/>
  <c r="D135" i="18"/>
  <c r="P134" i="18"/>
  <c r="D134" i="18"/>
  <c r="D133" i="18"/>
  <c r="D132" i="18"/>
  <c r="D131" i="18"/>
  <c r="D130" i="18"/>
  <c r="D129" i="18"/>
  <c r="D128" i="18"/>
  <c r="D127" i="18"/>
  <c r="D126" i="18"/>
  <c r="D125" i="18"/>
  <c r="D124" i="18"/>
  <c r="D123" i="18"/>
  <c r="D122" i="18"/>
  <c r="AM54" i="18"/>
  <c r="AL15" i="14" s="1"/>
  <c r="AL54" i="18"/>
  <c r="AK54" i="18"/>
  <c r="AJ15" i="14" s="1"/>
  <c r="AJ54" i="18"/>
  <c r="AI15" i="14" s="1"/>
  <c r="AI54" i="18"/>
  <c r="AH15" i="14" s="1"/>
  <c r="AH54" i="18"/>
  <c r="AG15" i="14" s="1"/>
  <c r="AG54" i="18"/>
  <c r="AF15" i="14" s="1"/>
  <c r="AF54" i="18"/>
  <c r="AE15" i="14" s="1"/>
  <c r="AE54" i="18"/>
  <c r="AD15" i="14" s="1"/>
  <c r="AD54" i="18"/>
  <c r="AC15" i="14" s="1"/>
  <c r="AC54" i="18"/>
  <c r="AB15" i="14" s="1"/>
  <c r="AB54" i="18"/>
  <c r="AA15" i="14" s="1"/>
  <c r="AA54" i="18"/>
  <c r="Z15" i="14" s="1"/>
  <c r="Z54" i="18"/>
  <c r="Y15" i="14" s="1"/>
  <c r="Y54" i="18"/>
  <c r="X15" i="14" s="1"/>
  <c r="X54" i="18"/>
  <c r="W15" i="14" s="1"/>
  <c r="W54" i="18"/>
  <c r="V15" i="14" s="1"/>
  <c r="V54" i="18"/>
  <c r="U15" i="14" s="1"/>
  <c r="U54" i="18"/>
  <c r="T15" i="14" s="1"/>
  <c r="T54" i="18"/>
  <c r="S15" i="14" s="1"/>
  <c r="S54" i="18"/>
  <c r="R15" i="14" s="1"/>
  <c r="R54" i="18"/>
  <c r="Q54" i="18"/>
  <c r="P15" i="14" s="1"/>
  <c r="O54" i="18"/>
  <c r="N54" i="18"/>
  <c r="M15" i="14" s="1"/>
  <c r="M54" i="18"/>
  <c r="L15" i="14" s="1"/>
  <c r="L54" i="18"/>
  <c r="K15" i="14" s="1"/>
  <c r="K54" i="18"/>
  <c r="J15" i="14" s="1"/>
  <c r="J54" i="18"/>
  <c r="I54" i="18"/>
  <c r="H15" i="14" s="1"/>
  <c r="H54" i="18"/>
  <c r="G15" i="14" s="1"/>
  <c r="G54" i="18"/>
  <c r="F15" i="14" s="1"/>
  <c r="F54" i="18"/>
  <c r="E54" i="18"/>
  <c r="D15" i="14" s="1"/>
  <c r="P53" i="18"/>
  <c r="P52" i="18"/>
  <c r="P51" i="18"/>
  <c r="P50" i="18"/>
  <c r="P49" i="18"/>
  <c r="P48" i="18"/>
  <c r="P47" i="18"/>
  <c r="P46" i="18"/>
  <c r="D41" i="18"/>
  <c r="AM33" i="18"/>
  <c r="AL33" i="18"/>
  <c r="AK15" i="13" s="1"/>
  <c r="AK33" i="18"/>
  <c r="AJ15" i="13" s="1"/>
  <c r="AJ33" i="18"/>
  <c r="AI15" i="13" s="1"/>
  <c r="AI33" i="18"/>
  <c r="AH15" i="13" s="1"/>
  <c r="AH33" i="18"/>
  <c r="AG33" i="18"/>
  <c r="AF15" i="13" s="1"/>
  <c r="AF33" i="18"/>
  <c r="AE15" i="13" s="1"/>
  <c r="AE33" i="18"/>
  <c r="AD33" i="18"/>
  <c r="AC15" i="13" s="1"/>
  <c r="AC33" i="18"/>
  <c r="AB15" i="13" s="1"/>
  <c r="AB33" i="18"/>
  <c r="AA15" i="13" s="1"/>
  <c r="AA33" i="18"/>
  <c r="Z15" i="13" s="1"/>
  <c r="Z33" i="18"/>
  <c r="Y15" i="13" s="1"/>
  <c r="Y33" i="18"/>
  <c r="X15" i="13" s="1"/>
  <c r="X33" i="18"/>
  <c r="W15" i="13" s="1"/>
  <c r="W33" i="18"/>
  <c r="V33" i="18"/>
  <c r="U33" i="18"/>
  <c r="T15" i="13" s="1"/>
  <c r="T33" i="18"/>
  <c r="S15" i="13" s="1"/>
  <c r="S33" i="18"/>
  <c r="R15" i="13" s="1"/>
  <c r="R33" i="18"/>
  <c r="Q15" i="13" s="1"/>
  <c r="Q33" i="18"/>
  <c r="P15" i="13" s="1"/>
  <c r="O33" i="18"/>
  <c r="N15" i="13" s="1"/>
  <c r="N33" i="18"/>
  <c r="M33" i="18"/>
  <c r="L33" i="18"/>
  <c r="K15" i="13" s="1"/>
  <c r="K33" i="18"/>
  <c r="J15" i="13" s="1"/>
  <c r="J33" i="18"/>
  <c r="I33" i="18"/>
  <c r="H15" i="13" s="1"/>
  <c r="H33" i="18"/>
  <c r="G15" i="13" s="1"/>
  <c r="G33" i="18"/>
  <c r="F15" i="13" s="1"/>
  <c r="F33" i="18"/>
  <c r="E15" i="13" s="1"/>
  <c r="E33" i="18"/>
  <c r="D32" i="18"/>
  <c r="D31" i="18"/>
  <c r="D30" i="18"/>
  <c r="D29" i="18"/>
  <c r="D28" i="18"/>
  <c r="D27" i="18"/>
  <c r="D26" i="18"/>
  <c r="D25" i="18"/>
  <c r="D24" i="18"/>
  <c r="D23" i="18"/>
  <c r="D22" i="18"/>
  <c r="AM16" i="18"/>
  <c r="AL15" i="12" s="1"/>
  <c r="AL16" i="18"/>
  <c r="AK15" i="12" s="1"/>
  <c r="AK16" i="18"/>
  <c r="AK14" i="18" s="1"/>
  <c r="AJ16" i="18"/>
  <c r="AI16" i="18"/>
  <c r="AI14" i="18" s="1"/>
  <c r="AH16" i="18"/>
  <c r="AG15" i="12" s="1"/>
  <c r="AG16" i="18"/>
  <c r="AG14" i="18" s="1"/>
  <c r="AF16" i="18"/>
  <c r="AE16" i="18"/>
  <c r="AD15" i="12" s="1"/>
  <c r="AD16" i="18"/>
  <c r="AC15" i="12" s="1"/>
  <c r="AC16" i="18"/>
  <c r="AC14" i="18" s="1"/>
  <c r="AB16" i="18"/>
  <c r="AA16" i="18"/>
  <c r="AA14" i="18" s="1"/>
  <c r="Z16" i="18"/>
  <c r="Y15" i="12" s="1"/>
  <c r="Y16" i="18"/>
  <c r="Y14" i="18" s="1"/>
  <c r="X16" i="18"/>
  <c r="W16" i="18"/>
  <c r="V15" i="12" s="1"/>
  <c r="V16" i="18"/>
  <c r="U15" i="12" s="1"/>
  <c r="U16" i="18"/>
  <c r="U14" i="18" s="1"/>
  <c r="T16" i="18"/>
  <c r="S16" i="18"/>
  <c r="S14" i="18" s="1"/>
  <c r="R16" i="18"/>
  <c r="Q15" i="12" s="1"/>
  <c r="Q16" i="18"/>
  <c r="Q14" i="18" s="1"/>
  <c r="O16" i="18"/>
  <c r="N16" i="18"/>
  <c r="M15" i="12" s="1"/>
  <c r="M16" i="18"/>
  <c r="M14" i="18" s="1"/>
  <c r="L16" i="18"/>
  <c r="L14" i="18" s="1"/>
  <c r="K16" i="18"/>
  <c r="J16" i="18"/>
  <c r="I15" i="12" s="1"/>
  <c r="I16" i="18"/>
  <c r="I14" i="18" s="1"/>
  <c r="H16" i="18"/>
  <c r="H14" i="18" s="1"/>
  <c r="G16" i="18"/>
  <c r="F16" i="18"/>
  <c r="E15" i="12" s="1"/>
  <c r="E16" i="18"/>
  <c r="E14" i="18" s="1"/>
  <c r="D15" i="18"/>
  <c r="AL19" i="14"/>
  <c r="AK19" i="14"/>
  <c r="AI19" i="14"/>
  <c r="AH19" i="14"/>
  <c r="AG19" i="14"/>
  <c r="AE19" i="14"/>
  <c r="AD19" i="14"/>
  <c r="AC19" i="14"/>
  <c r="AA19" i="14"/>
  <c r="Z19" i="14"/>
  <c r="Y19" i="14"/>
  <c r="W19" i="14"/>
  <c r="V19" i="14"/>
  <c r="U19" i="14"/>
  <c r="S19" i="14"/>
  <c r="R19" i="14"/>
  <c r="Q19" i="14"/>
  <c r="N19" i="14"/>
  <c r="M19" i="14"/>
  <c r="K19" i="14"/>
  <c r="J19" i="14"/>
  <c r="I19" i="14"/>
  <c r="G19" i="14"/>
  <c r="F19" i="14"/>
  <c r="E19" i="14"/>
  <c r="P52" i="17"/>
  <c r="P51" i="17"/>
  <c r="P50" i="17"/>
  <c r="P49" i="17"/>
  <c r="P48" i="17"/>
  <c r="P47" i="17"/>
  <c r="P46" i="17"/>
  <c r="P45" i="17"/>
  <c r="P44" i="17"/>
  <c r="P43" i="17"/>
  <c r="P42" i="17"/>
  <c r="P41" i="17"/>
  <c r="D41" i="17"/>
  <c r="P40" i="17"/>
  <c r="D40" i="17"/>
  <c r="AM33" i="17"/>
  <c r="AL19" i="13" s="1"/>
  <c r="AL33" i="17"/>
  <c r="AK19" i="13" s="1"/>
  <c r="AK33" i="17"/>
  <c r="AJ33" i="17"/>
  <c r="AI19" i="13" s="1"/>
  <c r="AI33" i="17"/>
  <c r="AH33" i="17"/>
  <c r="AG19" i="13" s="1"/>
  <c r="AG33" i="17"/>
  <c r="AF19" i="13" s="1"/>
  <c r="AF33" i="17"/>
  <c r="AE19" i="13" s="1"/>
  <c r="AE33" i="17"/>
  <c r="AD19" i="13" s="1"/>
  <c r="AD33" i="17"/>
  <c r="AC19" i="13" s="1"/>
  <c r="AC33" i="17"/>
  <c r="AB33" i="17"/>
  <c r="AA33" i="17"/>
  <c r="Z33" i="17"/>
  <c r="Y19" i="13" s="1"/>
  <c r="Y33" i="17"/>
  <c r="X19" i="13" s="1"/>
  <c r="X33" i="17"/>
  <c r="W19" i="13" s="1"/>
  <c r="W33" i="17"/>
  <c r="V19" i="13" s="1"/>
  <c r="V33" i="17"/>
  <c r="U19" i="13" s="1"/>
  <c r="U33" i="17"/>
  <c r="T33" i="17"/>
  <c r="S19" i="13" s="1"/>
  <c r="S33" i="17"/>
  <c r="R33" i="17"/>
  <c r="Q19" i="13" s="1"/>
  <c r="Q33" i="17"/>
  <c r="P19" i="13" s="1"/>
  <c r="P33" i="17"/>
  <c r="O19" i="13" s="1"/>
  <c r="O33" i="17"/>
  <c r="N19" i="13" s="1"/>
  <c r="N33" i="17"/>
  <c r="M19" i="13" s="1"/>
  <c r="M33" i="17"/>
  <c r="M14" i="17" s="1"/>
  <c r="L33" i="17"/>
  <c r="K33" i="17"/>
  <c r="J33" i="17"/>
  <c r="I19" i="13" s="1"/>
  <c r="I33" i="17"/>
  <c r="I14" i="17" s="1"/>
  <c r="H33" i="17"/>
  <c r="G19" i="13" s="1"/>
  <c r="G33" i="17"/>
  <c r="F19" i="13" s="1"/>
  <c r="F33" i="17"/>
  <c r="E19" i="13" s="1"/>
  <c r="E33" i="17"/>
  <c r="D33" i="17"/>
  <c r="C19" i="13" s="1"/>
  <c r="P32" i="17"/>
  <c r="D32" i="17"/>
  <c r="P31" i="17"/>
  <c r="D31" i="17"/>
  <c r="P30" i="17"/>
  <c r="D30" i="17"/>
  <c r="P29" i="17"/>
  <c r="D29" i="17"/>
  <c r="P28" i="17"/>
  <c r="D28" i="17"/>
  <c r="P27" i="17"/>
  <c r="D27" i="17"/>
  <c r="P26" i="17"/>
  <c r="D26" i="17"/>
  <c r="P25" i="17"/>
  <c r="D25" i="17"/>
  <c r="P24" i="17"/>
  <c r="D24" i="17"/>
  <c r="P23" i="17"/>
  <c r="D23" i="17"/>
  <c r="P22" i="17"/>
  <c r="D22" i="17"/>
  <c r="AM16" i="17"/>
  <c r="AL16" i="17"/>
  <c r="AL14" i="17" s="1"/>
  <c r="AK16" i="17"/>
  <c r="AJ19" i="12" s="1"/>
  <c r="AJ16" i="17"/>
  <c r="AI19" i="12" s="1"/>
  <c r="AI16" i="17"/>
  <c r="AH16" i="17"/>
  <c r="AH14" i="17" s="1"/>
  <c r="AG16" i="17"/>
  <c r="AF19" i="12" s="1"/>
  <c r="AF16" i="17"/>
  <c r="AE16" i="17"/>
  <c r="AD16" i="17"/>
  <c r="AD14" i="17" s="1"/>
  <c r="AC16" i="17"/>
  <c r="AB16" i="17"/>
  <c r="AA19" i="12" s="1"/>
  <c r="AA16" i="17"/>
  <c r="Z16" i="17"/>
  <c r="Z14" i="17" s="1"/>
  <c r="Y16" i="17"/>
  <c r="X19" i="12" s="1"/>
  <c r="X16" i="17"/>
  <c r="W16" i="17"/>
  <c r="V16" i="17"/>
  <c r="V14" i="17" s="1"/>
  <c r="U16" i="17"/>
  <c r="T19" i="12" s="1"/>
  <c r="T16" i="17"/>
  <c r="S19" i="12" s="1"/>
  <c r="S16" i="17"/>
  <c r="R16" i="17"/>
  <c r="Q16" i="17"/>
  <c r="P19" i="12" s="1"/>
  <c r="O16" i="17"/>
  <c r="N16" i="17"/>
  <c r="N14" i="17" s="1"/>
  <c r="M16" i="17"/>
  <c r="L16" i="17"/>
  <c r="K19" i="12" s="1"/>
  <c r="K16" i="17"/>
  <c r="J16" i="17"/>
  <c r="D16" i="17" s="1"/>
  <c r="C19" i="12" s="1"/>
  <c r="I16" i="17"/>
  <c r="H16" i="17"/>
  <c r="G19" i="12" s="1"/>
  <c r="G16" i="17"/>
  <c r="F16" i="17"/>
  <c r="F14" i="17" s="1"/>
  <c r="E16" i="17"/>
  <c r="D15" i="17"/>
  <c r="E14" i="17"/>
  <c r="P143" i="16"/>
  <c r="D143" i="16"/>
  <c r="P142" i="16"/>
  <c r="D142" i="16"/>
  <c r="P141" i="16"/>
  <c r="D141" i="16"/>
  <c r="P140" i="16"/>
  <c r="D140" i="16"/>
  <c r="P139" i="16"/>
  <c r="D139" i="16"/>
  <c r="P138" i="16"/>
  <c r="D138" i="16"/>
  <c r="P137" i="16"/>
  <c r="D137" i="16"/>
  <c r="P136" i="16"/>
  <c r="D136" i="16"/>
  <c r="P135" i="16"/>
  <c r="D135" i="16"/>
  <c r="P134" i="16"/>
  <c r="D134" i="16"/>
  <c r="P133" i="16"/>
  <c r="D133" i="16"/>
  <c r="P132" i="16"/>
  <c r="D132" i="16"/>
  <c r="P131" i="16"/>
  <c r="D131" i="16"/>
  <c r="P130" i="16"/>
  <c r="D130" i="16"/>
  <c r="P129" i="16"/>
  <c r="D129" i="16"/>
  <c r="P128" i="16"/>
  <c r="D128" i="16"/>
  <c r="P127" i="16"/>
  <c r="D127" i="16"/>
  <c r="P126" i="16"/>
  <c r="D126" i="16"/>
  <c r="P125" i="16"/>
  <c r="D125" i="16"/>
  <c r="P124" i="16"/>
  <c r="D124" i="16"/>
  <c r="P123" i="16"/>
  <c r="D123" i="16"/>
  <c r="P122" i="16"/>
  <c r="D122" i="16"/>
  <c r="P121" i="16"/>
  <c r="D121" i="16"/>
  <c r="P120" i="16"/>
  <c r="D120" i="16"/>
  <c r="P119" i="16"/>
  <c r="D119" i="16"/>
  <c r="P118" i="16"/>
  <c r="D118" i="16"/>
  <c r="P117" i="16"/>
  <c r="D117" i="16"/>
  <c r="P116" i="16"/>
  <c r="D116" i="16"/>
  <c r="P115" i="16"/>
  <c r="D115" i="16"/>
  <c r="P114" i="16"/>
  <c r="D114" i="16"/>
  <c r="P113" i="16"/>
  <c r="D113" i="16"/>
  <c r="AM54" i="16"/>
  <c r="AL20" i="14" s="1"/>
  <c r="AL54" i="16"/>
  <c r="AK54" i="16"/>
  <c r="AJ20" i="14" s="1"/>
  <c r="AJ54" i="16"/>
  <c r="AI20" i="14" s="1"/>
  <c r="AI54" i="16"/>
  <c r="AH20" i="14" s="1"/>
  <c r="AH54" i="16"/>
  <c r="AG54" i="16"/>
  <c r="AF20" i="14" s="1"/>
  <c r="AF54" i="16"/>
  <c r="AE20" i="14" s="1"/>
  <c r="AE54" i="16"/>
  <c r="AD20" i="14" s="1"/>
  <c r="AD54" i="16"/>
  <c r="AC20" i="14" s="1"/>
  <c r="AC54" i="16"/>
  <c r="AB20" i="14" s="1"/>
  <c r="AB54" i="16"/>
  <c r="AA20" i="14" s="1"/>
  <c r="AA54" i="16"/>
  <c r="Z20" i="14" s="1"/>
  <c r="Z54" i="16"/>
  <c r="Y20" i="14" s="1"/>
  <c r="Y54" i="16"/>
  <c r="X20" i="14" s="1"/>
  <c r="X54" i="16"/>
  <c r="W20" i="14" s="1"/>
  <c r="W54" i="16"/>
  <c r="V20" i="14" s="1"/>
  <c r="V54" i="16"/>
  <c r="U54" i="16"/>
  <c r="T20" i="14" s="1"/>
  <c r="T54" i="16"/>
  <c r="S20" i="14" s="1"/>
  <c r="S54" i="16"/>
  <c r="P54" i="16" s="1"/>
  <c r="O20" i="14" s="1"/>
  <c r="R54" i="16"/>
  <c r="Q54" i="16"/>
  <c r="P20" i="14" s="1"/>
  <c r="O54" i="16"/>
  <c r="N20" i="14" s="1"/>
  <c r="N54" i="16"/>
  <c r="M20" i="14" s="1"/>
  <c r="M54" i="16"/>
  <c r="L20" i="14" s="1"/>
  <c r="L54" i="16"/>
  <c r="K20" i="14" s="1"/>
  <c r="K54" i="16"/>
  <c r="J54" i="16"/>
  <c r="I20" i="14" s="1"/>
  <c r="I54" i="16"/>
  <c r="H54" i="16"/>
  <c r="G20" i="14" s="1"/>
  <c r="G54" i="16"/>
  <c r="F20" i="14" s="1"/>
  <c r="F54" i="16"/>
  <c r="E20" i="14" s="1"/>
  <c r="E54" i="16"/>
  <c r="D20" i="14" s="1"/>
  <c r="P53" i="16"/>
  <c r="P52" i="16"/>
  <c r="P51" i="16"/>
  <c r="P50" i="16"/>
  <c r="P49" i="16"/>
  <c r="P48" i="16"/>
  <c r="P47" i="16"/>
  <c r="P46" i="16"/>
  <c r="P45" i="16"/>
  <c r="P44" i="16"/>
  <c r="P43" i="16"/>
  <c r="P42" i="16"/>
  <c r="P41" i="16"/>
  <c r="D41" i="16"/>
  <c r="P40" i="16"/>
  <c r="D40" i="16"/>
  <c r="P39" i="16"/>
  <c r="D39" i="16"/>
  <c r="P38" i="16"/>
  <c r="D38" i="16"/>
  <c r="P37" i="16"/>
  <c r="D37" i="16"/>
  <c r="AM33" i="16"/>
  <c r="AL20" i="13" s="1"/>
  <c r="AL33" i="16"/>
  <c r="AK20" i="13" s="1"/>
  <c r="AK33" i="16"/>
  <c r="AJ33" i="16"/>
  <c r="AI20" i="13" s="1"/>
  <c r="AI33" i="16"/>
  <c r="AH20" i="13" s="1"/>
  <c r="AH33" i="16"/>
  <c r="AG20" i="13" s="1"/>
  <c r="AG33" i="16"/>
  <c r="AF20" i="13" s="1"/>
  <c r="AF33" i="16"/>
  <c r="AE20" i="13" s="1"/>
  <c r="AE33" i="16"/>
  <c r="AD20" i="13" s="1"/>
  <c r="AD33" i="16"/>
  <c r="AC20" i="13" s="1"/>
  <c r="AC33" i="16"/>
  <c r="AB33" i="16"/>
  <c r="AA20" i="13" s="1"/>
  <c r="AA33" i="16"/>
  <c r="Z20" i="13" s="1"/>
  <c r="Z33" i="16"/>
  <c r="Y20" i="13" s="1"/>
  <c r="Y33" i="16"/>
  <c r="X20" i="13" s="1"/>
  <c r="X33" i="16"/>
  <c r="W20" i="13" s="1"/>
  <c r="W33" i="16"/>
  <c r="V20" i="13" s="1"/>
  <c r="V33" i="16"/>
  <c r="U20" i="13" s="1"/>
  <c r="U33" i="16"/>
  <c r="T33" i="16"/>
  <c r="S20" i="13" s="1"/>
  <c r="S33" i="16"/>
  <c r="R20" i="13" s="1"/>
  <c r="R33" i="16"/>
  <c r="Q33" i="16"/>
  <c r="P20" i="13" s="1"/>
  <c r="O33" i="16"/>
  <c r="N20" i="13" s="1"/>
  <c r="N33" i="16"/>
  <c r="M20" i="13" s="1"/>
  <c r="M33" i="16"/>
  <c r="L33" i="16"/>
  <c r="K20" i="13" s="1"/>
  <c r="K33" i="16"/>
  <c r="J20" i="13" s="1"/>
  <c r="J33" i="16"/>
  <c r="D33" i="16" s="1"/>
  <c r="C20" i="13" s="1"/>
  <c r="I33" i="16"/>
  <c r="H20" i="13" s="1"/>
  <c r="H33" i="16"/>
  <c r="G20" i="13" s="1"/>
  <c r="G33" i="16"/>
  <c r="F20" i="13" s="1"/>
  <c r="F33" i="16"/>
  <c r="E20" i="13" s="1"/>
  <c r="E33" i="16"/>
  <c r="P32" i="16"/>
  <c r="D32" i="16"/>
  <c r="P31" i="16"/>
  <c r="D31" i="16"/>
  <c r="P30" i="16"/>
  <c r="D30" i="16"/>
  <c r="P29" i="16"/>
  <c r="D29" i="16"/>
  <c r="P28" i="16"/>
  <c r="D28" i="16"/>
  <c r="P27" i="16"/>
  <c r="D27" i="16"/>
  <c r="P26" i="16"/>
  <c r="D26" i="16"/>
  <c r="P25" i="16"/>
  <c r="D25" i="16"/>
  <c r="P24" i="16"/>
  <c r="D24" i="16"/>
  <c r="P23" i="16"/>
  <c r="D23" i="16"/>
  <c r="P22" i="16"/>
  <c r="D22" i="16"/>
  <c r="P21" i="16"/>
  <c r="D21" i="16"/>
  <c r="P20" i="16"/>
  <c r="D20" i="16"/>
  <c r="P19" i="16"/>
  <c r="D19" i="16"/>
  <c r="D18" i="16"/>
  <c r="AM16" i="16"/>
  <c r="AL16" i="16"/>
  <c r="AK16" i="16"/>
  <c r="AK14" i="16" s="1"/>
  <c r="AJ16" i="16"/>
  <c r="AI20" i="12" s="1"/>
  <c r="AI16" i="16"/>
  <c r="AH16" i="16"/>
  <c r="AG16" i="16"/>
  <c r="AF20" i="12" s="1"/>
  <c r="AF16" i="16"/>
  <c r="AE20" i="12" s="1"/>
  <c r="AE16" i="16"/>
  <c r="AD16" i="16"/>
  <c r="AC16" i="16"/>
  <c r="AC14" i="16" s="1"/>
  <c r="AB16" i="16"/>
  <c r="AA20" i="12" s="1"/>
  <c r="AA16" i="16"/>
  <c r="Z16" i="16"/>
  <c r="Y16" i="16"/>
  <c r="X20" i="12" s="1"/>
  <c r="X16" i="16"/>
  <c r="W20" i="12" s="1"/>
  <c r="W16" i="16"/>
  <c r="V16" i="16"/>
  <c r="U16" i="16"/>
  <c r="U14" i="16" s="1"/>
  <c r="T16" i="16"/>
  <c r="S20" i="12" s="1"/>
  <c r="S16" i="16"/>
  <c r="R16" i="16"/>
  <c r="Q16" i="16"/>
  <c r="P20" i="12" s="1"/>
  <c r="O16" i="16"/>
  <c r="N16" i="16"/>
  <c r="M16" i="16"/>
  <c r="L20" i="12" s="1"/>
  <c r="L16" i="16"/>
  <c r="K20" i="12" s="1"/>
  <c r="K16" i="16"/>
  <c r="J16" i="16"/>
  <c r="I20" i="12" s="1"/>
  <c r="I16" i="16"/>
  <c r="H20" i="12" s="1"/>
  <c r="H16" i="16"/>
  <c r="G20" i="12" s="1"/>
  <c r="G16" i="16"/>
  <c r="F16" i="16"/>
  <c r="E16" i="16"/>
  <c r="D20" i="12" s="1"/>
  <c r="D15" i="16"/>
  <c r="C20" i="11" s="1"/>
  <c r="M14" i="16"/>
  <c r="E14" i="16"/>
  <c r="Q65" i="15"/>
  <c r="Q65" i="13"/>
  <c r="Q65" i="12"/>
  <c r="P132" i="10"/>
  <c r="D132" i="10"/>
  <c r="P131" i="10"/>
  <c r="D131" i="10"/>
  <c r="P130" i="10"/>
  <c r="D130" i="10"/>
  <c r="P129" i="10"/>
  <c r="D129" i="10"/>
  <c r="P128" i="10"/>
  <c r="D128" i="10"/>
  <c r="P127" i="10"/>
  <c r="D127" i="10"/>
  <c r="P126" i="10"/>
  <c r="D126" i="10"/>
  <c r="P125" i="10"/>
  <c r="D125" i="10"/>
  <c r="P124" i="10"/>
  <c r="D124" i="10"/>
  <c r="P123" i="10"/>
  <c r="D123" i="10"/>
  <c r="P122" i="10"/>
  <c r="D122" i="10"/>
  <c r="P121" i="10"/>
  <c r="D121" i="10"/>
  <c r="P120" i="10"/>
  <c r="D120" i="10"/>
  <c r="P119" i="10"/>
  <c r="D119" i="10"/>
  <c r="P118" i="10"/>
  <c r="D118" i="10"/>
  <c r="P117" i="10"/>
  <c r="D117" i="10"/>
  <c r="P116" i="10"/>
  <c r="D116" i="10"/>
  <c r="P115" i="10"/>
  <c r="D115" i="10"/>
  <c r="P114" i="10"/>
  <c r="D114" i="10"/>
  <c r="P113" i="10"/>
  <c r="D113" i="10"/>
  <c r="P112" i="10"/>
  <c r="D112" i="10"/>
  <c r="P111" i="10"/>
  <c r="D111" i="10"/>
  <c r="P110" i="10"/>
  <c r="D110" i="10"/>
  <c r="P109" i="10"/>
  <c r="D109" i="10"/>
  <c r="P108" i="10"/>
  <c r="D108" i="10"/>
  <c r="P107" i="10"/>
  <c r="D107" i="10"/>
  <c r="P106" i="10"/>
  <c r="D106" i="10"/>
  <c r="P105" i="10"/>
  <c r="D105" i="10"/>
  <c r="P104" i="10"/>
  <c r="D104" i="10"/>
  <c r="P103" i="10"/>
  <c r="D103" i="10"/>
  <c r="P102" i="10"/>
  <c r="D102" i="10"/>
  <c r="P101" i="10"/>
  <c r="D101" i="10"/>
  <c r="P100" i="10"/>
  <c r="D100" i="10"/>
  <c r="P99" i="10"/>
  <c r="D99" i="10"/>
  <c r="P98" i="10"/>
  <c r="D98" i="10"/>
  <c r="P97" i="10"/>
  <c r="D97" i="10"/>
  <c r="P96" i="10"/>
  <c r="D96" i="10"/>
  <c r="P95" i="10"/>
  <c r="D95" i="10"/>
  <c r="P94" i="10"/>
  <c r="D94" i="10"/>
  <c r="P93" i="10"/>
  <c r="D93" i="10"/>
  <c r="P92" i="10"/>
  <c r="D92" i="10"/>
  <c r="P91" i="10"/>
  <c r="D91" i="10"/>
  <c r="P90" i="10"/>
  <c r="D90" i="10"/>
  <c r="P89" i="10"/>
  <c r="D89" i="10"/>
  <c r="P88" i="10"/>
  <c r="D88" i="10"/>
  <c r="P87" i="10"/>
  <c r="D87" i="10"/>
  <c r="P86" i="10"/>
  <c r="D86" i="10"/>
  <c r="P85" i="10"/>
  <c r="D85" i="10"/>
  <c r="P84" i="10"/>
  <c r="D84" i="10"/>
  <c r="P83" i="10"/>
  <c r="D83" i="10"/>
  <c r="P82" i="10"/>
  <c r="D82" i="10"/>
  <c r="P81" i="10"/>
  <c r="D81" i="10"/>
  <c r="P80" i="10"/>
  <c r="D80" i="10"/>
  <c r="P79" i="10"/>
  <c r="D79" i="10"/>
  <c r="P78" i="10"/>
  <c r="D78" i="10"/>
  <c r="P77" i="10"/>
  <c r="D77" i="10"/>
  <c r="P76" i="10"/>
  <c r="D76" i="10"/>
  <c r="P75" i="10"/>
  <c r="D75" i="10"/>
  <c r="P74" i="10"/>
  <c r="D74" i="10"/>
  <c r="P73" i="10"/>
  <c r="D73" i="10"/>
  <c r="P72" i="10"/>
  <c r="D72" i="10"/>
  <c r="P71" i="10"/>
  <c r="D71" i="10"/>
  <c r="P70" i="10"/>
  <c r="D70" i="10"/>
  <c r="P69" i="10"/>
  <c r="D69" i="10"/>
  <c r="P68" i="10"/>
  <c r="D68" i="10"/>
  <c r="P67" i="10"/>
  <c r="D67" i="10"/>
  <c r="P66" i="10"/>
  <c r="D66" i="10"/>
  <c r="P65" i="10"/>
  <c r="D65" i="10"/>
  <c r="P64" i="10"/>
  <c r="D64" i="10"/>
  <c r="P63" i="10"/>
  <c r="D63" i="10"/>
  <c r="P62" i="10"/>
  <c r="D62" i="10"/>
  <c r="P61" i="10"/>
  <c r="D61" i="10"/>
  <c r="P60" i="10"/>
  <c r="D60" i="10"/>
  <c r="P59" i="10"/>
  <c r="D59" i="10"/>
  <c r="P58" i="10"/>
  <c r="D58" i="10"/>
  <c r="P57" i="10"/>
  <c r="D57" i="10"/>
  <c r="P56" i="10"/>
  <c r="D56" i="10"/>
  <c r="P55" i="10"/>
  <c r="D55" i="10"/>
  <c r="P42" i="10"/>
  <c r="D42" i="10"/>
  <c r="P41" i="10"/>
  <c r="D41" i="10"/>
  <c r="P40" i="10"/>
  <c r="D40" i="10"/>
  <c r="P39" i="10"/>
  <c r="D39" i="10"/>
  <c r="P38" i="10"/>
  <c r="D38" i="10"/>
  <c r="P37" i="10"/>
  <c r="D37" i="10"/>
  <c r="P36" i="10"/>
  <c r="D36" i="10"/>
  <c r="P35" i="10"/>
  <c r="D35" i="10"/>
  <c r="P34" i="10"/>
  <c r="D34" i="10"/>
  <c r="P19" i="10"/>
  <c r="D19" i="10"/>
  <c r="P18" i="10"/>
  <c r="D18" i="10"/>
  <c r="P15" i="10"/>
  <c r="D15" i="10"/>
  <c r="P143" i="10"/>
  <c r="D143" i="10"/>
  <c r="P142" i="10"/>
  <c r="D142" i="10"/>
  <c r="P141" i="10"/>
  <c r="D141" i="10"/>
  <c r="P140" i="10"/>
  <c r="D140" i="10"/>
  <c r="P139" i="10"/>
  <c r="D139" i="10"/>
  <c r="P138" i="10"/>
  <c r="D138" i="10"/>
  <c r="P137" i="10"/>
  <c r="D137" i="10"/>
  <c r="P136" i="10"/>
  <c r="D136" i="10"/>
  <c r="P135" i="10"/>
  <c r="D135" i="10"/>
  <c r="P134" i="10"/>
  <c r="D134" i="10"/>
  <c r="P133" i="10"/>
  <c r="D133" i="10"/>
  <c r="AM54" i="10"/>
  <c r="AL54" i="14" s="1"/>
  <c r="AL54" i="10"/>
  <c r="AK54" i="10"/>
  <c r="AJ54" i="14" s="1"/>
  <c r="AJ54" i="10"/>
  <c r="AI54" i="14" s="1"/>
  <c r="AI54" i="10"/>
  <c r="AH54" i="14" s="1"/>
  <c r="AH54" i="10"/>
  <c r="AG54" i="10"/>
  <c r="AF54" i="14" s="1"/>
  <c r="AF54" i="10"/>
  <c r="AE54" i="14" s="1"/>
  <c r="AE54" i="10"/>
  <c r="AD54" i="14" s="1"/>
  <c r="AD54" i="10"/>
  <c r="AC54" i="10"/>
  <c r="AB54" i="14" s="1"/>
  <c r="AB54" i="10"/>
  <c r="AA54" i="14" s="1"/>
  <c r="AA54" i="10"/>
  <c r="Z54" i="14" s="1"/>
  <c r="Z54" i="10"/>
  <c r="Y54" i="10"/>
  <c r="X54" i="14" s="1"/>
  <c r="X54" i="10"/>
  <c r="W54" i="14" s="1"/>
  <c r="W54" i="10"/>
  <c r="V54" i="14" s="1"/>
  <c r="V54" i="10"/>
  <c r="U54" i="10"/>
  <c r="T54" i="14" s="1"/>
  <c r="T54" i="10"/>
  <c r="S54" i="14" s="1"/>
  <c r="S54" i="10"/>
  <c r="P54" i="10" s="1"/>
  <c r="O54" i="14" s="1"/>
  <c r="R54" i="10"/>
  <c r="Q54" i="10"/>
  <c r="P54" i="14" s="1"/>
  <c r="O54" i="10"/>
  <c r="O14" i="10" s="1"/>
  <c r="N54" i="10"/>
  <c r="M54" i="10"/>
  <c r="L54" i="14" s="1"/>
  <c r="L54" i="10"/>
  <c r="K54" i="14" s="1"/>
  <c r="K54" i="10"/>
  <c r="K14" i="10" s="1"/>
  <c r="J54" i="10"/>
  <c r="I54" i="10"/>
  <c r="H54" i="14" s="1"/>
  <c r="H54" i="10"/>
  <c r="G54" i="14" s="1"/>
  <c r="G54" i="10"/>
  <c r="G14" i="10" s="1"/>
  <c r="F54" i="10"/>
  <c r="E54" i="10"/>
  <c r="D54" i="14" s="1"/>
  <c r="P53" i="10"/>
  <c r="P52" i="10"/>
  <c r="P51" i="10"/>
  <c r="P50" i="10"/>
  <c r="P49" i="10"/>
  <c r="P48" i="10"/>
  <c r="P47" i="10"/>
  <c r="P46" i="10"/>
  <c r="P45" i="10"/>
  <c r="P44" i="10"/>
  <c r="P43" i="10"/>
  <c r="AM33" i="10"/>
  <c r="AL54" i="13" s="1"/>
  <c r="AL33" i="10"/>
  <c r="AK54" i="13" s="1"/>
  <c r="AK33" i="10"/>
  <c r="AJ54" i="13" s="1"/>
  <c r="AJ33" i="10"/>
  <c r="AI33" i="10"/>
  <c r="AH54" i="13" s="1"/>
  <c r="AH33" i="10"/>
  <c r="AG54" i="13" s="1"/>
  <c r="AG33" i="10"/>
  <c r="AF54" i="13" s="1"/>
  <c r="AF33" i="10"/>
  <c r="AE33" i="10"/>
  <c r="AD54" i="13" s="1"/>
  <c r="AD33" i="10"/>
  <c r="AC54" i="13" s="1"/>
  <c r="AC33" i="10"/>
  <c r="AB54" i="13" s="1"/>
  <c r="AB33" i="10"/>
  <c r="AA33" i="10"/>
  <c r="Z54" i="13" s="1"/>
  <c r="Z33" i="10"/>
  <c r="Y54" i="13" s="1"/>
  <c r="Y33" i="10"/>
  <c r="X54" i="13" s="1"/>
  <c r="X33" i="10"/>
  <c r="W33" i="10"/>
  <c r="V54" i="13" s="1"/>
  <c r="V33" i="10"/>
  <c r="U54" i="13" s="1"/>
  <c r="U33" i="10"/>
  <c r="T54" i="13" s="1"/>
  <c r="T33" i="10"/>
  <c r="S33" i="10"/>
  <c r="R54" i="13" s="1"/>
  <c r="R33" i="10"/>
  <c r="Q54" i="13" s="1"/>
  <c r="Q33" i="10"/>
  <c r="P54" i="13" s="1"/>
  <c r="O33" i="10"/>
  <c r="N33" i="10"/>
  <c r="M54" i="13" s="1"/>
  <c r="M33" i="10"/>
  <c r="L33" i="10"/>
  <c r="K54" i="13" s="1"/>
  <c r="K33" i="10"/>
  <c r="J33" i="10"/>
  <c r="I54" i="13" s="1"/>
  <c r="I33" i="10"/>
  <c r="H33" i="10"/>
  <c r="G54" i="13" s="1"/>
  <c r="G33" i="10"/>
  <c r="F33" i="10"/>
  <c r="E54" i="13" s="1"/>
  <c r="E33" i="10"/>
  <c r="D33" i="10"/>
  <c r="C54" i="13" s="1"/>
  <c r="P32" i="10"/>
  <c r="D32" i="10"/>
  <c r="P31" i="10"/>
  <c r="D31" i="10"/>
  <c r="P30" i="10"/>
  <c r="D30" i="10"/>
  <c r="P29" i="10"/>
  <c r="D29" i="10"/>
  <c r="P28" i="10"/>
  <c r="D28" i="10"/>
  <c r="P27" i="10"/>
  <c r="D27" i="10"/>
  <c r="P26" i="10"/>
  <c r="D26" i="10"/>
  <c r="P25" i="10"/>
  <c r="D25" i="10"/>
  <c r="P24" i="10"/>
  <c r="D24" i="10"/>
  <c r="P23" i="10"/>
  <c r="D23" i="10"/>
  <c r="P22" i="10"/>
  <c r="D22" i="10"/>
  <c r="P21" i="10"/>
  <c r="D21" i="10"/>
  <c r="P20" i="10"/>
  <c r="D20" i="10"/>
  <c r="AM16" i="10"/>
  <c r="AM14" i="10" s="1"/>
  <c r="AL16" i="10"/>
  <c r="AL14" i="10" s="1"/>
  <c r="AK16" i="10"/>
  <c r="AJ54" i="12" s="1"/>
  <c r="AJ16" i="10"/>
  <c r="AI54" i="12" s="1"/>
  <c r="AI16" i="10"/>
  <c r="AI14" i="10" s="1"/>
  <c r="AH16" i="10"/>
  <c r="AH14" i="10" s="1"/>
  <c r="AG16" i="10"/>
  <c r="AF54" i="12" s="1"/>
  <c r="AF16" i="10"/>
  <c r="AE54" i="12" s="1"/>
  <c r="AE16" i="10"/>
  <c r="AE14" i="10" s="1"/>
  <c r="AD16" i="10"/>
  <c r="AD14" i="10" s="1"/>
  <c r="AC16" i="10"/>
  <c r="AB54" i="12" s="1"/>
  <c r="AB16" i="10"/>
  <c r="AA54" i="12" s="1"/>
  <c r="AA16" i="10"/>
  <c r="AA14" i="10" s="1"/>
  <c r="Z16" i="10"/>
  <c r="Z14" i="10" s="1"/>
  <c r="Y16" i="10"/>
  <c r="X54" i="12" s="1"/>
  <c r="X16" i="10"/>
  <c r="W54" i="12" s="1"/>
  <c r="W16" i="10"/>
  <c r="W14" i="10" s="1"/>
  <c r="V16" i="10"/>
  <c r="V14" i="10" s="1"/>
  <c r="U16" i="10"/>
  <c r="T54" i="12" s="1"/>
  <c r="T16" i="10"/>
  <c r="S54" i="12" s="1"/>
  <c r="S16" i="10"/>
  <c r="S14" i="10" s="1"/>
  <c r="R16" i="10"/>
  <c r="Q54" i="12" s="1"/>
  <c r="Q16" i="10"/>
  <c r="P54" i="12" s="1"/>
  <c r="O16" i="10"/>
  <c r="N16" i="10"/>
  <c r="M16" i="10"/>
  <c r="L54" i="12" s="1"/>
  <c r="L16" i="10"/>
  <c r="K54" i="12" s="1"/>
  <c r="K16" i="10"/>
  <c r="J16" i="10"/>
  <c r="I16" i="10"/>
  <c r="H54" i="12" s="1"/>
  <c r="H16" i="10"/>
  <c r="G54" i="12" s="1"/>
  <c r="G16" i="10"/>
  <c r="F16" i="10"/>
  <c r="E16" i="10"/>
  <c r="D54" i="12" s="1"/>
  <c r="D16" i="10"/>
  <c r="C54" i="12" s="1"/>
  <c r="AJ14" i="10"/>
  <c r="T14" i="10"/>
  <c r="O14" i="48" l="1"/>
  <c r="E14" i="48"/>
  <c r="I14" i="48"/>
  <c r="M14" i="48"/>
  <c r="V14" i="48"/>
  <c r="AD14" i="48"/>
  <c r="AL14" i="48"/>
  <c r="P33" i="48"/>
  <c r="O39" i="13" s="1"/>
  <c r="W14" i="48"/>
  <c r="N39" i="14"/>
  <c r="K14" i="48"/>
  <c r="T14" i="48"/>
  <c r="X14" i="48"/>
  <c r="AB14" i="48"/>
  <c r="AF14" i="48"/>
  <c r="AJ14" i="48"/>
  <c r="P54" i="48"/>
  <c r="O39" i="14" s="1"/>
  <c r="H14" i="48"/>
  <c r="L14" i="48"/>
  <c r="Q14" i="48"/>
  <c r="U14" i="48"/>
  <c r="Y14" i="48"/>
  <c r="AC14" i="48"/>
  <c r="AG14" i="48"/>
  <c r="AK14" i="48"/>
  <c r="D54" i="48"/>
  <c r="C39" i="14" s="1"/>
  <c r="AG39" i="15"/>
  <c r="Q39" i="13"/>
  <c r="Q39" i="15" s="1"/>
  <c r="AL39" i="15"/>
  <c r="D33" i="48"/>
  <c r="C39" i="13" s="1"/>
  <c r="AE14" i="48"/>
  <c r="W39" i="15"/>
  <c r="G14" i="48"/>
  <c r="K39" i="12"/>
  <c r="K39" i="15" s="1"/>
  <c r="AM14" i="48"/>
  <c r="AA39" i="12"/>
  <c r="AA39" i="15" s="1"/>
  <c r="G39" i="12"/>
  <c r="G39" i="15" s="1"/>
  <c r="AI39" i="15"/>
  <c r="S39" i="15"/>
  <c r="J14" i="48"/>
  <c r="R14" i="48"/>
  <c r="Z14" i="48"/>
  <c r="AH14" i="48"/>
  <c r="AH39" i="12"/>
  <c r="Z39" i="12"/>
  <c r="Z39" i="15" s="1"/>
  <c r="R39" i="12"/>
  <c r="R39" i="15" s="1"/>
  <c r="J39" i="12"/>
  <c r="J39" i="15" s="1"/>
  <c r="D16" i="48"/>
  <c r="C39" i="12" s="1"/>
  <c r="P16" i="48"/>
  <c r="O39" i="12" s="1"/>
  <c r="AK39" i="12"/>
  <c r="AK39" i="15" s="1"/>
  <c r="AC39" i="12"/>
  <c r="U39" i="12"/>
  <c r="M39" i="12"/>
  <c r="M39" i="15" s="1"/>
  <c r="E39" i="12"/>
  <c r="E39" i="15" s="1"/>
  <c r="AC39" i="15"/>
  <c r="Y39" i="15"/>
  <c r="U39" i="15"/>
  <c r="I39" i="15"/>
  <c r="AJ39" i="12"/>
  <c r="AF39" i="12"/>
  <c r="AF39" i="15" s="1"/>
  <c r="AB39" i="12"/>
  <c r="AB39" i="15" s="1"/>
  <c r="X39" i="12"/>
  <c r="X39" i="15" s="1"/>
  <c r="T39" i="12"/>
  <c r="T39" i="15" s="1"/>
  <c r="P39" i="12"/>
  <c r="L39" i="12"/>
  <c r="L39" i="15" s="1"/>
  <c r="H39" i="12"/>
  <c r="H39" i="15" s="1"/>
  <c r="D39" i="12"/>
  <c r="D39" i="15" s="1"/>
  <c r="AE39" i="15"/>
  <c r="C39" i="15"/>
  <c r="AJ39" i="15"/>
  <c r="P39" i="15"/>
  <c r="L56" i="12"/>
  <c r="E14" i="31"/>
  <c r="F14" i="31"/>
  <c r="D16" i="31"/>
  <c r="C56" i="12" s="1"/>
  <c r="N14" i="31"/>
  <c r="P56" i="14"/>
  <c r="P56" i="15" s="1"/>
  <c r="D56" i="14"/>
  <c r="D56" i="15" s="1"/>
  <c r="H14" i="31"/>
  <c r="Q14" i="31"/>
  <c r="G14" i="31"/>
  <c r="K14" i="31"/>
  <c r="O14" i="31"/>
  <c r="D33" i="31"/>
  <c r="C56" i="13" s="1"/>
  <c r="P33" i="31"/>
  <c r="O56" i="13" s="1"/>
  <c r="O56" i="15" s="1"/>
  <c r="H56" i="12"/>
  <c r="H56" i="15" s="1"/>
  <c r="AI56" i="12"/>
  <c r="AI56" i="15" s="1"/>
  <c r="AA56" i="12"/>
  <c r="AA56" i="15" s="1"/>
  <c r="S56" i="12"/>
  <c r="S56" i="15" s="1"/>
  <c r="AF56" i="15"/>
  <c r="AL56" i="12"/>
  <c r="AL56" i="15" s="1"/>
  <c r="AH56" i="12"/>
  <c r="AD56" i="12"/>
  <c r="AD56" i="15" s="1"/>
  <c r="Z56" i="12"/>
  <c r="Z56" i="15" s="1"/>
  <c r="V56" i="12"/>
  <c r="V56" i="15" s="1"/>
  <c r="R56" i="12"/>
  <c r="R56" i="15" s="1"/>
  <c r="N56" i="12"/>
  <c r="J56" i="12"/>
  <c r="J56" i="15" s="1"/>
  <c r="F56" i="12"/>
  <c r="C56" i="15"/>
  <c r="P16" i="31"/>
  <c r="O56" i="12" s="1"/>
  <c r="AK56" i="12"/>
  <c r="AK56" i="15" s="1"/>
  <c r="AG56" i="12"/>
  <c r="AC56" i="12"/>
  <c r="AC56" i="15" s="1"/>
  <c r="Y56" i="12"/>
  <c r="Y56" i="15" s="1"/>
  <c r="U56" i="12"/>
  <c r="U56" i="15" s="1"/>
  <c r="Q56" i="12"/>
  <c r="Q56" i="15" s="1"/>
  <c r="M56" i="12"/>
  <c r="M56" i="15" s="1"/>
  <c r="I56" i="12"/>
  <c r="I56" i="15" s="1"/>
  <c r="E56" i="12"/>
  <c r="E56" i="15" s="1"/>
  <c r="W14" i="29"/>
  <c r="P54" i="32"/>
  <c r="O55" i="14" s="1"/>
  <c r="D33" i="32"/>
  <c r="C55" i="13" s="1"/>
  <c r="Z14" i="32"/>
  <c r="AL14" i="32"/>
  <c r="F14" i="32"/>
  <c r="N14" i="32"/>
  <c r="AA14" i="32"/>
  <c r="AI14" i="32"/>
  <c r="R55" i="12"/>
  <c r="R55" i="15" s="1"/>
  <c r="D16" i="32"/>
  <c r="C55" i="12" s="1"/>
  <c r="P16" i="32"/>
  <c r="O55" i="12" s="1"/>
  <c r="AD14" i="32"/>
  <c r="H14" i="34"/>
  <c r="L14" i="34"/>
  <c r="Q14" i="34"/>
  <c r="U14" i="34"/>
  <c r="Y14" i="34"/>
  <c r="AC14" i="34"/>
  <c r="AG14" i="34"/>
  <c r="AK14" i="34"/>
  <c r="D33" i="34"/>
  <c r="C53" i="13" s="1"/>
  <c r="E14" i="34"/>
  <c r="I14" i="34"/>
  <c r="M14" i="34"/>
  <c r="AB53" i="12"/>
  <c r="Z14" i="34"/>
  <c r="X53" i="12"/>
  <c r="H53" i="12"/>
  <c r="R14" i="34"/>
  <c r="AJ53" i="12"/>
  <c r="T53" i="12"/>
  <c r="D53" i="12"/>
  <c r="D53" i="15" s="1"/>
  <c r="AA14" i="35"/>
  <c r="S14" i="35"/>
  <c r="AM14" i="35"/>
  <c r="AI14" i="35"/>
  <c r="O14" i="35"/>
  <c r="AE14" i="35"/>
  <c r="W14" i="35"/>
  <c r="N50" i="13"/>
  <c r="K14" i="33"/>
  <c r="T14" i="33"/>
  <c r="X14" i="33"/>
  <c r="AB14" i="33"/>
  <c r="AF14" i="33"/>
  <c r="AJ14" i="33"/>
  <c r="V14" i="33"/>
  <c r="G14" i="33"/>
  <c r="AI14" i="33"/>
  <c r="D54" i="40"/>
  <c r="C46" i="14" s="1"/>
  <c r="E14" i="40"/>
  <c r="I14" i="40"/>
  <c r="M14" i="40"/>
  <c r="R14" i="40"/>
  <c r="Z14" i="40"/>
  <c r="AH14" i="40"/>
  <c r="G14" i="40"/>
  <c r="N14" i="40"/>
  <c r="AE14" i="40"/>
  <c r="AM14" i="40"/>
  <c r="AD14" i="40"/>
  <c r="D33" i="36"/>
  <c r="C45" i="13" s="1"/>
  <c r="H14" i="36"/>
  <c r="L14" i="36"/>
  <c r="Q14" i="36"/>
  <c r="U14" i="36"/>
  <c r="Y14" i="36"/>
  <c r="AC14" i="36"/>
  <c r="AG14" i="36"/>
  <c r="AK14" i="36"/>
  <c r="P16" i="36"/>
  <c r="O45" i="12" s="1"/>
  <c r="D33" i="39"/>
  <c r="C44" i="13" s="1"/>
  <c r="L14" i="39"/>
  <c r="AC14" i="39"/>
  <c r="T14" i="39"/>
  <c r="AC44" i="12"/>
  <c r="AB14" i="39"/>
  <c r="D16" i="39"/>
  <c r="C44" i="12" s="1"/>
  <c r="Y44" i="12"/>
  <c r="D54" i="37"/>
  <c r="C43" i="14" s="1"/>
  <c r="AB14" i="37"/>
  <c r="P54" i="37"/>
  <c r="O43" i="14" s="1"/>
  <c r="P33" i="37"/>
  <c r="O43" i="13" s="1"/>
  <c r="AE43" i="12"/>
  <c r="W43" i="12"/>
  <c r="Y14" i="37"/>
  <c r="T14" i="37"/>
  <c r="P16" i="37"/>
  <c r="O43" i="12" s="1"/>
  <c r="T14" i="38"/>
  <c r="E14" i="38"/>
  <c r="G14" i="47"/>
  <c r="P33" i="46"/>
  <c r="O38" i="13" s="1"/>
  <c r="P16" i="46"/>
  <c r="O38" i="12" s="1"/>
  <c r="V14" i="46"/>
  <c r="D16" i="46"/>
  <c r="C38" i="12" s="1"/>
  <c r="T14" i="45"/>
  <c r="AJ14" i="45"/>
  <c r="AB37" i="14"/>
  <c r="AB37" i="15" s="1"/>
  <c r="J37" i="14"/>
  <c r="AB14" i="45"/>
  <c r="L14" i="45"/>
  <c r="P54" i="45"/>
  <c r="O37" i="14" s="1"/>
  <c r="Q14" i="45"/>
  <c r="AG14" i="45"/>
  <c r="U14" i="45"/>
  <c r="H14" i="45"/>
  <c r="M14" i="45"/>
  <c r="AG37" i="12"/>
  <c r="AG37" i="15" s="1"/>
  <c r="Y37" i="12"/>
  <c r="Y37" i="15" s="1"/>
  <c r="X14" i="45"/>
  <c r="AK37" i="12"/>
  <c r="AC37" i="12"/>
  <c r="AC37" i="15" s="1"/>
  <c r="U37" i="12"/>
  <c r="M37" i="12"/>
  <c r="E37" i="12"/>
  <c r="X14" i="44"/>
  <c r="AB14" i="44"/>
  <c r="AF14" i="44"/>
  <c r="AJ14" i="44"/>
  <c r="M36" i="13"/>
  <c r="D16" i="44"/>
  <c r="C36" i="12" s="1"/>
  <c r="P16" i="44"/>
  <c r="O36" i="12" s="1"/>
  <c r="S14" i="44"/>
  <c r="W14" i="44"/>
  <c r="AE14" i="44"/>
  <c r="AI14" i="44"/>
  <c r="AM14" i="44"/>
  <c r="AA14" i="44"/>
  <c r="O14" i="44"/>
  <c r="P33" i="43"/>
  <c r="O35" i="13" s="1"/>
  <c r="P16" i="43"/>
  <c r="O35" i="12" s="1"/>
  <c r="Y14" i="43"/>
  <c r="AA35" i="12"/>
  <c r="G35" i="12"/>
  <c r="AH14" i="42"/>
  <c r="N14" i="42"/>
  <c r="W14" i="42"/>
  <c r="AM14" i="42"/>
  <c r="E34" i="12"/>
  <c r="AB14" i="42"/>
  <c r="AD14" i="42"/>
  <c r="AK34" i="12"/>
  <c r="U34" i="12"/>
  <c r="U34" i="15" s="1"/>
  <c r="I34" i="12"/>
  <c r="D54" i="41"/>
  <c r="C33" i="14" s="1"/>
  <c r="P54" i="41"/>
  <c r="O33" i="14" s="1"/>
  <c r="X14" i="41"/>
  <c r="AB14" i="41"/>
  <c r="G14" i="41"/>
  <c r="K14" i="41"/>
  <c r="O14" i="41"/>
  <c r="D33" i="41"/>
  <c r="C33" i="13" s="1"/>
  <c r="C33" i="15" s="1"/>
  <c r="P33" i="41"/>
  <c r="O33" i="13" s="1"/>
  <c r="I14" i="41"/>
  <c r="E14" i="41"/>
  <c r="AA33" i="12"/>
  <c r="AA33" i="15" s="1"/>
  <c r="R14" i="41"/>
  <c r="AG33" i="12"/>
  <c r="Y33" i="12"/>
  <c r="D16" i="41"/>
  <c r="C33" i="12" s="1"/>
  <c r="H14" i="41"/>
  <c r="AK33" i="12"/>
  <c r="AC33" i="12"/>
  <c r="U33" i="12"/>
  <c r="U33" i="15" s="1"/>
  <c r="F31" i="13"/>
  <c r="O14" i="30"/>
  <c r="K14" i="30"/>
  <c r="T14" i="30"/>
  <c r="X14" i="30"/>
  <c r="AB14" i="30"/>
  <c r="AF14" i="30"/>
  <c r="AJ14" i="30"/>
  <c r="P33" i="30"/>
  <c r="O31" i="13" s="1"/>
  <c r="AD31" i="13"/>
  <c r="V31" i="13"/>
  <c r="G31" i="12"/>
  <c r="AE31" i="12"/>
  <c r="K31" i="12"/>
  <c r="K31" i="15" s="1"/>
  <c r="N14" i="29"/>
  <c r="P33" i="29"/>
  <c r="O30" i="13" s="1"/>
  <c r="P16" i="29"/>
  <c r="O30" i="12" s="1"/>
  <c r="AC30" i="12"/>
  <c r="D16" i="29"/>
  <c r="C30" i="12" s="1"/>
  <c r="R29" i="13"/>
  <c r="N14" i="28"/>
  <c r="AM14" i="28"/>
  <c r="V14" i="28"/>
  <c r="W14" i="28"/>
  <c r="D16" i="28"/>
  <c r="C29" i="12" s="1"/>
  <c r="P16" i="28"/>
  <c r="O29" i="12" s="1"/>
  <c r="G14" i="28"/>
  <c r="O14" i="28"/>
  <c r="Z29" i="12"/>
  <c r="Z29" i="15" s="1"/>
  <c r="F14" i="28"/>
  <c r="AL14" i="28"/>
  <c r="I27" i="14"/>
  <c r="N14" i="27"/>
  <c r="G14" i="27"/>
  <c r="O14" i="27"/>
  <c r="T14" i="27"/>
  <c r="X14" i="27"/>
  <c r="AB14" i="27"/>
  <c r="AF14" i="27"/>
  <c r="AJ14" i="27"/>
  <c r="P54" i="27"/>
  <c r="O27" i="14" s="1"/>
  <c r="P33" i="27"/>
  <c r="O27" i="13" s="1"/>
  <c r="H14" i="27"/>
  <c r="L14" i="27"/>
  <c r="Q14" i="27"/>
  <c r="U14" i="27"/>
  <c r="Y14" i="27"/>
  <c r="AC14" i="27"/>
  <c r="AG14" i="27"/>
  <c r="AK14" i="27"/>
  <c r="F14" i="27"/>
  <c r="AL14" i="27"/>
  <c r="P16" i="27"/>
  <c r="O27" i="12" s="1"/>
  <c r="AK27" i="12"/>
  <c r="D16" i="27"/>
  <c r="C27" i="12" s="1"/>
  <c r="Z14" i="27"/>
  <c r="V14" i="27"/>
  <c r="AD14" i="27"/>
  <c r="AH14" i="26"/>
  <c r="P54" i="26"/>
  <c r="O26" i="14" s="1"/>
  <c r="V14" i="26"/>
  <c r="W14" i="26"/>
  <c r="AI14" i="26"/>
  <c r="D33" i="26"/>
  <c r="C26" i="13" s="1"/>
  <c r="L14" i="26"/>
  <c r="AM14" i="26"/>
  <c r="T14" i="26"/>
  <c r="AI26" i="12"/>
  <c r="AA26" i="12"/>
  <c r="AA26" i="15" s="1"/>
  <c r="G14" i="26"/>
  <c r="O14" i="26"/>
  <c r="D16" i="26"/>
  <c r="C26" i="12" s="1"/>
  <c r="C26" i="15" s="1"/>
  <c r="P16" i="26"/>
  <c r="O26" i="12" s="1"/>
  <c r="O26" i="15" s="1"/>
  <c r="I14" i="26"/>
  <c r="M14" i="26"/>
  <c r="R14" i="26"/>
  <c r="AF14" i="26"/>
  <c r="AL14" i="26"/>
  <c r="AE14" i="26"/>
  <c r="AI26" i="15"/>
  <c r="P54" i="23"/>
  <c r="G14" i="23"/>
  <c r="O14" i="23"/>
  <c r="T14" i="23"/>
  <c r="X14" i="23"/>
  <c r="AB14" i="23"/>
  <c r="AF14" i="23"/>
  <c r="AJ14" i="23"/>
  <c r="O24" i="14"/>
  <c r="F14" i="23"/>
  <c r="P33" i="23"/>
  <c r="O24" i="13"/>
  <c r="Q14" i="23"/>
  <c r="P16" i="23"/>
  <c r="G24" i="12"/>
  <c r="U24" i="12"/>
  <c r="K24" i="12"/>
  <c r="AL14" i="23"/>
  <c r="AI24" i="12"/>
  <c r="AA24" i="12"/>
  <c r="AA24" i="15" s="1"/>
  <c r="S24" i="12"/>
  <c r="S14" i="22"/>
  <c r="P21" i="14"/>
  <c r="P54" i="22"/>
  <c r="O21" i="14" s="1"/>
  <c r="J14" i="22"/>
  <c r="AA14" i="22"/>
  <c r="AI14" i="22"/>
  <c r="AM14" i="22"/>
  <c r="G14" i="22"/>
  <c r="O14" i="22"/>
  <c r="T14" i="22"/>
  <c r="X14" i="22"/>
  <c r="AB14" i="22"/>
  <c r="AF14" i="22"/>
  <c r="AJ14" i="22"/>
  <c r="AD14" i="22"/>
  <c r="AE14" i="22"/>
  <c r="Q14" i="22"/>
  <c r="P16" i="22"/>
  <c r="D54" i="16"/>
  <c r="C20" i="14" s="1"/>
  <c r="T14" i="16"/>
  <c r="F14" i="16"/>
  <c r="N14" i="16"/>
  <c r="AJ14" i="16"/>
  <c r="G14" i="16"/>
  <c r="K14" i="16"/>
  <c r="O14" i="16"/>
  <c r="P33" i="16"/>
  <c r="O20" i="13" s="1"/>
  <c r="O20" i="15" s="1"/>
  <c r="I14" i="16"/>
  <c r="AC14" i="17"/>
  <c r="H19" i="13"/>
  <c r="H19" i="15" s="1"/>
  <c r="AB19" i="12"/>
  <c r="L14" i="17"/>
  <c r="AB14" i="17"/>
  <c r="U14" i="17"/>
  <c r="AK14" i="17"/>
  <c r="AM14" i="20"/>
  <c r="D33" i="20"/>
  <c r="C18" i="13" s="1"/>
  <c r="H14" i="20"/>
  <c r="L14" i="20"/>
  <c r="Q14" i="20"/>
  <c r="U14" i="20"/>
  <c r="Y14" i="20"/>
  <c r="AC14" i="20"/>
  <c r="AG14" i="20"/>
  <c r="AK14" i="20"/>
  <c r="G14" i="20"/>
  <c r="Z14" i="20"/>
  <c r="AH14" i="20"/>
  <c r="AL18" i="12"/>
  <c r="J14" i="20"/>
  <c r="S14" i="20"/>
  <c r="W14" i="20"/>
  <c r="AE14" i="20"/>
  <c r="AA14" i="20"/>
  <c r="AI14" i="20"/>
  <c r="K14" i="21"/>
  <c r="K17" i="12"/>
  <c r="G17" i="12"/>
  <c r="W14" i="21"/>
  <c r="AE14" i="21"/>
  <c r="AM14" i="21"/>
  <c r="AD14" i="19"/>
  <c r="K14" i="19"/>
  <c r="AC16" i="13"/>
  <c r="AC16" i="15" s="1"/>
  <c r="D33" i="19"/>
  <c r="C16" i="13" s="1"/>
  <c r="V14" i="19"/>
  <c r="AL14" i="19"/>
  <c r="P54" i="18"/>
  <c r="P33" i="18"/>
  <c r="P14" i="18" s="1"/>
  <c r="G14" i="18"/>
  <c r="K14" i="18"/>
  <c r="D33" i="18"/>
  <c r="C15" i="13" s="1"/>
  <c r="N14" i="18"/>
  <c r="O14" i="18"/>
  <c r="J15" i="12"/>
  <c r="J15" i="15" s="1"/>
  <c r="F14" i="18"/>
  <c r="G15" i="12"/>
  <c r="V14" i="32"/>
  <c r="AH14" i="32"/>
  <c r="D54" i="32"/>
  <c r="C55" i="14" s="1"/>
  <c r="C55" i="15" s="1"/>
  <c r="AK55" i="14"/>
  <c r="AK55" i="15" s="1"/>
  <c r="Y55" i="14"/>
  <c r="Y55" i="15" s="1"/>
  <c r="Q55" i="14"/>
  <c r="Q55" i="15" s="1"/>
  <c r="I55" i="14"/>
  <c r="R14" i="32"/>
  <c r="E14" i="32"/>
  <c r="I14" i="32"/>
  <c r="M14" i="32"/>
  <c r="M55" i="13"/>
  <c r="I55" i="13"/>
  <c r="E55" i="13"/>
  <c r="G14" i="32"/>
  <c r="O14" i="32"/>
  <c r="W14" i="32"/>
  <c r="AE14" i="32"/>
  <c r="AM14" i="32"/>
  <c r="J55" i="15"/>
  <c r="J14" i="32"/>
  <c r="P33" i="32"/>
  <c r="O55" i="13" s="1"/>
  <c r="AL55" i="15"/>
  <c r="AI55" i="12"/>
  <c r="AE55" i="12"/>
  <c r="AE55" i="15" s="1"/>
  <c r="AA55" i="12"/>
  <c r="AA55" i="15" s="1"/>
  <c r="W55" i="12"/>
  <c r="S55" i="12"/>
  <c r="S55" i="15" s="1"/>
  <c r="K55" i="12"/>
  <c r="K55" i="15" s="1"/>
  <c r="G55" i="12"/>
  <c r="AJ55" i="12"/>
  <c r="AF55" i="12"/>
  <c r="AF55" i="15" s="1"/>
  <c r="AB55" i="12"/>
  <c r="AB55" i="15" s="1"/>
  <c r="X55" i="12"/>
  <c r="X55" i="15" s="1"/>
  <c r="T55" i="12"/>
  <c r="P55" i="12"/>
  <c r="P55" i="15" s="1"/>
  <c r="L55" i="12"/>
  <c r="L55" i="15" s="1"/>
  <c r="H55" i="12"/>
  <c r="H55" i="15" s="1"/>
  <c r="D55" i="12"/>
  <c r="AC55" i="15"/>
  <c r="AJ55" i="15"/>
  <c r="T55" i="15"/>
  <c r="M55" i="15"/>
  <c r="D55" i="15"/>
  <c r="Q37" i="14"/>
  <c r="Q37" i="15" s="1"/>
  <c r="P33" i="45"/>
  <c r="O37" i="13" s="1"/>
  <c r="O37" i="15" s="1"/>
  <c r="Y14" i="45"/>
  <c r="AK14" i="45"/>
  <c r="S14" i="45"/>
  <c r="W14" i="45"/>
  <c r="AA14" i="45"/>
  <c r="AE14" i="45"/>
  <c r="AI14" i="45"/>
  <c r="AM14" i="45"/>
  <c r="AE37" i="15"/>
  <c r="W37" i="15"/>
  <c r="AI37" i="12"/>
  <c r="AI37" i="15" s="1"/>
  <c r="AA37" i="12"/>
  <c r="AA37" i="15" s="1"/>
  <c r="S37" i="12"/>
  <c r="S37" i="15" s="1"/>
  <c r="AL37" i="12"/>
  <c r="AH37" i="12"/>
  <c r="AH37" i="15" s="1"/>
  <c r="AD37" i="12"/>
  <c r="Z37" i="12"/>
  <c r="Z37" i="15" s="1"/>
  <c r="V37" i="12"/>
  <c r="V37" i="15" s="1"/>
  <c r="R37" i="12"/>
  <c r="R37" i="15" s="1"/>
  <c r="G37" i="14"/>
  <c r="G37" i="15" s="1"/>
  <c r="M37" i="15"/>
  <c r="I14" i="45"/>
  <c r="D33" i="45"/>
  <c r="C37" i="13" s="1"/>
  <c r="G14" i="45"/>
  <c r="K14" i="45"/>
  <c r="O14" i="45"/>
  <c r="N37" i="12"/>
  <c r="N37" i="15" s="1"/>
  <c r="J37" i="12"/>
  <c r="J37" i="15" s="1"/>
  <c r="F37" i="12"/>
  <c r="F37" i="15" s="1"/>
  <c r="K37" i="15"/>
  <c r="P54" i="34"/>
  <c r="O53" i="14" s="1"/>
  <c r="D54" i="34"/>
  <c r="C53" i="14" s="1"/>
  <c r="I53" i="13"/>
  <c r="W14" i="34"/>
  <c r="AE14" i="34"/>
  <c r="AM14" i="34"/>
  <c r="G14" i="34"/>
  <c r="J53" i="15"/>
  <c r="O14" i="34"/>
  <c r="T14" i="34"/>
  <c r="X14" i="34"/>
  <c r="AB14" i="34"/>
  <c r="AF14" i="34"/>
  <c r="AJ14" i="34"/>
  <c r="P33" i="34"/>
  <c r="O53" i="13" s="1"/>
  <c r="AH53" i="15"/>
  <c r="Z53" i="15"/>
  <c r="V53" i="15"/>
  <c r="R53" i="15"/>
  <c r="K14" i="34"/>
  <c r="S14" i="34"/>
  <c r="AA14" i="34"/>
  <c r="AI14" i="34"/>
  <c r="D16" i="34"/>
  <c r="C53" i="12" s="1"/>
  <c r="P16" i="34"/>
  <c r="O53" i="12" s="1"/>
  <c r="AI53" i="12"/>
  <c r="AE53" i="12"/>
  <c r="AA53" i="12"/>
  <c r="W53" i="12"/>
  <c r="S53" i="12"/>
  <c r="S53" i="15" s="1"/>
  <c r="K53" i="12"/>
  <c r="K53" i="15" s="1"/>
  <c r="G53" i="12"/>
  <c r="F14" i="34"/>
  <c r="N14" i="34"/>
  <c r="V14" i="34"/>
  <c r="AD14" i="34"/>
  <c r="AL14" i="34"/>
  <c r="AL53" i="12"/>
  <c r="AL53" i="15" s="1"/>
  <c r="AD53" i="12"/>
  <c r="AD53" i="15" s="1"/>
  <c r="V53" i="12"/>
  <c r="N53" i="12"/>
  <c r="F53" i="12"/>
  <c r="AB53" i="15"/>
  <c r="AI53" i="15"/>
  <c r="AE53" i="15"/>
  <c r="AA53" i="15"/>
  <c r="AB14" i="38"/>
  <c r="L42" i="14"/>
  <c r="AJ14" i="38"/>
  <c r="AF14" i="38"/>
  <c r="S42" i="14"/>
  <c r="S42" i="15" s="1"/>
  <c r="L14" i="38"/>
  <c r="U14" i="38"/>
  <c r="AC14" i="38"/>
  <c r="AK14" i="38"/>
  <c r="V14" i="38"/>
  <c r="Z14" i="38"/>
  <c r="AD14" i="38"/>
  <c r="AH14" i="38"/>
  <c r="AL14" i="38"/>
  <c r="D33" i="38"/>
  <c r="C42" i="13" s="1"/>
  <c r="C42" i="15" s="1"/>
  <c r="P33" i="38"/>
  <c r="O42" i="13" s="1"/>
  <c r="AE42" i="13"/>
  <c r="F14" i="38"/>
  <c r="N14" i="38"/>
  <c r="S14" i="38"/>
  <c r="W14" i="38"/>
  <c r="AA14" i="38"/>
  <c r="AE14" i="38"/>
  <c r="AI14" i="38"/>
  <c r="AM14" i="38"/>
  <c r="G14" i="38"/>
  <c r="K14" i="38"/>
  <c r="O14" i="38"/>
  <c r="H14" i="38"/>
  <c r="Q14" i="38"/>
  <c r="Y14" i="38"/>
  <c r="AG14" i="38"/>
  <c r="P16" i="38"/>
  <c r="O42" i="12" s="1"/>
  <c r="AJ42" i="12"/>
  <c r="AB42" i="12"/>
  <c r="AB42" i="15" s="1"/>
  <c r="T42" i="12"/>
  <c r="H42" i="12"/>
  <c r="D16" i="38"/>
  <c r="C42" i="12" s="1"/>
  <c r="K42" i="12"/>
  <c r="K42" i="15" s="1"/>
  <c r="G42" i="15"/>
  <c r="AL42" i="12"/>
  <c r="AH42" i="12"/>
  <c r="AD42" i="12"/>
  <c r="AD42" i="15" s="1"/>
  <c r="Z42" i="12"/>
  <c r="Z42" i="15" s="1"/>
  <c r="V42" i="12"/>
  <c r="R42" i="12"/>
  <c r="R42" i="15" s="1"/>
  <c r="N42" i="12"/>
  <c r="N42" i="15" s="1"/>
  <c r="J42" i="12"/>
  <c r="J42" i="15" s="1"/>
  <c r="F42" i="12"/>
  <c r="AJ42" i="15"/>
  <c r="X42" i="15"/>
  <c r="P42" i="15"/>
  <c r="D42" i="15"/>
  <c r="AF42" i="15"/>
  <c r="L42" i="15"/>
  <c r="AI42" i="15"/>
  <c r="AE42" i="15"/>
  <c r="AA42" i="15"/>
  <c r="W42" i="15"/>
  <c r="V42" i="15"/>
  <c r="F42" i="15"/>
  <c r="P54" i="43"/>
  <c r="O35" i="14" s="1"/>
  <c r="Z14" i="43"/>
  <c r="D54" i="43"/>
  <c r="C35" i="14" s="1"/>
  <c r="C35" i="15" s="1"/>
  <c r="Q35" i="14"/>
  <c r="I35" i="14"/>
  <c r="D33" i="43"/>
  <c r="C35" i="13" s="1"/>
  <c r="Q35" i="13"/>
  <c r="I35" i="13"/>
  <c r="J14" i="43"/>
  <c r="AG14" i="43"/>
  <c r="AJ35" i="12"/>
  <c r="AB35" i="12"/>
  <c r="T35" i="12"/>
  <c r="P35" i="12"/>
  <c r="L35" i="12"/>
  <c r="H35" i="12"/>
  <c r="D35" i="12"/>
  <c r="D35" i="15" s="1"/>
  <c r="AJ35" i="15"/>
  <c r="AB35" i="15"/>
  <c r="X35" i="15"/>
  <c r="T35" i="15"/>
  <c r="P35" i="15"/>
  <c r="L35" i="15"/>
  <c r="V14" i="43"/>
  <c r="AH14" i="43"/>
  <c r="AL14" i="43"/>
  <c r="E14" i="43"/>
  <c r="Q14" i="43"/>
  <c r="F14" i="43"/>
  <c r="AL35" i="12"/>
  <c r="AL35" i="15" s="1"/>
  <c r="AH35" i="12"/>
  <c r="AD35" i="12"/>
  <c r="Z35" i="12"/>
  <c r="V35" i="12"/>
  <c r="V35" i="15" s="1"/>
  <c r="R35" i="12"/>
  <c r="N35" i="12"/>
  <c r="N35" i="15" s="1"/>
  <c r="J35" i="12"/>
  <c r="J35" i="15" s="1"/>
  <c r="F35" i="12"/>
  <c r="AC35" i="12"/>
  <c r="M35" i="12"/>
  <c r="M35" i="15" s="1"/>
  <c r="AG35" i="15"/>
  <c r="Y35" i="15"/>
  <c r="Q35" i="15"/>
  <c r="AK35" i="15"/>
  <c r="E35" i="15"/>
  <c r="F14" i="44"/>
  <c r="P54" i="44"/>
  <c r="O36" i="14" s="1"/>
  <c r="Z36" i="14"/>
  <c r="Z36" i="15" s="1"/>
  <c r="Q36" i="14"/>
  <c r="H14" i="44"/>
  <c r="P33" i="44"/>
  <c r="O36" i="13" s="1"/>
  <c r="AK36" i="13"/>
  <c r="AK36" i="15" s="1"/>
  <c r="AG36" i="13"/>
  <c r="AG36" i="15" s="1"/>
  <c r="AC36" i="13"/>
  <c r="AC36" i="15" s="1"/>
  <c r="U36" i="13"/>
  <c r="U36" i="15" s="1"/>
  <c r="Q36" i="13"/>
  <c r="E14" i="44"/>
  <c r="I14" i="44"/>
  <c r="M14" i="44"/>
  <c r="Q14" i="44"/>
  <c r="U14" i="44"/>
  <c r="Y14" i="44"/>
  <c r="AC14" i="44"/>
  <c r="AG14" i="44"/>
  <c r="AK14" i="44"/>
  <c r="D33" i="44"/>
  <c r="C36" i="13" s="1"/>
  <c r="L14" i="44"/>
  <c r="J14" i="44"/>
  <c r="Z14" i="44"/>
  <c r="G14" i="44"/>
  <c r="K14" i="44"/>
  <c r="AJ36" i="12"/>
  <c r="AJ36" i="15" s="1"/>
  <c r="AF36" i="12"/>
  <c r="AB36" i="12"/>
  <c r="AB36" i="15" s="1"/>
  <c r="X36" i="12"/>
  <c r="X36" i="15" s="1"/>
  <c r="T36" i="12"/>
  <c r="T36" i="15" s="1"/>
  <c r="P36" i="12"/>
  <c r="P36" i="15" s="1"/>
  <c r="L36" i="12"/>
  <c r="L36" i="15" s="1"/>
  <c r="H36" i="12"/>
  <c r="H36" i="15" s="1"/>
  <c r="D36" i="12"/>
  <c r="T14" i="44"/>
  <c r="AI36" i="12"/>
  <c r="AI36" i="15" s="1"/>
  <c r="AE36" i="12"/>
  <c r="AE36" i="15" s="1"/>
  <c r="AA36" i="12"/>
  <c r="W36" i="12"/>
  <c r="G36" i="12"/>
  <c r="G36" i="15" s="1"/>
  <c r="J36" i="15"/>
  <c r="E36" i="15"/>
  <c r="AH36" i="15"/>
  <c r="R36" i="15"/>
  <c r="AF36" i="15"/>
  <c r="S14" i="25"/>
  <c r="E14" i="25"/>
  <c r="AJ14" i="25"/>
  <c r="T14" i="25"/>
  <c r="D28" i="13"/>
  <c r="AC14" i="25"/>
  <c r="V14" i="25"/>
  <c r="Z14" i="25"/>
  <c r="AD14" i="25"/>
  <c r="AH14" i="25"/>
  <c r="AL14" i="25"/>
  <c r="O14" i="25"/>
  <c r="X14" i="25"/>
  <c r="AF14" i="25"/>
  <c r="M14" i="25"/>
  <c r="AI14" i="25"/>
  <c r="W14" i="25"/>
  <c r="AM14" i="25"/>
  <c r="G14" i="25"/>
  <c r="AB14" i="25"/>
  <c r="AA28" i="14"/>
  <c r="AA28" i="15" s="1"/>
  <c r="F14" i="25"/>
  <c r="N14" i="25"/>
  <c r="D54" i="25"/>
  <c r="C28" i="14" s="1"/>
  <c r="P54" i="25"/>
  <c r="O28" i="14" s="1"/>
  <c r="F28" i="14"/>
  <c r="F28" i="15" s="1"/>
  <c r="AA14" i="25"/>
  <c r="K14" i="25"/>
  <c r="D33" i="25"/>
  <c r="C28" i="13" s="1"/>
  <c r="P33" i="25"/>
  <c r="O28" i="13" s="1"/>
  <c r="AE28" i="13"/>
  <c r="AE28" i="15" s="1"/>
  <c r="W28" i="13"/>
  <c r="AE14" i="25"/>
  <c r="Z28" i="13"/>
  <c r="Z28" i="15" s="1"/>
  <c r="N28" i="13"/>
  <c r="N28" i="15" s="1"/>
  <c r="Y14" i="25"/>
  <c r="P16" i="25"/>
  <c r="O28" i="12" s="1"/>
  <c r="H14" i="25"/>
  <c r="U14" i="25"/>
  <c r="AK14" i="25"/>
  <c r="D16" i="25"/>
  <c r="C28" i="12" s="1"/>
  <c r="AC28" i="15"/>
  <c r="AK28" i="12"/>
  <c r="AK28" i="15" s="1"/>
  <c r="AG28" i="12"/>
  <c r="AG28" i="15" s="1"/>
  <c r="AC28" i="12"/>
  <c r="Y28" i="12"/>
  <c r="Y28" i="15" s="1"/>
  <c r="U28" i="12"/>
  <c r="U28" i="15" s="1"/>
  <c r="Q28" i="12"/>
  <c r="Q28" i="15" s="1"/>
  <c r="M28" i="12"/>
  <c r="M28" i="15" s="1"/>
  <c r="I28" i="12"/>
  <c r="I28" i="15" s="1"/>
  <c r="E28" i="12"/>
  <c r="E28" i="15" s="1"/>
  <c r="I14" i="25"/>
  <c r="Q14" i="25"/>
  <c r="AG14" i="25"/>
  <c r="X28" i="15"/>
  <c r="AF28" i="15"/>
  <c r="AB28" i="15"/>
  <c r="T28" i="15"/>
  <c r="P28" i="15"/>
  <c r="H28" i="15"/>
  <c r="D28" i="15"/>
  <c r="V28" i="15"/>
  <c r="R28" i="15"/>
  <c r="AK24" i="14"/>
  <c r="AK24" i="15" s="1"/>
  <c r="Q24" i="14"/>
  <c r="D54" i="23"/>
  <c r="C24" i="14" s="1"/>
  <c r="J14" i="23"/>
  <c r="U24" i="15"/>
  <c r="M24" i="15"/>
  <c r="Z14" i="23"/>
  <c r="D33" i="23"/>
  <c r="C24" i="13" s="1"/>
  <c r="N14" i="23"/>
  <c r="AD14" i="23"/>
  <c r="E14" i="23"/>
  <c r="I14" i="23"/>
  <c r="M14" i="23"/>
  <c r="R14" i="23"/>
  <c r="AH14" i="23"/>
  <c r="W14" i="23"/>
  <c r="AE14" i="23"/>
  <c r="AM14" i="23"/>
  <c r="Q24" i="13"/>
  <c r="Q24" i="15" s="1"/>
  <c r="I24" i="13"/>
  <c r="K14" i="23"/>
  <c r="S14" i="23"/>
  <c r="AA14" i="23"/>
  <c r="AI14" i="23"/>
  <c r="D16" i="23"/>
  <c r="C24" i="12" s="1"/>
  <c r="O24" i="12"/>
  <c r="O24" i="15" s="1"/>
  <c r="AL24" i="12"/>
  <c r="AL24" i="15" s="1"/>
  <c r="AD24" i="12"/>
  <c r="V24" i="12"/>
  <c r="V24" i="15" s="1"/>
  <c r="N24" i="12"/>
  <c r="F24" i="12"/>
  <c r="F24" i="15" s="1"/>
  <c r="AJ24" i="12"/>
  <c r="AJ24" i="15" s="1"/>
  <c r="AF24" i="12"/>
  <c r="AF24" i="15" s="1"/>
  <c r="AB24" i="12"/>
  <c r="X24" i="12"/>
  <c r="X24" i="15" s="1"/>
  <c r="T24" i="12"/>
  <c r="T24" i="15" s="1"/>
  <c r="P24" i="12"/>
  <c r="P24" i="15" s="1"/>
  <c r="L24" i="12"/>
  <c r="H24" i="12"/>
  <c r="H24" i="15" s="1"/>
  <c r="D24" i="12"/>
  <c r="J24" i="15"/>
  <c r="N24" i="15"/>
  <c r="AH24" i="15"/>
  <c r="P16" i="24"/>
  <c r="O23" i="12" s="1"/>
  <c r="S14" i="24"/>
  <c r="AE14" i="24"/>
  <c r="AM14" i="24"/>
  <c r="D16" i="24"/>
  <c r="C23" i="12" s="1"/>
  <c r="K14" i="24"/>
  <c r="F14" i="24"/>
  <c r="G14" i="24"/>
  <c r="AA14" i="24"/>
  <c r="N14" i="24"/>
  <c r="AI14" i="24"/>
  <c r="P33" i="24"/>
  <c r="O23" i="13" s="1"/>
  <c r="J23" i="13"/>
  <c r="M23" i="12"/>
  <c r="M23" i="15" s="1"/>
  <c r="W14" i="24"/>
  <c r="V14" i="24"/>
  <c r="O14" i="24"/>
  <c r="F23" i="14"/>
  <c r="F23" i="15" s="1"/>
  <c r="H14" i="24"/>
  <c r="L14" i="24"/>
  <c r="T14" i="24"/>
  <c r="X14" i="24"/>
  <c r="AB14" i="24"/>
  <c r="AF14" i="24"/>
  <c r="AJ14" i="24"/>
  <c r="P54" i="24"/>
  <c r="O23" i="14" s="1"/>
  <c r="Q23" i="14"/>
  <c r="Q14" i="24"/>
  <c r="U14" i="24"/>
  <c r="Y14" i="24"/>
  <c r="AC14" i="24"/>
  <c r="AG14" i="24"/>
  <c r="AK14" i="24"/>
  <c r="D54" i="24"/>
  <c r="C23" i="14" s="1"/>
  <c r="AL14" i="24"/>
  <c r="E14" i="24"/>
  <c r="I14" i="24"/>
  <c r="M14" i="24"/>
  <c r="D33" i="24"/>
  <c r="C23" i="13" s="1"/>
  <c r="AG23" i="15"/>
  <c r="AL23" i="13"/>
  <c r="AD23" i="13"/>
  <c r="AD23" i="15" s="1"/>
  <c r="R23" i="13"/>
  <c r="R23" i="15" s="1"/>
  <c r="AD14" i="24"/>
  <c r="J14" i="24"/>
  <c r="R14" i="24"/>
  <c r="Z14" i="24"/>
  <c r="AH14" i="24"/>
  <c r="U23" i="13"/>
  <c r="Q23" i="13"/>
  <c r="I23" i="13"/>
  <c r="I23" i="15" s="1"/>
  <c r="AJ23" i="12"/>
  <c r="AF23" i="12"/>
  <c r="AB23" i="12"/>
  <c r="X23" i="12"/>
  <c r="T23" i="12"/>
  <c r="P23" i="12"/>
  <c r="P23" i="15" s="1"/>
  <c r="L23" i="12"/>
  <c r="L23" i="15" s="1"/>
  <c r="H23" i="12"/>
  <c r="H23" i="15" s="1"/>
  <c r="D23" i="12"/>
  <c r="D23" i="15" s="1"/>
  <c r="AI23" i="12"/>
  <c r="AI23" i="15" s="1"/>
  <c r="AE23" i="12"/>
  <c r="AE23" i="15" s="1"/>
  <c r="AA23" i="12"/>
  <c r="AA23" i="15" s="1"/>
  <c r="W23" i="12"/>
  <c r="W23" i="15" s="1"/>
  <c r="S23" i="12"/>
  <c r="S23" i="15" s="1"/>
  <c r="K23" i="12"/>
  <c r="K23" i="15" s="1"/>
  <c r="G23" i="12"/>
  <c r="G23" i="15" s="1"/>
  <c r="AJ23" i="15"/>
  <c r="AF23" i="15"/>
  <c r="AB23" i="15"/>
  <c r="X23" i="15"/>
  <c r="T23" i="15"/>
  <c r="Y23" i="15"/>
  <c r="AC23" i="15"/>
  <c r="E23" i="15"/>
  <c r="R20" i="14"/>
  <c r="J20" i="14"/>
  <c r="J20" i="15" s="1"/>
  <c r="X14" i="16"/>
  <c r="H20" i="14"/>
  <c r="H20" i="15" s="1"/>
  <c r="AF14" i="16"/>
  <c r="S14" i="16"/>
  <c r="W14" i="16"/>
  <c r="AA14" i="16"/>
  <c r="AE14" i="16"/>
  <c r="AI14" i="16"/>
  <c r="AM14" i="16"/>
  <c r="Q20" i="13"/>
  <c r="I20" i="13"/>
  <c r="I20" i="15" s="1"/>
  <c r="AB14" i="16"/>
  <c r="V14" i="16"/>
  <c r="Z14" i="16"/>
  <c r="AD14" i="16"/>
  <c r="AH14" i="16"/>
  <c r="AL14" i="16"/>
  <c r="AL20" i="12"/>
  <c r="AL20" i="15" s="1"/>
  <c r="AH20" i="12"/>
  <c r="AH20" i="15" s="1"/>
  <c r="AD20" i="12"/>
  <c r="Z20" i="12"/>
  <c r="Z20" i="15" s="1"/>
  <c r="V20" i="12"/>
  <c r="V20" i="15" s="1"/>
  <c r="R20" i="12"/>
  <c r="H14" i="16"/>
  <c r="Q14" i="16"/>
  <c r="Y14" i="16"/>
  <c r="AG14" i="16"/>
  <c r="P16" i="16"/>
  <c r="O20" i="12" s="1"/>
  <c r="AK20" i="12"/>
  <c r="AK20" i="15" s="1"/>
  <c r="AG20" i="12"/>
  <c r="AG20" i="15" s="1"/>
  <c r="AC20" i="12"/>
  <c r="Y20" i="12"/>
  <c r="U20" i="12"/>
  <c r="U20" i="15" s="1"/>
  <c r="Q20" i="12"/>
  <c r="M20" i="12"/>
  <c r="E20" i="12"/>
  <c r="D16" i="16"/>
  <c r="C20" i="12" s="1"/>
  <c r="C20" i="15" s="1"/>
  <c r="AJ20" i="12"/>
  <c r="AJ20" i="15" s="1"/>
  <c r="AB20" i="12"/>
  <c r="AB20" i="15" s="1"/>
  <c r="T20" i="12"/>
  <c r="L14" i="16"/>
  <c r="Q20" i="15"/>
  <c r="M20" i="15"/>
  <c r="W20" i="15"/>
  <c r="R20" i="15"/>
  <c r="AI20" i="15"/>
  <c r="K20" i="15"/>
  <c r="D54" i="17"/>
  <c r="C19" i="14" s="1"/>
  <c r="O19" i="14"/>
  <c r="S14" i="17"/>
  <c r="W14" i="17"/>
  <c r="AA14" i="17"/>
  <c r="AE14" i="17"/>
  <c r="AI14" i="17"/>
  <c r="AM14" i="17"/>
  <c r="G14" i="17"/>
  <c r="K14" i="17"/>
  <c r="O14" i="17"/>
  <c r="T14" i="17"/>
  <c r="AJ14" i="17"/>
  <c r="AA19" i="13"/>
  <c r="K19" i="13"/>
  <c r="K19" i="15" s="1"/>
  <c r="X14" i="17"/>
  <c r="AF14" i="17"/>
  <c r="H14" i="17"/>
  <c r="Q14" i="17"/>
  <c r="Y14" i="17"/>
  <c r="AG14" i="17"/>
  <c r="AE19" i="12"/>
  <c r="W19" i="12"/>
  <c r="W19" i="15" s="1"/>
  <c r="AL19" i="12"/>
  <c r="AH19" i="12"/>
  <c r="AH19" i="15" s="1"/>
  <c r="AD19" i="12"/>
  <c r="Z19" i="12"/>
  <c r="V19" i="12"/>
  <c r="R19" i="12"/>
  <c r="R19" i="15" s="1"/>
  <c r="N19" i="12"/>
  <c r="J19" i="12"/>
  <c r="F19" i="12"/>
  <c r="P16" i="17"/>
  <c r="O19" i="12" s="1"/>
  <c r="AK19" i="12"/>
  <c r="AG19" i="12"/>
  <c r="AC19" i="12"/>
  <c r="Y19" i="12"/>
  <c r="Y19" i="15" s="1"/>
  <c r="U19" i="12"/>
  <c r="Q19" i="12"/>
  <c r="M19" i="12"/>
  <c r="M19" i="15" s="1"/>
  <c r="I19" i="12"/>
  <c r="I19" i="15" s="1"/>
  <c r="E19" i="12"/>
  <c r="C19" i="15"/>
  <c r="S19" i="15"/>
  <c r="AI19" i="15"/>
  <c r="AA19" i="15"/>
  <c r="G19" i="15"/>
  <c r="AG19" i="15"/>
  <c r="Q19" i="15"/>
  <c r="E19" i="15"/>
  <c r="AJ19" i="15"/>
  <c r="AF19" i="15"/>
  <c r="AB19" i="15"/>
  <c r="T19" i="15"/>
  <c r="P19" i="15"/>
  <c r="L19" i="15"/>
  <c r="D19" i="15"/>
  <c r="Q14" i="21"/>
  <c r="U14" i="21"/>
  <c r="Y14" i="21"/>
  <c r="AC14" i="21"/>
  <c r="AG14" i="21"/>
  <c r="AK14" i="21"/>
  <c r="O17" i="14"/>
  <c r="Q17" i="14"/>
  <c r="AD17" i="13"/>
  <c r="V17" i="13"/>
  <c r="Q17" i="13"/>
  <c r="R14" i="21"/>
  <c r="V14" i="21"/>
  <c r="Z14" i="21"/>
  <c r="AD14" i="21"/>
  <c r="AH14" i="21"/>
  <c r="AL14" i="21"/>
  <c r="S14" i="21"/>
  <c r="AA14" i="21"/>
  <c r="AI14" i="21"/>
  <c r="P16" i="21"/>
  <c r="O17" i="12" s="1"/>
  <c r="AI17" i="12"/>
  <c r="AI17" i="15" s="1"/>
  <c r="AE17" i="12"/>
  <c r="AA17" i="12"/>
  <c r="AA17" i="15" s="1"/>
  <c r="W17" i="12"/>
  <c r="W17" i="15" s="1"/>
  <c r="S17" i="12"/>
  <c r="AK17" i="12"/>
  <c r="AK17" i="15" s="1"/>
  <c r="AG17" i="12"/>
  <c r="AC17" i="12"/>
  <c r="AC17" i="15" s="1"/>
  <c r="Y17" i="12"/>
  <c r="Y17" i="15" s="1"/>
  <c r="U17" i="12"/>
  <c r="Q17" i="12"/>
  <c r="Q17" i="15" s="1"/>
  <c r="Z17" i="15"/>
  <c r="R17" i="15"/>
  <c r="J17" i="14"/>
  <c r="F17" i="14"/>
  <c r="F17" i="15" s="1"/>
  <c r="O14" i="21"/>
  <c r="D54" i="21"/>
  <c r="C17" i="14" s="1"/>
  <c r="D33" i="21"/>
  <c r="C17" i="13" s="1"/>
  <c r="E14" i="21"/>
  <c r="I14" i="21"/>
  <c r="M14" i="21"/>
  <c r="I17" i="13"/>
  <c r="I17" i="15" s="1"/>
  <c r="L17" i="12"/>
  <c r="L17" i="15" s="1"/>
  <c r="H17" i="12"/>
  <c r="H17" i="15" s="1"/>
  <c r="D17" i="12"/>
  <c r="D17" i="15" s="1"/>
  <c r="F14" i="21"/>
  <c r="N14" i="21"/>
  <c r="D16" i="21"/>
  <c r="C17" i="12" s="1"/>
  <c r="P54" i="19"/>
  <c r="O16" i="14" s="1"/>
  <c r="Q16" i="14"/>
  <c r="W14" i="19"/>
  <c r="AE14" i="19"/>
  <c r="AM14" i="19"/>
  <c r="T14" i="19"/>
  <c r="X14" i="19"/>
  <c r="AB14" i="19"/>
  <c r="AF14" i="19"/>
  <c r="AJ14" i="19"/>
  <c r="Q14" i="19"/>
  <c r="U14" i="19"/>
  <c r="Y14" i="19"/>
  <c r="AC14" i="19"/>
  <c r="AG14" i="19"/>
  <c r="AK14" i="19"/>
  <c r="P33" i="19"/>
  <c r="O16" i="13" s="1"/>
  <c r="S14" i="19"/>
  <c r="AA14" i="19"/>
  <c r="AI14" i="19"/>
  <c r="P16" i="19"/>
  <c r="O16" i="12" s="1"/>
  <c r="O16" i="15" s="1"/>
  <c r="AL16" i="12"/>
  <c r="AD16" i="12"/>
  <c r="AD16" i="15" s="1"/>
  <c r="V16" i="12"/>
  <c r="V16" i="15" s="1"/>
  <c r="U16" i="15"/>
  <c r="AJ16" i="12"/>
  <c r="AF16" i="12"/>
  <c r="AF16" i="15" s="1"/>
  <c r="AB16" i="12"/>
  <c r="AB16" i="15" s="1"/>
  <c r="X16" i="12"/>
  <c r="T16" i="12"/>
  <c r="T16" i="15" s="1"/>
  <c r="P16" i="12"/>
  <c r="P16" i="15" s="1"/>
  <c r="AK16" i="15"/>
  <c r="Y16" i="15"/>
  <c r="Q16" i="15"/>
  <c r="H14" i="19"/>
  <c r="L14" i="19"/>
  <c r="D54" i="19"/>
  <c r="C16" i="14" s="1"/>
  <c r="I16" i="14"/>
  <c r="E14" i="19"/>
  <c r="I14" i="19"/>
  <c r="M14" i="19"/>
  <c r="J16" i="12"/>
  <c r="D16" i="19"/>
  <c r="C16" i="12" s="1"/>
  <c r="L16" i="12"/>
  <c r="H16" i="12"/>
  <c r="H16" i="15" s="1"/>
  <c r="D16" i="12"/>
  <c r="K16" i="12"/>
  <c r="K16" i="15" s="1"/>
  <c r="G16" i="12"/>
  <c r="F14" i="19"/>
  <c r="N14" i="19"/>
  <c r="J16" i="15"/>
  <c r="G14" i="19"/>
  <c r="O14" i="19"/>
  <c r="J14" i="19"/>
  <c r="I16" i="13"/>
  <c r="M16" i="15"/>
  <c r="E16" i="15"/>
  <c r="V14" i="18"/>
  <c r="AM14" i="18"/>
  <c r="T14" i="18"/>
  <c r="X14" i="18"/>
  <c r="AB14" i="18"/>
  <c r="AF14" i="18"/>
  <c r="AJ14" i="18"/>
  <c r="AH15" i="12"/>
  <c r="Z15" i="12"/>
  <c r="Z15" i="15" s="1"/>
  <c r="R15" i="12"/>
  <c r="R15" i="15" s="1"/>
  <c r="W14" i="18"/>
  <c r="AE14" i="18"/>
  <c r="AI15" i="12"/>
  <c r="AA15" i="12"/>
  <c r="S15" i="12"/>
  <c r="AL14" i="18"/>
  <c r="AE15" i="12"/>
  <c r="W15" i="12"/>
  <c r="W15" i="15" s="1"/>
  <c r="P26" i="14"/>
  <c r="L26" i="14"/>
  <c r="H26" i="14"/>
  <c r="D26" i="14"/>
  <c r="E14" i="26"/>
  <c r="AD14" i="26"/>
  <c r="U14" i="26"/>
  <c r="Y14" i="26"/>
  <c r="AC14" i="26"/>
  <c r="AG14" i="26"/>
  <c r="AK14" i="26"/>
  <c r="AD26" i="14"/>
  <c r="AD26" i="15" s="1"/>
  <c r="F14" i="26"/>
  <c r="J14" i="26"/>
  <c r="N14" i="26"/>
  <c r="Z14" i="26"/>
  <c r="AJ26" i="13"/>
  <c r="AJ26" i="15" s="1"/>
  <c r="AF26" i="13"/>
  <c r="AB26" i="13"/>
  <c r="X26" i="13"/>
  <c r="X26" i="15" s="1"/>
  <c r="T26" i="13"/>
  <c r="T26" i="15" s="1"/>
  <c r="P26" i="13"/>
  <c r="P26" i="15" s="1"/>
  <c r="D26" i="13"/>
  <c r="AB26" i="15"/>
  <c r="Q14" i="26"/>
  <c r="D26" i="12"/>
  <c r="Q26" i="12"/>
  <c r="Q26" i="15" s="1"/>
  <c r="AE26" i="15"/>
  <c r="W26" i="15"/>
  <c r="S26" i="15"/>
  <c r="K26" i="15"/>
  <c r="G26" i="15"/>
  <c r="R26" i="15"/>
  <c r="AC26" i="15"/>
  <c r="E26" i="15"/>
  <c r="H14" i="47"/>
  <c r="L14" i="47"/>
  <c r="Q14" i="47"/>
  <c r="U14" i="47"/>
  <c r="Y14" i="47"/>
  <c r="AC14" i="47"/>
  <c r="AG14" i="47"/>
  <c r="AK14" i="47"/>
  <c r="P54" i="47"/>
  <c r="O40" i="14" s="1"/>
  <c r="O40" i="15" s="1"/>
  <c r="Q40" i="14"/>
  <c r="E14" i="47"/>
  <c r="I14" i="47"/>
  <c r="M14" i="47"/>
  <c r="R14" i="47"/>
  <c r="Z14" i="47"/>
  <c r="AH14" i="47"/>
  <c r="V14" i="47"/>
  <c r="AD14" i="47"/>
  <c r="AL14" i="47"/>
  <c r="D54" i="47"/>
  <c r="C40" i="14" s="1"/>
  <c r="J14" i="47"/>
  <c r="N14" i="47"/>
  <c r="AE14" i="47"/>
  <c r="T14" i="47"/>
  <c r="X14" i="47"/>
  <c r="AB14" i="47"/>
  <c r="AF14" i="47"/>
  <c r="AJ14" i="47"/>
  <c r="AK40" i="13"/>
  <c r="AK40" i="15" s="1"/>
  <c r="AC40" i="13"/>
  <c r="AC40" i="15" s="1"/>
  <c r="U40" i="13"/>
  <c r="U40" i="15" s="1"/>
  <c r="Q40" i="13"/>
  <c r="AD40" i="15"/>
  <c r="D33" i="47"/>
  <c r="C40" i="13" s="1"/>
  <c r="W14" i="47"/>
  <c r="AM14" i="47"/>
  <c r="N40" i="15"/>
  <c r="AJ40" i="12"/>
  <c r="AF40" i="12"/>
  <c r="AF40" i="15" s="1"/>
  <c r="AB40" i="12"/>
  <c r="AB40" i="15" s="1"/>
  <c r="X40" i="12"/>
  <c r="X40" i="15" s="1"/>
  <c r="T40" i="12"/>
  <c r="T40" i="15" s="1"/>
  <c r="P40" i="12"/>
  <c r="P40" i="15" s="1"/>
  <c r="L40" i="12"/>
  <c r="L40" i="15" s="1"/>
  <c r="H40" i="12"/>
  <c r="H40" i="15" s="1"/>
  <c r="D40" i="12"/>
  <c r="D40" i="15" s="1"/>
  <c r="K14" i="47"/>
  <c r="S14" i="47"/>
  <c r="AA14" i="47"/>
  <c r="AI14" i="47"/>
  <c r="D16" i="47"/>
  <c r="C40" i="12" s="1"/>
  <c r="P16" i="47"/>
  <c r="O40" i="12" s="1"/>
  <c r="Z40" i="15"/>
  <c r="AG40" i="15"/>
  <c r="M40" i="15"/>
  <c r="E40" i="15"/>
  <c r="R14" i="42"/>
  <c r="P54" i="42"/>
  <c r="O34" i="14" s="1"/>
  <c r="D54" i="42"/>
  <c r="C34" i="14" s="1"/>
  <c r="AC34" i="15"/>
  <c r="AC34" i="13"/>
  <c r="Z34" i="15"/>
  <c r="AH34" i="15"/>
  <c r="AL34" i="15"/>
  <c r="P33" i="42"/>
  <c r="O34" i="13" s="1"/>
  <c r="R34" i="13"/>
  <c r="K14" i="42"/>
  <c r="O14" i="42"/>
  <c r="T14" i="42"/>
  <c r="AF14" i="42"/>
  <c r="AJ14" i="42"/>
  <c r="G14" i="42"/>
  <c r="AJ34" i="12"/>
  <c r="AJ34" i="15" s="1"/>
  <c r="AF34" i="12"/>
  <c r="AF34" i="15" s="1"/>
  <c r="AB34" i="12"/>
  <c r="AB34" i="15" s="1"/>
  <c r="X34" i="12"/>
  <c r="X34" i="15" s="1"/>
  <c r="T34" i="12"/>
  <c r="P34" i="12"/>
  <c r="P34" i="15" s="1"/>
  <c r="T34" i="15"/>
  <c r="H14" i="42"/>
  <c r="W34" i="12"/>
  <c r="W34" i="15" s="1"/>
  <c r="K34" i="12"/>
  <c r="AI34" i="15"/>
  <c r="AE34" i="15"/>
  <c r="AA34" i="15"/>
  <c r="S34" i="15"/>
  <c r="K34" i="15"/>
  <c r="G34" i="15"/>
  <c r="AA14" i="42"/>
  <c r="AE14" i="42"/>
  <c r="AI14" i="42"/>
  <c r="V34" i="15"/>
  <c r="M34" i="15"/>
  <c r="I34" i="15"/>
  <c r="E34" i="15"/>
  <c r="H34" i="15"/>
  <c r="D34" i="15"/>
  <c r="N34" i="15"/>
  <c r="J34" i="15"/>
  <c r="P54" i="29"/>
  <c r="O30" i="14" s="1"/>
  <c r="O30" i="15" s="1"/>
  <c r="Q30" i="14"/>
  <c r="I30" i="14"/>
  <c r="AC30" i="15"/>
  <c r="R14" i="29"/>
  <c r="AH14" i="29"/>
  <c r="D33" i="29"/>
  <c r="C30" i="13" s="1"/>
  <c r="C30" i="15" s="1"/>
  <c r="F14" i="29"/>
  <c r="V14" i="29"/>
  <c r="AL14" i="29"/>
  <c r="AK30" i="15"/>
  <c r="U30" i="15"/>
  <c r="E30" i="15"/>
  <c r="J14" i="29"/>
  <c r="Z14" i="29"/>
  <c r="Q30" i="13"/>
  <c r="I30" i="13"/>
  <c r="AL30" i="12"/>
  <c r="AL30" i="15" s="1"/>
  <c r="AH30" i="12"/>
  <c r="AD30" i="12"/>
  <c r="AD30" i="15" s="1"/>
  <c r="Z30" i="12"/>
  <c r="Z30" i="15" s="1"/>
  <c r="V30" i="12"/>
  <c r="R30" i="12"/>
  <c r="N30" i="12"/>
  <c r="N30" i="15" s="1"/>
  <c r="J30" i="12"/>
  <c r="J30" i="15" s="1"/>
  <c r="F30" i="12"/>
  <c r="F30" i="15" s="1"/>
  <c r="T30" i="15"/>
  <c r="K14" i="29"/>
  <c r="S14" i="29"/>
  <c r="AJ30" i="12"/>
  <c r="AJ30" i="15" s="1"/>
  <c r="AF30" i="12"/>
  <c r="AF30" i="15" s="1"/>
  <c r="AB30" i="12"/>
  <c r="AB30" i="15" s="1"/>
  <c r="X30" i="12"/>
  <c r="X30" i="15" s="1"/>
  <c r="T30" i="12"/>
  <c r="P30" i="12"/>
  <c r="P30" i="15" s="1"/>
  <c r="L30" i="12"/>
  <c r="L30" i="15" s="1"/>
  <c r="H30" i="12"/>
  <c r="H30" i="15" s="1"/>
  <c r="D30" i="12"/>
  <c r="D30" i="15" s="1"/>
  <c r="AI30" i="12"/>
  <c r="AI30" i="15" s="1"/>
  <c r="AE30" i="12"/>
  <c r="AE30" i="15" s="1"/>
  <c r="AA30" i="12"/>
  <c r="W30" i="12"/>
  <c r="W30" i="15" s="1"/>
  <c r="S30" i="12"/>
  <c r="S30" i="15" s="1"/>
  <c r="K30" i="12"/>
  <c r="K30" i="15" s="1"/>
  <c r="G30" i="12"/>
  <c r="AA30" i="15"/>
  <c r="G30" i="15"/>
  <c r="V30" i="15"/>
  <c r="P54" i="35"/>
  <c r="O52" i="14" s="1"/>
  <c r="D54" i="35"/>
  <c r="C52" i="14" s="1"/>
  <c r="Q52" i="14"/>
  <c r="I52" i="14"/>
  <c r="I52" i="15" s="1"/>
  <c r="P33" i="35"/>
  <c r="O52" i="13" s="1"/>
  <c r="Q52" i="13"/>
  <c r="H14" i="35"/>
  <c r="L14" i="35"/>
  <c r="Q14" i="35"/>
  <c r="U14" i="35"/>
  <c r="Y14" i="35"/>
  <c r="AC14" i="35"/>
  <c r="AG14" i="35"/>
  <c r="AK14" i="35"/>
  <c r="D33" i="35"/>
  <c r="C52" i="13" s="1"/>
  <c r="E14" i="35"/>
  <c r="I14" i="35"/>
  <c r="M14" i="35"/>
  <c r="V14" i="35"/>
  <c r="AD14" i="35"/>
  <c r="AL14" i="35"/>
  <c r="AI52" i="12"/>
  <c r="AE52" i="12"/>
  <c r="AA52" i="12"/>
  <c r="W52" i="12"/>
  <c r="W52" i="15" s="1"/>
  <c r="S52" i="12"/>
  <c r="K52" i="12"/>
  <c r="G52" i="12"/>
  <c r="J14" i="35"/>
  <c r="R14" i="35"/>
  <c r="Z14" i="35"/>
  <c r="AH14" i="35"/>
  <c r="D16" i="35"/>
  <c r="C52" i="12" s="1"/>
  <c r="P16" i="35"/>
  <c r="O52" i="12" s="1"/>
  <c r="AK52" i="12"/>
  <c r="AK52" i="15" s="1"/>
  <c r="AC52" i="12"/>
  <c r="AC52" i="15" s="1"/>
  <c r="U52" i="12"/>
  <c r="U52" i="15" s="1"/>
  <c r="M52" i="12"/>
  <c r="E52" i="12"/>
  <c r="AG52" i="15"/>
  <c r="E52" i="15"/>
  <c r="AJ52" i="12"/>
  <c r="AJ52" i="15" s="1"/>
  <c r="AF52" i="12"/>
  <c r="AF52" i="15" s="1"/>
  <c r="AB52" i="12"/>
  <c r="X52" i="12"/>
  <c r="X52" i="15" s="1"/>
  <c r="T52" i="12"/>
  <c r="T52" i="15" s="1"/>
  <c r="P52" i="12"/>
  <c r="L52" i="12"/>
  <c r="L52" i="15" s="1"/>
  <c r="H52" i="12"/>
  <c r="D52" i="12"/>
  <c r="D52" i="15" s="1"/>
  <c r="N14" i="33"/>
  <c r="AA14" i="33"/>
  <c r="AH50" i="14"/>
  <c r="AH50" i="15" s="1"/>
  <c r="AD50" i="14"/>
  <c r="N50" i="14"/>
  <c r="F50" i="14"/>
  <c r="F14" i="33"/>
  <c r="S14" i="33"/>
  <c r="AM14" i="33"/>
  <c r="I50" i="14"/>
  <c r="O50" i="14"/>
  <c r="H14" i="33"/>
  <c r="L14" i="33"/>
  <c r="P33" i="33"/>
  <c r="O50" i="13" s="1"/>
  <c r="AL14" i="33"/>
  <c r="E14" i="33"/>
  <c r="I14" i="33"/>
  <c r="M14" i="33"/>
  <c r="Q14" i="33"/>
  <c r="U14" i="33"/>
  <c r="Y14" i="33"/>
  <c r="AC14" i="33"/>
  <c r="AG14" i="33"/>
  <c r="AK14" i="33"/>
  <c r="D33" i="33"/>
  <c r="C50" i="13" s="1"/>
  <c r="C50" i="15" s="1"/>
  <c r="AC50" i="13"/>
  <c r="Q50" i="13"/>
  <c r="Q50" i="15" s="1"/>
  <c r="I50" i="13"/>
  <c r="J14" i="33"/>
  <c r="R14" i="33"/>
  <c r="Z14" i="33"/>
  <c r="AH14" i="33"/>
  <c r="AJ50" i="12"/>
  <c r="AJ50" i="15" s="1"/>
  <c r="AF50" i="12"/>
  <c r="AB50" i="12"/>
  <c r="AB50" i="15" s="1"/>
  <c r="X50" i="12"/>
  <c r="X50" i="15" s="1"/>
  <c r="T50" i="12"/>
  <c r="T50" i="15" s="1"/>
  <c r="P50" i="12"/>
  <c r="L50" i="12"/>
  <c r="L50" i="15" s="1"/>
  <c r="H50" i="12"/>
  <c r="H50" i="15" s="1"/>
  <c r="D50" i="12"/>
  <c r="D50" i="15" s="1"/>
  <c r="AF50" i="15"/>
  <c r="AI50" i="12"/>
  <c r="AI50" i="15" s="1"/>
  <c r="AE50" i="12"/>
  <c r="AE50" i="15" s="1"/>
  <c r="AA50" i="12"/>
  <c r="AA50" i="15" s="1"/>
  <c r="W50" i="12"/>
  <c r="S50" i="12"/>
  <c r="S50" i="15" s="1"/>
  <c r="K50" i="12"/>
  <c r="K50" i="15" s="1"/>
  <c r="G50" i="12"/>
  <c r="W50" i="15"/>
  <c r="G50" i="15"/>
  <c r="AL50" i="15"/>
  <c r="F50" i="15"/>
  <c r="AL46" i="14"/>
  <c r="AL46" i="15" s="1"/>
  <c r="AD46" i="14"/>
  <c r="F14" i="40"/>
  <c r="M46" i="14"/>
  <c r="M46" i="15" s="1"/>
  <c r="I46" i="14"/>
  <c r="J14" i="40"/>
  <c r="S14" i="40"/>
  <c r="AA14" i="40"/>
  <c r="AI14" i="40"/>
  <c r="K14" i="40"/>
  <c r="T14" i="40"/>
  <c r="X14" i="40"/>
  <c r="AB14" i="40"/>
  <c r="AF14" i="40"/>
  <c r="AJ14" i="40"/>
  <c r="P54" i="40"/>
  <c r="O46" i="14" s="1"/>
  <c r="O14" i="40"/>
  <c r="P33" i="40"/>
  <c r="O46" i="13" s="1"/>
  <c r="V14" i="40"/>
  <c r="AL14" i="40"/>
  <c r="D33" i="40"/>
  <c r="C46" i="13" s="1"/>
  <c r="Q46" i="13"/>
  <c r="Q46" i="15" s="1"/>
  <c r="I46" i="13"/>
  <c r="AG46" i="12"/>
  <c r="AG46" i="15" s="1"/>
  <c r="Y46" i="12"/>
  <c r="Y46" i="15" s="1"/>
  <c r="Q46" i="12"/>
  <c r="I46" i="12"/>
  <c r="AJ46" i="12"/>
  <c r="AJ46" i="15" s="1"/>
  <c r="AF46" i="12"/>
  <c r="AB46" i="12"/>
  <c r="X46" i="12"/>
  <c r="X46" i="15" s="1"/>
  <c r="T46" i="12"/>
  <c r="T46" i="15" s="1"/>
  <c r="P46" i="12"/>
  <c r="P46" i="15" s="1"/>
  <c r="L46" i="12"/>
  <c r="H46" i="12"/>
  <c r="H46" i="15" s="1"/>
  <c r="D46" i="12"/>
  <c r="D16" i="40"/>
  <c r="C46" i="12" s="1"/>
  <c r="C46" i="15" s="1"/>
  <c r="P16" i="40"/>
  <c r="O46" i="12" s="1"/>
  <c r="AI46" i="12"/>
  <c r="AE46" i="12"/>
  <c r="AE46" i="15" s="1"/>
  <c r="AA46" i="12"/>
  <c r="AA46" i="15" s="1"/>
  <c r="W46" i="12"/>
  <c r="S46" i="12"/>
  <c r="S46" i="15" s="1"/>
  <c r="K46" i="12"/>
  <c r="K46" i="15" s="1"/>
  <c r="G46" i="12"/>
  <c r="G46" i="15" s="1"/>
  <c r="V46" i="15"/>
  <c r="R46" i="15"/>
  <c r="F46" i="15"/>
  <c r="AF46" i="15"/>
  <c r="AB46" i="15"/>
  <c r="D46" i="15"/>
  <c r="AI46" i="15"/>
  <c r="W46" i="15"/>
  <c r="O45" i="14"/>
  <c r="D54" i="36"/>
  <c r="C45" i="14" s="1"/>
  <c r="AK45" i="14"/>
  <c r="AK45" i="15" s="1"/>
  <c r="G14" i="36"/>
  <c r="O14" i="36"/>
  <c r="T14" i="36"/>
  <c r="X14" i="36"/>
  <c r="AB14" i="36"/>
  <c r="AF14" i="36"/>
  <c r="AJ14" i="36"/>
  <c r="R14" i="36"/>
  <c r="AD14" i="36"/>
  <c r="AH14" i="36"/>
  <c r="P45" i="14"/>
  <c r="D45" i="14"/>
  <c r="Z14" i="36"/>
  <c r="AG45" i="13"/>
  <c r="AC45" i="13"/>
  <c r="Q45" i="13"/>
  <c r="Q45" i="15" s="1"/>
  <c r="E14" i="36"/>
  <c r="I14" i="36"/>
  <c r="M14" i="36"/>
  <c r="D45" i="13"/>
  <c r="W14" i="36"/>
  <c r="AA14" i="36"/>
  <c r="AE14" i="36"/>
  <c r="AI14" i="36"/>
  <c r="AM14" i="36"/>
  <c r="P33" i="36"/>
  <c r="O45" i="13" s="1"/>
  <c r="AL45" i="12"/>
  <c r="AL45" i="15" s="1"/>
  <c r="AH45" i="12"/>
  <c r="AD45" i="12"/>
  <c r="AD45" i="15" s="1"/>
  <c r="Z45" i="12"/>
  <c r="V45" i="12"/>
  <c r="R45" i="12"/>
  <c r="R45" i="15" s="1"/>
  <c r="N45" i="12"/>
  <c r="J45" i="12"/>
  <c r="F45" i="12"/>
  <c r="F45" i="15" s="1"/>
  <c r="K14" i="36"/>
  <c r="S14" i="36"/>
  <c r="AJ45" i="12"/>
  <c r="AF45" i="12"/>
  <c r="AB45" i="12"/>
  <c r="X45" i="12"/>
  <c r="X45" i="15" s="1"/>
  <c r="T45" i="12"/>
  <c r="P45" i="12"/>
  <c r="L45" i="12"/>
  <c r="H45" i="12"/>
  <c r="H45" i="15" s="1"/>
  <c r="D45" i="12"/>
  <c r="AF45" i="15"/>
  <c r="AI45" i="12"/>
  <c r="AI45" i="15" s="1"/>
  <c r="AE45" i="12"/>
  <c r="AE45" i="15" s="1"/>
  <c r="AA45" i="12"/>
  <c r="W45" i="12"/>
  <c r="S45" i="12"/>
  <c r="S45" i="15" s="1"/>
  <c r="K45" i="12"/>
  <c r="K45" i="15" s="1"/>
  <c r="G45" i="12"/>
  <c r="W45" i="15"/>
  <c r="G45" i="15"/>
  <c r="Z45" i="15"/>
  <c r="J45" i="15"/>
  <c r="Y45" i="15"/>
  <c r="U45" i="15"/>
  <c r="AG45" i="15"/>
  <c r="AC45" i="15"/>
  <c r="M45" i="15"/>
  <c r="E45" i="15"/>
  <c r="M14" i="39"/>
  <c r="F14" i="39"/>
  <c r="N14" i="39"/>
  <c r="E14" i="39"/>
  <c r="D54" i="39"/>
  <c r="C44" i="14" s="1"/>
  <c r="O44" i="14"/>
  <c r="H44" i="15"/>
  <c r="I14" i="39"/>
  <c r="U14" i="39"/>
  <c r="AK14" i="39"/>
  <c r="G14" i="39"/>
  <c r="K14" i="39"/>
  <c r="O14" i="39"/>
  <c r="T44" i="15"/>
  <c r="AJ44" i="15"/>
  <c r="AB44" i="13"/>
  <c r="AB44" i="15" s="1"/>
  <c r="P44" i="13"/>
  <c r="L44" i="13"/>
  <c r="L44" i="15" s="1"/>
  <c r="D44" i="13"/>
  <c r="D44" i="15" s="1"/>
  <c r="AL44" i="12"/>
  <c r="AL44" i="15" s="1"/>
  <c r="AH44" i="12"/>
  <c r="AD44" i="12"/>
  <c r="Z44" i="12"/>
  <c r="Z44" i="15" s="1"/>
  <c r="V44" i="12"/>
  <c r="R44" i="12"/>
  <c r="M44" i="12"/>
  <c r="I44" i="12"/>
  <c r="I44" i="15" s="1"/>
  <c r="E44" i="12"/>
  <c r="E44" i="15" s="1"/>
  <c r="X14" i="39"/>
  <c r="AF14" i="39"/>
  <c r="AF44" i="12"/>
  <c r="AF44" i="15" s="1"/>
  <c r="X44" i="12"/>
  <c r="X44" i="15" s="1"/>
  <c r="P44" i="12"/>
  <c r="P44" i="15" s="1"/>
  <c r="H14" i="39"/>
  <c r="P16" i="39"/>
  <c r="O44" i="12" s="1"/>
  <c r="O44" i="15" s="1"/>
  <c r="Q44" i="15"/>
  <c r="AD44" i="15"/>
  <c r="R44" i="15"/>
  <c r="AH44" i="15"/>
  <c r="AK44" i="15"/>
  <c r="AG44" i="15"/>
  <c r="C44" i="15"/>
  <c r="U14" i="37"/>
  <c r="AC14" i="37"/>
  <c r="AG14" i="37"/>
  <c r="X43" i="14"/>
  <c r="P43" i="14"/>
  <c r="D43" i="14"/>
  <c r="Q14" i="37"/>
  <c r="AK14" i="37"/>
  <c r="AF43" i="13"/>
  <c r="AF43" i="15" s="1"/>
  <c r="AB43" i="13"/>
  <c r="T43" i="13"/>
  <c r="P43" i="13"/>
  <c r="D43" i="13"/>
  <c r="E14" i="37"/>
  <c r="I14" i="37"/>
  <c r="M14" i="37"/>
  <c r="V14" i="37"/>
  <c r="Z14" i="37"/>
  <c r="AD14" i="37"/>
  <c r="AH14" i="37"/>
  <c r="AL14" i="37"/>
  <c r="L43" i="12"/>
  <c r="H43" i="12"/>
  <c r="H43" i="15" s="1"/>
  <c r="D43" i="12"/>
  <c r="D16" i="37"/>
  <c r="C43" i="12" s="1"/>
  <c r="C43" i="15" s="1"/>
  <c r="AL43" i="12"/>
  <c r="AL43" i="15" s="1"/>
  <c r="AH43" i="12"/>
  <c r="AH43" i="15" s="1"/>
  <c r="AD43" i="12"/>
  <c r="AD43" i="15" s="1"/>
  <c r="Z43" i="12"/>
  <c r="Z43" i="15" s="1"/>
  <c r="V43" i="12"/>
  <c r="R43" i="12"/>
  <c r="R43" i="15" s="1"/>
  <c r="N43" i="12"/>
  <c r="J43" i="12"/>
  <c r="J43" i="15" s="1"/>
  <c r="F43" i="12"/>
  <c r="F43" i="15" s="1"/>
  <c r="AJ43" i="15"/>
  <c r="X43" i="15"/>
  <c r="P43" i="15"/>
  <c r="AK43" i="12"/>
  <c r="AK43" i="15" s="1"/>
  <c r="AG43" i="12"/>
  <c r="AC43" i="12"/>
  <c r="AC43" i="15" s="1"/>
  <c r="Y43" i="12"/>
  <c r="U43" i="12"/>
  <c r="Q43" i="12"/>
  <c r="Q43" i="15" s="1"/>
  <c r="M43" i="12"/>
  <c r="M43" i="15" s="1"/>
  <c r="I43" i="12"/>
  <c r="I43" i="15" s="1"/>
  <c r="E43" i="12"/>
  <c r="E43" i="15" s="1"/>
  <c r="AA43" i="15"/>
  <c r="W43" i="15"/>
  <c r="K43" i="15"/>
  <c r="G43" i="15"/>
  <c r="U43" i="15"/>
  <c r="Y43" i="15"/>
  <c r="O31" i="14"/>
  <c r="D54" i="30"/>
  <c r="C31" i="14" s="1"/>
  <c r="AM14" i="30"/>
  <c r="D33" i="30"/>
  <c r="C31" i="13" s="1"/>
  <c r="Q31" i="13"/>
  <c r="Q31" i="15" s="1"/>
  <c r="I31" i="13"/>
  <c r="E14" i="30"/>
  <c r="I14" i="30"/>
  <c r="M14" i="30"/>
  <c r="V14" i="30"/>
  <c r="AD14" i="30"/>
  <c r="AL14" i="30"/>
  <c r="F14" i="30"/>
  <c r="N14" i="30"/>
  <c r="S14" i="30"/>
  <c r="AA14" i="30"/>
  <c r="AI14" i="30"/>
  <c r="J14" i="30"/>
  <c r="R14" i="30"/>
  <c r="Z14" i="30"/>
  <c r="AH14" i="30"/>
  <c r="AH31" i="12"/>
  <c r="Z31" i="12"/>
  <c r="Z31" i="15" s="1"/>
  <c r="R31" i="12"/>
  <c r="R31" i="15" s="1"/>
  <c r="J31" i="12"/>
  <c r="D16" i="30"/>
  <c r="C31" i="12" s="1"/>
  <c r="P16" i="30"/>
  <c r="O31" i="12" s="1"/>
  <c r="AK31" i="12"/>
  <c r="AK31" i="15" s="1"/>
  <c r="AC31" i="12"/>
  <c r="AC31" i="15" s="1"/>
  <c r="U31" i="12"/>
  <c r="U31" i="15" s="1"/>
  <c r="M31" i="12"/>
  <c r="E31" i="12"/>
  <c r="E31" i="15" s="1"/>
  <c r="AJ31" i="12"/>
  <c r="AJ31" i="15" s="1"/>
  <c r="AF31" i="12"/>
  <c r="AF31" i="15" s="1"/>
  <c r="AB31" i="12"/>
  <c r="AB31" i="15" s="1"/>
  <c r="X31" i="12"/>
  <c r="X31" i="15" s="1"/>
  <c r="T31" i="12"/>
  <c r="T31" i="15" s="1"/>
  <c r="P31" i="12"/>
  <c r="P31" i="15" s="1"/>
  <c r="L31" i="12"/>
  <c r="L31" i="15" s="1"/>
  <c r="H31" i="12"/>
  <c r="H31" i="15" s="1"/>
  <c r="D31" i="12"/>
  <c r="D31" i="15" s="1"/>
  <c r="J31" i="15"/>
  <c r="M31" i="15"/>
  <c r="I31" i="15"/>
  <c r="AL31" i="15"/>
  <c r="O38" i="14"/>
  <c r="D54" i="46"/>
  <c r="C38" i="14" s="1"/>
  <c r="U38" i="14"/>
  <c r="Q38" i="14"/>
  <c r="I38" i="14"/>
  <c r="Z14" i="46"/>
  <c r="AH14" i="46"/>
  <c r="AD14" i="46"/>
  <c r="F14" i="46"/>
  <c r="AL14" i="46"/>
  <c r="F38" i="15"/>
  <c r="N14" i="46"/>
  <c r="Q38" i="13"/>
  <c r="Q38" i="15" s="1"/>
  <c r="AL38" i="12"/>
  <c r="AL38" i="15" s="1"/>
  <c r="AD38" i="12"/>
  <c r="AD38" i="15" s="1"/>
  <c r="V38" i="12"/>
  <c r="V38" i="15" s="1"/>
  <c r="R38" i="12"/>
  <c r="R38" i="15" s="1"/>
  <c r="J38" i="12"/>
  <c r="J38" i="15" s="1"/>
  <c r="G14" i="46"/>
  <c r="K14" i="46"/>
  <c r="O14" i="46"/>
  <c r="S14" i="46"/>
  <c r="AA14" i="46"/>
  <c r="AI14" i="46"/>
  <c r="AJ38" i="12"/>
  <c r="AF38" i="12"/>
  <c r="AB38" i="12"/>
  <c r="AB38" i="15" s="1"/>
  <c r="X38" i="12"/>
  <c r="X38" i="15" s="1"/>
  <c r="T38" i="12"/>
  <c r="P38" i="12"/>
  <c r="P38" i="15" s="1"/>
  <c r="L38" i="12"/>
  <c r="L38" i="15" s="1"/>
  <c r="H38" i="12"/>
  <c r="H38" i="15" s="1"/>
  <c r="D38" i="12"/>
  <c r="AI38" i="12"/>
  <c r="AI38" i="15" s="1"/>
  <c r="AE38" i="12"/>
  <c r="AA38" i="12"/>
  <c r="AA38" i="15" s="1"/>
  <c r="W38" i="12"/>
  <c r="S38" i="12"/>
  <c r="S38" i="15" s="1"/>
  <c r="K38" i="12"/>
  <c r="K38" i="15" s="1"/>
  <c r="G38" i="12"/>
  <c r="T38" i="15"/>
  <c r="AJ38" i="15"/>
  <c r="AE38" i="15"/>
  <c r="W38" i="15"/>
  <c r="G38" i="15"/>
  <c r="M14" i="41"/>
  <c r="G33" i="13"/>
  <c r="AC14" i="41"/>
  <c r="F14" i="41"/>
  <c r="N14" i="41"/>
  <c r="L14" i="41"/>
  <c r="D33" i="13"/>
  <c r="D33" i="15" s="1"/>
  <c r="T14" i="41"/>
  <c r="AF14" i="41"/>
  <c r="AJ14" i="41"/>
  <c r="AL33" i="12"/>
  <c r="AH33" i="12"/>
  <c r="AD33" i="12"/>
  <c r="AD33" i="15" s="1"/>
  <c r="Z33" i="12"/>
  <c r="V33" i="12"/>
  <c r="R33" i="12"/>
  <c r="R33" i="15" s="1"/>
  <c r="N33" i="12"/>
  <c r="N33" i="15" s="1"/>
  <c r="J33" i="12"/>
  <c r="J33" i="15" s="1"/>
  <c r="F33" i="12"/>
  <c r="Q14" i="41"/>
  <c r="U14" i="41"/>
  <c r="AG14" i="41"/>
  <c r="AK14" i="41"/>
  <c r="M33" i="12"/>
  <c r="I33" i="12"/>
  <c r="I33" i="15" s="1"/>
  <c r="E33" i="12"/>
  <c r="E33" i="15" s="1"/>
  <c r="V33" i="15"/>
  <c r="Y14" i="41"/>
  <c r="P16" i="41"/>
  <c r="O33" i="12" s="1"/>
  <c r="O33" i="15" s="1"/>
  <c r="AK33" i="15"/>
  <c r="AG33" i="15"/>
  <c r="M33" i="15"/>
  <c r="K33" i="15"/>
  <c r="AI33" i="15"/>
  <c r="S33" i="15"/>
  <c r="AE33" i="15"/>
  <c r="W33" i="15"/>
  <c r="G33" i="15"/>
  <c r="P54" i="28"/>
  <c r="O29" i="14" s="1"/>
  <c r="D54" i="28"/>
  <c r="C29" i="14" s="1"/>
  <c r="N29" i="13"/>
  <c r="N29" i="15" s="1"/>
  <c r="F29" i="13"/>
  <c r="K14" i="28"/>
  <c r="D14" i="28" s="1"/>
  <c r="D33" i="28"/>
  <c r="C29" i="13" s="1"/>
  <c r="U29" i="15"/>
  <c r="P33" i="28"/>
  <c r="O29" i="13" s="1"/>
  <c r="Q29" i="13"/>
  <c r="I29" i="13"/>
  <c r="AI29" i="12"/>
  <c r="AE29" i="12"/>
  <c r="AE29" i="15" s="1"/>
  <c r="AA29" i="12"/>
  <c r="AA29" i="15" s="1"/>
  <c r="W29" i="12"/>
  <c r="W29" i="15" s="1"/>
  <c r="S29" i="12"/>
  <c r="K29" i="12"/>
  <c r="K29" i="15" s="1"/>
  <c r="G29" i="12"/>
  <c r="G29" i="15" s="1"/>
  <c r="AG29" i="12"/>
  <c r="AG29" i="15" s="1"/>
  <c r="Y29" i="12"/>
  <c r="Y29" i="15" s="1"/>
  <c r="Q29" i="12"/>
  <c r="I29" i="12"/>
  <c r="I29" i="15"/>
  <c r="AJ29" i="12"/>
  <c r="AF29" i="12"/>
  <c r="AF29" i="15" s="1"/>
  <c r="AB29" i="12"/>
  <c r="AB29" i="15" s="1"/>
  <c r="X29" i="12"/>
  <c r="X29" i="15" s="1"/>
  <c r="T29" i="12"/>
  <c r="T29" i="15" s="1"/>
  <c r="P29" i="12"/>
  <c r="P29" i="15" s="1"/>
  <c r="L29" i="12"/>
  <c r="H29" i="12"/>
  <c r="H29" i="15" s="1"/>
  <c r="D29" i="12"/>
  <c r="D29" i="15"/>
  <c r="S29" i="15"/>
  <c r="AJ29" i="15"/>
  <c r="L29" i="15"/>
  <c r="AD29" i="15"/>
  <c r="AC27" i="14"/>
  <c r="U27" i="14"/>
  <c r="U27" i="15" s="1"/>
  <c r="Q27" i="14"/>
  <c r="Q27" i="15" s="1"/>
  <c r="D54" i="27"/>
  <c r="C27" i="14" s="1"/>
  <c r="E14" i="27"/>
  <c r="I14" i="27"/>
  <c r="M14" i="27"/>
  <c r="W14" i="27"/>
  <c r="AA14" i="27"/>
  <c r="AE14" i="27"/>
  <c r="AI14" i="27"/>
  <c r="AM14" i="27"/>
  <c r="R14" i="27"/>
  <c r="AH14" i="27"/>
  <c r="Y27" i="13"/>
  <c r="Q27" i="13"/>
  <c r="AL27" i="12"/>
  <c r="AH27" i="12"/>
  <c r="AH27" i="15" s="1"/>
  <c r="AD27" i="12"/>
  <c r="Z27" i="12"/>
  <c r="V27" i="12"/>
  <c r="R27" i="12"/>
  <c r="R27" i="15" s="1"/>
  <c r="N27" i="12"/>
  <c r="N27" i="15" s="1"/>
  <c r="J27" i="12"/>
  <c r="F27" i="12"/>
  <c r="F27" i="15" s="1"/>
  <c r="K14" i="27"/>
  <c r="S14" i="27"/>
  <c r="AJ27" i="12"/>
  <c r="AJ27" i="15" s="1"/>
  <c r="AF27" i="12"/>
  <c r="AB27" i="12"/>
  <c r="AB27" i="15" s="1"/>
  <c r="X27" i="12"/>
  <c r="X27" i="15" s="1"/>
  <c r="T27" i="12"/>
  <c r="T27" i="15" s="1"/>
  <c r="P27" i="12"/>
  <c r="P27" i="15" s="1"/>
  <c r="L27" i="12"/>
  <c r="L27" i="15" s="1"/>
  <c r="H27" i="12"/>
  <c r="D27" i="12"/>
  <c r="AI27" i="12"/>
  <c r="AE27" i="12"/>
  <c r="AE27" i="15" s="1"/>
  <c r="AA27" i="12"/>
  <c r="AA27" i="15" s="1"/>
  <c r="W27" i="12"/>
  <c r="S27" i="12"/>
  <c r="S27" i="15" s="1"/>
  <c r="K27" i="12"/>
  <c r="K27" i="15" s="1"/>
  <c r="G27" i="12"/>
  <c r="G27" i="15" s="1"/>
  <c r="P14" i="11"/>
  <c r="AG27" i="15"/>
  <c r="AC27" i="15"/>
  <c r="AF27" i="15"/>
  <c r="H27" i="15"/>
  <c r="D27" i="15"/>
  <c r="Q14" i="11"/>
  <c r="AI27" i="15"/>
  <c r="D54" i="22"/>
  <c r="C21" i="14" s="1"/>
  <c r="Q21" i="14"/>
  <c r="I21" i="14"/>
  <c r="K14" i="22"/>
  <c r="U21" i="15"/>
  <c r="AC21" i="15"/>
  <c r="AK21" i="15"/>
  <c r="P33" i="22"/>
  <c r="O21" i="13" s="1"/>
  <c r="V14" i="22"/>
  <c r="E21" i="15"/>
  <c r="M21" i="15"/>
  <c r="V21" i="15"/>
  <c r="AD21" i="15"/>
  <c r="D33" i="22"/>
  <c r="C21" i="13" s="1"/>
  <c r="Q21" i="13"/>
  <c r="I21" i="13"/>
  <c r="AL21" i="12"/>
  <c r="AH21" i="12"/>
  <c r="N14" i="22"/>
  <c r="W14" i="22"/>
  <c r="AE21" i="12"/>
  <c r="N21" i="12"/>
  <c r="Z21" i="12"/>
  <c r="Z21" i="15" s="1"/>
  <c r="G21" i="12"/>
  <c r="G21" i="15" s="1"/>
  <c r="K21" i="12"/>
  <c r="F14" i="22"/>
  <c r="AL14" i="22"/>
  <c r="AI21" i="12"/>
  <c r="AI21" i="15" s="1"/>
  <c r="AA21" i="12"/>
  <c r="AA21" i="15" s="1"/>
  <c r="S21" i="12"/>
  <c r="S21" i="15" s="1"/>
  <c r="AG21" i="12"/>
  <c r="AG21" i="15" s="1"/>
  <c r="Y21" i="12"/>
  <c r="Y21" i="15" s="1"/>
  <c r="Q21" i="12"/>
  <c r="I21" i="12"/>
  <c r="D16" i="22"/>
  <c r="C21" i="12" s="1"/>
  <c r="O21" i="12"/>
  <c r="AJ21" i="12"/>
  <c r="AJ21" i="15" s="1"/>
  <c r="AF21" i="12"/>
  <c r="AF21" i="15" s="1"/>
  <c r="AB21" i="12"/>
  <c r="AB21" i="15" s="1"/>
  <c r="X21" i="12"/>
  <c r="X21" i="15" s="1"/>
  <c r="T21" i="12"/>
  <c r="T21" i="15" s="1"/>
  <c r="P21" i="12"/>
  <c r="L21" i="12"/>
  <c r="L21" i="15" s="1"/>
  <c r="H21" i="12"/>
  <c r="H21" i="15" s="1"/>
  <c r="D21" i="12"/>
  <c r="D21" i="15" s="1"/>
  <c r="K21" i="15"/>
  <c r="D14" i="11"/>
  <c r="AE21" i="15"/>
  <c r="J21" i="15"/>
  <c r="F21" i="15"/>
  <c r="AH14" i="11"/>
  <c r="AH18" i="14"/>
  <c r="AH18" i="15" s="1"/>
  <c r="Z18" i="14"/>
  <c r="Z18" i="15" s="1"/>
  <c r="F18" i="14"/>
  <c r="P54" i="20"/>
  <c r="O18" i="14" s="1"/>
  <c r="O18" i="15" s="1"/>
  <c r="T14" i="20"/>
  <c r="X14" i="20"/>
  <c r="AB14" i="20"/>
  <c r="AF14" i="20"/>
  <c r="AJ14" i="20"/>
  <c r="D54" i="20"/>
  <c r="C18" i="14" s="1"/>
  <c r="C18" i="15" s="1"/>
  <c r="P18" i="14"/>
  <c r="D18" i="14"/>
  <c r="R14" i="20"/>
  <c r="AG18" i="13"/>
  <c r="AG18" i="15" s="1"/>
  <c r="I18" i="13"/>
  <c r="I18" i="15" s="1"/>
  <c r="E14" i="20"/>
  <c r="I14" i="20"/>
  <c r="M14" i="20"/>
  <c r="V14" i="20"/>
  <c r="AD14" i="20"/>
  <c r="AL14" i="20"/>
  <c r="D18" i="13"/>
  <c r="F14" i="20"/>
  <c r="N14" i="20"/>
  <c r="P33" i="20"/>
  <c r="O18" i="13" s="1"/>
  <c r="W18" i="15"/>
  <c r="F18" i="15"/>
  <c r="Z14" i="11"/>
  <c r="V18" i="15"/>
  <c r="AG14" i="11"/>
  <c r="AI18" i="15"/>
  <c r="AE18" i="15"/>
  <c r="AA18" i="15"/>
  <c r="S18" i="15"/>
  <c r="K18" i="15"/>
  <c r="G18" i="15"/>
  <c r="AK18" i="12"/>
  <c r="AK18" i="15" s="1"/>
  <c r="AC18" i="12"/>
  <c r="U18" i="12"/>
  <c r="M18" i="12"/>
  <c r="M18" i="15" s="1"/>
  <c r="E18" i="12"/>
  <c r="E18" i="15" s="1"/>
  <c r="D16" i="20"/>
  <c r="C18" i="12" s="1"/>
  <c r="P16" i="20"/>
  <c r="O18" i="12" s="1"/>
  <c r="AJ18" i="12"/>
  <c r="AJ18" i="15" s="1"/>
  <c r="AF18" i="12"/>
  <c r="AF18" i="15" s="1"/>
  <c r="AB18" i="12"/>
  <c r="AB18" i="15" s="1"/>
  <c r="X18" i="12"/>
  <c r="T18" i="12"/>
  <c r="T18" i="15" s="1"/>
  <c r="P18" i="12"/>
  <c r="L18" i="12"/>
  <c r="H18" i="12"/>
  <c r="D18" i="12"/>
  <c r="O15" i="14"/>
  <c r="AD14" i="18"/>
  <c r="D54" i="18"/>
  <c r="C15" i="14" s="1"/>
  <c r="AK15" i="14"/>
  <c r="Q15" i="14"/>
  <c r="I15" i="14"/>
  <c r="E15" i="14"/>
  <c r="AL15" i="13"/>
  <c r="AD15" i="13"/>
  <c r="AD15" i="15" s="1"/>
  <c r="V15" i="13"/>
  <c r="V15" i="15" s="1"/>
  <c r="M15" i="13"/>
  <c r="I15" i="13"/>
  <c r="O15" i="13"/>
  <c r="J14" i="18"/>
  <c r="R14" i="18"/>
  <c r="Z14" i="18"/>
  <c r="AH14" i="18"/>
  <c r="D16" i="18"/>
  <c r="C15" i="12" s="1"/>
  <c r="O15" i="12"/>
  <c r="AJ15" i="12"/>
  <c r="AF15" i="12"/>
  <c r="AF15" i="15" s="1"/>
  <c r="AB15" i="12"/>
  <c r="X15" i="12"/>
  <c r="T15" i="12"/>
  <c r="T15" i="15" s="1"/>
  <c r="P15" i="12"/>
  <c r="P15" i="15" s="1"/>
  <c r="L15" i="12"/>
  <c r="H15" i="12"/>
  <c r="D15" i="12"/>
  <c r="D15" i="15" s="1"/>
  <c r="AA15" i="15"/>
  <c r="W53" i="15"/>
  <c r="G53" i="15"/>
  <c r="V52" i="15"/>
  <c r="J52" i="15"/>
  <c r="C45" i="15"/>
  <c r="V55" i="15"/>
  <c r="AJ56" i="15"/>
  <c r="X56" i="15"/>
  <c r="T56" i="15"/>
  <c r="AI55" i="15"/>
  <c r="W55" i="15"/>
  <c r="G55" i="15"/>
  <c r="P50" i="15"/>
  <c r="O53" i="15"/>
  <c r="F52" i="15"/>
  <c r="I45" i="15"/>
  <c r="AE43" i="15"/>
  <c r="O43" i="15"/>
  <c r="AG31" i="15"/>
  <c r="Y31" i="15"/>
  <c r="AI29" i="15"/>
  <c r="AH28" i="15"/>
  <c r="J28" i="15"/>
  <c r="AF26" i="15"/>
  <c r="W24" i="15"/>
  <c r="K24" i="15"/>
  <c r="AE19" i="15"/>
  <c r="F56" i="15"/>
  <c r="AB52" i="15"/>
  <c r="AJ53" i="15"/>
  <c r="X53" i="15"/>
  <c r="Z50" i="15"/>
  <c r="R50" i="15"/>
  <c r="L46" i="15"/>
  <c r="O45" i="15"/>
  <c r="AG43" i="15"/>
  <c r="AK34" i="15"/>
  <c r="AG34" i="15"/>
  <c r="Y34" i="15"/>
  <c r="Q34" i="15"/>
  <c r="AJ28" i="15"/>
  <c r="W27" i="15"/>
  <c r="W21" i="15"/>
  <c r="AE17" i="15"/>
  <c r="K17" i="15"/>
  <c r="M15" i="15"/>
  <c r="R54" i="14"/>
  <c r="R54" i="15" s="1"/>
  <c r="N54" i="14"/>
  <c r="N54" i="15" s="1"/>
  <c r="J54" i="14"/>
  <c r="J54" i="15" s="1"/>
  <c r="F54" i="14"/>
  <c r="F54" i="15" s="1"/>
  <c r="D54" i="10"/>
  <c r="C54" i="14" s="1"/>
  <c r="H54" i="15"/>
  <c r="AH54" i="15"/>
  <c r="AD54" i="15"/>
  <c r="S54" i="15"/>
  <c r="G54" i="15"/>
  <c r="X54" i="15"/>
  <c r="AB54" i="15"/>
  <c r="P54" i="15"/>
  <c r="L54" i="15"/>
  <c r="AK54" i="12"/>
  <c r="AG54" i="12"/>
  <c r="AC54" i="12"/>
  <c r="Y54" i="12"/>
  <c r="U54" i="12"/>
  <c r="C54" i="15"/>
  <c r="AI54" i="15"/>
  <c r="AE54" i="15"/>
  <c r="AA54" i="15"/>
  <c r="W54" i="15"/>
  <c r="K54" i="15"/>
  <c r="X14" i="10"/>
  <c r="AB14" i="10"/>
  <c r="AF14" i="10"/>
  <c r="G17" i="15"/>
  <c r="E15" i="15"/>
  <c r="S17" i="15"/>
  <c r="AK15" i="15"/>
  <c r="AE16" i="15"/>
  <c r="AI35" i="15"/>
  <c r="AE35" i="15"/>
  <c r="AA35" i="15"/>
  <c r="W35" i="15"/>
  <c r="S35" i="15"/>
  <c r="K35" i="15"/>
  <c r="G35" i="15"/>
  <c r="AI31" i="15"/>
  <c r="AE31" i="15"/>
  <c r="AA31" i="15"/>
  <c r="W31" i="15"/>
  <c r="S31" i="15"/>
  <c r="O31" i="15"/>
  <c r="G31" i="15"/>
  <c r="S43" i="15"/>
  <c r="AI43" i="15"/>
  <c r="AA45" i="15"/>
  <c r="G15" i="15"/>
  <c r="AI15" i="15"/>
  <c r="AF37" i="15"/>
  <c r="X37" i="15"/>
  <c r="T37" i="15"/>
  <c r="P37" i="15"/>
  <c r="L37" i="15"/>
  <c r="H37" i="15"/>
  <c r="D37" i="15"/>
  <c r="AJ33" i="15"/>
  <c r="AF33" i="15"/>
  <c r="AB33" i="15"/>
  <c r="X33" i="15"/>
  <c r="T33" i="15"/>
  <c r="P33" i="15"/>
  <c r="L33" i="15"/>
  <c r="H33" i="15"/>
  <c r="P21" i="15"/>
  <c r="AF17" i="15"/>
  <c r="X17" i="15"/>
  <c r="T17" i="15"/>
  <c r="P17" i="15"/>
  <c r="AB24" i="15"/>
  <c r="L24" i="15"/>
  <c r="D24" i="15"/>
  <c r="AF20" i="15"/>
  <c r="X20" i="15"/>
  <c r="T20" i="15"/>
  <c r="P20" i="15"/>
  <c r="L20" i="15"/>
  <c r="D20" i="15"/>
  <c r="AJ16" i="15"/>
  <c r="D16" i="15"/>
  <c r="X19" i="15"/>
  <c r="L28" i="15"/>
  <c r="L34" i="15"/>
  <c r="H35" i="15"/>
  <c r="AF35" i="15"/>
  <c r="D36" i="15"/>
  <c r="AF38" i="15"/>
  <c r="AJ40" i="15"/>
  <c r="H42" i="15"/>
  <c r="T42" i="15"/>
  <c r="L43" i="15"/>
  <c r="T43" i="15"/>
  <c r="AB43" i="15"/>
  <c r="L45" i="15"/>
  <c r="T45" i="15"/>
  <c r="AB45" i="15"/>
  <c r="AJ45" i="15"/>
  <c r="H52" i="15"/>
  <c r="P52" i="15"/>
  <c r="H53" i="15"/>
  <c r="L53" i="15"/>
  <c r="P53" i="15"/>
  <c r="T53" i="15"/>
  <c r="AF53" i="15"/>
  <c r="D54" i="15"/>
  <c r="T54" i="15"/>
  <c r="AF54" i="15"/>
  <c r="AJ54" i="15"/>
  <c r="L56" i="15"/>
  <c r="AB56" i="15"/>
  <c r="AG16" i="15"/>
  <c r="E17" i="15"/>
  <c r="U19" i="15"/>
  <c r="AK19" i="15"/>
  <c r="Y20" i="15"/>
  <c r="I27" i="15"/>
  <c r="E29" i="15"/>
  <c r="M29" i="15"/>
  <c r="I30" i="15"/>
  <c r="U35" i="15"/>
  <c r="E37" i="15"/>
  <c r="M44" i="15"/>
  <c r="U44" i="15"/>
  <c r="AC44" i="15"/>
  <c r="E53" i="15"/>
  <c r="U53" i="15"/>
  <c r="AK53" i="15"/>
  <c r="I55" i="15"/>
  <c r="AG55" i="15"/>
  <c r="AG56" i="15"/>
  <c r="U17" i="15"/>
  <c r="AG17" i="15"/>
  <c r="AC19" i="15"/>
  <c r="E20" i="15"/>
  <c r="AC20" i="15"/>
  <c r="U23" i="15"/>
  <c r="AK23" i="15"/>
  <c r="E24" i="15"/>
  <c r="I24" i="15"/>
  <c r="Y24" i="15"/>
  <c r="AC24" i="15"/>
  <c r="AG24" i="15"/>
  <c r="E27" i="15"/>
  <c r="M27" i="15"/>
  <c r="Y27" i="15"/>
  <c r="AK27" i="15"/>
  <c r="AC29" i="15"/>
  <c r="AK29" i="15"/>
  <c r="M30" i="15"/>
  <c r="Y30" i="15"/>
  <c r="AG30" i="15"/>
  <c r="Q33" i="15"/>
  <c r="Y33" i="15"/>
  <c r="AC33" i="15"/>
  <c r="AC35" i="15"/>
  <c r="I36" i="15"/>
  <c r="M36" i="15"/>
  <c r="Y36" i="15"/>
  <c r="I37" i="15"/>
  <c r="U37" i="15"/>
  <c r="AK37" i="15"/>
  <c r="I40" i="15"/>
  <c r="Y40" i="15"/>
  <c r="Y44" i="15"/>
  <c r="M52" i="15"/>
  <c r="Y52" i="15"/>
  <c r="I53" i="15"/>
  <c r="M53" i="15"/>
  <c r="Q53" i="15"/>
  <c r="Y53" i="15"/>
  <c r="AC53" i="15"/>
  <c r="AG53" i="15"/>
  <c r="E55" i="15"/>
  <c r="U55" i="15"/>
  <c r="F16" i="15"/>
  <c r="N16" i="15"/>
  <c r="R16" i="15"/>
  <c r="Z16" i="15"/>
  <c r="AH16" i="15"/>
  <c r="AL16" i="15"/>
  <c r="J17" i="15"/>
  <c r="N17" i="15"/>
  <c r="V17" i="15"/>
  <c r="AD17" i="15"/>
  <c r="AH17" i="15"/>
  <c r="AL17" i="15"/>
  <c r="J18" i="15"/>
  <c r="R18" i="15"/>
  <c r="AL18" i="15"/>
  <c r="F20" i="15"/>
  <c r="N20" i="15"/>
  <c r="AD20" i="15"/>
  <c r="N21" i="15"/>
  <c r="R21" i="15"/>
  <c r="AH21" i="15"/>
  <c r="AL21" i="15"/>
  <c r="J23" i="15"/>
  <c r="N23" i="15"/>
  <c r="Z23" i="15"/>
  <c r="R24" i="15"/>
  <c r="Z24" i="15"/>
  <c r="AD24" i="15"/>
  <c r="J26" i="15"/>
  <c r="N26" i="15"/>
  <c r="AD28" i="15"/>
  <c r="AL28" i="15"/>
  <c r="F29" i="15"/>
  <c r="J29" i="15"/>
  <c r="R29" i="15"/>
  <c r="V29" i="15"/>
  <c r="AH29" i="15"/>
  <c r="AL29" i="15"/>
  <c r="R30" i="15"/>
  <c r="AH30" i="15"/>
  <c r="N31" i="15"/>
  <c r="V31" i="15"/>
  <c r="AD31" i="15"/>
  <c r="F33" i="15"/>
  <c r="Z33" i="15"/>
  <c r="AH33" i="15"/>
  <c r="AL33" i="15"/>
  <c r="F34" i="15"/>
  <c r="R34" i="15"/>
  <c r="AD34" i="15"/>
  <c r="F35" i="15"/>
  <c r="AD35" i="15"/>
  <c r="F36" i="15"/>
  <c r="N36" i="15"/>
  <c r="V36" i="15"/>
  <c r="AD36" i="15"/>
  <c r="AL36" i="15"/>
  <c r="AD37" i="15"/>
  <c r="AL37" i="15"/>
  <c r="N38" i="15"/>
  <c r="Z38" i="15"/>
  <c r="AH38" i="15"/>
  <c r="F39" i="15"/>
  <c r="N39" i="15"/>
  <c r="V39" i="15"/>
  <c r="AD39" i="15"/>
  <c r="AH39" i="15"/>
  <c r="F40" i="15"/>
  <c r="J40" i="15"/>
  <c r="R40" i="15"/>
  <c r="V40" i="15"/>
  <c r="AH40" i="15"/>
  <c r="AL40" i="15"/>
  <c r="AH42" i="15"/>
  <c r="AL42" i="15"/>
  <c r="N43" i="15"/>
  <c r="V43" i="15"/>
  <c r="F44" i="15"/>
  <c r="J44" i="15"/>
  <c r="N44" i="15"/>
  <c r="V44" i="15"/>
  <c r="N45" i="15"/>
  <c r="V45" i="15"/>
  <c r="AH45" i="15"/>
  <c r="J46" i="15"/>
  <c r="N46" i="15"/>
  <c r="Z46" i="15"/>
  <c r="AD46" i="15"/>
  <c r="AH46" i="15"/>
  <c r="J50" i="15"/>
  <c r="N50" i="15"/>
  <c r="V50" i="15"/>
  <c r="AD50" i="15"/>
  <c r="N52" i="15"/>
  <c r="R52" i="15"/>
  <c r="Z52" i="15"/>
  <c r="AD52" i="15"/>
  <c r="AH52" i="15"/>
  <c r="AL52" i="15"/>
  <c r="F53" i="15"/>
  <c r="N53" i="15"/>
  <c r="V54" i="15"/>
  <c r="Z54" i="15"/>
  <c r="AL54" i="15"/>
  <c r="F55" i="15"/>
  <c r="N55" i="15"/>
  <c r="Z55" i="15"/>
  <c r="AD55" i="15"/>
  <c r="AH55" i="15"/>
  <c r="N56" i="15"/>
  <c r="AH56" i="15"/>
  <c r="X15" i="15"/>
  <c r="AB15" i="15"/>
  <c r="U15" i="15"/>
  <c r="AG15" i="15"/>
  <c r="AC15" i="15"/>
  <c r="Q15" i="15"/>
  <c r="AL26" i="15"/>
  <c r="AH26" i="15"/>
  <c r="Z26" i="15"/>
  <c r="V26" i="15"/>
  <c r="F26" i="15"/>
  <c r="Q21" i="15"/>
  <c r="AD18" i="15"/>
  <c r="N18" i="15"/>
  <c r="M17" i="15"/>
  <c r="AK54" i="15"/>
  <c r="AG54" i="15"/>
  <c r="AC54" i="15"/>
  <c r="Y54" i="15"/>
  <c r="U54" i="15"/>
  <c r="Q54" i="15"/>
  <c r="M54" i="15"/>
  <c r="I54" i="15"/>
  <c r="E54" i="15"/>
  <c r="AK50" i="15"/>
  <c r="AG50" i="15"/>
  <c r="AC50" i="15"/>
  <c r="Y50" i="15"/>
  <c r="U50" i="15"/>
  <c r="M50" i="15"/>
  <c r="I50" i="15"/>
  <c r="E50" i="15"/>
  <c r="AK46" i="15"/>
  <c r="AC46" i="15"/>
  <c r="U46" i="15"/>
  <c r="I46" i="15"/>
  <c r="E46" i="15"/>
  <c r="AK42" i="15"/>
  <c r="AG42" i="15"/>
  <c r="AC42" i="15"/>
  <c r="Y42" i="15"/>
  <c r="U42" i="15"/>
  <c r="Q42" i="15"/>
  <c r="M42" i="15"/>
  <c r="I42" i="15"/>
  <c r="E42" i="15"/>
  <c r="AK38" i="15"/>
  <c r="AG38" i="15"/>
  <c r="AC38" i="15"/>
  <c r="Y38" i="15"/>
  <c r="U38" i="15"/>
  <c r="M38" i="15"/>
  <c r="I38" i="15"/>
  <c r="E38" i="15"/>
  <c r="AH35" i="15"/>
  <c r="Z35" i="15"/>
  <c r="R35" i="15"/>
  <c r="AH31" i="15"/>
  <c r="F31" i="15"/>
  <c r="AL27" i="15"/>
  <c r="AD27" i="15"/>
  <c r="Z27" i="15"/>
  <c r="V27" i="15"/>
  <c r="J27" i="15"/>
  <c r="AK26" i="15"/>
  <c r="AG26" i="15"/>
  <c r="Y26" i="15"/>
  <c r="U26" i="15"/>
  <c r="M26" i="15"/>
  <c r="I26" i="15"/>
  <c r="AL23" i="15"/>
  <c r="AH23" i="15"/>
  <c r="V23" i="15"/>
  <c r="AL19" i="15"/>
  <c r="AD19" i="15"/>
  <c r="Z19" i="15"/>
  <c r="V19" i="15"/>
  <c r="N19" i="15"/>
  <c r="J19" i="15"/>
  <c r="F19" i="15"/>
  <c r="AC18" i="15"/>
  <c r="U18" i="15"/>
  <c r="Q18" i="15"/>
  <c r="AH15" i="15"/>
  <c r="L15" i="15"/>
  <c r="H15" i="15"/>
  <c r="K15" i="15"/>
  <c r="AE15" i="15"/>
  <c r="AE56" i="15"/>
  <c r="W56" i="15"/>
  <c r="K56" i="15"/>
  <c r="G56" i="15"/>
  <c r="AI52" i="15"/>
  <c r="AE52" i="15"/>
  <c r="AA52" i="15"/>
  <c r="S52" i="15"/>
  <c r="O52" i="15"/>
  <c r="K52" i="15"/>
  <c r="G52" i="15"/>
  <c r="S15" i="15"/>
  <c r="AI44" i="15"/>
  <c r="AE44" i="15"/>
  <c r="AA44" i="15"/>
  <c r="W44" i="15"/>
  <c r="S44" i="15"/>
  <c r="K44" i="15"/>
  <c r="G44" i="15"/>
  <c r="AI40" i="15"/>
  <c r="AE40" i="15"/>
  <c r="AA40" i="15"/>
  <c r="W40" i="15"/>
  <c r="S40" i="15"/>
  <c r="K40" i="15"/>
  <c r="G40" i="15"/>
  <c r="AA36" i="15"/>
  <c r="W36" i="15"/>
  <c r="S36" i="15"/>
  <c r="K36" i="15"/>
  <c r="AI28" i="15"/>
  <c r="W28" i="15"/>
  <c r="S28" i="15"/>
  <c r="K28" i="15"/>
  <c r="G28" i="15"/>
  <c r="AI24" i="15"/>
  <c r="AE24" i="15"/>
  <c r="S24" i="15"/>
  <c r="G24" i="15"/>
  <c r="AE20" i="15"/>
  <c r="AA20" i="15"/>
  <c r="S20" i="15"/>
  <c r="G20" i="15"/>
  <c r="AI16" i="15"/>
  <c r="AA16" i="15"/>
  <c r="W16" i="15"/>
  <c r="S16" i="15"/>
  <c r="G16" i="15"/>
  <c r="L26" i="15"/>
  <c r="H26" i="15"/>
  <c r="X18" i="15"/>
  <c r="L18" i="15"/>
  <c r="H18" i="15"/>
  <c r="AJ15" i="15"/>
  <c r="Y15" i="15"/>
  <c r="AK14" i="11"/>
  <c r="Y18" i="15"/>
  <c r="Y14" i="11"/>
  <c r="M14" i="11"/>
  <c r="I14" i="11"/>
  <c r="AJ17" i="15"/>
  <c r="AJ14" i="11"/>
  <c r="AB17" i="15"/>
  <c r="AB14" i="11"/>
  <c r="AL14" i="11"/>
  <c r="AD14" i="11"/>
  <c r="V14" i="11"/>
  <c r="R14" i="11"/>
  <c r="N14" i="11"/>
  <c r="J14" i="11"/>
  <c r="F14" i="11"/>
  <c r="AL15" i="15"/>
  <c r="N15" i="15"/>
  <c r="F15" i="15"/>
  <c r="T14" i="11"/>
  <c r="AC14" i="11"/>
  <c r="AF14" i="11"/>
  <c r="X14" i="11"/>
  <c r="X16" i="15"/>
  <c r="L16" i="15"/>
  <c r="L14" i="11"/>
  <c r="H14" i="11"/>
  <c r="U14" i="11"/>
  <c r="E14" i="11"/>
  <c r="D38" i="15"/>
  <c r="AJ37" i="15"/>
  <c r="AI14" i="11"/>
  <c r="AE14" i="11"/>
  <c r="AA14" i="11"/>
  <c r="W14" i="11"/>
  <c r="S14" i="11"/>
  <c r="O14" i="11"/>
  <c r="K14" i="11"/>
  <c r="G14" i="11"/>
  <c r="S14" i="42"/>
  <c r="D33" i="42"/>
  <c r="C34" i="13" s="1"/>
  <c r="J14" i="41"/>
  <c r="R14" i="43"/>
  <c r="R14" i="44"/>
  <c r="P16" i="45"/>
  <c r="O37" i="12" s="1"/>
  <c r="R14" i="45"/>
  <c r="J14" i="46"/>
  <c r="R14" i="46"/>
  <c r="D16" i="42"/>
  <c r="C34" i="12" s="1"/>
  <c r="P16" i="42"/>
  <c r="O34" i="12" s="1"/>
  <c r="D54" i="44"/>
  <c r="C36" i="14" s="1"/>
  <c r="D16" i="45"/>
  <c r="C37" i="12" s="1"/>
  <c r="C37" i="15" s="1"/>
  <c r="J14" i="45"/>
  <c r="D33" i="46"/>
  <c r="C38" i="13" s="1"/>
  <c r="J14" i="39"/>
  <c r="R14" i="39"/>
  <c r="J14" i="38"/>
  <c r="R14" i="38"/>
  <c r="J14" i="37"/>
  <c r="R14" i="37"/>
  <c r="J14" i="31"/>
  <c r="R14" i="31"/>
  <c r="P14" i="31" s="1"/>
  <c r="D33" i="27"/>
  <c r="C27" i="13" s="1"/>
  <c r="J14" i="25"/>
  <c r="R14" i="25"/>
  <c r="L14" i="25"/>
  <c r="D14" i="18"/>
  <c r="J14" i="17"/>
  <c r="R14" i="17"/>
  <c r="J14" i="16"/>
  <c r="R14" i="16"/>
  <c r="E14" i="10"/>
  <c r="I14" i="10"/>
  <c r="M14" i="10"/>
  <c r="F14" i="10"/>
  <c r="J14" i="10"/>
  <c r="N14" i="10"/>
  <c r="P33" i="10"/>
  <c r="O54" i="13" s="1"/>
  <c r="H14" i="10"/>
  <c r="L14" i="10"/>
  <c r="Q14" i="10"/>
  <c r="U14" i="10"/>
  <c r="Y14" i="10"/>
  <c r="AC14" i="10"/>
  <c r="AG14" i="10"/>
  <c r="AK14" i="10"/>
  <c r="P16" i="10"/>
  <c r="O54" i="12" s="1"/>
  <c r="R14" i="10"/>
  <c r="E54" i="9"/>
  <c r="D14" i="48" l="1"/>
  <c r="O39" i="15"/>
  <c r="P14" i="48"/>
  <c r="D14" i="31"/>
  <c r="O55" i="15"/>
  <c r="D14" i="32"/>
  <c r="C53" i="15"/>
  <c r="Q52" i="15"/>
  <c r="O46" i="15"/>
  <c r="D14" i="40"/>
  <c r="P14" i="40"/>
  <c r="P45" i="15"/>
  <c r="P14" i="36"/>
  <c r="O38" i="15"/>
  <c r="C36" i="15"/>
  <c r="I35" i="15"/>
  <c r="O35" i="15"/>
  <c r="D14" i="43"/>
  <c r="O34" i="15"/>
  <c r="C31" i="15"/>
  <c r="Q30" i="15"/>
  <c r="P14" i="29"/>
  <c r="D14" i="29"/>
  <c r="C29" i="15"/>
  <c r="P14" i="28"/>
  <c r="O29" i="15"/>
  <c r="O27" i="15"/>
  <c r="D26" i="15"/>
  <c r="D14" i="26"/>
  <c r="D14" i="23"/>
  <c r="C24" i="15"/>
  <c r="O21" i="15"/>
  <c r="C21" i="15"/>
  <c r="D14" i="22"/>
  <c r="P18" i="15"/>
  <c r="D14" i="20"/>
  <c r="C17" i="15"/>
  <c r="O17" i="15"/>
  <c r="C16" i="15"/>
  <c r="C15" i="15"/>
  <c r="I15" i="15"/>
  <c r="P14" i="32"/>
  <c r="P14" i="45"/>
  <c r="D14" i="45"/>
  <c r="D14" i="34"/>
  <c r="P14" i="34"/>
  <c r="D14" i="38"/>
  <c r="O42" i="15"/>
  <c r="P14" i="38"/>
  <c r="P14" i="43"/>
  <c r="O36" i="15"/>
  <c r="D14" i="44"/>
  <c r="Q36" i="15"/>
  <c r="P14" i="44"/>
  <c r="C28" i="15"/>
  <c r="O28" i="15"/>
  <c r="P14" i="25"/>
  <c r="D14" i="25"/>
  <c r="P14" i="23"/>
  <c r="Q23" i="15"/>
  <c r="C23" i="15"/>
  <c r="O23" i="15"/>
  <c r="D14" i="24"/>
  <c r="P14" i="24"/>
  <c r="D14" i="16"/>
  <c r="P14" i="16"/>
  <c r="O19" i="15"/>
  <c r="P14" i="17"/>
  <c r="D14" i="17"/>
  <c r="P14" i="21"/>
  <c r="D14" i="21"/>
  <c r="P14" i="19"/>
  <c r="D14" i="19"/>
  <c r="I16" i="15"/>
  <c r="O15" i="15"/>
  <c r="P14" i="26"/>
  <c r="C40" i="15"/>
  <c r="P14" i="47"/>
  <c r="D14" i="47"/>
  <c r="Q40" i="15"/>
  <c r="C34" i="15"/>
  <c r="P14" i="42"/>
  <c r="D14" i="42"/>
  <c r="P14" i="35"/>
  <c r="C52" i="15"/>
  <c r="D14" i="35"/>
  <c r="P14" i="33"/>
  <c r="D14" i="33"/>
  <c r="O50" i="15"/>
  <c r="D45" i="15"/>
  <c r="D14" i="36"/>
  <c r="P14" i="39"/>
  <c r="D14" i="39"/>
  <c r="D14" i="37"/>
  <c r="D43" i="15"/>
  <c r="P14" i="37"/>
  <c r="D14" i="30"/>
  <c r="P14" i="30"/>
  <c r="C38" i="15"/>
  <c r="P14" i="46"/>
  <c r="D14" i="46"/>
  <c r="D14" i="41"/>
  <c r="P14" i="41"/>
  <c r="Q29" i="15"/>
  <c r="D14" i="27"/>
  <c r="P14" i="27"/>
  <c r="C27" i="15"/>
  <c r="I21" i="15"/>
  <c r="P14" i="22"/>
  <c r="P14" i="20"/>
  <c r="D18" i="15"/>
  <c r="O54" i="15"/>
  <c r="P14" i="10"/>
  <c r="D14" i="10"/>
  <c r="P143" i="9"/>
  <c r="D143" i="9"/>
  <c r="P142" i="9"/>
  <c r="D142" i="9"/>
  <c r="P141" i="9"/>
  <c r="D141" i="9"/>
  <c r="P140" i="9"/>
  <c r="D140" i="9"/>
  <c r="P139" i="9"/>
  <c r="D139" i="9"/>
  <c r="P138" i="9"/>
  <c r="D138" i="9"/>
  <c r="P137" i="9"/>
  <c r="D137" i="9"/>
  <c r="P136" i="9"/>
  <c r="D136" i="9"/>
  <c r="P135" i="9"/>
  <c r="D135" i="9"/>
  <c r="P134" i="9"/>
  <c r="D134" i="9"/>
  <c r="P133" i="9"/>
  <c r="D133" i="9"/>
  <c r="P132" i="9"/>
  <c r="D132" i="9"/>
  <c r="P131" i="9"/>
  <c r="D131" i="9"/>
  <c r="P130" i="9"/>
  <c r="D130" i="9"/>
  <c r="P129" i="9"/>
  <c r="D129" i="9"/>
  <c r="P128" i="9"/>
  <c r="D128" i="9"/>
  <c r="P127" i="9"/>
  <c r="D127" i="9"/>
  <c r="P126" i="9"/>
  <c r="D126" i="9"/>
  <c r="P125" i="9"/>
  <c r="D125" i="9"/>
  <c r="P124" i="9"/>
  <c r="D124" i="9"/>
  <c r="P123" i="9"/>
  <c r="D123" i="9"/>
  <c r="P122" i="9"/>
  <c r="D122" i="9"/>
  <c r="P121" i="9"/>
  <c r="D121" i="9"/>
  <c r="P120" i="9"/>
  <c r="D120" i="9"/>
  <c r="P119" i="9"/>
  <c r="D119" i="9"/>
  <c r="P118" i="9"/>
  <c r="D118" i="9"/>
  <c r="P117" i="9"/>
  <c r="D117" i="9"/>
  <c r="P116" i="9"/>
  <c r="D116" i="9"/>
  <c r="P115" i="9"/>
  <c r="D115" i="9"/>
  <c r="P114" i="9"/>
  <c r="D114" i="9"/>
  <c r="P113" i="9"/>
  <c r="D113" i="9"/>
  <c r="P112" i="9"/>
  <c r="D112" i="9"/>
  <c r="P111" i="9"/>
  <c r="D111" i="9"/>
  <c r="P110" i="9"/>
  <c r="D110" i="9"/>
  <c r="P109" i="9"/>
  <c r="D109" i="9"/>
  <c r="P108" i="9"/>
  <c r="D108" i="9"/>
  <c r="P107" i="9"/>
  <c r="D107" i="9"/>
  <c r="P106" i="9"/>
  <c r="D106" i="9"/>
  <c r="P105" i="9"/>
  <c r="D105" i="9"/>
  <c r="P104" i="9"/>
  <c r="D104" i="9"/>
  <c r="P103" i="9"/>
  <c r="D103" i="9"/>
  <c r="P102" i="9"/>
  <c r="D102" i="9"/>
  <c r="P101" i="9"/>
  <c r="D101" i="9"/>
  <c r="P100" i="9"/>
  <c r="D100" i="9"/>
  <c r="P99" i="9"/>
  <c r="D99" i="9"/>
  <c r="P98" i="9"/>
  <c r="D98" i="9"/>
  <c r="P97" i="9"/>
  <c r="D97" i="9"/>
  <c r="P96" i="9"/>
  <c r="D96" i="9"/>
  <c r="P95" i="9"/>
  <c r="D95" i="9"/>
  <c r="P94" i="9"/>
  <c r="D94" i="9"/>
  <c r="P93" i="9"/>
  <c r="D93" i="9"/>
  <c r="P92" i="9"/>
  <c r="D92" i="9"/>
  <c r="P91" i="9"/>
  <c r="D91" i="9"/>
  <c r="P90" i="9"/>
  <c r="D90" i="9"/>
  <c r="P89" i="9"/>
  <c r="D89" i="9"/>
  <c r="P88" i="9"/>
  <c r="D88" i="9"/>
  <c r="P87" i="9"/>
  <c r="D87" i="9"/>
  <c r="P86" i="9"/>
  <c r="D86" i="9"/>
  <c r="P85" i="9"/>
  <c r="D85" i="9"/>
  <c r="P84" i="9"/>
  <c r="D84" i="9"/>
  <c r="P83" i="9"/>
  <c r="D83" i="9"/>
  <c r="P82" i="9"/>
  <c r="D82" i="9"/>
  <c r="P81" i="9"/>
  <c r="D81" i="9"/>
  <c r="P80" i="9"/>
  <c r="D80" i="9"/>
  <c r="P79" i="9"/>
  <c r="D79" i="9"/>
  <c r="P78" i="9"/>
  <c r="D78" i="9"/>
  <c r="P77" i="9"/>
  <c r="D77" i="9"/>
  <c r="P76" i="9"/>
  <c r="D76" i="9"/>
  <c r="P75" i="9"/>
  <c r="D75" i="9"/>
  <c r="P74" i="9"/>
  <c r="D74" i="9"/>
  <c r="P73" i="9"/>
  <c r="D73" i="9"/>
  <c r="P72" i="9"/>
  <c r="D72" i="9"/>
  <c r="P71" i="9"/>
  <c r="D71" i="9"/>
  <c r="P70" i="9"/>
  <c r="D70" i="9"/>
  <c r="P69" i="9"/>
  <c r="D69" i="9"/>
  <c r="P68" i="9"/>
  <c r="D68" i="9"/>
  <c r="P67" i="9"/>
  <c r="D67" i="9"/>
  <c r="P66" i="9"/>
  <c r="D66" i="9"/>
  <c r="P65" i="9"/>
  <c r="D65" i="9"/>
  <c r="P64" i="9"/>
  <c r="D64" i="9"/>
  <c r="P63" i="9"/>
  <c r="D63" i="9"/>
  <c r="P62" i="9"/>
  <c r="D62" i="9"/>
  <c r="P61" i="9"/>
  <c r="D61" i="9"/>
  <c r="P60" i="9"/>
  <c r="D60" i="9"/>
  <c r="P59" i="9"/>
  <c r="D59" i="9"/>
  <c r="P58" i="9"/>
  <c r="D58" i="9"/>
  <c r="P57" i="9"/>
  <c r="D57" i="9"/>
  <c r="P56" i="9"/>
  <c r="D56" i="9"/>
  <c r="P55" i="9"/>
  <c r="D55" i="9"/>
  <c r="AM54" i="9"/>
  <c r="AL54" i="9"/>
  <c r="AK54" i="9"/>
  <c r="AJ54" i="9"/>
  <c r="AI54" i="9"/>
  <c r="AH54" i="9"/>
  <c r="AG54" i="9"/>
  <c r="AF54" i="9"/>
  <c r="AE54" i="9"/>
  <c r="AD54" i="9"/>
  <c r="AC54" i="9"/>
  <c r="AB54" i="9"/>
  <c r="AA54" i="9"/>
  <c r="Z54" i="9"/>
  <c r="Y54" i="9"/>
  <c r="X54" i="9"/>
  <c r="W54" i="9"/>
  <c r="V54" i="9"/>
  <c r="U54" i="9"/>
  <c r="T54" i="9"/>
  <c r="S54" i="9"/>
  <c r="R54" i="9"/>
  <c r="Q54" i="9"/>
  <c r="O54" i="9"/>
  <c r="O14" i="9" s="1"/>
  <c r="N54" i="9"/>
  <c r="M54" i="9"/>
  <c r="L54" i="9"/>
  <c r="K54" i="9"/>
  <c r="J54" i="9"/>
  <c r="I54" i="9"/>
  <c r="H54" i="9"/>
  <c r="G54" i="9"/>
  <c r="G14" i="9" s="1"/>
  <c r="F54" i="9"/>
  <c r="P53" i="9"/>
  <c r="P52" i="9"/>
  <c r="P51" i="9"/>
  <c r="P50" i="9"/>
  <c r="P49" i="9"/>
  <c r="P48" i="9"/>
  <c r="P47" i="9"/>
  <c r="P46" i="9"/>
  <c r="P45" i="9"/>
  <c r="P44" i="9"/>
  <c r="P43" i="9"/>
  <c r="P42" i="9"/>
  <c r="P41" i="9"/>
  <c r="D41" i="9"/>
  <c r="P40" i="9"/>
  <c r="D40" i="9"/>
  <c r="P39" i="9"/>
  <c r="D39" i="9"/>
  <c r="P38" i="9"/>
  <c r="D38" i="9"/>
  <c r="P37" i="9"/>
  <c r="D37" i="9"/>
  <c r="P36" i="9"/>
  <c r="D36" i="9"/>
  <c r="P35" i="9"/>
  <c r="D35" i="9"/>
  <c r="P34" i="9"/>
  <c r="D34" i="9"/>
  <c r="AM33" i="9"/>
  <c r="AL51" i="13" s="1"/>
  <c r="AL33" i="9"/>
  <c r="AK51" i="13" s="1"/>
  <c r="AK33" i="9"/>
  <c r="AJ51" i="13" s="1"/>
  <c r="AJ33" i="9"/>
  <c r="AI51" i="13" s="1"/>
  <c r="AI33" i="9"/>
  <c r="AH51" i="13" s="1"/>
  <c r="AH33" i="9"/>
  <c r="AG51" i="13" s="1"/>
  <c r="AG33" i="9"/>
  <c r="AF51" i="13" s="1"/>
  <c r="AF33" i="9"/>
  <c r="AE51" i="13" s="1"/>
  <c r="AE33" i="9"/>
  <c r="AD51" i="13" s="1"/>
  <c r="AD33" i="9"/>
  <c r="AC51" i="13" s="1"/>
  <c r="AC33" i="9"/>
  <c r="AB51" i="13" s="1"/>
  <c r="AB33" i="9"/>
  <c r="AA51" i="13" s="1"/>
  <c r="AA33" i="9"/>
  <c r="Z51" i="13" s="1"/>
  <c r="Z33" i="9"/>
  <c r="Y51" i="13" s="1"/>
  <c r="Y33" i="9"/>
  <c r="X51" i="13" s="1"/>
  <c r="X33" i="9"/>
  <c r="W51" i="13" s="1"/>
  <c r="W33" i="9"/>
  <c r="V51" i="13" s="1"/>
  <c r="V33" i="9"/>
  <c r="U51" i="13" s="1"/>
  <c r="U33" i="9"/>
  <c r="T51" i="13" s="1"/>
  <c r="T33" i="9"/>
  <c r="S51" i="13" s="1"/>
  <c r="S33" i="9"/>
  <c r="R51" i="13" s="1"/>
  <c r="R33" i="9"/>
  <c r="Q33" i="9"/>
  <c r="P51" i="13" s="1"/>
  <c r="O33" i="9"/>
  <c r="N51" i="13" s="1"/>
  <c r="N33" i="9"/>
  <c r="M51" i="13" s="1"/>
  <c r="M33" i="9"/>
  <c r="L51" i="13" s="1"/>
  <c r="L33" i="9"/>
  <c r="K51" i="13" s="1"/>
  <c r="K33" i="9"/>
  <c r="J51" i="13" s="1"/>
  <c r="J33" i="9"/>
  <c r="I51" i="13" s="1"/>
  <c r="I33" i="9"/>
  <c r="H51" i="13" s="1"/>
  <c r="H33" i="9"/>
  <c r="G51" i="13" s="1"/>
  <c r="G33" i="9"/>
  <c r="F51" i="13" s="1"/>
  <c r="F33" i="9"/>
  <c r="E51" i="13" s="1"/>
  <c r="E33" i="9"/>
  <c r="D51" i="13" s="1"/>
  <c r="P32" i="9"/>
  <c r="D32" i="9"/>
  <c r="P31" i="9"/>
  <c r="D31" i="9"/>
  <c r="P30" i="9"/>
  <c r="D30" i="9"/>
  <c r="P29" i="9"/>
  <c r="D29" i="9"/>
  <c r="P28" i="9"/>
  <c r="D28" i="9"/>
  <c r="P27" i="9"/>
  <c r="D27" i="9"/>
  <c r="P26" i="9"/>
  <c r="D26" i="9"/>
  <c r="P25" i="9"/>
  <c r="D25" i="9"/>
  <c r="P24" i="9"/>
  <c r="D24" i="9"/>
  <c r="P23" i="9"/>
  <c r="D23" i="9"/>
  <c r="P22" i="9"/>
  <c r="D22" i="9"/>
  <c r="P21" i="9"/>
  <c r="D21" i="9"/>
  <c r="P20" i="9"/>
  <c r="D20" i="9"/>
  <c r="P19" i="9"/>
  <c r="D19" i="9"/>
  <c r="P18" i="9"/>
  <c r="D18" i="9"/>
  <c r="AM16" i="9"/>
  <c r="AL51" i="12" s="1"/>
  <c r="AL51" i="15" s="1"/>
  <c r="AL16" i="9"/>
  <c r="AK51" i="12" s="1"/>
  <c r="AK51" i="15" s="1"/>
  <c r="AK16" i="9"/>
  <c r="AJ51" i="12" s="1"/>
  <c r="AJ51" i="15" s="1"/>
  <c r="AJ16" i="9"/>
  <c r="AI51" i="12" s="1"/>
  <c r="AI51" i="15" s="1"/>
  <c r="AI16" i="9"/>
  <c r="AH16" i="9"/>
  <c r="AG16" i="9"/>
  <c r="AF51" i="12" s="1"/>
  <c r="AF51" i="15" s="1"/>
  <c r="AF16" i="9"/>
  <c r="AE51" i="12" s="1"/>
  <c r="AE51" i="15" s="1"/>
  <c r="AE16" i="9"/>
  <c r="AD51" i="12" s="1"/>
  <c r="AD51" i="15" s="1"/>
  <c r="AD16" i="9"/>
  <c r="AC51" i="12" s="1"/>
  <c r="AC51" i="15" s="1"/>
  <c r="AC16" i="9"/>
  <c r="AB51" i="12" s="1"/>
  <c r="AB51" i="15" s="1"/>
  <c r="AB16" i="9"/>
  <c r="AA51" i="12" s="1"/>
  <c r="AA51" i="15" s="1"/>
  <c r="AA16" i="9"/>
  <c r="Z16" i="9"/>
  <c r="Y16" i="9"/>
  <c r="X51" i="12" s="1"/>
  <c r="X51" i="15" s="1"/>
  <c r="X16" i="9"/>
  <c r="W51" i="12" s="1"/>
  <c r="W51" i="15" s="1"/>
  <c r="W16" i="9"/>
  <c r="V51" i="12" s="1"/>
  <c r="V51" i="15" s="1"/>
  <c r="V16" i="9"/>
  <c r="U51" i="12" s="1"/>
  <c r="U51" i="15" s="1"/>
  <c r="U16" i="9"/>
  <c r="T51" i="12" s="1"/>
  <c r="T51" i="15" s="1"/>
  <c r="T16" i="9"/>
  <c r="S51" i="12" s="1"/>
  <c r="S51" i="15" s="1"/>
  <c r="S16" i="9"/>
  <c r="R16" i="9"/>
  <c r="Q16" i="9"/>
  <c r="P51" i="12" s="1"/>
  <c r="P51" i="15" s="1"/>
  <c r="O16" i="9"/>
  <c r="N51" i="12" s="1"/>
  <c r="N51" i="15" s="1"/>
  <c r="N16" i="9"/>
  <c r="M16" i="9"/>
  <c r="L16" i="9"/>
  <c r="K16" i="9"/>
  <c r="J51" i="12" s="1"/>
  <c r="J51" i="15" s="1"/>
  <c r="J16" i="9"/>
  <c r="I51" i="12" s="1"/>
  <c r="I51" i="15" s="1"/>
  <c r="I16" i="9"/>
  <c r="H16" i="9"/>
  <c r="G16" i="9"/>
  <c r="F51" i="12" s="1"/>
  <c r="F51" i="15" s="1"/>
  <c r="F16" i="9"/>
  <c r="E16" i="9"/>
  <c r="P15" i="9"/>
  <c r="D15" i="9"/>
  <c r="AM14" i="9"/>
  <c r="AL14" i="9"/>
  <c r="W14" i="9"/>
  <c r="K14" i="9"/>
  <c r="P143" i="8"/>
  <c r="D143" i="8"/>
  <c r="P142" i="8"/>
  <c r="D142" i="8"/>
  <c r="P141" i="8"/>
  <c r="D141" i="8"/>
  <c r="P140" i="8"/>
  <c r="D140" i="8"/>
  <c r="P139" i="8"/>
  <c r="D139" i="8"/>
  <c r="P138" i="8"/>
  <c r="D138" i="8"/>
  <c r="P137" i="8"/>
  <c r="D137" i="8"/>
  <c r="P136" i="8"/>
  <c r="D136" i="8"/>
  <c r="P135" i="8"/>
  <c r="D135" i="8"/>
  <c r="P134" i="8"/>
  <c r="D134" i="8"/>
  <c r="P133" i="8"/>
  <c r="D133" i="8"/>
  <c r="P132" i="8"/>
  <c r="D132" i="8"/>
  <c r="P131" i="8"/>
  <c r="D131" i="8"/>
  <c r="P130" i="8"/>
  <c r="D130" i="8"/>
  <c r="P129" i="8"/>
  <c r="D129" i="8"/>
  <c r="P128" i="8"/>
  <c r="D128" i="8"/>
  <c r="P127" i="8"/>
  <c r="D127" i="8"/>
  <c r="P126" i="8"/>
  <c r="D126" i="8"/>
  <c r="P125" i="8"/>
  <c r="D125" i="8"/>
  <c r="P124" i="8"/>
  <c r="D124" i="8"/>
  <c r="P123" i="8"/>
  <c r="D123" i="8"/>
  <c r="P122" i="8"/>
  <c r="D122" i="8"/>
  <c r="P121" i="8"/>
  <c r="D121" i="8"/>
  <c r="P120" i="8"/>
  <c r="D120" i="8"/>
  <c r="P119" i="8"/>
  <c r="D119" i="8"/>
  <c r="P118" i="8"/>
  <c r="D118" i="8"/>
  <c r="P117" i="8"/>
  <c r="D117" i="8"/>
  <c r="P116" i="8"/>
  <c r="D116" i="8"/>
  <c r="P115" i="8"/>
  <c r="D115" i="8"/>
  <c r="P114" i="8"/>
  <c r="D114" i="8"/>
  <c r="P113" i="8"/>
  <c r="D113" i="8"/>
  <c r="P112" i="8"/>
  <c r="D112" i="8"/>
  <c r="P111" i="8"/>
  <c r="D111" i="8"/>
  <c r="P110" i="8"/>
  <c r="D110" i="8"/>
  <c r="P109" i="8"/>
  <c r="D109" i="8"/>
  <c r="P108" i="8"/>
  <c r="D108" i="8"/>
  <c r="P107" i="8"/>
  <c r="D107" i="8"/>
  <c r="P106" i="8"/>
  <c r="D106" i="8"/>
  <c r="P105" i="8"/>
  <c r="D105" i="8"/>
  <c r="P104" i="8"/>
  <c r="D104" i="8"/>
  <c r="P103" i="8"/>
  <c r="D103" i="8"/>
  <c r="P102" i="8"/>
  <c r="D102" i="8"/>
  <c r="P101" i="8"/>
  <c r="D101" i="8"/>
  <c r="P100" i="8"/>
  <c r="D100" i="8"/>
  <c r="P99" i="8"/>
  <c r="D99" i="8"/>
  <c r="P98" i="8"/>
  <c r="D98" i="8"/>
  <c r="P97" i="8"/>
  <c r="D97" i="8"/>
  <c r="P96" i="8"/>
  <c r="D96" i="8"/>
  <c r="P95" i="8"/>
  <c r="D95" i="8"/>
  <c r="P94" i="8"/>
  <c r="D94" i="8"/>
  <c r="P93" i="8"/>
  <c r="D93" i="8"/>
  <c r="P92" i="8"/>
  <c r="D92" i="8"/>
  <c r="P91" i="8"/>
  <c r="D91" i="8"/>
  <c r="P90" i="8"/>
  <c r="D90" i="8"/>
  <c r="P89" i="8"/>
  <c r="D89" i="8"/>
  <c r="P88" i="8"/>
  <c r="D88" i="8"/>
  <c r="P87" i="8"/>
  <c r="D87" i="8"/>
  <c r="P86" i="8"/>
  <c r="D86" i="8"/>
  <c r="P85" i="8"/>
  <c r="D85" i="8"/>
  <c r="P84" i="8"/>
  <c r="D84" i="8"/>
  <c r="P83" i="8"/>
  <c r="D83" i="8"/>
  <c r="P82" i="8"/>
  <c r="D82" i="8"/>
  <c r="P81" i="8"/>
  <c r="D81" i="8"/>
  <c r="P80" i="8"/>
  <c r="D80" i="8"/>
  <c r="P79" i="8"/>
  <c r="D79" i="8"/>
  <c r="P78" i="8"/>
  <c r="D78" i="8"/>
  <c r="P77" i="8"/>
  <c r="D77" i="8"/>
  <c r="P76" i="8"/>
  <c r="D76" i="8"/>
  <c r="P75" i="8"/>
  <c r="D75" i="8"/>
  <c r="P74" i="8"/>
  <c r="D74" i="8"/>
  <c r="P73" i="8"/>
  <c r="D73" i="8"/>
  <c r="P72" i="8"/>
  <c r="D72" i="8"/>
  <c r="P71" i="8"/>
  <c r="D71" i="8"/>
  <c r="P70" i="8"/>
  <c r="D70" i="8"/>
  <c r="P69" i="8"/>
  <c r="D69" i="8"/>
  <c r="P68" i="8"/>
  <c r="D68" i="8"/>
  <c r="P67" i="8"/>
  <c r="D67" i="8"/>
  <c r="P66" i="8"/>
  <c r="D66" i="8"/>
  <c r="P65" i="8"/>
  <c r="D65" i="8"/>
  <c r="P64" i="8"/>
  <c r="D64" i="8"/>
  <c r="P63" i="8"/>
  <c r="D63" i="8"/>
  <c r="P62" i="8"/>
  <c r="D62" i="8"/>
  <c r="P61" i="8"/>
  <c r="D61" i="8"/>
  <c r="P60" i="8"/>
  <c r="D60" i="8"/>
  <c r="P59" i="8"/>
  <c r="D59" i="8"/>
  <c r="P58" i="8"/>
  <c r="D58" i="8"/>
  <c r="P57" i="8"/>
  <c r="D57" i="8"/>
  <c r="P56" i="8"/>
  <c r="D56" i="8"/>
  <c r="P55" i="8"/>
  <c r="D55" i="8"/>
  <c r="AM54" i="8"/>
  <c r="AL32" i="14" s="1"/>
  <c r="AL54" i="8"/>
  <c r="AK32" i="14" s="1"/>
  <c r="AK54" i="8"/>
  <c r="AJ32" i="14" s="1"/>
  <c r="AJ54" i="8"/>
  <c r="AI32" i="14" s="1"/>
  <c r="AI54" i="8"/>
  <c r="AH32" i="14" s="1"/>
  <c r="AH54" i="8"/>
  <c r="AG32" i="14" s="1"/>
  <c r="AG54" i="8"/>
  <c r="AF32" i="14" s="1"/>
  <c r="AF54" i="8"/>
  <c r="AE32" i="14" s="1"/>
  <c r="AE54" i="8"/>
  <c r="AD32" i="14" s="1"/>
  <c r="AD54" i="8"/>
  <c r="AC32" i="14" s="1"/>
  <c r="AC54" i="8"/>
  <c r="AB32" i="14" s="1"/>
  <c r="AB54" i="8"/>
  <c r="AA32" i="14" s="1"/>
  <c r="AA54" i="8"/>
  <c r="Z32" i="14" s="1"/>
  <c r="Z54" i="8"/>
  <c r="Y32" i="14" s="1"/>
  <c r="Y54" i="8"/>
  <c r="X32" i="14" s="1"/>
  <c r="X54" i="8"/>
  <c r="W32" i="14" s="1"/>
  <c r="W54" i="8"/>
  <c r="V32" i="14" s="1"/>
  <c r="V54" i="8"/>
  <c r="U32" i="14" s="1"/>
  <c r="U54" i="8"/>
  <c r="T32" i="14" s="1"/>
  <c r="T54" i="8"/>
  <c r="S32" i="14" s="1"/>
  <c r="S54" i="8"/>
  <c r="R32" i="14" s="1"/>
  <c r="R54" i="8"/>
  <c r="Q32" i="14" s="1"/>
  <c r="Q54" i="8"/>
  <c r="P32" i="14" s="1"/>
  <c r="O54" i="8"/>
  <c r="N32" i="14" s="1"/>
  <c r="N54" i="8"/>
  <c r="M32" i="14" s="1"/>
  <c r="M54" i="8"/>
  <c r="L32" i="14" s="1"/>
  <c r="L54" i="8"/>
  <c r="K32" i="14" s="1"/>
  <c r="K54" i="8"/>
  <c r="J32" i="14" s="1"/>
  <c r="J54" i="8"/>
  <c r="I32" i="14" s="1"/>
  <c r="I54" i="8"/>
  <c r="H32" i="14" s="1"/>
  <c r="H54" i="8"/>
  <c r="G32" i="14" s="1"/>
  <c r="G54" i="8"/>
  <c r="F32" i="14" s="1"/>
  <c r="F54" i="8"/>
  <c r="E32" i="14" s="1"/>
  <c r="E54" i="8"/>
  <c r="D32" i="14" s="1"/>
  <c r="P53" i="8"/>
  <c r="P52" i="8"/>
  <c r="P51" i="8"/>
  <c r="P50" i="8"/>
  <c r="P49" i="8"/>
  <c r="P48" i="8"/>
  <c r="P47" i="8"/>
  <c r="P46" i="8"/>
  <c r="P45" i="8"/>
  <c r="P44" i="8"/>
  <c r="P43" i="8"/>
  <c r="P42" i="8"/>
  <c r="P41" i="8"/>
  <c r="D41" i="8"/>
  <c r="P40" i="8"/>
  <c r="D40" i="8"/>
  <c r="P39" i="8"/>
  <c r="D39" i="8"/>
  <c r="P38" i="8"/>
  <c r="D38" i="8"/>
  <c r="P37" i="8"/>
  <c r="D37" i="8"/>
  <c r="P36" i="8"/>
  <c r="D36" i="8"/>
  <c r="P35" i="8"/>
  <c r="D35" i="8"/>
  <c r="P34" i="8"/>
  <c r="D34" i="8"/>
  <c r="AM33" i="8"/>
  <c r="AL32" i="13" s="1"/>
  <c r="AL33" i="8"/>
  <c r="AK32" i="13" s="1"/>
  <c r="AK33" i="8"/>
  <c r="AJ32" i="13" s="1"/>
  <c r="AJ33" i="8"/>
  <c r="AI32" i="13" s="1"/>
  <c r="AI33" i="8"/>
  <c r="AH32" i="13" s="1"/>
  <c r="AH33" i="8"/>
  <c r="AG32" i="13" s="1"/>
  <c r="AG33" i="8"/>
  <c r="AF32" i="13" s="1"/>
  <c r="AF33" i="8"/>
  <c r="AE32" i="13" s="1"/>
  <c r="AE33" i="8"/>
  <c r="AD32" i="13" s="1"/>
  <c r="AD33" i="8"/>
  <c r="AC32" i="13" s="1"/>
  <c r="AC33" i="8"/>
  <c r="AB32" i="13" s="1"/>
  <c r="AB33" i="8"/>
  <c r="AA32" i="13" s="1"/>
  <c r="AA33" i="8"/>
  <c r="Z32" i="13" s="1"/>
  <c r="Z33" i="8"/>
  <c r="Y32" i="13" s="1"/>
  <c r="Y33" i="8"/>
  <c r="X32" i="13" s="1"/>
  <c r="X33" i="8"/>
  <c r="W32" i="13" s="1"/>
  <c r="W33" i="8"/>
  <c r="V32" i="13" s="1"/>
  <c r="V33" i="8"/>
  <c r="U32" i="13" s="1"/>
  <c r="U33" i="8"/>
  <c r="T32" i="13" s="1"/>
  <c r="T33" i="8"/>
  <c r="S32" i="13" s="1"/>
  <c r="S33" i="8"/>
  <c r="R32" i="13" s="1"/>
  <c r="R33" i="8"/>
  <c r="Q32" i="13" s="1"/>
  <c r="Q33" i="8"/>
  <c r="P32" i="13" s="1"/>
  <c r="O33" i="8"/>
  <c r="N32" i="13" s="1"/>
  <c r="N33" i="8"/>
  <c r="M32" i="13" s="1"/>
  <c r="M33" i="8"/>
  <c r="L32" i="13" s="1"/>
  <c r="L33" i="8"/>
  <c r="K32" i="13" s="1"/>
  <c r="K33" i="8"/>
  <c r="J32" i="13" s="1"/>
  <c r="J33" i="8"/>
  <c r="I32" i="13" s="1"/>
  <c r="I33" i="8"/>
  <c r="H32" i="13" s="1"/>
  <c r="H33" i="8"/>
  <c r="G32" i="13" s="1"/>
  <c r="G33" i="8"/>
  <c r="F32" i="13" s="1"/>
  <c r="F33" i="8"/>
  <c r="E32" i="13" s="1"/>
  <c r="E33" i="8"/>
  <c r="D32" i="13" s="1"/>
  <c r="P32" i="8"/>
  <c r="D32" i="8"/>
  <c r="P31" i="8"/>
  <c r="D31" i="8"/>
  <c r="P30" i="8"/>
  <c r="D30" i="8"/>
  <c r="P29" i="8"/>
  <c r="D29" i="8"/>
  <c r="P28" i="8"/>
  <c r="D28" i="8"/>
  <c r="P27" i="8"/>
  <c r="D27" i="8"/>
  <c r="P26" i="8"/>
  <c r="D26" i="8"/>
  <c r="P25" i="8"/>
  <c r="D25" i="8"/>
  <c r="P24" i="8"/>
  <c r="D24" i="8"/>
  <c r="P23" i="8"/>
  <c r="D23" i="8"/>
  <c r="P22" i="8"/>
  <c r="D22" i="8"/>
  <c r="P21" i="8"/>
  <c r="D21" i="8"/>
  <c r="P20" i="8"/>
  <c r="D20" i="8"/>
  <c r="P19" i="8"/>
  <c r="D19" i="8"/>
  <c r="P18" i="8"/>
  <c r="D18" i="8"/>
  <c r="AM16" i="8"/>
  <c r="AL32" i="12" s="1"/>
  <c r="AL16" i="8"/>
  <c r="AK32" i="12" s="1"/>
  <c r="AK16" i="8"/>
  <c r="AJ16" i="8"/>
  <c r="AI32" i="12" s="1"/>
  <c r="AI16" i="8"/>
  <c r="AH32" i="12" s="1"/>
  <c r="AH16" i="8"/>
  <c r="AG32" i="12" s="1"/>
  <c r="AG16" i="8"/>
  <c r="AF16" i="8"/>
  <c r="AE32" i="12" s="1"/>
  <c r="AE16" i="8"/>
  <c r="AD32" i="12" s="1"/>
  <c r="AD16" i="8"/>
  <c r="AC32" i="12" s="1"/>
  <c r="AC16" i="8"/>
  <c r="AB16" i="8"/>
  <c r="AA32" i="12" s="1"/>
  <c r="AA16" i="8"/>
  <c r="Z16" i="8"/>
  <c r="Y32" i="12" s="1"/>
  <c r="Y16" i="8"/>
  <c r="X16" i="8"/>
  <c r="W16" i="8"/>
  <c r="V32" i="12" s="1"/>
  <c r="V16" i="8"/>
  <c r="U32" i="12" s="1"/>
  <c r="U16" i="8"/>
  <c r="T16" i="8"/>
  <c r="S16" i="8"/>
  <c r="R32" i="12" s="1"/>
  <c r="R16" i="8"/>
  <c r="Q32" i="12" s="1"/>
  <c r="Q16" i="8"/>
  <c r="O16" i="8"/>
  <c r="N32" i="12" s="1"/>
  <c r="N16" i="8"/>
  <c r="M32" i="12" s="1"/>
  <c r="M16" i="8"/>
  <c r="L32" i="12" s="1"/>
  <c r="L16" i="8"/>
  <c r="K16" i="8"/>
  <c r="J32" i="12" s="1"/>
  <c r="J16" i="8"/>
  <c r="I32" i="12" s="1"/>
  <c r="I16" i="8"/>
  <c r="H32" i="12" s="1"/>
  <c r="H16" i="8"/>
  <c r="G32" i="12" s="1"/>
  <c r="G16" i="8"/>
  <c r="F32" i="12" s="1"/>
  <c r="F16" i="8"/>
  <c r="E32" i="12" s="1"/>
  <c r="E16" i="8"/>
  <c r="D32" i="12" s="1"/>
  <c r="P15" i="8"/>
  <c r="D15" i="8"/>
  <c r="Z14" i="8"/>
  <c r="K14" i="8"/>
  <c r="E54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Q33" i="1"/>
  <c r="F33" i="1"/>
  <c r="G33" i="1"/>
  <c r="H33" i="1"/>
  <c r="I33" i="1"/>
  <c r="J33" i="1"/>
  <c r="K33" i="1"/>
  <c r="L33" i="1"/>
  <c r="M33" i="1"/>
  <c r="N33" i="1"/>
  <c r="O33" i="1"/>
  <c r="E33" i="1"/>
  <c r="E16" i="1"/>
  <c r="D32" i="15" l="1"/>
  <c r="H32" i="15"/>
  <c r="L32" i="15"/>
  <c r="Q32" i="15"/>
  <c r="U32" i="15"/>
  <c r="Y32" i="15"/>
  <c r="AC32" i="15"/>
  <c r="AG32" i="15"/>
  <c r="AK32" i="15"/>
  <c r="E32" i="15"/>
  <c r="I32" i="15"/>
  <c r="M32" i="15"/>
  <c r="R32" i="15"/>
  <c r="V32" i="15"/>
  <c r="AD32" i="15"/>
  <c r="AH32" i="15"/>
  <c r="AL32" i="15"/>
  <c r="F32" i="15"/>
  <c r="J32" i="15"/>
  <c r="N32" i="15"/>
  <c r="AA32" i="15"/>
  <c r="AE32" i="15"/>
  <c r="AI32" i="15"/>
  <c r="G32" i="15"/>
  <c r="P33" i="9"/>
  <c r="O51" i="13" s="1"/>
  <c r="Q51" i="13"/>
  <c r="H14" i="9"/>
  <c r="G51" i="12"/>
  <c r="G51" i="15" s="1"/>
  <c r="L14" i="9"/>
  <c r="K51" i="12"/>
  <c r="K51" i="15" s="1"/>
  <c r="E14" i="9"/>
  <c r="D51" i="12"/>
  <c r="D51" i="15" s="1"/>
  <c r="I14" i="9"/>
  <c r="H51" i="12"/>
  <c r="H51" i="15" s="1"/>
  <c r="M14" i="9"/>
  <c r="L51" i="12"/>
  <c r="L51" i="15" s="1"/>
  <c r="R14" i="9"/>
  <c r="Q51" i="12"/>
  <c r="Q51" i="15" s="1"/>
  <c r="Z14" i="9"/>
  <c r="Y51" i="12"/>
  <c r="Y51" i="15" s="1"/>
  <c r="AH14" i="9"/>
  <c r="AG51" i="12"/>
  <c r="AG51" i="15" s="1"/>
  <c r="AD14" i="9"/>
  <c r="F14" i="9"/>
  <c r="E51" i="12"/>
  <c r="E51" i="15" s="1"/>
  <c r="N14" i="9"/>
  <c r="M51" i="12"/>
  <c r="M51" i="15" s="1"/>
  <c r="S14" i="9"/>
  <c r="R51" i="12"/>
  <c r="R51" i="15" s="1"/>
  <c r="AA14" i="9"/>
  <c r="Z51" i="12"/>
  <c r="Z51" i="15" s="1"/>
  <c r="AI14" i="9"/>
  <c r="AH51" i="12"/>
  <c r="AH51" i="15" s="1"/>
  <c r="AE14" i="9"/>
  <c r="V14" i="9"/>
  <c r="AD14" i="8"/>
  <c r="O14" i="8"/>
  <c r="AH14" i="8"/>
  <c r="L14" i="8"/>
  <c r="K32" i="12"/>
  <c r="K32" i="15" s="1"/>
  <c r="Q14" i="8"/>
  <c r="P32" i="12"/>
  <c r="P32" i="15" s="1"/>
  <c r="U14" i="8"/>
  <c r="T32" i="12"/>
  <c r="T32" i="15" s="1"/>
  <c r="Y14" i="8"/>
  <c r="X32" i="12"/>
  <c r="X32" i="15" s="1"/>
  <c r="AC14" i="8"/>
  <c r="AB32" i="12"/>
  <c r="AB32" i="15" s="1"/>
  <c r="AG14" i="8"/>
  <c r="AF32" i="12"/>
  <c r="AF32" i="15" s="1"/>
  <c r="AK14" i="8"/>
  <c r="AJ32" i="12"/>
  <c r="AJ32" i="15" s="1"/>
  <c r="W14" i="8"/>
  <c r="N14" i="8"/>
  <c r="AL14" i="8"/>
  <c r="P16" i="8"/>
  <c r="O32" i="12" s="1"/>
  <c r="Z32" i="12"/>
  <c r="Z32" i="15" s="1"/>
  <c r="J14" i="8"/>
  <c r="S14" i="8"/>
  <c r="T14" i="8"/>
  <c r="S32" i="12"/>
  <c r="S32" i="15" s="1"/>
  <c r="X14" i="8"/>
  <c r="W32" i="12"/>
  <c r="W32" i="15" s="1"/>
  <c r="G14" i="8"/>
  <c r="V14" i="8"/>
  <c r="T14" i="9"/>
  <c r="X14" i="9"/>
  <c r="AB14" i="9"/>
  <c r="AF14" i="9"/>
  <c r="AJ14" i="9"/>
  <c r="P54" i="9"/>
  <c r="Q14" i="9"/>
  <c r="U14" i="9"/>
  <c r="Y14" i="9"/>
  <c r="AC14" i="9"/>
  <c r="AG14" i="9"/>
  <c r="AK14" i="9"/>
  <c r="D54" i="9"/>
  <c r="D33" i="9"/>
  <c r="C51" i="13" s="1"/>
  <c r="J14" i="9"/>
  <c r="D16" i="9"/>
  <c r="C51" i="12" s="1"/>
  <c r="P16" i="9"/>
  <c r="O51" i="12" s="1"/>
  <c r="AB14" i="8"/>
  <c r="AF14" i="8"/>
  <c r="AJ14" i="8"/>
  <c r="P54" i="8"/>
  <c r="O32" i="14" s="1"/>
  <c r="AE14" i="8"/>
  <c r="AI14" i="8"/>
  <c r="AM14" i="8"/>
  <c r="AA14" i="8"/>
  <c r="R14" i="8"/>
  <c r="P33" i="8"/>
  <c r="O32" i="13" s="1"/>
  <c r="M14" i="8"/>
  <c r="H14" i="8"/>
  <c r="E14" i="8"/>
  <c r="I14" i="8"/>
  <c r="D54" i="8"/>
  <c r="C32" i="14" s="1"/>
  <c r="F14" i="8"/>
  <c r="D33" i="8"/>
  <c r="C32" i="13" s="1"/>
  <c r="D16" i="8"/>
  <c r="C32" i="12" s="1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P143" i="7"/>
  <c r="P142" i="7"/>
  <c r="P141" i="7"/>
  <c r="P140" i="7"/>
  <c r="P139" i="7"/>
  <c r="P138" i="7"/>
  <c r="P137" i="7"/>
  <c r="P136" i="7"/>
  <c r="P135" i="7"/>
  <c r="P134" i="7"/>
  <c r="P133" i="7"/>
  <c r="P132" i="7"/>
  <c r="P131" i="7"/>
  <c r="P130" i="7"/>
  <c r="P129" i="7"/>
  <c r="P128" i="7"/>
  <c r="P127" i="7"/>
  <c r="P126" i="7"/>
  <c r="P125" i="7"/>
  <c r="P124" i="7"/>
  <c r="P123" i="7"/>
  <c r="P122" i="7"/>
  <c r="P121" i="7"/>
  <c r="P120" i="7"/>
  <c r="P119" i="7"/>
  <c r="P118" i="7"/>
  <c r="P117" i="7"/>
  <c r="P116" i="7"/>
  <c r="P115" i="7"/>
  <c r="P114" i="7"/>
  <c r="P113" i="7"/>
  <c r="P112" i="7"/>
  <c r="P111" i="7"/>
  <c r="P110" i="7"/>
  <c r="P109" i="7"/>
  <c r="P108" i="7"/>
  <c r="P107" i="7"/>
  <c r="P106" i="7"/>
  <c r="P105" i="7"/>
  <c r="P104" i="7"/>
  <c r="P103" i="7"/>
  <c r="P102" i="7"/>
  <c r="P101" i="7"/>
  <c r="P100" i="7"/>
  <c r="P99" i="7"/>
  <c r="P98" i="7"/>
  <c r="P97" i="7"/>
  <c r="P96" i="7"/>
  <c r="P95" i="7"/>
  <c r="P94" i="7"/>
  <c r="P93" i="7"/>
  <c r="P92" i="7"/>
  <c r="P91" i="7"/>
  <c r="P90" i="7"/>
  <c r="P89" i="7"/>
  <c r="P88" i="7"/>
  <c r="P87" i="7"/>
  <c r="P86" i="7"/>
  <c r="P85" i="7"/>
  <c r="P84" i="7"/>
  <c r="P83" i="7"/>
  <c r="P82" i="7"/>
  <c r="P81" i="7"/>
  <c r="P80" i="7"/>
  <c r="P79" i="7"/>
  <c r="P78" i="7"/>
  <c r="P77" i="7"/>
  <c r="P76" i="7"/>
  <c r="P75" i="7"/>
  <c r="P74" i="7"/>
  <c r="P73" i="7"/>
  <c r="P72" i="7"/>
  <c r="P71" i="7"/>
  <c r="P70" i="7"/>
  <c r="P69" i="7"/>
  <c r="P68" i="7"/>
  <c r="P67" i="7"/>
  <c r="P66" i="7"/>
  <c r="P65" i="7"/>
  <c r="P64" i="7"/>
  <c r="P63" i="7"/>
  <c r="P62" i="7"/>
  <c r="P61" i="7"/>
  <c r="P60" i="7"/>
  <c r="P59" i="7"/>
  <c r="P58" i="7"/>
  <c r="P57" i="7"/>
  <c r="P56" i="7"/>
  <c r="P55" i="7"/>
  <c r="AM54" i="7"/>
  <c r="AL25" i="14" s="1"/>
  <c r="AL54" i="7"/>
  <c r="AK25" i="14" s="1"/>
  <c r="AK54" i="7"/>
  <c r="AJ25" i="14" s="1"/>
  <c r="AJ54" i="7"/>
  <c r="AI25" i="14" s="1"/>
  <c r="AI54" i="7"/>
  <c r="AH25" i="14" s="1"/>
  <c r="AH54" i="7"/>
  <c r="AG25" i="14" s="1"/>
  <c r="AG54" i="7"/>
  <c r="AF25" i="14" s="1"/>
  <c r="AF54" i="7"/>
  <c r="AE25" i="14" s="1"/>
  <c r="AE54" i="7"/>
  <c r="AD25" i="14" s="1"/>
  <c r="AD54" i="7"/>
  <c r="AC25" i="14" s="1"/>
  <c r="AC54" i="7"/>
  <c r="AB25" i="14" s="1"/>
  <c r="AB54" i="7"/>
  <c r="AA25" i="14" s="1"/>
  <c r="AA54" i="7"/>
  <c r="Z25" i="14" s="1"/>
  <c r="Z54" i="7"/>
  <c r="Y25" i="14" s="1"/>
  <c r="Y54" i="7"/>
  <c r="X25" i="14" s="1"/>
  <c r="X54" i="7"/>
  <c r="W25" i="14" s="1"/>
  <c r="W54" i="7"/>
  <c r="V25" i="14" s="1"/>
  <c r="V54" i="7"/>
  <c r="U25" i="14" s="1"/>
  <c r="U54" i="7"/>
  <c r="T25" i="14" s="1"/>
  <c r="T54" i="7"/>
  <c r="S25" i="14" s="1"/>
  <c r="S54" i="7"/>
  <c r="R25" i="14" s="1"/>
  <c r="R54" i="7"/>
  <c r="Q25" i="14" s="1"/>
  <c r="Q54" i="7"/>
  <c r="O54" i="7"/>
  <c r="N25" i="14" s="1"/>
  <c r="N54" i="7"/>
  <c r="M25" i="14" s="1"/>
  <c r="M54" i="7"/>
  <c r="L25" i="14" s="1"/>
  <c r="L54" i="7"/>
  <c r="K25" i="14" s="1"/>
  <c r="K54" i="7"/>
  <c r="J25" i="14" s="1"/>
  <c r="J54" i="7"/>
  <c r="I25" i="14" s="1"/>
  <c r="I54" i="7"/>
  <c r="H25" i="14" s="1"/>
  <c r="H54" i="7"/>
  <c r="G25" i="14" s="1"/>
  <c r="G54" i="7"/>
  <c r="F25" i="14" s="1"/>
  <c r="F54" i="7"/>
  <c r="E25" i="14" s="1"/>
  <c r="E54" i="7"/>
  <c r="D25" i="14" s="1"/>
  <c r="P53" i="7"/>
  <c r="P52" i="7"/>
  <c r="P51" i="7"/>
  <c r="P50" i="7"/>
  <c r="P49" i="7"/>
  <c r="P48" i="7"/>
  <c r="P47" i="7"/>
  <c r="P46" i="7"/>
  <c r="P45" i="7"/>
  <c r="P44" i="7"/>
  <c r="P43" i="7"/>
  <c r="P42" i="7"/>
  <c r="P41" i="7"/>
  <c r="P40" i="7"/>
  <c r="P39" i="7"/>
  <c r="D39" i="7"/>
  <c r="P38" i="7"/>
  <c r="D38" i="7"/>
  <c r="P37" i="7"/>
  <c r="D37" i="7"/>
  <c r="P36" i="7"/>
  <c r="D36" i="7"/>
  <c r="P35" i="7"/>
  <c r="D35" i="7"/>
  <c r="P34" i="7"/>
  <c r="D34" i="7"/>
  <c r="AM33" i="7"/>
  <c r="AL25" i="13" s="1"/>
  <c r="AL33" i="7"/>
  <c r="AK25" i="13" s="1"/>
  <c r="AK33" i="7"/>
  <c r="AJ25" i="13" s="1"/>
  <c r="AJ33" i="7"/>
  <c r="AI25" i="13" s="1"/>
  <c r="AI33" i="7"/>
  <c r="AH25" i="13" s="1"/>
  <c r="AH33" i="7"/>
  <c r="AG25" i="13" s="1"/>
  <c r="AG33" i="7"/>
  <c r="AF25" i="13" s="1"/>
  <c r="AF33" i="7"/>
  <c r="AE25" i="13" s="1"/>
  <c r="AE33" i="7"/>
  <c r="AD25" i="13" s="1"/>
  <c r="AD33" i="7"/>
  <c r="AC25" i="13" s="1"/>
  <c r="AC33" i="7"/>
  <c r="AB25" i="13" s="1"/>
  <c r="AB33" i="7"/>
  <c r="AA25" i="13" s="1"/>
  <c r="AA33" i="7"/>
  <c r="Z25" i="13" s="1"/>
  <c r="Z33" i="7"/>
  <c r="Y25" i="13" s="1"/>
  <c r="Y33" i="7"/>
  <c r="X25" i="13" s="1"/>
  <c r="X33" i="7"/>
  <c r="W25" i="13" s="1"/>
  <c r="W33" i="7"/>
  <c r="V25" i="13" s="1"/>
  <c r="V33" i="7"/>
  <c r="U25" i="13" s="1"/>
  <c r="U33" i="7"/>
  <c r="T25" i="13" s="1"/>
  <c r="T33" i="7"/>
  <c r="S25" i="13" s="1"/>
  <c r="S33" i="7"/>
  <c r="R25" i="13" s="1"/>
  <c r="R33" i="7"/>
  <c r="Q25" i="13" s="1"/>
  <c r="Q33" i="7"/>
  <c r="O33" i="7"/>
  <c r="N25" i="13" s="1"/>
  <c r="N33" i="7"/>
  <c r="M25" i="13" s="1"/>
  <c r="M33" i="7"/>
  <c r="L25" i="13" s="1"/>
  <c r="L33" i="7"/>
  <c r="K25" i="13" s="1"/>
  <c r="K33" i="7"/>
  <c r="J25" i="13" s="1"/>
  <c r="J33" i="7"/>
  <c r="I25" i="13" s="1"/>
  <c r="I33" i="7"/>
  <c r="H25" i="13" s="1"/>
  <c r="H33" i="7"/>
  <c r="G25" i="13" s="1"/>
  <c r="G33" i="7"/>
  <c r="F25" i="13" s="1"/>
  <c r="F33" i="7"/>
  <c r="E25" i="13" s="1"/>
  <c r="E33" i="7"/>
  <c r="D25" i="13" s="1"/>
  <c r="P32" i="7"/>
  <c r="D32" i="7"/>
  <c r="P31" i="7"/>
  <c r="D31" i="7"/>
  <c r="P30" i="7"/>
  <c r="D30" i="7"/>
  <c r="P29" i="7"/>
  <c r="D29" i="7"/>
  <c r="P28" i="7"/>
  <c r="D28" i="7"/>
  <c r="P27" i="7"/>
  <c r="D27" i="7"/>
  <c r="P26" i="7"/>
  <c r="D26" i="7"/>
  <c r="P25" i="7"/>
  <c r="D25" i="7"/>
  <c r="P24" i="7"/>
  <c r="D24" i="7"/>
  <c r="P23" i="7"/>
  <c r="D23" i="7"/>
  <c r="P22" i="7"/>
  <c r="D22" i="7"/>
  <c r="P21" i="7"/>
  <c r="D21" i="7"/>
  <c r="P20" i="7"/>
  <c r="D20" i="7"/>
  <c r="P19" i="7"/>
  <c r="D19" i="7"/>
  <c r="P18" i="7"/>
  <c r="D18" i="7"/>
  <c r="AM16" i="7"/>
  <c r="AL16" i="7"/>
  <c r="AK16" i="7"/>
  <c r="AJ16" i="7"/>
  <c r="AI16" i="7"/>
  <c r="AH16" i="7"/>
  <c r="AG25" i="12" s="1"/>
  <c r="AG25" i="15" s="1"/>
  <c r="AG16" i="7"/>
  <c r="AF16" i="7"/>
  <c r="AE16" i="7"/>
  <c r="AD16" i="7"/>
  <c r="AC16" i="7"/>
  <c r="AB16" i="7"/>
  <c r="AA16" i="7"/>
  <c r="Z16" i="7"/>
  <c r="Y25" i="12" s="1"/>
  <c r="Y25" i="15" s="1"/>
  <c r="Y16" i="7"/>
  <c r="X16" i="7"/>
  <c r="W16" i="7"/>
  <c r="V16" i="7"/>
  <c r="U16" i="7"/>
  <c r="T16" i="7"/>
  <c r="S16" i="7"/>
  <c r="R16" i="7"/>
  <c r="Q25" i="12" s="1"/>
  <c r="Q25" i="15" s="1"/>
  <c r="Q16" i="7"/>
  <c r="O16" i="7"/>
  <c r="N25" i="12" s="1"/>
  <c r="N25" i="15" s="1"/>
  <c r="N16" i="7"/>
  <c r="M25" i="12" s="1"/>
  <c r="M25" i="15" s="1"/>
  <c r="M16" i="7"/>
  <c r="L25" i="12" s="1"/>
  <c r="L25" i="15" s="1"/>
  <c r="L16" i="7"/>
  <c r="K25" i="12" s="1"/>
  <c r="K25" i="15" s="1"/>
  <c r="K16" i="7"/>
  <c r="J25" i="12" s="1"/>
  <c r="J25" i="15" s="1"/>
  <c r="J16" i="7"/>
  <c r="I16" i="7"/>
  <c r="H25" i="12" s="1"/>
  <c r="H25" i="15" s="1"/>
  <c r="H16" i="7"/>
  <c r="G25" i="12" s="1"/>
  <c r="G25" i="15" s="1"/>
  <c r="G16" i="7"/>
  <c r="F25" i="12" s="1"/>
  <c r="F25" i="15" s="1"/>
  <c r="F16" i="7"/>
  <c r="E25" i="12" s="1"/>
  <c r="E25" i="15" s="1"/>
  <c r="E16" i="7"/>
  <c r="D25" i="12" s="1"/>
  <c r="D25" i="15" s="1"/>
  <c r="P15" i="7"/>
  <c r="D15" i="7"/>
  <c r="M14" i="7"/>
  <c r="F14" i="7"/>
  <c r="P143" i="6"/>
  <c r="D143" i="6"/>
  <c r="P142" i="6"/>
  <c r="D142" i="6"/>
  <c r="P141" i="6"/>
  <c r="D141" i="6"/>
  <c r="P140" i="6"/>
  <c r="D140" i="6"/>
  <c r="P139" i="6"/>
  <c r="D139" i="6"/>
  <c r="P138" i="6"/>
  <c r="D138" i="6"/>
  <c r="P137" i="6"/>
  <c r="D137" i="6"/>
  <c r="P136" i="6"/>
  <c r="D136" i="6"/>
  <c r="P135" i="6"/>
  <c r="D135" i="6"/>
  <c r="P134" i="6"/>
  <c r="D134" i="6"/>
  <c r="P133" i="6"/>
  <c r="D133" i="6"/>
  <c r="P132" i="6"/>
  <c r="D132" i="6"/>
  <c r="P131" i="6"/>
  <c r="D131" i="6"/>
  <c r="P130" i="6"/>
  <c r="D130" i="6"/>
  <c r="P129" i="6"/>
  <c r="D129" i="6"/>
  <c r="P128" i="6"/>
  <c r="D128" i="6"/>
  <c r="P127" i="6"/>
  <c r="D127" i="6"/>
  <c r="P126" i="6"/>
  <c r="D126" i="6"/>
  <c r="P125" i="6"/>
  <c r="D125" i="6"/>
  <c r="P124" i="6"/>
  <c r="D124" i="6"/>
  <c r="P123" i="6"/>
  <c r="D123" i="6"/>
  <c r="P122" i="6"/>
  <c r="D122" i="6"/>
  <c r="P121" i="6"/>
  <c r="D121" i="6"/>
  <c r="P120" i="6"/>
  <c r="D120" i="6"/>
  <c r="P119" i="6"/>
  <c r="D119" i="6"/>
  <c r="P118" i="6"/>
  <c r="D118" i="6"/>
  <c r="P117" i="6"/>
  <c r="D117" i="6"/>
  <c r="P116" i="6"/>
  <c r="D116" i="6"/>
  <c r="P115" i="6"/>
  <c r="D115" i="6"/>
  <c r="P114" i="6"/>
  <c r="D114" i="6"/>
  <c r="P113" i="6"/>
  <c r="D113" i="6"/>
  <c r="P112" i="6"/>
  <c r="D112" i="6"/>
  <c r="P111" i="6"/>
  <c r="D111" i="6"/>
  <c r="P110" i="6"/>
  <c r="D110" i="6"/>
  <c r="P109" i="6"/>
  <c r="D109" i="6"/>
  <c r="P108" i="6"/>
  <c r="D108" i="6"/>
  <c r="P107" i="6"/>
  <c r="D107" i="6"/>
  <c r="P106" i="6"/>
  <c r="D106" i="6"/>
  <c r="P105" i="6"/>
  <c r="D105" i="6"/>
  <c r="P104" i="6"/>
  <c r="D104" i="6"/>
  <c r="P103" i="6"/>
  <c r="D103" i="6"/>
  <c r="P102" i="6"/>
  <c r="D102" i="6"/>
  <c r="P101" i="6"/>
  <c r="D101" i="6"/>
  <c r="P100" i="6"/>
  <c r="D100" i="6"/>
  <c r="P99" i="6"/>
  <c r="D99" i="6"/>
  <c r="P98" i="6"/>
  <c r="D98" i="6"/>
  <c r="P97" i="6"/>
  <c r="D97" i="6"/>
  <c r="P96" i="6"/>
  <c r="D96" i="6"/>
  <c r="P95" i="6"/>
  <c r="D95" i="6"/>
  <c r="P94" i="6"/>
  <c r="D94" i="6"/>
  <c r="P93" i="6"/>
  <c r="D93" i="6"/>
  <c r="P92" i="6"/>
  <c r="D92" i="6"/>
  <c r="P91" i="6"/>
  <c r="D91" i="6"/>
  <c r="P90" i="6"/>
  <c r="D90" i="6"/>
  <c r="P89" i="6"/>
  <c r="D89" i="6"/>
  <c r="P88" i="6"/>
  <c r="D88" i="6"/>
  <c r="P87" i="6"/>
  <c r="D87" i="6"/>
  <c r="P86" i="6"/>
  <c r="D86" i="6"/>
  <c r="P85" i="6"/>
  <c r="D85" i="6"/>
  <c r="P84" i="6"/>
  <c r="D84" i="6"/>
  <c r="P83" i="6"/>
  <c r="D83" i="6"/>
  <c r="P82" i="6"/>
  <c r="D82" i="6"/>
  <c r="P81" i="6"/>
  <c r="D81" i="6"/>
  <c r="P80" i="6"/>
  <c r="D80" i="6"/>
  <c r="P79" i="6"/>
  <c r="D79" i="6"/>
  <c r="P78" i="6"/>
  <c r="D78" i="6"/>
  <c r="P77" i="6"/>
  <c r="D77" i="6"/>
  <c r="P76" i="6"/>
  <c r="D76" i="6"/>
  <c r="P75" i="6"/>
  <c r="D75" i="6"/>
  <c r="P74" i="6"/>
  <c r="D74" i="6"/>
  <c r="P73" i="6"/>
  <c r="D73" i="6"/>
  <c r="P72" i="6"/>
  <c r="D72" i="6"/>
  <c r="P71" i="6"/>
  <c r="D71" i="6"/>
  <c r="P70" i="6"/>
  <c r="D70" i="6"/>
  <c r="P69" i="6"/>
  <c r="D69" i="6"/>
  <c r="P68" i="6"/>
  <c r="D68" i="6"/>
  <c r="P67" i="6"/>
  <c r="D67" i="6"/>
  <c r="P66" i="6"/>
  <c r="D66" i="6"/>
  <c r="P65" i="6"/>
  <c r="D65" i="6"/>
  <c r="P64" i="6"/>
  <c r="D64" i="6"/>
  <c r="P63" i="6"/>
  <c r="D63" i="6"/>
  <c r="P62" i="6"/>
  <c r="D62" i="6"/>
  <c r="P61" i="6"/>
  <c r="D61" i="6"/>
  <c r="P60" i="6"/>
  <c r="D60" i="6"/>
  <c r="P59" i="6"/>
  <c r="D59" i="6"/>
  <c r="P58" i="6"/>
  <c r="D58" i="6"/>
  <c r="P57" i="6"/>
  <c r="D57" i="6"/>
  <c r="P56" i="6"/>
  <c r="D56" i="6"/>
  <c r="P55" i="6"/>
  <c r="D55" i="6"/>
  <c r="AM54" i="6"/>
  <c r="AL41" i="14" s="1"/>
  <c r="AL54" i="6"/>
  <c r="AK41" i="14" s="1"/>
  <c r="AK54" i="6"/>
  <c r="AJ41" i="14" s="1"/>
  <c r="AJ54" i="6"/>
  <c r="AI41" i="14" s="1"/>
  <c r="AI54" i="6"/>
  <c r="AH41" i="14" s="1"/>
  <c r="AH54" i="6"/>
  <c r="AG41" i="14" s="1"/>
  <c r="AG54" i="6"/>
  <c r="AF41" i="14" s="1"/>
  <c r="AF54" i="6"/>
  <c r="AE41" i="14" s="1"/>
  <c r="AE54" i="6"/>
  <c r="AD41" i="14" s="1"/>
  <c r="AD54" i="6"/>
  <c r="AC41" i="14" s="1"/>
  <c r="AC54" i="6"/>
  <c r="AB41" i="14" s="1"/>
  <c r="AB54" i="6"/>
  <c r="AA41" i="14" s="1"/>
  <c r="AA54" i="6"/>
  <c r="Z41" i="14" s="1"/>
  <c r="Z54" i="6"/>
  <c r="Y41" i="14" s="1"/>
  <c r="Y54" i="6"/>
  <c r="X41" i="14" s="1"/>
  <c r="X54" i="6"/>
  <c r="W41" i="14" s="1"/>
  <c r="W54" i="6"/>
  <c r="V41" i="14" s="1"/>
  <c r="V54" i="6"/>
  <c r="U41" i="14" s="1"/>
  <c r="U54" i="6"/>
  <c r="T41" i="14" s="1"/>
  <c r="T54" i="6"/>
  <c r="S41" i="14" s="1"/>
  <c r="S54" i="6"/>
  <c r="R41" i="14" s="1"/>
  <c r="R54" i="6"/>
  <c r="Q41" i="14" s="1"/>
  <c r="Q54" i="6"/>
  <c r="P41" i="14" s="1"/>
  <c r="O54" i="6"/>
  <c r="N41" i="14" s="1"/>
  <c r="N54" i="6"/>
  <c r="M41" i="14" s="1"/>
  <c r="M54" i="6"/>
  <c r="L41" i="14" s="1"/>
  <c r="L54" i="6"/>
  <c r="K41" i="14" s="1"/>
  <c r="K54" i="6"/>
  <c r="J41" i="14" s="1"/>
  <c r="J54" i="6"/>
  <c r="I41" i="14" s="1"/>
  <c r="I54" i="6"/>
  <c r="H41" i="14" s="1"/>
  <c r="H54" i="6"/>
  <c r="G41" i="14" s="1"/>
  <c r="G54" i="6"/>
  <c r="F41" i="14" s="1"/>
  <c r="F54" i="6"/>
  <c r="E41" i="14" s="1"/>
  <c r="E54" i="6"/>
  <c r="D41" i="14" s="1"/>
  <c r="P53" i="6"/>
  <c r="P52" i="6"/>
  <c r="P51" i="6"/>
  <c r="P50" i="6"/>
  <c r="P49" i="6"/>
  <c r="P48" i="6"/>
  <c r="P47" i="6"/>
  <c r="P46" i="6"/>
  <c r="P45" i="6"/>
  <c r="P44" i="6"/>
  <c r="P43" i="6"/>
  <c r="P42" i="6"/>
  <c r="P41" i="6"/>
  <c r="D41" i="6"/>
  <c r="P40" i="6"/>
  <c r="D40" i="6"/>
  <c r="P39" i="6"/>
  <c r="D39" i="6"/>
  <c r="P38" i="6"/>
  <c r="D38" i="6"/>
  <c r="P37" i="6"/>
  <c r="D37" i="6"/>
  <c r="P36" i="6"/>
  <c r="D36" i="6"/>
  <c r="P35" i="6"/>
  <c r="D35" i="6"/>
  <c r="P34" i="6"/>
  <c r="D34" i="6"/>
  <c r="AM33" i="6"/>
  <c r="AL41" i="13" s="1"/>
  <c r="AL33" i="6"/>
  <c r="AK41" i="13" s="1"/>
  <c r="AK33" i="6"/>
  <c r="AJ41" i="13" s="1"/>
  <c r="AJ33" i="6"/>
  <c r="AI41" i="13" s="1"/>
  <c r="AI33" i="6"/>
  <c r="AH41" i="13" s="1"/>
  <c r="AH33" i="6"/>
  <c r="AG41" i="13" s="1"/>
  <c r="AG33" i="6"/>
  <c r="AF41" i="13" s="1"/>
  <c r="AF33" i="6"/>
  <c r="AE41" i="13" s="1"/>
  <c r="AE33" i="6"/>
  <c r="AD41" i="13" s="1"/>
  <c r="AD33" i="6"/>
  <c r="AC41" i="13" s="1"/>
  <c r="AC33" i="6"/>
  <c r="AB41" i="13" s="1"/>
  <c r="AB33" i="6"/>
  <c r="AA41" i="13" s="1"/>
  <c r="AA33" i="6"/>
  <c r="Z41" i="13" s="1"/>
  <c r="Z33" i="6"/>
  <c r="Y41" i="13" s="1"/>
  <c r="Y33" i="6"/>
  <c r="X41" i="13" s="1"/>
  <c r="X33" i="6"/>
  <c r="W41" i="13" s="1"/>
  <c r="W33" i="6"/>
  <c r="V41" i="13" s="1"/>
  <c r="V33" i="6"/>
  <c r="U41" i="13" s="1"/>
  <c r="U33" i="6"/>
  <c r="T41" i="13" s="1"/>
  <c r="T33" i="6"/>
  <c r="S41" i="13" s="1"/>
  <c r="S33" i="6"/>
  <c r="R41" i="13" s="1"/>
  <c r="R33" i="6"/>
  <c r="Q41" i="13" s="1"/>
  <c r="Q33" i="6"/>
  <c r="P41" i="13" s="1"/>
  <c r="O33" i="6"/>
  <c r="N41" i="13" s="1"/>
  <c r="N33" i="6"/>
  <c r="M41" i="13" s="1"/>
  <c r="M33" i="6"/>
  <c r="L41" i="13" s="1"/>
  <c r="L33" i="6"/>
  <c r="K41" i="13" s="1"/>
  <c r="K33" i="6"/>
  <c r="J41" i="13" s="1"/>
  <c r="J33" i="6"/>
  <c r="I41" i="13" s="1"/>
  <c r="I33" i="6"/>
  <c r="H41" i="13" s="1"/>
  <c r="H33" i="6"/>
  <c r="G41" i="13" s="1"/>
  <c r="G33" i="6"/>
  <c r="F41" i="13" s="1"/>
  <c r="F33" i="6"/>
  <c r="E41" i="13" s="1"/>
  <c r="E33" i="6"/>
  <c r="D41" i="13" s="1"/>
  <c r="P32" i="6"/>
  <c r="D32" i="6"/>
  <c r="P31" i="6"/>
  <c r="D31" i="6"/>
  <c r="P30" i="6"/>
  <c r="D30" i="6"/>
  <c r="P29" i="6"/>
  <c r="D29" i="6"/>
  <c r="P28" i="6"/>
  <c r="D28" i="6"/>
  <c r="P27" i="6"/>
  <c r="D27" i="6"/>
  <c r="P26" i="6"/>
  <c r="D26" i="6"/>
  <c r="P25" i="6"/>
  <c r="D25" i="6"/>
  <c r="P24" i="6"/>
  <c r="D24" i="6"/>
  <c r="P23" i="6"/>
  <c r="D23" i="6"/>
  <c r="P22" i="6"/>
  <c r="D22" i="6"/>
  <c r="P21" i="6"/>
  <c r="D21" i="6"/>
  <c r="P20" i="6"/>
  <c r="D20" i="6"/>
  <c r="P19" i="6"/>
  <c r="D19" i="6"/>
  <c r="P18" i="6"/>
  <c r="D18" i="6"/>
  <c r="AM16" i="6"/>
  <c r="AL41" i="12" s="1"/>
  <c r="AL16" i="6"/>
  <c r="AK41" i="12" s="1"/>
  <c r="AK16" i="6"/>
  <c r="AJ16" i="6"/>
  <c r="AI16" i="6"/>
  <c r="AH41" i="12" s="1"/>
  <c r="AH16" i="6"/>
  <c r="AG41" i="12" s="1"/>
  <c r="AG16" i="6"/>
  <c r="AF41" i="12" s="1"/>
  <c r="AF16" i="6"/>
  <c r="AE16" i="6"/>
  <c r="AD41" i="12" s="1"/>
  <c r="AD16" i="6"/>
  <c r="AC41" i="12" s="1"/>
  <c r="AC16" i="6"/>
  <c r="AB16" i="6"/>
  <c r="AA16" i="6"/>
  <c r="Z41" i="12" s="1"/>
  <c r="Z16" i="6"/>
  <c r="Y41" i="12" s="1"/>
  <c r="Y16" i="6"/>
  <c r="X41" i="12" s="1"/>
  <c r="X16" i="6"/>
  <c r="W16" i="6"/>
  <c r="V41" i="12" s="1"/>
  <c r="V16" i="6"/>
  <c r="U41" i="12" s="1"/>
  <c r="U16" i="6"/>
  <c r="T16" i="6"/>
  <c r="S16" i="6"/>
  <c r="R41" i="12" s="1"/>
  <c r="R16" i="6"/>
  <c r="Q41" i="12" s="1"/>
  <c r="Q16" i="6"/>
  <c r="P41" i="12" s="1"/>
  <c r="O16" i="6"/>
  <c r="N16" i="6"/>
  <c r="M41" i="12" s="1"/>
  <c r="M16" i="6"/>
  <c r="L41" i="12" s="1"/>
  <c r="L16" i="6"/>
  <c r="K41" i="12" s="1"/>
  <c r="K16" i="6"/>
  <c r="J16" i="6"/>
  <c r="I41" i="12" s="1"/>
  <c r="I16" i="6"/>
  <c r="H41" i="12" s="1"/>
  <c r="H16" i="6"/>
  <c r="G41" i="12" s="1"/>
  <c r="G16" i="6"/>
  <c r="F16" i="6"/>
  <c r="E41" i="12" s="1"/>
  <c r="E16" i="6"/>
  <c r="D41" i="12" s="1"/>
  <c r="P15" i="6"/>
  <c r="D15" i="6"/>
  <c r="AG14" i="6"/>
  <c r="E33" i="5"/>
  <c r="D42" i="5"/>
  <c r="D43" i="5"/>
  <c r="D44" i="5"/>
  <c r="D45" i="5"/>
  <c r="P143" i="5"/>
  <c r="D143" i="5"/>
  <c r="P142" i="5"/>
  <c r="D142" i="5"/>
  <c r="P141" i="5"/>
  <c r="D141" i="5"/>
  <c r="P140" i="5"/>
  <c r="D140" i="5"/>
  <c r="P139" i="5"/>
  <c r="D139" i="5"/>
  <c r="P138" i="5"/>
  <c r="D138" i="5"/>
  <c r="P137" i="5"/>
  <c r="D137" i="5"/>
  <c r="P136" i="5"/>
  <c r="D136" i="5"/>
  <c r="P135" i="5"/>
  <c r="D135" i="5"/>
  <c r="P134" i="5"/>
  <c r="D134" i="5"/>
  <c r="P133" i="5"/>
  <c r="D133" i="5"/>
  <c r="P132" i="5"/>
  <c r="D132" i="5"/>
  <c r="P131" i="5"/>
  <c r="D131" i="5"/>
  <c r="P130" i="5"/>
  <c r="D130" i="5"/>
  <c r="P129" i="5"/>
  <c r="D129" i="5"/>
  <c r="P128" i="5"/>
  <c r="D128" i="5"/>
  <c r="P127" i="5"/>
  <c r="D127" i="5"/>
  <c r="P126" i="5"/>
  <c r="D126" i="5"/>
  <c r="P125" i="5"/>
  <c r="D125" i="5"/>
  <c r="P124" i="5"/>
  <c r="D124" i="5"/>
  <c r="P123" i="5"/>
  <c r="D123" i="5"/>
  <c r="P122" i="5"/>
  <c r="D122" i="5"/>
  <c r="P121" i="5"/>
  <c r="D121" i="5"/>
  <c r="P120" i="5"/>
  <c r="D120" i="5"/>
  <c r="P119" i="5"/>
  <c r="D119" i="5"/>
  <c r="P118" i="5"/>
  <c r="D118" i="5"/>
  <c r="P117" i="5"/>
  <c r="D117" i="5"/>
  <c r="P116" i="5"/>
  <c r="D116" i="5"/>
  <c r="P115" i="5"/>
  <c r="D115" i="5"/>
  <c r="P114" i="5"/>
  <c r="D114" i="5"/>
  <c r="P113" i="5"/>
  <c r="D113" i="5"/>
  <c r="P112" i="5"/>
  <c r="D112" i="5"/>
  <c r="P111" i="5"/>
  <c r="D111" i="5"/>
  <c r="P110" i="5"/>
  <c r="D110" i="5"/>
  <c r="P109" i="5"/>
  <c r="D109" i="5"/>
  <c r="P108" i="5"/>
  <c r="D108" i="5"/>
  <c r="P107" i="5"/>
  <c r="D107" i="5"/>
  <c r="P106" i="5"/>
  <c r="D106" i="5"/>
  <c r="P105" i="5"/>
  <c r="D105" i="5"/>
  <c r="P104" i="5"/>
  <c r="D104" i="5"/>
  <c r="P103" i="5"/>
  <c r="D103" i="5"/>
  <c r="P102" i="5"/>
  <c r="D102" i="5"/>
  <c r="P101" i="5"/>
  <c r="D101" i="5"/>
  <c r="P100" i="5"/>
  <c r="D100" i="5"/>
  <c r="P99" i="5"/>
  <c r="D99" i="5"/>
  <c r="P98" i="5"/>
  <c r="D98" i="5"/>
  <c r="P97" i="5"/>
  <c r="D97" i="5"/>
  <c r="P96" i="5"/>
  <c r="D96" i="5"/>
  <c r="P95" i="5"/>
  <c r="D95" i="5"/>
  <c r="P94" i="5"/>
  <c r="D94" i="5"/>
  <c r="P93" i="5"/>
  <c r="D93" i="5"/>
  <c r="P92" i="5"/>
  <c r="D92" i="5"/>
  <c r="P91" i="5"/>
  <c r="D91" i="5"/>
  <c r="P90" i="5"/>
  <c r="D90" i="5"/>
  <c r="P89" i="5"/>
  <c r="D89" i="5"/>
  <c r="P88" i="5"/>
  <c r="D88" i="5"/>
  <c r="P87" i="5"/>
  <c r="D87" i="5"/>
  <c r="P86" i="5"/>
  <c r="D86" i="5"/>
  <c r="P85" i="5"/>
  <c r="D85" i="5"/>
  <c r="P84" i="5"/>
  <c r="D84" i="5"/>
  <c r="P83" i="5"/>
  <c r="D83" i="5"/>
  <c r="P82" i="5"/>
  <c r="D82" i="5"/>
  <c r="P81" i="5"/>
  <c r="D81" i="5"/>
  <c r="P80" i="5"/>
  <c r="D80" i="5"/>
  <c r="P79" i="5"/>
  <c r="D79" i="5"/>
  <c r="P78" i="5"/>
  <c r="D78" i="5"/>
  <c r="P77" i="5"/>
  <c r="D77" i="5"/>
  <c r="P76" i="5"/>
  <c r="D76" i="5"/>
  <c r="P75" i="5"/>
  <c r="D75" i="5"/>
  <c r="P74" i="5"/>
  <c r="D74" i="5"/>
  <c r="P73" i="5"/>
  <c r="D73" i="5"/>
  <c r="P72" i="5"/>
  <c r="D72" i="5"/>
  <c r="P71" i="5"/>
  <c r="D71" i="5"/>
  <c r="P70" i="5"/>
  <c r="D70" i="5"/>
  <c r="P69" i="5"/>
  <c r="D69" i="5"/>
  <c r="P68" i="5"/>
  <c r="D68" i="5"/>
  <c r="P67" i="5"/>
  <c r="D67" i="5"/>
  <c r="P66" i="5"/>
  <c r="D66" i="5"/>
  <c r="P65" i="5"/>
  <c r="D65" i="5"/>
  <c r="P64" i="5"/>
  <c r="D64" i="5"/>
  <c r="P63" i="5"/>
  <c r="D63" i="5"/>
  <c r="P62" i="5"/>
  <c r="D62" i="5"/>
  <c r="P61" i="5"/>
  <c r="D61" i="5"/>
  <c r="P60" i="5"/>
  <c r="D60" i="5"/>
  <c r="P59" i="5"/>
  <c r="D59" i="5"/>
  <c r="P58" i="5"/>
  <c r="D58" i="5"/>
  <c r="P57" i="5"/>
  <c r="D57" i="5"/>
  <c r="P56" i="5"/>
  <c r="D56" i="5"/>
  <c r="P55" i="5"/>
  <c r="D55" i="5"/>
  <c r="AM54" i="5"/>
  <c r="AL54" i="5"/>
  <c r="AK48" i="14" s="1"/>
  <c r="AK54" i="5"/>
  <c r="AJ48" i="14" s="1"/>
  <c r="AJ54" i="5"/>
  <c r="AI48" i="14" s="1"/>
  <c r="AI54" i="5"/>
  <c r="AH54" i="5"/>
  <c r="AG48" i="14" s="1"/>
  <c r="AG54" i="5"/>
  <c r="AF48" i="14" s="1"/>
  <c r="AF54" i="5"/>
  <c r="AE48" i="14" s="1"/>
  <c r="AE54" i="5"/>
  <c r="AD54" i="5"/>
  <c r="AC48" i="14" s="1"/>
  <c r="AC54" i="5"/>
  <c r="AB48" i="14" s="1"/>
  <c r="AB54" i="5"/>
  <c r="AA48" i="14" s="1"/>
  <c r="AA54" i="5"/>
  <c r="Z48" i="14" s="1"/>
  <c r="Z54" i="5"/>
  <c r="Y48" i="14" s="1"/>
  <c r="Y54" i="5"/>
  <c r="X48" i="14" s="1"/>
  <c r="X54" i="5"/>
  <c r="W48" i="14" s="1"/>
  <c r="W54" i="5"/>
  <c r="V54" i="5"/>
  <c r="U48" i="14" s="1"/>
  <c r="U54" i="5"/>
  <c r="T48" i="14" s="1"/>
  <c r="T54" i="5"/>
  <c r="S48" i="14" s="1"/>
  <c r="S54" i="5"/>
  <c r="R54" i="5"/>
  <c r="Q48" i="14" s="1"/>
  <c r="Q54" i="5"/>
  <c r="P48" i="14" s="1"/>
  <c r="O54" i="5"/>
  <c r="N48" i="14" s="1"/>
  <c r="N54" i="5"/>
  <c r="M48" i="14" s="1"/>
  <c r="M54" i="5"/>
  <c r="L48" i="14" s="1"/>
  <c r="L54" i="5"/>
  <c r="K48" i="14" s="1"/>
  <c r="K54" i="5"/>
  <c r="J48" i="14" s="1"/>
  <c r="J54" i="5"/>
  <c r="I48" i="14" s="1"/>
  <c r="I54" i="5"/>
  <c r="H48" i="14" s="1"/>
  <c r="H54" i="5"/>
  <c r="G48" i="14" s="1"/>
  <c r="G54" i="5"/>
  <c r="F48" i="14" s="1"/>
  <c r="F54" i="5"/>
  <c r="E54" i="5"/>
  <c r="D48" i="14" s="1"/>
  <c r="P53" i="5"/>
  <c r="P52" i="5"/>
  <c r="P51" i="5"/>
  <c r="P50" i="5"/>
  <c r="P49" i="5"/>
  <c r="P48" i="5"/>
  <c r="P47" i="5"/>
  <c r="P46" i="5"/>
  <c r="P45" i="5"/>
  <c r="P44" i="5"/>
  <c r="P43" i="5"/>
  <c r="P42" i="5"/>
  <c r="P41" i="5"/>
  <c r="D41" i="5"/>
  <c r="P40" i="5"/>
  <c r="D40" i="5"/>
  <c r="P39" i="5"/>
  <c r="D39" i="5"/>
  <c r="P38" i="5"/>
  <c r="D38" i="5"/>
  <c r="P37" i="5"/>
  <c r="D37" i="5"/>
  <c r="P36" i="5"/>
  <c r="D36" i="5"/>
  <c r="P35" i="5"/>
  <c r="D35" i="5"/>
  <c r="P34" i="5"/>
  <c r="D34" i="5"/>
  <c r="AM33" i="5"/>
  <c r="AL33" i="5"/>
  <c r="AK33" i="5"/>
  <c r="AJ33" i="5"/>
  <c r="AI33" i="5"/>
  <c r="AH33" i="5"/>
  <c r="AH14" i="5" s="1"/>
  <c r="AG33" i="5"/>
  <c r="AF33" i="5"/>
  <c r="AE33" i="5"/>
  <c r="AD33" i="5"/>
  <c r="AC33" i="5"/>
  <c r="AB33" i="5"/>
  <c r="AA33" i="5"/>
  <c r="Z33" i="5"/>
  <c r="Z14" i="5" s="1"/>
  <c r="Y33" i="5"/>
  <c r="X33" i="5"/>
  <c r="W33" i="5"/>
  <c r="V33" i="5"/>
  <c r="U33" i="5"/>
  <c r="T33" i="5"/>
  <c r="S33" i="5"/>
  <c r="R33" i="5"/>
  <c r="Q33" i="5"/>
  <c r="O33" i="5"/>
  <c r="N33" i="5"/>
  <c r="M33" i="5"/>
  <c r="L33" i="5"/>
  <c r="K33" i="5"/>
  <c r="J33" i="5"/>
  <c r="I33" i="5"/>
  <c r="H33" i="5"/>
  <c r="G33" i="5"/>
  <c r="F33" i="5"/>
  <c r="P32" i="5"/>
  <c r="D32" i="5"/>
  <c r="P31" i="5"/>
  <c r="D31" i="5"/>
  <c r="P30" i="5"/>
  <c r="D30" i="5"/>
  <c r="P29" i="5"/>
  <c r="D29" i="5"/>
  <c r="P28" i="5"/>
  <c r="D28" i="5"/>
  <c r="P27" i="5"/>
  <c r="D27" i="5"/>
  <c r="P26" i="5"/>
  <c r="D26" i="5"/>
  <c r="P25" i="5"/>
  <c r="D25" i="5"/>
  <c r="P24" i="5"/>
  <c r="D24" i="5"/>
  <c r="P23" i="5"/>
  <c r="D23" i="5"/>
  <c r="P22" i="5"/>
  <c r="D22" i="5"/>
  <c r="P21" i="5"/>
  <c r="D21" i="5"/>
  <c r="P20" i="5"/>
  <c r="D20" i="5"/>
  <c r="P19" i="5"/>
  <c r="D19" i="5"/>
  <c r="P18" i="5"/>
  <c r="D18" i="5"/>
  <c r="AM16" i="5"/>
  <c r="AL48" i="12" s="1"/>
  <c r="AL16" i="5"/>
  <c r="AK48" i="12" s="1"/>
  <c r="AK16" i="5"/>
  <c r="AJ48" i="12" s="1"/>
  <c r="AJ16" i="5"/>
  <c r="AI48" i="12" s="1"/>
  <c r="AI16" i="5"/>
  <c r="AH48" i="12" s="1"/>
  <c r="AH16" i="5"/>
  <c r="AG48" i="12" s="1"/>
  <c r="AG16" i="5"/>
  <c r="AF48" i="12" s="1"/>
  <c r="AF16" i="5"/>
  <c r="AE48" i="12" s="1"/>
  <c r="AE16" i="5"/>
  <c r="AD48" i="12" s="1"/>
  <c r="AD16" i="5"/>
  <c r="AC48" i="12" s="1"/>
  <c r="AC16" i="5"/>
  <c r="AB48" i="12" s="1"/>
  <c r="AB16" i="5"/>
  <c r="AA48" i="12" s="1"/>
  <c r="AA16" i="5"/>
  <c r="Z48" i="12" s="1"/>
  <c r="Z16" i="5"/>
  <c r="Y48" i="12" s="1"/>
  <c r="Y16" i="5"/>
  <c r="X48" i="12" s="1"/>
  <c r="X16" i="5"/>
  <c r="W48" i="12" s="1"/>
  <c r="W16" i="5"/>
  <c r="V48" i="12" s="1"/>
  <c r="V16" i="5"/>
  <c r="U48" i="12" s="1"/>
  <c r="U16" i="5"/>
  <c r="T48" i="12" s="1"/>
  <c r="T16" i="5"/>
  <c r="S48" i="12" s="1"/>
  <c r="S16" i="5"/>
  <c r="R48" i="12" s="1"/>
  <c r="R16" i="5"/>
  <c r="Q48" i="12" s="1"/>
  <c r="Q16" i="5"/>
  <c r="P48" i="12" s="1"/>
  <c r="P16" i="5"/>
  <c r="O48" i="12" s="1"/>
  <c r="O16" i="5"/>
  <c r="N48" i="12" s="1"/>
  <c r="N16" i="5"/>
  <c r="M48" i="12" s="1"/>
  <c r="M16" i="5"/>
  <c r="L48" i="12" s="1"/>
  <c r="L16" i="5"/>
  <c r="K16" i="5"/>
  <c r="J48" i="12" s="1"/>
  <c r="J16" i="5"/>
  <c r="I48" i="12" s="1"/>
  <c r="I16" i="5"/>
  <c r="H48" i="12" s="1"/>
  <c r="H16" i="5"/>
  <c r="G16" i="5"/>
  <c r="F48" i="12" s="1"/>
  <c r="F16" i="5"/>
  <c r="E48" i="12" s="1"/>
  <c r="E16" i="5"/>
  <c r="D48" i="12" s="1"/>
  <c r="D16" i="5"/>
  <c r="C48" i="12" s="1"/>
  <c r="P15" i="5"/>
  <c r="D15" i="5"/>
  <c r="AL14" i="5"/>
  <c r="AD14" i="5"/>
  <c r="V14" i="5"/>
  <c r="K14" i="5"/>
  <c r="F54" i="4"/>
  <c r="G54" i="4"/>
  <c r="G14" i="4" s="1"/>
  <c r="H54" i="4"/>
  <c r="I54" i="4"/>
  <c r="J54" i="4"/>
  <c r="K54" i="4"/>
  <c r="L54" i="4"/>
  <c r="M54" i="4"/>
  <c r="N54" i="4"/>
  <c r="O54" i="4"/>
  <c r="Q54" i="4"/>
  <c r="P54" i="4" s="1"/>
  <c r="R54" i="4"/>
  <c r="S54" i="4"/>
  <c r="T54" i="4"/>
  <c r="U54" i="4"/>
  <c r="V54" i="4"/>
  <c r="W54" i="4"/>
  <c r="X54" i="4"/>
  <c r="Y54" i="4"/>
  <c r="Z54" i="4"/>
  <c r="AA54" i="4"/>
  <c r="AB54" i="4"/>
  <c r="AC54" i="4"/>
  <c r="AD54" i="4"/>
  <c r="AE54" i="4"/>
  <c r="AF54" i="4"/>
  <c r="AG54" i="4"/>
  <c r="AH54" i="4"/>
  <c r="AI54" i="4"/>
  <c r="AJ54" i="4"/>
  <c r="AK54" i="4"/>
  <c r="AL54" i="4"/>
  <c r="AM54" i="4"/>
  <c r="E54" i="4"/>
  <c r="F33" i="4"/>
  <c r="G33" i="4"/>
  <c r="H33" i="4"/>
  <c r="I33" i="4"/>
  <c r="J33" i="4"/>
  <c r="K33" i="4"/>
  <c r="L33" i="4"/>
  <c r="M33" i="4"/>
  <c r="N33" i="4"/>
  <c r="O33" i="4"/>
  <c r="Q33" i="4"/>
  <c r="R33" i="4"/>
  <c r="P33" i="4" s="1"/>
  <c r="S33" i="4"/>
  <c r="T33" i="4"/>
  <c r="U33" i="4"/>
  <c r="V33" i="4"/>
  <c r="W33" i="4"/>
  <c r="X33" i="4"/>
  <c r="Y33" i="4"/>
  <c r="Z33" i="4"/>
  <c r="AA33" i="4"/>
  <c r="AB33" i="4"/>
  <c r="AC33" i="4"/>
  <c r="AD33" i="4"/>
  <c r="AE33" i="4"/>
  <c r="AF33" i="4"/>
  <c r="AG33" i="4"/>
  <c r="AH33" i="4"/>
  <c r="AI33" i="4"/>
  <c r="AJ33" i="4"/>
  <c r="AK33" i="4"/>
  <c r="AL33" i="4"/>
  <c r="AM33" i="4"/>
  <c r="E33" i="4"/>
  <c r="D34" i="4"/>
  <c r="D35" i="4"/>
  <c r="D36" i="4"/>
  <c r="D37" i="4"/>
  <c r="D38" i="4"/>
  <c r="D39" i="4"/>
  <c r="D40" i="4"/>
  <c r="D41" i="4"/>
  <c r="D42" i="4"/>
  <c r="D43" i="4"/>
  <c r="D44" i="4"/>
  <c r="D45" i="4"/>
  <c r="P34" i="4"/>
  <c r="P35" i="4"/>
  <c r="P36" i="4"/>
  <c r="P37" i="4"/>
  <c r="P38" i="4"/>
  <c r="P39" i="4"/>
  <c r="P40" i="4"/>
  <c r="P41" i="4"/>
  <c r="P42" i="4"/>
  <c r="P43" i="4"/>
  <c r="P44" i="4"/>
  <c r="D46" i="4"/>
  <c r="D47" i="4"/>
  <c r="D48" i="4"/>
  <c r="D49" i="4"/>
  <c r="D50" i="4"/>
  <c r="D51" i="4"/>
  <c r="D52" i="4"/>
  <c r="D53" i="4"/>
  <c r="P151" i="4"/>
  <c r="P152" i="4"/>
  <c r="P144" i="4"/>
  <c r="P145" i="4"/>
  <c r="P146" i="4"/>
  <c r="P147" i="4"/>
  <c r="P148" i="4"/>
  <c r="P149" i="4"/>
  <c r="P150" i="4"/>
  <c r="D144" i="4"/>
  <c r="D145" i="4"/>
  <c r="D146" i="4"/>
  <c r="D147" i="4"/>
  <c r="D148" i="4"/>
  <c r="D149" i="4"/>
  <c r="D150" i="4"/>
  <c r="D151" i="4"/>
  <c r="D152" i="4"/>
  <c r="D18" i="4"/>
  <c r="D19" i="4"/>
  <c r="D20" i="4"/>
  <c r="D21" i="4"/>
  <c r="D22" i="4"/>
  <c r="P15" i="4"/>
  <c r="P143" i="4"/>
  <c r="D143" i="4"/>
  <c r="P142" i="4"/>
  <c r="D142" i="4"/>
  <c r="P141" i="4"/>
  <c r="D141" i="4"/>
  <c r="P140" i="4"/>
  <c r="D140" i="4"/>
  <c r="P139" i="4"/>
  <c r="D139" i="4"/>
  <c r="P138" i="4"/>
  <c r="D138" i="4"/>
  <c r="P137" i="4"/>
  <c r="D137" i="4"/>
  <c r="P136" i="4"/>
  <c r="D136" i="4"/>
  <c r="P135" i="4"/>
  <c r="D135" i="4"/>
  <c r="P134" i="4"/>
  <c r="D134" i="4"/>
  <c r="P133" i="4"/>
  <c r="D133" i="4"/>
  <c r="P132" i="4"/>
  <c r="D132" i="4"/>
  <c r="P131" i="4"/>
  <c r="D131" i="4"/>
  <c r="P130" i="4"/>
  <c r="D130" i="4"/>
  <c r="P129" i="4"/>
  <c r="D129" i="4"/>
  <c r="P128" i="4"/>
  <c r="D128" i="4"/>
  <c r="P127" i="4"/>
  <c r="D127" i="4"/>
  <c r="P126" i="4"/>
  <c r="D126" i="4"/>
  <c r="P125" i="4"/>
  <c r="D125" i="4"/>
  <c r="P124" i="4"/>
  <c r="D124" i="4"/>
  <c r="P123" i="4"/>
  <c r="D123" i="4"/>
  <c r="P122" i="4"/>
  <c r="D122" i="4"/>
  <c r="P121" i="4"/>
  <c r="D121" i="4"/>
  <c r="P120" i="4"/>
  <c r="D120" i="4"/>
  <c r="P119" i="4"/>
  <c r="D119" i="4"/>
  <c r="P118" i="4"/>
  <c r="D118" i="4"/>
  <c r="P117" i="4"/>
  <c r="D117" i="4"/>
  <c r="P116" i="4"/>
  <c r="D116" i="4"/>
  <c r="P115" i="4"/>
  <c r="D115" i="4"/>
  <c r="P114" i="4"/>
  <c r="D114" i="4"/>
  <c r="P113" i="4"/>
  <c r="D113" i="4"/>
  <c r="P112" i="4"/>
  <c r="D112" i="4"/>
  <c r="P111" i="4"/>
  <c r="D111" i="4"/>
  <c r="P110" i="4"/>
  <c r="D110" i="4"/>
  <c r="P109" i="4"/>
  <c r="D109" i="4"/>
  <c r="P108" i="4"/>
  <c r="D108" i="4"/>
  <c r="P107" i="4"/>
  <c r="D107" i="4"/>
  <c r="P106" i="4"/>
  <c r="D106" i="4"/>
  <c r="P105" i="4"/>
  <c r="D105" i="4"/>
  <c r="P104" i="4"/>
  <c r="D104" i="4"/>
  <c r="P103" i="4"/>
  <c r="D103" i="4"/>
  <c r="P102" i="4"/>
  <c r="D102" i="4"/>
  <c r="P101" i="4"/>
  <c r="D101" i="4"/>
  <c r="P100" i="4"/>
  <c r="D100" i="4"/>
  <c r="P99" i="4"/>
  <c r="D99" i="4"/>
  <c r="P98" i="4"/>
  <c r="D98" i="4"/>
  <c r="P97" i="4"/>
  <c r="D97" i="4"/>
  <c r="P96" i="4"/>
  <c r="D96" i="4"/>
  <c r="P95" i="4"/>
  <c r="D95" i="4"/>
  <c r="P94" i="4"/>
  <c r="D94" i="4"/>
  <c r="P93" i="4"/>
  <c r="D93" i="4"/>
  <c r="P92" i="4"/>
  <c r="D92" i="4"/>
  <c r="P91" i="4"/>
  <c r="D91" i="4"/>
  <c r="P90" i="4"/>
  <c r="D90" i="4"/>
  <c r="P89" i="4"/>
  <c r="D89" i="4"/>
  <c r="P88" i="4"/>
  <c r="D88" i="4"/>
  <c r="P87" i="4"/>
  <c r="D87" i="4"/>
  <c r="P86" i="4"/>
  <c r="D86" i="4"/>
  <c r="P85" i="4"/>
  <c r="D85" i="4"/>
  <c r="P84" i="4"/>
  <c r="D84" i="4"/>
  <c r="P83" i="4"/>
  <c r="D83" i="4"/>
  <c r="P82" i="4"/>
  <c r="D82" i="4"/>
  <c r="P81" i="4"/>
  <c r="D81" i="4"/>
  <c r="P80" i="4"/>
  <c r="D80" i="4"/>
  <c r="P79" i="4"/>
  <c r="D79" i="4"/>
  <c r="P78" i="4"/>
  <c r="D78" i="4"/>
  <c r="P77" i="4"/>
  <c r="D77" i="4"/>
  <c r="P76" i="4"/>
  <c r="D76" i="4"/>
  <c r="P75" i="4"/>
  <c r="D75" i="4"/>
  <c r="P74" i="4"/>
  <c r="D74" i="4"/>
  <c r="P73" i="4"/>
  <c r="D73" i="4"/>
  <c r="P72" i="4"/>
  <c r="D72" i="4"/>
  <c r="P71" i="4"/>
  <c r="D71" i="4"/>
  <c r="P70" i="4"/>
  <c r="D70" i="4"/>
  <c r="P69" i="4"/>
  <c r="D69" i="4"/>
  <c r="P68" i="4"/>
  <c r="D68" i="4"/>
  <c r="P67" i="4"/>
  <c r="D67" i="4"/>
  <c r="P66" i="4"/>
  <c r="D66" i="4"/>
  <c r="P65" i="4"/>
  <c r="D65" i="4"/>
  <c r="P64" i="4"/>
  <c r="D64" i="4"/>
  <c r="P63" i="4"/>
  <c r="D63" i="4"/>
  <c r="P62" i="4"/>
  <c r="D62" i="4"/>
  <c r="P61" i="4"/>
  <c r="D61" i="4"/>
  <c r="P60" i="4"/>
  <c r="D60" i="4"/>
  <c r="P59" i="4"/>
  <c r="D59" i="4"/>
  <c r="P58" i="4"/>
  <c r="D58" i="4"/>
  <c r="P57" i="4"/>
  <c r="D57" i="4"/>
  <c r="P56" i="4"/>
  <c r="D56" i="4"/>
  <c r="P55" i="4"/>
  <c r="D55" i="4"/>
  <c r="P53" i="4"/>
  <c r="P52" i="4"/>
  <c r="P51" i="4"/>
  <c r="P50" i="4"/>
  <c r="P49" i="4"/>
  <c r="P48" i="4"/>
  <c r="P47" i="4"/>
  <c r="P46" i="4"/>
  <c r="P45" i="4"/>
  <c r="P32" i="4"/>
  <c r="D32" i="4"/>
  <c r="P31" i="4"/>
  <c r="D31" i="4"/>
  <c r="P30" i="4"/>
  <c r="D30" i="4"/>
  <c r="P29" i="4"/>
  <c r="D29" i="4"/>
  <c r="P28" i="4"/>
  <c r="D28" i="4"/>
  <c r="P27" i="4"/>
  <c r="D27" i="4"/>
  <c r="P26" i="4"/>
  <c r="D26" i="4"/>
  <c r="P25" i="4"/>
  <c r="D25" i="4"/>
  <c r="P24" i="4"/>
  <c r="D24" i="4"/>
  <c r="P23" i="4"/>
  <c r="D23" i="4"/>
  <c r="P22" i="4"/>
  <c r="P21" i="4"/>
  <c r="P20" i="4"/>
  <c r="P19" i="4"/>
  <c r="P18" i="4"/>
  <c r="AM16" i="4"/>
  <c r="AL49" i="12" s="1"/>
  <c r="AL49" i="15" s="1"/>
  <c r="AL16" i="4"/>
  <c r="AK49" i="12" s="1"/>
  <c r="AK49" i="15" s="1"/>
  <c r="AK16" i="4"/>
  <c r="AJ49" i="12" s="1"/>
  <c r="AJ49" i="15" s="1"/>
  <c r="AJ16" i="4"/>
  <c r="AI49" i="12" s="1"/>
  <c r="AI49" i="15" s="1"/>
  <c r="AI16" i="4"/>
  <c r="AH49" i="12" s="1"/>
  <c r="AH49" i="15" s="1"/>
  <c r="AH16" i="4"/>
  <c r="AG49" i="12" s="1"/>
  <c r="AG49" i="15" s="1"/>
  <c r="AG16" i="4"/>
  <c r="AF49" i="12" s="1"/>
  <c r="AF49" i="15" s="1"/>
  <c r="AF16" i="4"/>
  <c r="AE49" i="12" s="1"/>
  <c r="AE49" i="15" s="1"/>
  <c r="AE16" i="4"/>
  <c r="AD49" i="12" s="1"/>
  <c r="AD49" i="15" s="1"/>
  <c r="AD16" i="4"/>
  <c r="AC49" i="12" s="1"/>
  <c r="AC49" i="15" s="1"/>
  <c r="AC16" i="4"/>
  <c r="AB49" i="12" s="1"/>
  <c r="AB49" i="15" s="1"/>
  <c r="AB16" i="4"/>
  <c r="AA49" i="12" s="1"/>
  <c r="AA49" i="15" s="1"/>
  <c r="AA16" i="4"/>
  <c r="Z49" i="12" s="1"/>
  <c r="Z49" i="15" s="1"/>
  <c r="Z16" i="4"/>
  <c r="Y49" i="12" s="1"/>
  <c r="Y49" i="15" s="1"/>
  <c r="Y16" i="4"/>
  <c r="X49" i="12" s="1"/>
  <c r="X49" i="15" s="1"/>
  <c r="X16" i="4"/>
  <c r="W49" i="12" s="1"/>
  <c r="W49" i="15" s="1"/>
  <c r="W16" i="4"/>
  <c r="V49" i="12" s="1"/>
  <c r="V49" i="15" s="1"/>
  <c r="V16" i="4"/>
  <c r="U49" i="12" s="1"/>
  <c r="U49" i="15" s="1"/>
  <c r="U16" i="4"/>
  <c r="T49" i="12" s="1"/>
  <c r="T49" i="15" s="1"/>
  <c r="T16" i="4"/>
  <c r="S49" i="12" s="1"/>
  <c r="S49" i="15" s="1"/>
  <c r="S16" i="4"/>
  <c r="R49" i="12" s="1"/>
  <c r="R49" i="15" s="1"/>
  <c r="R16" i="4"/>
  <c r="Q49" i="12" s="1"/>
  <c r="Q49" i="15" s="1"/>
  <c r="Q16" i="4"/>
  <c r="P49" i="12" s="1"/>
  <c r="P49" i="15" s="1"/>
  <c r="O16" i="4"/>
  <c r="N49" i="12" s="1"/>
  <c r="N49" i="15" s="1"/>
  <c r="N16" i="4"/>
  <c r="M49" i="12" s="1"/>
  <c r="M49" i="15" s="1"/>
  <c r="M16" i="4"/>
  <c r="L49" i="12" s="1"/>
  <c r="L49" i="15" s="1"/>
  <c r="L16" i="4"/>
  <c r="K49" i="12" s="1"/>
  <c r="K49" i="15" s="1"/>
  <c r="K16" i="4"/>
  <c r="J49" i="12" s="1"/>
  <c r="J49" i="15" s="1"/>
  <c r="J16" i="4"/>
  <c r="I49" i="12" s="1"/>
  <c r="I49" i="15" s="1"/>
  <c r="I16" i="4"/>
  <c r="H49" i="12" s="1"/>
  <c r="H49" i="15" s="1"/>
  <c r="H16" i="4"/>
  <c r="G49" i="12" s="1"/>
  <c r="G49" i="15" s="1"/>
  <c r="G16" i="4"/>
  <c r="F49" i="12" s="1"/>
  <c r="F49" i="15" s="1"/>
  <c r="F16" i="4"/>
  <c r="E49" i="12" s="1"/>
  <c r="E49" i="15" s="1"/>
  <c r="E16" i="4"/>
  <c r="D49" i="12" s="1"/>
  <c r="D49" i="15" s="1"/>
  <c r="D15" i="4"/>
  <c r="AL54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Q16" i="1"/>
  <c r="R16" i="3"/>
  <c r="Q22" i="12" s="1"/>
  <c r="S16" i="3"/>
  <c r="R22" i="12" s="1"/>
  <c r="T16" i="3"/>
  <c r="S22" i="12" s="1"/>
  <c r="U16" i="3"/>
  <c r="T22" i="12" s="1"/>
  <c r="V16" i="3"/>
  <c r="U22" i="12" s="1"/>
  <c r="W16" i="3"/>
  <c r="V22" i="12" s="1"/>
  <c r="X16" i="3"/>
  <c r="Y16" i="3"/>
  <c r="X22" i="12" s="1"/>
  <c r="Z16" i="3"/>
  <c r="Y22" i="12" s="1"/>
  <c r="AA16" i="3"/>
  <c r="Z22" i="12" s="1"/>
  <c r="AB16" i="3"/>
  <c r="AC16" i="3"/>
  <c r="AB22" i="12" s="1"/>
  <c r="AD16" i="3"/>
  <c r="AC22" i="12" s="1"/>
  <c r="AE16" i="3"/>
  <c r="AD22" i="12" s="1"/>
  <c r="AF16" i="3"/>
  <c r="AG16" i="3"/>
  <c r="AF22" i="12" s="1"/>
  <c r="AH16" i="3"/>
  <c r="AG22" i="12" s="1"/>
  <c r="AI16" i="3"/>
  <c r="AH22" i="12" s="1"/>
  <c r="AJ16" i="3"/>
  <c r="AI22" i="12" s="1"/>
  <c r="AK16" i="3"/>
  <c r="AL16" i="3"/>
  <c r="AK22" i="12" s="1"/>
  <c r="AM16" i="3"/>
  <c r="AL22" i="12" s="1"/>
  <c r="Q16" i="3"/>
  <c r="P22" i="12" s="1"/>
  <c r="L16" i="3"/>
  <c r="K22" i="12" s="1"/>
  <c r="M16" i="3"/>
  <c r="L22" i="12" s="1"/>
  <c r="N16" i="3"/>
  <c r="M22" i="12" s="1"/>
  <c r="O16" i="3"/>
  <c r="N22" i="12" s="1"/>
  <c r="F16" i="3"/>
  <c r="E22" i="12" s="1"/>
  <c r="G16" i="3"/>
  <c r="F22" i="12" s="1"/>
  <c r="H16" i="3"/>
  <c r="I16" i="3"/>
  <c r="J16" i="3"/>
  <c r="I22" i="12" s="1"/>
  <c r="K16" i="3"/>
  <c r="J22" i="12" s="1"/>
  <c r="P143" i="3"/>
  <c r="D143" i="3"/>
  <c r="P142" i="3"/>
  <c r="D142" i="3"/>
  <c r="P141" i="3"/>
  <c r="D141" i="3"/>
  <c r="P140" i="3"/>
  <c r="D140" i="3"/>
  <c r="P139" i="3"/>
  <c r="D139" i="3"/>
  <c r="P138" i="3"/>
  <c r="D138" i="3"/>
  <c r="P137" i="3"/>
  <c r="D137" i="3"/>
  <c r="P136" i="3"/>
  <c r="D136" i="3"/>
  <c r="P135" i="3"/>
  <c r="D135" i="3"/>
  <c r="P134" i="3"/>
  <c r="D134" i="3"/>
  <c r="P133" i="3"/>
  <c r="D133" i="3"/>
  <c r="P132" i="3"/>
  <c r="D132" i="3"/>
  <c r="P131" i="3"/>
  <c r="D131" i="3"/>
  <c r="P130" i="3"/>
  <c r="D130" i="3"/>
  <c r="P129" i="3"/>
  <c r="D129" i="3"/>
  <c r="P128" i="3"/>
  <c r="D128" i="3"/>
  <c r="P127" i="3"/>
  <c r="D127" i="3"/>
  <c r="P126" i="3"/>
  <c r="D126" i="3"/>
  <c r="P125" i="3"/>
  <c r="D125" i="3"/>
  <c r="P124" i="3"/>
  <c r="D124" i="3"/>
  <c r="P123" i="3"/>
  <c r="D123" i="3"/>
  <c r="P122" i="3"/>
  <c r="D122" i="3"/>
  <c r="P121" i="3"/>
  <c r="D121" i="3"/>
  <c r="P120" i="3"/>
  <c r="D120" i="3"/>
  <c r="P119" i="3"/>
  <c r="D119" i="3"/>
  <c r="P118" i="3"/>
  <c r="D118" i="3"/>
  <c r="P117" i="3"/>
  <c r="D117" i="3"/>
  <c r="P116" i="3"/>
  <c r="D116" i="3"/>
  <c r="P115" i="3"/>
  <c r="D115" i="3"/>
  <c r="P114" i="3"/>
  <c r="D114" i="3"/>
  <c r="P113" i="3"/>
  <c r="D113" i="3"/>
  <c r="P112" i="3"/>
  <c r="D112" i="3"/>
  <c r="P111" i="3"/>
  <c r="D111" i="3"/>
  <c r="P110" i="3"/>
  <c r="D110" i="3"/>
  <c r="P109" i="3"/>
  <c r="D109" i="3"/>
  <c r="P108" i="3"/>
  <c r="D108" i="3"/>
  <c r="P107" i="3"/>
  <c r="D107" i="3"/>
  <c r="P106" i="3"/>
  <c r="D106" i="3"/>
  <c r="P105" i="3"/>
  <c r="D105" i="3"/>
  <c r="P104" i="3"/>
  <c r="D104" i="3"/>
  <c r="P103" i="3"/>
  <c r="D103" i="3"/>
  <c r="P102" i="3"/>
  <c r="D102" i="3"/>
  <c r="P101" i="3"/>
  <c r="D101" i="3"/>
  <c r="P100" i="3"/>
  <c r="D100" i="3"/>
  <c r="P99" i="3"/>
  <c r="D99" i="3"/>
  <c r="P98" i="3"/>
  <c r="D98" i="3"/>
  <c r="P97" i="3"/>
  <c r="D97" i="3"/>
  <c r="P96" i="3"/>
  <c r="D96" i="3"/>
  <c r="P95" i="3"/>
  <c r="D95" i="3"/>
  <c r="P94" i="3"/>
  <c r="D94" i="3"/>
  <c r="P93" i="3"/>
  <c r="D93" i="3"/>
  <c r="P92" i="3"/>
  <c r="D92" i="3"/>
  <c r="P91" i="3"/>
  <c r="D91" i="3"/>
  <c r="P90" i="3"/>
  <c r="D90" i="3"/>
  <c r="P89" i="3"/>
  <c r="D89" i="3"/>
  <c r="P88" i="3"/>
  <c r="D88" i="3"/>
  <c r="P87" i="3"/>
  <c r="D87" i="3"/>
  <c r="P86" i="3"/>
  <c r="D86" i="3"/>
  <c r="P85" i="3"/>
  <c r="D85" i="3"/>
  <c r="P84" i="3"/>
  <c r="D84" i="3"/>
  <c r="P83" i="3"/>
  <c r="D83" i="3"/>
  <c r="P82" i="3"/>
  <c r="D82" i="3"/>
  <c r="P81" i="3"/>
  <c r="D81" i="3"/>
  <c r="P80" i="3"/>
  <c r="D80" i="3"/>
  <c r="P79" i="3"/>
  <c r="D79" i="3"/>
  <c r="P78" i="3"/>
  <c r="D78" i="3"/>
  <c r="P77" i="3"/>
  <c r="D77" i="3"/>
  <c r="P76" i="3"/>
  <c r="D76" i="3"/>
  <c r="P75" i="3"/>
  <c r="D75" i="3"/>
  <c r="P74" i="3"/>
  <c r="D74" i="3"/>
  <c r="P73" i="3"/>
  <c r="D73" i="3"/>
  <c r="P72" i="3"/>
  <c r="D72" i="3"/>
  <c r="P71" i="3"/>
  <c r="D71" i="3"/>
  <c r="P70" i="3"/>
  <c r="D70" i="3"/>
  <c r="P69" i="3"/>
  <c r="D69" i="3"/>
  <c r="P68" i="3"/>
  <c r="D68" i="3"/>
  <c r="P67" i="3"/>
  <c r="D67" i="3"/>
  <c r="P66" i="3"/>
  <c r="D66" i="3"/>
  <c r="P65" i="3"/>
  <c r="D65" i="3"/>
  <c r="P64" i="3"/>
  <c r="D64" i="3"/>
  <c r="P63" i="3"/>
  <c r="D63" i="3"/>
  <c r="P62" i="3"/>
  <c r="D62" i="3"/>
  <c r="P61" i="3"/>
  <c r="D61" i="3"/>
  <c r="P60" i="3"/>
  <c r="D60" i="3"/>
  <c r="P59" i="3"/>
  <c r="D59" i="3"/>
  <c r="P58" i="3"/>
  <c r="D58" i="3"/>
  <c r="P57" i="3"/>
  <c r="D57" i="3"/>
  <c r="P56" i="3"/>
  <c r="D56" i="3"/>
  <c r="P55" i="3"/>
  <c r="D55" i="3"/>
  <c r="AM54" i="3"/>
  <c r="AL22" i="14" s="1"/>
  <c r="AL54" i="3"/>
  <c r="AK22" i="14" s="1"/>
  <c r="AK54" i="3"/>
  <c r="AJ22" i="14" s="1"/>
  <c r="AJ54" i="3"/>
  <c r="AI22" i="14" s="1"/>
  <c r="AI54" i="3"/>
  <c r="AH22" i="14" s="1"/>
  <c r="AH54" i="3"/>
  <c r="AG22" i="14" s="1"/>
  <c r="AG54" i="3"/>
  <c r="AF22" i="14" s="1"/>
  <c r="AF54" i="3"/>
  <c r="AE22" i="14" s="1"/>
  <c r="AE54" i="3"/>
  <c r="AD22" i="14" s="1"/>
  <c r="AD54" i="3"/>
  <c r="AC22" i="14" s="1"/>
  <c r="AC54" i="3"/>
  <c r="AB22" i="14" s="1"/>
  <c r="AB54" i="3"/>
  <c r="AA22" i="14" s="1"/>
  <c r="AA54" i="3"/>
  <c r="Z22" i="14" s="1"/>
  <c r="Z54" i="3"/>
  <c r="Y22" i="14" s="1"/>
  <c r="Y54" i="3"/>
  <c r="X22" i="14" s="1"/>
  <c r="X54" i="3"/>
  <c r="W22" i="14" s="1"/>
  <c r="W54" i="3"/>
  <c r="V22" i="14" s="1"/>
  <c r="V54" i="3"/>
  <c r="U22" i="14" s="1"/>
  <c r="U54" i="3"/>
  <c r="T22" i="14" s="1"/>
  <c r="T54" i="3"/>
  <c r="S22" i="14" s="1"/>
  <c r="S54" i="3"/>
  <c r="R22" i="14" s="1"/>
  <c r="R54" i="3"/>
  <c r="Q22" i="14" s="1"/>
  <c r="Q54" i="3"/>
  <c r="P22" i="14" s="1"/>
  <c r="O54" i="3"/>
  <c r="N22" i="14" s="1"/>
  <c r="N54" i="3"/>
  <c r="M22" i="14" s="1"/>
  <c r="M54" i="3"/>
  <c r="L22" i="14" s="1"/>
  <c r="L54" i="3"/>
  <c r="K22" i="14" s="1"/>
  <c r="K54" i="3"/>
  <c r="J22" i="14" s="1"/>
  <c r="J54" i="3"/>
  <c r="I22" i="14" s="1"/>
  <c r="I54" i="3"/>
  <c r="H22" i="14" s="1"/>
  <c r="H54" i="3"/>
  <c r="G22" i="14" s="1"/>
  <c r="G54" i="3"/>
  <c r="F22" i="14" s="1"/>
  <c r="F54" i="3"/>
  <c r="E22" i="14" s="1"/>
  <c r="E54" i="3"/>
  <c r="D22" i="14" s="1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D41" i="3"/>
  <c r="P40" i="3"/>
  <c r="D40" i="3"/>
  <c r="P39" i="3"/>
  <c r="D39" i="3"/>
  <c r="P38" i="3"/>
  <c r="D38" i="3"/>
  <c r="P37" i="3"/>
  <c r="D37" i="3"/>
  <c r="P36" i="3"/>
  <c r="D36" i="3"/>
  <c r="P35" i="3"/>
  <c r="D35" i="3"/>
  <c r="P34" i="3"/>
  <c r="D34" i="3"/>
  <c r="AM33" i="3"/>
  <c r="AL22" i="13" s="1"/>
  <c r="AL33" i="3"/>
  <c r="AK22" i="13" s="1"/>
  <c r="AK33" i="3"/>
  <c r="AJ22" i="13" s="1"/>
  <c r="AJ33" i="3"/>
  <c r="AI22" i="13" s="1"/>
  <c r="AI33" i="3"/>
  <c r="AH22" i="13" s="1"/>
  <c r="AH33" i="3"/>
  <c r="AG22" i="13" s="1"/>
  <c r="AG33" i="3"/>
  <c r="AF22" i="13" s="1"/>
  <c r="AF33" i="3"/>
  <c r="AE22" i="13" s="1"/>
  <c r="AE33" i="3"/>
  <c r="AD22" i="13" s="1"/>
  <c r="AD33" i="3"/>
  <c r="AC22" i="13" s="1"/>
  <c r="AC33" i="3"/>
  <c r="AB33" i="3"/>
  <c r="AA22" i="13" s="1"/>
  <c r="AA33" i="3"/>
  <c r="Z22" i="13" s="1"/>
  <c r="Z33" i="3"/>
  <c r="Y22" i="13" s="1"/>
  <c r="Y33" i="3"/>
  <c r="X33" i="3"/>
  <c r="W22" i="13" s="1"/>
  <c r="W33" i="3"/>
  <c r="V22" i="13" s="1"/>
  <c r="V33" i="3"/>
  <c r="U22" i="13" s="1"/>
  <c r="U33" i="3"/>
  <c r="T22" i="13" s="1"/>
  <c r="T33" i="3"/>
  <c r="S22" i="13" s="1"/>
  <c r="S33" i="3"/>
  <c r="R22" i="13" s="1"/>
  <c r="R33" i="3"/>
  <c r="Q22" i="13" s="1"/>
  <c r="Q33" i="3"/>
  <c r="O33" i="3"/>
  <c r="N22" i="13" s="1"/>
  <c r="N33" i="3"/>
  <c r="M22" i="13" s="1"/>
  <c r="M33" i="3"/>
  <c r="L22" i="13" s="1"/>
  <c r="L33" i="3"/>
  <c r="K22" i="13" s="1"/>
  <c r="K33" i="3"/>
  <c r="J22" i="13" s="1"/>
  <c r="J33" i="3"/>
  <c r="I22" i="13" s="1"/>
  <c r="I33" i="3"/>
  <c r="H22" i="13" s="1"/>
  <c r="H33" i="3"/>
  <c r="G22" i="13" s="1"/>
  <c r="G33" i="3"/>
  <c r="F22" i="13" s="1"/>
  <c r="F33" i="3"/>
  <c r="E22" i="13" s="1"/>
  <c r="E33" i="3"/>
  <c r="P32" i="3"/>
  <c r="D32" i="3"/>
  <c r="P31" i="3"/>
  <c r="D31" i="3"/>
  <c r="P30" i="3"/>
  <c r="D30" i="3"/>
  <c r="P29" i="3"/>
  <c r="D29" i="3"/>
  <c r="P28" i="3"/>
  <c r="D28" i="3"/>
  <c r="P27" i="3"/>
  <c r="D27" i="3"/>
  <c r="P26" i="3"/>
  <c r="D26" i="3"/>
  <c r="P25" i="3"/>
  <c r="D25" i="3"/>
  <c r="P24" i="3"/>
  <c r="D24" i="3"/>
  <c r="P23" i="3"/>
  <c r="D23" i="3"/>
  <c r="P22" i="3"/>
  <c r="D22" i="3"/>
  <c r="P21" i="3"/>
  <c r="D21" i="3"/>
  <c r="P20" i="3"/>
  <c r="D20" i="3"/>
  <c r="P19" i="3"/>
  <c r="D19" i="3"/>
  <c r="P18" i="3"/>
  <c r="D18" i="3"/>
  <c r="E16" i="3"/>
  <c r="D22" i="12" s="1"/>
  <c r="P15" i="3"/>
  <c r="D15" i="3"/>
  <c r="AE14" i="3"/>
  <c r="S48" i="15" l="1"/>
  <c r="W48" i="15"/>
  <c r="AA48" i="15"/>
  <c r="AE48" i="15"/>
  <c r="AI48" i="15"/>
  <c r="Q48" i="15"/>
  <c r="U48" i="15"/>
  <c r="Y48" i="15"/>
  <c r="AC48" i="15"/>
  <c r="AG48" i="15"/>
  <c r="AK48" i="15"/>
  <c r="E41" i="15"/>
  <c r="I41" i="15"/>
  <c r="M41" i="15"/>
  <c r="R41" i="15"/>
  <c r="V41" i="15"/>
  <c r="Z41" i="15"/>
  <c r="AD41" i="15"/>
  <c r="AH41" i="15"/>
  <c r="AL41" i="15"/>
  <c r="D48" i="15"/>
  <c r="H48" i="15"/>
  <c r="L48" i="15"/>
  <c r="P48" i="15"/>
  <c r="T48" i="15"/>
  <c r="X48" i="15"/>
  <c r="AB48" i="15"/>
  <c r="AF48" i="15"/>
  <c r="AJ48" i="15"/>
  <c r="O51" i="15"/>
  <c r="C51" i="15"/>
  <c r="D14" i="9"/>
  <c r="P14" i="9"/>
  <c r="F14" i="4"/>
  <c r="AH14" i="4"/>
  <c r="Z14" i="4"/>
  <c r="R14" i="4"/>
  <c r="S14" i="4"/>
  <c r="AI14" i="4"/>
  <c r="AE14" i="4"/>
  <c r="AA14" i="4"/>
  <c r="S14" i="5"/>
  <c r="R48" i="14"/>
  <c r="R48" i="15" s="1"/>
  <c r="AI14" i="5"/>
  <c r="AH48" i="14"/>
  <c r="N14" i="5"/>
  <c r="I48" i="15"/>
  <c r="M48" i="15"/>
  <c r="F14" i="5"/>
  <c r="E48" i="14"/>
  <c r="E48" i="15" s="1"/>
  <c r="W14" i="5"/>
  <c r="V48" i="14"/>
  <c r="V48" i="15" s="1"/>
  <c r="AE14" i="5"/>
  <c r="AD48" i="14"/>
  <c r="AD48" i="15" s="1"/>
  <c r="AM14" i="5"/>
  <c r="AL48" i="14"/>
  <c r="AL48" i="15" s="1"/>
  <c r="AA14" i="5"/>
  <c r="F48" i="15"/>
  <c r="J48" i="15"/>
  <c r="N48" i="15"/>
  <c r="Z48" i="15"/>
  <c r="AH48" i="15"/>
  <c r="H14" i="5"/>
  <c r="G48" i="12"/>
  <c r="G48" i="15" s="1"/>
  <c r="L14" i="5"/>
  <c r="K48" i="12"/>
  <c r="K48" i="15" s="1"/>
  <c r="G14" i="5"/>
  <c r="O14" i="5"/>
  <c r="Q14" i="6"/>
  <c r="G41" i="15"/>
  <c r="K41" i="15"/>
  <c r="P41" i="15"/>
  <c r="X41" i="15"/>
  <c r="AF41" i="15"/>
  <c r="AD14" i="6"/>
  <c r="D41" i="15"/>
  <c r="H41" i="15"/>
  <c r="L41" i="15"/>
  <c r="Q41" i="15"/>
  <c r="U41" i="15"/>
  <c r="Y41" i="15"/>
  <c r="AC41" i="15"/>
  <c r="AG41" i="15"/>
  <c r="AK41" i="15"/>
  <c r="I14" i="6"/>
  <c r="J14" i="6"/>
  <c r="N14" i="6"/>
  <c r="G14" i="6"/>
  <c r="F41" i="12"/>
  <c r="F41" i="15" s="1"/>
  <c r="K14" i="6"/>
  <c r="J41" i="12"/>
  <c r="J41" i="15" s="1"/>
  <c r="O14" i="6"/>
  <c r="N41" i="12"/>
  <c r="N41" i="15" s="1"/>
  <c r="T14" i="6"/>
  <c r="S41" i="12"/>
  <c r="S41" i="15" s="1"/>
  <c r="X14" i="6"/>
  <c r="W41" i="12"/>
  <c r="W41" i="15" s="1"/>
  <c r="AB14" i="6"/>
  <c r="AA41" i="12"/>
  <c r="AA41" i="15" s="1"/>
  <c r="AF14" i="6"/>
  <c r="AE41" i="12"/>
  <c r="AE41" i="15" s="1"/>
  <c r="AJ14" i="6"/>
  <c r="AI41" i="12"/>
  <c r="AI41" i="15" s="1"/>
  <c r="M14" i="6"/>
  <c r="R14" i="6"/>
  <c r="V14" i="6"/>
  <c r="Z14" i="6"/>
  <c r="AH14" i="6"/>
  <c r="AL14" i="6"/>
  <c r="F14" i="6"/>
  <c r="U14" i="6"/>
  <c r="T41" i="12"/>
  <c r="T41" i="15" s="1"/>
  <c r="AC14" i="6"/>
  <c r="AB41" i="12"/>
  <c r="AB41" i="15" s="1"/>
  <c r="AK14" i="6"/>
  <c r="AJ41" i="12"/>
  <c r="AJ41" i="15" s="1"/>
  <c r="Y14" i="6"/>
  <c r="C32" i="15"/>
  <c r="O32" i="15"/>
  <c r="D14" i="8"/>
  <c r="P54" i="7"/>
  <c r="O25" i="14" s="1"/>
  <c r="P25" i="14"/>
  <c r="D54" i="7"/>
  <c r="C25" i="14" s="1"/>
  <c r="R14" i="7"/>
  <c r="N14" i="7"/>
  <c r="P33" i="7"/>
  <c r="O25" i="13" s="1"/>
  <c r="P25" i="13"/>
  <c r="X14" i="7"/>
  <c r="W25" i="12"/>
  <c r="W25" i="15" s="1"/>
  <c r="AB14" i="7"/>
  <c r="AA25" i="12"/>
  <c r="AA25" i="15" s="1"/>
  <c r="AJ14" i="7"/>
  <c r="AI25" i="12"/>
  <c r="AI25" i="15" s="1"/>
  <c r="U14" i="7"/>
  <c r="T25" i="12"/>
  <c r="T25" i="15" s="1"/>
  <c r="AC14" i="7"/>
  <c r="AB25" i="12"/>
  <c r="AB25" i="15" s="1"/>
  <c r="V14" i="7"/>
  <c r="U25" i="12"/>
  <c r="U25" i="15" s="1"/>
  <c r="AD14" i="7"/>
  <c r="AC25" i="12"/>
  <c r="AC25" i="15" s="1"/>
  <c r="AL14" i="7"/>
  <c r="AK25" i="12"/>
  <c r="AK25" i="15" s="1"/>
  <c r="AH14" i="7"/>
  <c r="I14" i="7"/>
  <c r="Z14" i="7"/>
  <c r="T14" i="7"/>
  <c r="S25" i="12"/>
  <c r="S25" i="15" s="1"/>
  <c r="AF14" i="7"/>
  <c r="AE25" i="12"/>
  <c r="AE25" i="15" s="1"/>
  <c r="Q14" i="7"/>
  <c r="P25" i="12"/>
  <c r="Y14" i="7"/>
  <c r="X25" i="12"/>
  <c r="X25" i="15" s="1"/>
  <c r="AG14" i="7"/>
  <c r="AF25" i="12"/>
  <c r="AF25" i="15" s="1"/>
  <c r="AK14" i="7"/>
  <c r="AJ25" i="12"/>
  <c r="AJ25" i="15" s="1"/>
  <c r="J14" i="7"/>
  <c r="I25" i="12"/>
  <c r="I25" i="15" s="1"/>
  <c r="S14" i="7"/>
  <c r="R25" i="12"/>
  <c r="R25" i="15" s="1"/>
  <c r="W14" i="7"/>
  <c r="V25" i="12"/>
  <c r="V25" i="15" s="1"/>
  <c r="AA14" i="7"/>
  <c r="Z25" i="12"/>
  <c r="Z25" i="15" s="1"/>
  <c r="AE14" i="7"/>
  <c r="AD25" i="12"/>
  <c r="AD25" i="15" s="1"/>
  <c r="AI14" i="7"/>
  <c r="AH25" i="12"/>
  <c r="AH25" i="15" s="1"/>
  <c r="AM14" i="7"/>
  <c r="AL25" i="12"/>
  <c r="AL25" i="15" s="1"/>
  <c r="M14" i="3"/>
  <c r="W14" i="3"/>
  <c r="P33" i="3"/>
  <c r="O22" i="13" s="1"/>
  <c r="P22" i="13"/>
  <c r="Y14" i="3"/>
  <c r="X22" i="13"/>
  <c r="AC14" i="3"/>
  <c r="AB22" i="13"/>
  <c r="AI14" i="3"/>
  <c r="AM14" i="3"/>
  <c r="G14" i="3"/>
  <c r="T14" i="3"/>
  <c r="D33" i="3"/>
  <c r="C22" i="13" s="1"/>
  <c r="D22" i="13"/>
  <c r="K14" i="3"/>
  <c r="AJ14" i="3"/>
  <c r="I22" i="15"/>
  <c r="AK14" i="3"/>
  <c r="AJ22" i="12"/>
  <c r="H14" i="3"/>
  <c r="G22" i="12"/>
  <c r="M22" i="15"/>
  <c r="AL22" i="15"/>
  <c r="AH22" i="15"/>
  <c r="AD22" i="15"/>
  <c r="Z22" i="15"/>
  <c r="V22" i="15"/>
  <c r="R22" i="15"/>
  <c r="L14" i="3"/>
  <c r="AA14" i="3"/>
  <c r="D22" i="15"/>
  <c r="J22" i="15"/>
  <c r="F22" i="15"/>
  <c r="L22" i="15"/>
  <c r="AK22" i="15"/>
  <c r="AG22" i="15"/>
  <c r="AC22" i="15"/>
  <c r="Y22" i="15"/>
  <c r="U22" i="15"/>
  <c r="Q22" i="15"/>
  <c r="E22" i="15"/>
  <c r="K22" i="15"/>
  <c r="AF22" i="15"/>
  <c r="AB22" i="15"/>
  <c r="T22" i="15"/>
  <c r="S14" i="3"/>
  <c r="AG14" i="3"/>
  <c r="I14" i="3"/>
  <c r="H22" i="12"/>
  <c r="N22" i="15"/>
  <c r="P22" i="15"/>
  <c r="AI22" i="15"/>
  <c r="AF14" i="3"/>
  <c r="AE22" i="12"/>
  <c r="AB14" i="3"/>
  <c r="AA22" i="12"/>
  <c r="X14" i="3"/>
  <c r="W22" i="12"/>
  <c r="S22" i="15"/>
  <c r="P14" i="8"/>
  <c r="G14" i="7"/>
  <c r="K14" i="7"/>
  <c r="O14" i="7"/>
  <c r="H14" i="7"/>
  <c r="L14" i="7"/>
  <c r="D33" i="7"/>
  <c r="C25" i="13" s="1"/>
  <c r="E14" i="7"/>
  <c r="D16" i="7"/>
  <c r="C25" i="12" s="1"/>
  <c r="P16" i="7"/>
  <c r="O25" i="12" s="1"/>
  <c r="O25" i="15" s="1"/>
  <c r="S14" i="6"/>
  <c r="W14" i="6"/>
  <c r="AA14" i="6"/>
  <c r="AE14" i="6"/>
  <c r="AI14" i="6"/>
  <c r="AM14" i="6"/>
  <c r="P54" i="6"/>
  <c r="O41" i="14" s="1"/>
  <c r="P33" i="6"/>
  <c r="O41" i="13" s="1"/>
  <c r="D54" i="6"/>
  <c r="C41" i="14" s="1"/>
  <c r="H14" i="6"/>
  <c r="L14" i="6"/>
  <c r="E14" i="6"/>
  <c r="D33" i="6"/>
  <c r="C41" i="13" s="1"/>
  <c r="D16" i="6"/>
  <c r="C41" i="12" s="1"/>
  <c r="P16" i="6"/>
  <c r="O41" i="12" s="1"/>
  <c r="P54" i="5"/>
  <c r="O48" i="14" s="1"/>
  <c r="O48" i="15" s="1"/>
  <c r="D54" i="5"/>
  <c r="C48" i="14" s="1"/>
  <c r="C48" i="15" s="1"/>
  <c r="E14" i="5"/>
  <c r="I14" i="5"/>
  <c r="M14" i="5"/>
  <c r="J14" i="5"/>
  <c r="T14" i="5"/>
  <c r="X14" i="5"/>
  <c r="AB14" i="5"/>
  <c r="AF14" i="5"/>
  <c r="AJ14" i="5"/>
  <c r="Q14" i="5"/>
  <c r="U14" i="5"/>
  <c r="Y14" i="5"/>
  <c r="AC14" i="5"/>
  <c r="AG14" i="5"/>
  <c r="AK14" i="5"/>
  <c r="P33" i="5"/>
  <c r="R14" i="5"/>
  <c r="D33" i="5"/>
  <c r="K14" i="4"/>
  <c r="D54" i="4"/>
  <c r="V14" i="4"/>
  <c r="AD14" i="4"/>
  <c r="AL14" i="4"/>
  <c r="D33" i="4"/>
  <c r="M14" i="4"/>
  <c r="AF14" i="4"/>
  <c r="AJ14" i="4"/>
  <c r="AC14" i="4"/>
  <c r="AG14" i="4"/>
  <c r="AK14" i="4"/>
  <c r="AB14" i="4"/>
  <c r="W14" i="4"/>
  <c r="T14" i="4"/>
  <c r="X14" i="4"/>
  <c r="Q14" i="4"/>
  <c r="U14" i="4"/>
  <c r="Y14" i="4"/>
  <c r="O14" i="4"/>
  <c r="N14" i="4"/>
  <c r="H14" i="4"/>
  <c r="L14" i="4"/>
  <c r="E14" i="4"/>
  <c r="I14" i="4"/>
  <c r="J14" i="4"/>
  <c r="P16" i="4"/>
  <c r="O49" i="12" s="1"/>
  <c r="O49" i="15" s="1"/>
  <c r="D16" i="4"/>
  <c r="C49" i="12" s="1"/>
  <c r="C49" i="15" s="1"/>
  <c r="AM14" i="4"/>
  <c r="Z14" i="3"/>
  <c r="AD14" i="3"/>
  <c r="AH14" i="3"/>
  <c r="AL14" i="3"/>
  <c r="P54" i="3"/>
  <c r="O22" i="14" s="1"/>
  <c r="V14" i="3"/>
  <c r="O14" i="3"/>
  <c r="N14" i="3"/>
  <c r="D54" i="3"/>
  <c r="C22" i="14" s="1"/>
  <c r="F14" i="3"/>
  <c r="Q14" i="3"/>
  <c r="U14" i="3"/>
  <c r="E14" i="3"/>
  <c r="P16" i="3"/>
  <c r="O22" i="12" s="1"/>
  <c r="D16" i="3"/>
  <c r="C22" i="12" s="1"/>
  <c r="J14" i="3"/>
  <c r="R14" i="3"/>
  <c r="C47" i="11"/>
  <c r="C14" i="11" s="1"/>
  <c r="AM54" i="2"/>
  <c r="AL47" i="14" s="1"/>
  <c r="AL54" i="2"/>
  <c r="AK47" i="14" s="1"/>
  <c r="AK14" i="14" s="1"/>
  <c r="AK54" i="2"/>
  <c r="AJ47" i="14" s="1"/>
  <c r="AJ14" i="14" s="1"/>
  <c r="AJ54" i="2"/>
  <c r="AI47" i="14" s="1"/>
  <c r="AI14" i="14" s="1"/>
  <c r="AI54" i="2"/>
  <c r="AH47" i="14" s="1"/>
  <c r="AH14" i="14" s="1"/>
  <c r="AH54" i="2"/>
  <c r="AG47" i="14" s="1"/>
  <c r="AG14" i="14" s="1"/>
  <c r="AG54" i="2"/>
  <c r="AF47" i="14" s="1"/>
  <c r="AF14" i="14" s="1"/>
  <c r="AF54" i="2"/>
  <c r="AE47" i="14" s="1"/>
  <c r="AE14" i="14" s="1"/>
  <c r="AE54" i="2"/>
  <c r="AD47" i="14" s="1"/>
  <c r="AD54" i="2"/>
  <c r="AC47" i="14" s="1"/>
  <c r="AC14" i="14" s="1"/>
  <c r="AC54" i="2"/>
  <c r="AB47" i="14" s="1"/>
  <c r="AB14" i="14" s="1"/>
  <c r="AB54" i="2"/>
  <c r="AA47" i="14" s="1"/>
  <c r="AA14" i="14" s="1"/>
  <c r="AA54" i="2"/>
  <c r="Z47" i="14" s="1"/>
  <c r="Z14" i="14" s="1"/>
  <c r="Z54" i="2"/>
  <c r="Y47" i="14" s="1"/>
  <c r="Y14" i="14" s="1"/>
  <c r="Y54" i="2"/>
  <c r="X47" i="14" s="1"/>
  <c r="X14" i="14" s="1"/>
  <c r="X54" i="2"/>
  <c r="W47" i="14" s="1"/>
  <c r="W14" i="14" s="1"/>
  <c r="W54" i="2"/>
  <c r="V47" i="14" s="1"/>
  <c r="V54" i="2"/>
  <c r="U47" i="14" s="1"/>
  <c r="U14" i="14" s="1"/>
  <c r="U54" i="2"/>
  <c r="T47" i="14" s="1"/>
  <c r="T14" i="14" s="1"/>
  <c r="T54" i="2"/>
  <c r="S47" i="14" s="1"/>
  <c r="S14" i="14" s="1"/>
  <c r="S54" i="2"/>
  <c r="R47" i="14" s="1"/>
  <c r="R54" i="2"/>
  <c r="Q47" i="14" s="1"/>
  <c r="Q14" i="14" s="1"/>
  <c r="Q54" i="2"/>
  <c r="P47" i="14" s="1"/>
  <c r="O54" i="2"/>
  <c r="N47" i="14" s="1"/>
  <c r="N14" i="14" s="1"/>
  <c r="N54" i="2"/>
  <c r="M47" i="14" s="1"/>
  <c r="M14" i="14" s="1"/>
  <c r="M54" i="2"/>
  <c r="L47" i="14" s="1"/>
  <c r="L14" i="14" s="1"/>
  <c r="L54" i="2"/>
  <c r="K47" i="14" s="1"/>
  <c r="K14" i="14" s="1"/>
  <c r="K54" i="2"/>
  <c r="J47" i="14" s="1"/>
  <c r="J14" i="14" s="1"/>
  <c r="J54" i="2"/>
  <c r="I47" i="14" s="1"/>
  <c r="I14" i="14" s="1"/>
  <c r="I54" i="2"/>
  <c r="H47" i="14" s="1"/>
  <c r="H14" i="14" s="1"/>
  <c r="H54" i="2"/>
  <c r="G47" i="14" s="1"/>
  <c r="G14" i="14" s="1"/>
  <c r="G54" i="2"/>
  <c r="F47" i="14" s="1"/>
  <c r="F14" i="14" s="1"/>
  <c r="F54" i="2"/>
  <c r="E47" i="14" s="1"/>
  <c r="D47" i="14"/>
  <c r="D14" i="14" s="1"/>
  <c r="P53" i="2"/>
  <c r="P52" i="2"/>
  <c r="P51" i="2"/>
  <c r="P50" i="2"/>
  <c r="P49" i="2"/>
  <c r="P48" i="2"/>
  <c r="P47" i="2"/>
  <c r="P46" i="2"/>
  <c r="P45" i="2"/>
  <c r="P44" i="2"/>
  <c r="P43" i="2"/>
  <c r="P42" i="2"/>
  <c r="P41" i="2"/>
  <c r="D41" i="2"/>
  <c r="P40" i="2"/>
  <c r="D40" i="2"/>
  <c r="P39" i="2"/>
  <c r="D39" i="2"/>
  <c r="P38" i="2"/>
  <c r="D38" i="2"/>
  <c r="AM33" i="2"/>
  <c r="AL47" i="13" s="1"/>
  <c r="AL14" i="13" s="1"/>
  <c r="AL33" i="2"/>
  <c r="AK47" i="13" s="1"/>
  <c r="AK33" i="2"/>
  <c r="AJ47" i="13" s="1"/>
  <c r="AJ33" i="2"/>
  <c r="AI47" i="13" s="1"/>
  <c r="AI33" i="2"/>
  <c r="AH47" i="13" s="1"/>
  <c r="AH33" i="2"/>
  <c r="AG47" i="13" s="1"/>
  <c r="AG14" i="13" s="1"/>
  <c r="AG33" i="2"/>
  <c r="AF47" i="13" s="1"/>
  <c r="AF14" i="13" s="1"/>
  <c r="AF33" i="2"/>
  <c r="AE47" i="13" s="1"/>
  <c r="AE33" i="2"/>
  <c r="AD47" i="13" s="1"/>
  <c r="AD33" i="2"/>
  <c r="AC47" i="13" s="1"/>
  <c r="AC14" i="13" s="1"/>
  <c r="AC33" i="2"/>
  <c r="AB47" i="13" s="1"/>
  <c r="AB33" i="2"/>
  <c r="AA47" i="13" s="1"/>
  <c r="AA33" i="2"/>
  <c r="Z47" i="13" s="1"/>
  <c r="Z33" i="2"/>
  <c r="Y47" i="13" s="1"/>
  <c r="Y14" i="13" s="1"/>
  <c r="Y33" i="2"/>
  <c r="X47" i="13" s="1"/>
  <c r="X33" i="2"/>
  <c r="W47" i="13" s="1"/>
  <c r="W33" i="2"/>
  <c r="V47" i="13" s="1"/>
  <c r="V14" i="13" s="1"/>
  <c r="V33" i="2"/>
  <c r="U47" i="13" s="1"/>
  <c r="U33" i="2"/>
  <c r="T47" i="13" s="1"/>
  <c r="T33" i="2"/>
  <c r="S47" i="13" s="1"/>
  <c r="S33" i="2"/>
  <c r="R47" i="13" s="1"/>
  <c r="R33" i="2"/>
  <c r="Q47" i="13" s="1"/>
  <c r="Q14" i="13" s="1"/>
  <c r="Q33" i="2"/>
  <c r="P47" i="13" s="1"/>
  <c r="O33" i="2"/>
  <c r="N47" i="13" s="1"/>
  <c r="N14" i="13" s="1"/>
  <c r="N33" i="2"/>
  <c r="M47" i="13" s="1"/>
  <c r="M14" i="13" s="1"/>
  <c r="M33" i="2"/>
  <c r="L47" i="13" s="1"/>
  <c r="L14" i="13" s="1"/>
  <c r="L33" i="2"/>
  <c r="K47" i="13" s="1"/>
  <c r="K14" i="13" s="1"/>
  <c r="K33" i="2"/>
  <c r="J47" i="13" s="1"/>
  <c r="J14" i="13" s="1"/>
  <c r="J33" i="2"/>
  <c r="I47" i="13" s="1"/>
  <c r="I14" i="13" s="1"/>
  <c r="I33" i="2"/>
  <c r="H47" i="13" s="1"/>
  <c r="H14" i="13" s="1"/>
  <c r="H33" i="2"/>
  <c r="G47" i="13" s="1"/>
  <c r="G14" i="13" s="1"/>
  <c r="G33" i="2"/>
  <c r="F47" i="13" s="1"/>
  <c r="F14" i="13" s="1"/>
  <c r="F33" i="2"/>
  <c r="E47" i="13" s="1"/>
  <c r="E14" i="13" s="1"/>
  <c r="D47" i="13"/>
  <c r="P32" i="2"/>
  <c r="D32" i="2"/>
  <c r="P31" i="2"/>
  <c r="D31" i="2"/>
  <c r="P30" i="2"/>
  <c r="D30" i="2"/>
  <c r="P29" i="2"/>
  <c r="D29" i="2"/>
  <c r="P28" i="2"/>
  <c r="D28" i="2"/>
  <c r="P27" i="2"/>
  <c r="D27" i="2"/>
  <c r="P26" i="2"/>
  <c r="D26" i="2"/>
  <c r="P25" i="2"/>
  <c r="D25" i="2"/>
  <c r="P24" i="2"/>
  <c r="D24" i="2"/>
  <c r="P23" i="2"/>
  <c r="D23" i="2"/>
  <c r="P22" i="2"/>
  <c r="D22" i="2"/>
  <c r="P21" i="2"/>
  <c r="D21" i="2"/>
  <c r="P20" i="2"/>
  <c r="D20" i="2"/>
  <c r="AM16" i="2"/>
  <c r="AL47" i="12" s="1"/>
  <c r="AL14" i="12" s="1"/>
  <c r="AL16" i="2"/>
  <c r="AK47" i="12" s="1"/>
  <c r="AK14" i="12" s="1"/>
  <c r="AK16" i="2"/>
  <c r="AJ47" i="12" s="1"/>
  <c r="AJ16" i="2"/>
  <c r="AI47" i="12" s="1"/>
  <c r="AI14" i="12" s="1"/>
  <c r="AI16" i="2"/>
  <c r="AH47" i="12" s="1"/>
  <c r="AH16" i="2"/>
  <c r="AG47" i="12" s="1"/>
  <c r="AG14" i="12" s="1"/>
  <c r="AG16" i="2"/>
  <c r="AF47" i="12" s="1"/>
  <c r="AF14" i="12" s="1"/>
  <c r="AF16" i="2"/>
  <c r="AE47" i="12" s="1"/>
  <c r="AE16" i="2"/>
  <c r="AD47" i="12" s="1"/>
  <c r="AD14" i="12" s="1"/>
  <c r="AD16" i="2"/>
  <c r="AC47" i="12" s="1"/>
  <c r="AC16" i="2"/>
  <c r="AB47" i="12" s="1"/>
  <c r="AB16" i="2"/>
  <c r="AA47" i="12" s="1"/>
  <c r="AA16" i="2"/>
  <c r="Z47" i="12" s="1"/>
  <c r="Z16" i="2"/>
  <c r="Y47" i="12" s="1"/>
  <c r="Y14" i="12" s="1"/>
  <c r="Y16" i="2"/>
  <c r="X47" i="12" s="1"/>
  <c r="X16" i="2"/>
  <c r="W47" i="12" s="1"/>
  <c r="W16" i="2"/>
  <c r="V47" i="12" s="1"/>
  <c r="V14" i="12" s="1"/>
  <c r="V16" i="2"/>
  <c r="U47" i="12" s="1"/>
  <c r="U14" i="12" s="1"/>
  <c r="U16" i="2"/>
  <c r="T47" i="12" s="1"/>
  <c r="T14" i="12" s="1"/>
  <c r="T16" i="2"/>
  <c r="S47" i="12" s="1"/>
  <c r="S14" i="12" s="1"/>
  <c r="S16" i="2"/>
  <c r="R47" i="12" s="1"/>
  <c r="R16" i="2"/>
  <c r="Q16" i="2"/>
  <c r="P47" i="12" s="1"/>
  <c r="P14" i="12" s="1"/>
  <c r="O16" i="2"/>
  <c r="N47" i="12" s="1"/>
  <c r="N14" i="12" s="1"/>
  <c r="N16" i="2"/>
  <c r="M47" i="12" s="1"/>
  <c r="M14" i="12" s="1"/>
  <c r="M16" i="2"/>
  <c r="L16" i="2"/>
  <c r="K47" i="12" s="1"/>
  <c r="K16" i="2"/>
  <c r="J47" i="12" s="1"/>
  <c r="J14" i="12" s="1"/>
  <c r="J16" i="2"/>
  <c r="I16" i="2"/>
  <c r="H16" i="2"/>
  <c r="G47" i="12" s="1"/>
  <c r="G16" i="2"/>
  <c r="F47" i="12" s="1"/>
  <c r="F16" i="2"/>
  <c r="E47" i="12" s="1"/>
  <c r="E14" i="12" s="1"/>
  <c r="E16" i="2"/>
  <c r="AM14" i="2"/>
  <c r="V14" i="2"/>
  <c r="W14" i="2" l="1"/>
  <c r="D14" i="13"/>
  <c r="X14" i="13"/>
  <c r="AL14" i="2"/>
  <c r="AK8" i="15" s="1"/>
  <c r="P16" i="2"/>
  <c r="O47" i="12" s="1"/>
  <c r="Q47" i="12"/>
  <c r="Q14" i="12" s="1"/>
  <c r="V14" i="14"/>
  <c r="AL14" i="14"/>
  <c r="P14" i="14"/>
  <c r="F47" i="15"/>
  <c r="F14" i="15" s="1"/>
  <c r="J47" i="15"/>
  <c r="S47" i="15"/>
  <c r="S14" i="15" s="1"/>
  <c r="AA47" i="15"/>
  <c r="AE47" i="15"/>
  <c r="AI47" i="15"/>
  <c r="AI14" i="15" s="1"/>
  <c r="C25" i="15"/>
  <c r="N47" i="15"/>
  <c r="N14" i="15" s="1"/>
  <c r="W47" i="15"/>
  <c r="G47" i="15"/>
  <c r="K47" i="15"/>
  <c r="K14" i="15" s="1"/>
  <c r="P47" i="15"/>
  <c r="T47" i="15"/>
  <c r="T14" i="15" s="1"/>
  <c r="X47" i="15"/>
  <c r="AB47" i="15"/>
  <c r="AB14" i="15" s="1"/>
  <c r="AF47" i="15"/>
  <c r="AF14" i="15" s="1"/>
  <c r="AJ47" i="15"/>
  <c r="R14" i="14"/>
  <c r="E14" i="14"/>
  <c r="AD14" i="14"/>
  <c r="D14" i="5"/>
  <c r="P14" i="5"/>
  <c r="K14" i="12"/>
  <c r="AD14" i="2"/>
  <c r="AC8" i="15" s="1"/>
  <c r="Z14" i="2"/>
  <c r="AH14" i="2"/>
  <c r="AG8" i="15" s="1"/>
  <c r="Q47" i="15"/>
  <c r="Q14" i="15" s="1"/>
  <c r="U47" i="15"/>
  <c r="U14" i="15" s="1"/>
  <c r="Y47" i="15"/>
  <c r="Y14" i="15" s="1"/>
  <c r="AC47" i="15"/>
  <c r="AC14" i="15" s="1"/>
  <c r="AG47" i="15"/>
  <c r="AG14" i="15" s="1"/>
  <c r="AK47" i="15"/>
  <c r="AK14" i="15" s="1"/>
  <c r="N14" i="2"/>
  <c r="M8" i="15" s="1"/>
  <c r="AE14" i="2"/>
  <c r="AD8" i="15" s="1"/>
  <c r="E47" i="15"/>
  <c r="E14" i="15" s="1"/>
  <c r="M47" i="15"/>
  <c r="M14" i="15" s="1"/>
  <c r="S14" i="2"/>
  <c r="AA14" i="2"/>
  <c r="Z8" i="15" s="1"/>
  <c r="AI14" i="2"/>
  <c r="AH8" i="15" s="1"/>
  <c r="R47" i="15"/>
  <c r="R14" i="15" s="1"/>
  <c r="V47" i="15"/>
  <c r="V14" i="15" s="1"/>
  <c r="Z47" i="15"/>
  <c r="Z14" i="15" s="1"/>
  <c r="AD47" i="15"/>
  <c r="AD14" i="15" s="1"/>
  <c r="AH47" i="15"/>
  <c r="AH14" i="15" s="1"/>
  <c r="AL47" i="15"/>
  <c r="AL14" i="15" s="1"/>
  <c r="AE14" i="13"/>
  <c r="AH14" i="13"/>
  <c r="R14" i="13"/>
  <c r="AA14" i="13"/>
  <c r="T14" i="13"/>
  <c r="F14" i="2"/>
  <c r="E8" i="15" s="1"/>
  <c r="AB14" i="13"/>
  <c r="P14" i="13"/>
  <c r="AD14" i="13"/>
  <c r="AK14" i="13"/>
  <c r="U14" i="13"/>
  <c r="W14" i="13"/>
  <c r="Z14" i="13"/>
  <c r="AI14" i="13"/>
  <c r="S14" i="13"/>
  <c r="AJ14" i="13"/>
  <c r="I14" i="2"/>
  <c r="H8" i="15" s="1"/>
  <c r="H47" i="12"/>
  <c r="H47" i="15" s="1"/>
  <c r="D16" i="2"/>
  <c r="C47" i="12" s="1"/>
  <c r="C14" i="12" s="1"/>
  <c r="I47" i="12"/>
  <c r="E14" i="2"/>
  <c r="D8" i="15" s="1"/>
  <c r="D47" i="12"/>
  <c r="M14" i="2"/>
  <c r="L8" i="15" s="1"/>
  <c r="L47" i="12"/>
  <c r="J14" i="15"/>
  <c r="O41" i="15"/>
  <c r="C41" i="15"/>
  <c r="AB14" i="12"/>
  <c r="D14" i="6"/>
  <c r="F14" i="12"/>
  <c r="R8" i="15"/>
  <c r="P14" i="6"/>
  <c r="V8" i="15"/>
  <c r="P25" i="15"/>
  <c r="P14" i="15" s="1"/>
  <c r="P14" i="7"/>
  <c r="U8" i="15"/>
  <c r="D14" i="7"/>
  <c r="AC14" i="12"/>
  <c r="R14" i="12"/>
  <c r="AH14" i="12"/>
  <c r="Y8" i="15"/>
  <c r="X14" i="12"/>
  <c r="Z14" i="12"/>
  <c r="X22" i="15"/>
  <c r="C22" i="15"/>
  <c r="O22" i="15"/>
  <c r="O14" i="12"/>
  <c r="AJ14" i="12"/>
  <c r="AJ22" i="15"/>
  <c r="W22" i="15"/>
  <c r="W14" i="12"/>
  <c r="AE22" i="15"/>
  <c r="AE14" i="15" s="1"/>
  <c r="AE14" i="12"/>
  <c r="H22" i="15"/>
  <c r="H14" i="12"/>
  <c r="G14" i="12"/>
  <c r="G22" i="15"/>
  <c r="AA22" i="15"/>
  <c r="AA14" i="12"/>
  <c r="P14" i="4"/>
  <c r="D14" i="4"/>
  <c r="P14" i="3"/>
  <c r="D14" i="3"/>
  <c r="K14" i="2"/>
  <c r="J8" i="15" s="1"/>
  <c r="T14" i="2"/>
  <c r="S8" i="15" s="1"/>
  <c r="X14" i="2"/>
  <c r="W8" i="15" s="1"/>
  <c r="AB14" i="2"/>
  <c r="AA8" i="15" s="1"/>
  <c r="AF14" i="2"/>
  <c r="AE8" i="15" s="1"/>
  <c r="AJ14" i="2"/>
  <c r="AI8" i="15" s="1"/>
  <c r="G14" i="2"/>
  <c r="F8" i="15" s="1"/>
  <c r="O14" i="2"/>
  <c r="N8" i="15" s="1"/>
  <c r="P54" i="2"/>
  <c r="O47" i="14" s="1"/>
  <c r="O14" i="14" s="1"/>
  <c r="H14" i="2"/>
  <c r="G8" i="15" s="1"/>
  <c r="L14" i="2"/>
  <c r="K8" i="15" s="1"/>
  <c r="Q14" i="2"/>
  <c r="P8" i="15" s="1"/>
  <c r="U14" i="2"/>
  <c r="T8" i="15" s="1"/>
  <c r="Y14" i="2"/>
  <c r="X8" i="15" s="1"/>
  <c r="AC14" i="2"/>
  <c r="AB8" i="15" s="1"/>
  <c r="AG14" i="2"/>
  <c r="AF8" i="15" s="1"/>
  <c r="AK14" i="2"/>
  <c r="AJ8" i="15" s="1"/>
  <c r="D54" i="2"/>
  <c r="C47" i="14" s="1"/>
  <c r="C14" i="14" s="1"/>
  <c r="P33" i="2"/>
  <c r="O47" i="13" s="1"/>
  <c r="O14" i="13" s="1"/>
  <c r="D33" i="2"/>
  <c r="C47" i="13" s="1"/>
  <c r="C14" i="13" s="1"/>
  <c r="J14" i="2"/>
  <c r="I8" i="15" s="1"/>
  <c r="R14" i="2"/>
  <c r="Q8" i="15" s="1"/>
  <c r="P143" i="1"/>
  <c r="D143" i="1"/>
  <c r="P142" i="1"/>
  <c r="D142" i="1"/>
  <c r="P141" i="1"/>
  <c r="D141" i="1"/>
  <c r="P140" i="1"/>
  <c r="D140" i="1"/>
  <c r="P139" i="1"/>
  <c r="D139" i="1"/>
  <c r="P138" i="1"/>
  <c r="D138" i="1"/>
  <c r="P137" i="1"/>
  <c r="D137" i="1"/>
  <c r="P136" i="1"/>
  <c r="D136" i="1"/>
  <c r="P135" i="1"/>
  <c r="D135" i="1"/>
  <c r="P134" i="1"/>
  <c r="D134" i="1"/>
  <c r="P133" i="1"/>
  <c r="D133" i="1"/>
  <c r="P132" i="1"/>
  <c r="D132" i="1"/>
  <c r="P131" i="1"/>
  <c r="D131" i="1"/>
  <c r="P130" i="1"/>
  <c r="D130" i="1"/>
  <c r="P129" i="1"/>
  <c r="D129" i="1"/>
  <c r="P128" i="1"/>
  <c r="D128" i="1"/>
  <c r="P127" i="1"/>
  <c r="D127" i="1"/>
  <c r="P126" i="1"/>
  <c r="D126" i="1"/>
  <c r="P125" i="1"/>
  <c r="D125" i="1"/>
  <c r="P124" i="1"/>
  <c r="D124" i="1"/>
  <c r="P123" i="1"/>
  <c r="D123" i="1"/>
  <c r="P122" i="1"/>
  <c r="D122" i="1"/>
  <c r="P121" i="1"/>
  <c r="D121" i="1"/>
  <c r="P120" i="1"/>
  <c r="D120" i="1"/>
  <c r="P119" i="1"/>
  <c r="D119" i="1"/>
  <c r="P118" i="1"/>
  <c r="D118" i="1"/>
  <c r="P117" i="1"/>
  <c r="D117" i="1"/>
  <c r="P116" i="1"/>
  <c r="D116" i="1"/>
  <c r="P115" i="1"/>
  <c r="D115" i="1"/>
  <c r="P114" i="1"/>
  <c r="D114" i="1"/>
  <c r="P113" i="1"/>
  <c r="D113" i="1"/>
  <c r="P112" i="1"/>
  <c r="D112" i="1"/>
  <c r="P111" i="1"/>
  <c r="D111" i="1"/>
  <c r="P110" i="1"/>
  <c r="D110" i="1"/>
  <c r="P109" i="1"/>
  <c r="D109" i="1"/>
  <c r="P108" i="1"/>
  <c r="D108" i="1"/>
  <c r="P107" i="1"/>
  <c r="D107" i="1"/>
  <c r="P106" i="1"/>
  <c r="D106" i="1"/>
  <c r="P105" i="1"/>
  <c r="D105" i="1"/>
  <c r="P104" i="1"/>
  <c r="D104" i="1"/>
  <c r="P103" i="1"/>
  <c r="D103" i="1"/>
  <c r="P102" i="1"/>
  <c r="D102" i="1"/>
  <c r="P101" i="1"/>
  <c r="D101" i="1"/>
  <c r="P100" i="1"/>
  <c r="D100" i="1"/>
  <c r="P99" i="1"/>
  <c r="D99" i="1"/>
  <c r="P98" i="1"/>
  <c r="D98" i="1"/>
  <c r="P97" i="1"/>
  <c r="D97" i="1"/>
  <c r="P96" i="1"/>
  <c r="D96" i="1"/>
  <c r="P95" i="1"/>
  <c r="D95" i="1"/>
  <c r="P94" i="1"/>
  <c r="D94" i="1"/>
  <c r="P93" i="1"/>
  <c r="D93" i="1"/>
  <c r="P92" i="1"/>
  <c r="D92" i="1"/>
  <c r="P91" i="1"/>
  <c r="D91" i="1"/>
  <c r="P90" i="1"/>
  <c r="D90" i="1"/>
  <c r="P89" i="1"/>
  <c r="D89" i="1"/>
  <c r="P88" i="1"/>
  <c r="D88" i="1"/>
  <c r="P87" i="1"/>
  <c r="D87" i="1"/>
  <c r="P86" i="1"/>
  <c r="D86" i="1"/>
  <c r="P85" i="1"/>
  <c r="D85" i="1"/>
  <c r="P84" i="1"/>
  <c r="D84" i="1"/>
  <c r="P83" i="1"/>
  <c r="D83" i="1"/>
  <c r="P82" i="1"/>
  <c r="D82" i="1"/>
  <c r="P81" i="1"/>
  <c r="D81" i="1"/>
  <c r="P80" i="1"/>
  <c r="D80" i="1"/>
  <c r="P79" i="1"/>
  <c r="D79" i="1"/>
  <c r="P78" i="1"/>
  <c r="D78" i="1"/>
  <c r="P77" i="1"/>
  <c r="D77" i="1"/>
  <c r="P76" i="1"/>
  <c r="D76" i="1"/>
  <c r="P75" i="1"/>
  <c r="D75" i="1"/>
  <c r="P74" i="1"/>
  <c r="D74" i="1"/>
  <c r="P73" i="1"/>
  <c r="D73" i="1"/>
  <c r="P72" i="1"/>
  <c r="D72" i="1"/>
  <c r="P71" i="1"/>
  <c r="D71" i="1"/>
  <c r="P70" i="1"/>
  <c r="D70" i="1"/>
  <c r="P69" i="1"/>
  <c r="D69" i="1"/>
  <c r="P68" i="1"/>
  <c r="D68" i="1"/>
  <c r="P67" i="1"/>
  <c r="D67" i="1"/>
  <c r="P66" i="1"/>
  <c r="D66" i="1"/>
  <c r="P65" i="1"/>
  <c r="D65" i="1"/>
  <c r="P64" i="1"/>
  <c r="D64" i="1"/>
  <c r="P63" i="1"/>
  <c r="D63" i="1"/>
  <c r="P62" i="1"/>
  <c r="D62" i="1"/>
  <c r="P61" i="1"/>
  <c r="D61" i="1"/>
  <c r="P60" i="1"/>
  <c r="D60" i="1"/>
  <c r="P59" i="1"/>
  <c r="D59" i="1"/>
  <c r="P58" i="1"/>
  <c r="D58" i="1"/>
  <c r="P57" i="1"/>
  <c r="D57" i="1"/>
  <c r="P56" i="1"/>
  <c r="D56" i="1"/>
  <c r="P55" i="1"/>
  <c r="D55" i="1"/>
  <c r="AM54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P54" i="1" s="1"/>
  <c r="Q54" i="1"/>
  <c r="O54" i="1"/>
  <c r="N54" i="1"/>
  <c r="M54" i="1"/>
  <c r="L54" i="1"/>
  <c r="K54" i="1"/>
  <c r="J54" i="1"/>
  <c r="D54" i="1" s="1"/>
  <c r="I54" i="1"/>
  <c r="H54" i="1"/>
  <c r="G54" i="1"/>
  <c r="F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D41" i="1"/>
  <c r="P40" i="1"/>
  <c r="D40" i="1"/>
  <c r="P39" i="1"/>
  <c r="D39" i="1"/>
  <c r="P38" i="1"/>
  <c r="D38" i="1"/>
  <c r="P37" i="1"/>
  <c r="D37" i="1"/>
  <c r="P36" i="1"/>
  <c r="D36" i="1"/>
  <c r="P35" i="1"/>
  <c r="D35" i="1"/>
  <c r="P34" i="1"/>
  <c r="D34" i="1"/>
  <c r="P33" i="1"/>
  <c r="D33" i="1"/>
  <c r="P32" i="1"/>
  <c r="D32" i="1"/>
  <c r="P31" i="1"/>
  <c r="D31" i="1"/>
  <c r="P30" i="1"/>
  <c r="D30" i="1"/>
  <c r="P29" i="1"/>
  <c r="D29" i="1"/>
  <c r="P28" i="1"/>
  <c r="D28" i="1"/>
  <c r="P27" i="1"/>
  <c r="D27" i="1"/>
  <c r="P26" i="1"/>
  <c r="D26" i="1"/>
  <c r="P25" i="1"/>
  <c r="D25" i="1"/>
  <c r="P24" i="1"/>
  <c r="D24" i="1"/>
  <c r="P23" i="1"/>
  <c r="D23" i="1"/>
  <c r="P22" i="1"/>
  <c r="D22" i="1"/>
  <c r="P21" i="1"/>
  <c r="D21" i="1"/>
  <c r="P20" i="1"/>
  <c r="D20" i="1"/>
  <c r="P19" i="1"/>
  <c r="D19" i="1"/>
  <c r="P18" i="1"/>
  <c r="D18" i="1"/>
  <c r="AK14" i="1"/>
  <c r="AJ14" i="1"/>
  <c r="AG14" i="1"/>
  <c r="AF14" i="1"/>
  <c r="AC14" i="1"/>
  <c r="AB14" i="1"/>
  <c r="Y14" i="1"/>
  <c r="X14" i="1"/>
  <c r="U14" i="1"/>
  <c r="T14" i="1"/>
  <c r="Q14" i="1"/>
  <c r="P16" i="1"/>
  <c r="O16" i="1"/>
  <c r="N16" i="1"/>
  <c r="M16" i="1"/>
  <c r="M14" i="1" s="1"/>
  <c r="L16" i="1"/>
  <c r="L14" i="1" s="1"/>
  <c r="K16" i="1"/>
  <c r="J16" i="1"/>
  <c r="I16" i="1"/>
  <c r="I14" i="1" s="1"/>
  <c r="H16" i="1"/>
  <c r="H14" i="1" s="1"/>
  <c r="G16" i="1"/>
  <c r="F16" i="1"/>
  <c r="E14" i="1"/>
  <c r="D16" i="1"/>
  <c r="P15" i="1"/>
  <c r="D15" i="1"/>
  <c r="AM14" i="1"/>
  <c r="AL14" i="1"/>
  <c r="AI14" i="1"/>
  <c r="AH14" i="1"/>
  <c r="AE14" i="1"/>
  <c r="AD14" i="1"/>
  <c r="AA14" i="1"/>
  <c r="Z14" i="1"/>
  <c r="W14" i="1"/>
  <c r="V14" i="1"/>
  <c r="S14" i="1"/>
  <c r="R14" i="1"/>
  <c r="O14" i="1"/>
  <c r="N14" i="1"/>
  <c r="K14" i="1"/>
  <c r="J14" i="1"/>
  <c r="G14" i="1"/>
  <c r="F14" i="1"/>
  <c r="G14" i="15" l="1"/>
  <c r="X14" i="15"/>
  <c r="W14" i="15"/>
  <c r="AA14" i="15"/>
  <c r="H14" i="15"/>
  <c r="AJ14" i="15"/>
  <c r="O47" i="15"/>
  <c r="P14" i="2"/>
  <c r="O8" i="15" s="1"/>
  <c r="C47" i="15"/>
  <c r="C14" i="15" s="1"/>
  <c r="O14" i="15"/>
  <c r="L47" i="15"/>
  <c r="L14" i="15" s="1"/>
  <c r="L14" i="12"/>
  <c r="D47" i="15"/>
  <c r="D14" i="15" s="1"/>
  <c r="D14" i="12"/>
  <c r="I47" i="15"/>
  <c r="I14" i="15" s="1"/>
  <c r="I14" i="12"/>
  <c r="D14" i="2"/>
  <c r="C8" i="15"/>
  <c r="D14" i="1"/>
  <c r="P14" i="1"/>
</calcChain>
</file>

<file path=xl/comments1.xml><?xml version="1.0" encoding="utf-8"?>
<comments xmlns="http://schemas.openxmlformats.org/spreadsheetml/2006/main">
  <authors>
    <author>75515169</author>
  </authors>
  <commentList>
    <comment ref="P66" authorId="0" shapeId="0">
      <text>
        <r>
          <rPr>
            <b/>
            <sz val="8"/>
            <color indexed="81"/>
            <rFont val="Tahoma"/>
            <family val="2"/>
            <charset val="238"/>
          </rPr>
          <t>75515169: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P70" authorId="0" shapeId="0">
      <text>
        <r>
          <rPr>
            <b/>
            <sz val="8"/>
            <color indexed="81"/>
            <rFont val="Tahoma"/>
            <family val="2"/>
            <charset val="238"/>
          </rPr>
          <t>75515169: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<sst xmlns="http://schemas.openxmlformats.org/spreadsheetml/2006/main" count="7556" uniqueCount="3345">
  <si>
    <t>ANEXA nr. 24</t>
  </si>
  <si>
    <t>Judeţul</t>
  </si>
  <si>
    <t>SITUAŢIA PRIVIND EXECUŢIA VENITURILOR ŞI CHELTUIELILOR BUGETELOR LOCALE PE UNITĂŢI ADMINISTRATIV-TERITORIALE</t>
  </si>
  <si>
    <t>- lei -</t>
  </si>
  <si>
    <t>DENUMIREA UNITĂŢILOR
ADMINISTRATIV-TERITORIALE
(în ordine alfabetică)</t>
  </si>
  <si>
    <t>VENITURI</t>
  </si>
  <si>
    <t>VENITURI PROPRII</t>
  </si>
  <si>
    <t>Sume defalcate din TVA pentru finanţarea cheltuielilor descentralizate la nivelul judeţelor</t>
  </si>
  <si>
    <t>Sume defalcate din TVA pentru finanţarea cheltuielilor descentralizate la nivelul comunelor, oraşelor, municipiilor,  sectoarelor şi municipiului Bucureşti</t>
  </si>
  <si>
    <t>Sume defalcate din TVA pentru drumuri</t>
  </si>
  <si>
    <t>Sume defalcate din TVA pentru echilibrarea bugetelor locale</t>
  </si>
  <si>
    <t>Sume defalcate din TVA pentru finanţarea Programului de dezvoltare a infrastructurii şi a bazelor sportive din spaţiul rural</t>
  </si>
  <si>
    <t>Subvenţii</t>
  </si>
  <si>
    <t>Sume primite de la UE/alti donatori in contul platilor efectuate si prefinantari</t>
  </si>
  <si>
    <t>Alte venituri</t>
  </si>
  <si>
    <t>CHELTUIELI</t>
  </si>
  <si>
    <t>d i n   c a r e:  pe titluri de cheltuieli</t>
  </si>
  <si>
    <t>d i n   c a r e:  pe parti si capitole de cheltuieli</t>
  </si>
  <si>
    <t>TOTALE</t>
  </si>
  <si>
    <t>din care:</t>
  </si>
  <si>
    <t>(col.2+5+...+11)</t>
  </si>
  <si>
    <t>TOTAL</t>
  </si>
  <si>
    <t>Cote defalcate din impozitul pe venit</t>
  </si>
  <si>
    <t>Sume alocate din cotele defalcate din impozitul pe venit pentru echilibrarea bugetelor locale</t>
  </si>
  <si>
    <t>(col.14+...+24 - 25)                     (col.26+...+34)</t>
  </si>
  <si>
    <t>Cheltuieli de personal</t>
  </si>
  <si>
    <t>Bunuri şi servicii</t>
  </si>
  <si>
    <t>Dobânzi</t>
  </si>
  <si>
    <t>Transferuri între unităţi ale administraţiei publice</t>
  </si>
  <si>
    <t>Alte
transferuri</t>
  </si>
  <si>
    <t>Proiecte cu finanţare din fonduri externe nerambursabile</t>
  </si>
  <si>
    <t>Asistenţă
socială</t>
  </si>
  <si>
    <t>Alte cheltuieli</t>
  </si>
  <si>
    <t>Cheltuieli de capital</t>
  </si>
  <si>
    <t>Operatiuni financiare</t>
  </si>
  <si>
    <t>Plăţi  efectuate în anii precedenţi şi recuperate în anul curent</t>
  </si>
  <si>
    <t>Servicii
publice
generale</t>
  </si>
  <si>
    <t>Apărare, ordine publică şi siguranţă naţională</t>
  </si>
  <si>
    <t>Învăţământ</t>
  </si>
  <si>
    <t>Sănătate</t>
  </si>
  <si>
    <t>Cultură, recreere şi religie</t>
  </si>
  <si>
    <t>Asigurări şi asistenţă socială</t>
  </si>
  <si>
    <t>Servicii şi dezvoltare publică, locuinţe, mediu şi ape</t>
  </si>
  <si>
    <t>Protectia mediului</t>
  </si>
  <si>
    <t>Combustibili şi energie</t>
  </si>
  <si>
    <t>Transporturi</t>
  </si>
  <si>
    <t>00.01.02</t>
  </si>
  <si>
    <t>48.02</t>
  </si>
  <si>
    <t>04.02.01</t>
  </si>
  <si>
    <t>04.02.04</t>
  </si>
  <si>
    <t>11.02.01</t>
  </si>
  <si>
    <t>11.02.02</t>
  </si>
  <si>
    <t>11.02.05</t>
  </si>
  <si>
    <t>11.02.06</t>
  </si>
  <si>
    <t>11.02.07</t>
  </si>
  <si>
    <t>42.02</t>
  </si>
  <si>
    <t>50.02</t>
  </si>
  <si>
    <t>10</t>
  </si>
  <si>
    <t>40</t>
  </si>
  <si>
    <t>55</t>
  </si>
  <si>
    <t>57</t>
  </si>
  <si>
    <t>59.02</t>
  </si>
  <si>
    <t>65.02</t>
  </si>
  <si>
    <t>66.02</t>
  </si>
  <si>
    <t>67.02</t>
  </si>
  <si>
    <t>68.02</t>
  </si>
  <si>
    <t>69.02</t>
  </si>
  <si>
    <t>81.02</t>
  </si>
  <si>
    <t>84.02</t>
  </si>
  <si>
    <t>A</t>
  </si>
  <si>
    <t>TOTAL  JUDEŢ   (A+B+C+D)</t>
  </si>
  <si>
    <t>A. Consiliul judeţean</t>
  </si>
  <si>
    <t>B. Total  municipii</t>
  </si>
  <si>
    <t>Nr.    crt.</t>
  </si>
  <si>
    <t>Cod SIRUTA</t>
  </si>
  <si>
    <t>C. Total  oraşe</t>
  </si>
  <si>
    <t>D. Total comune</t>
  </si>
  <si>
    <t>Perioada: 31.12.2015</t>
  </si>
  <si>
    <t>74.02</t>
  </si>
  <si>
    <t>45.02+48.02</t>
  </si>
  <si>
    <t>56</t>
  </si>
  <si>
    <t>SATU MARE</t>
  </si>
  <si>
    <t>CAREI</t>
  </si>
  <si>
    <t>LIVADA</t>
  </si>
  <si>
    <t>TASNAD</t>
  </si>
  <si>
    <t>ARDUD</t>
  </si>
  <si>
    <t>NEGRESTI</t>
  </si>
  <si>
    <t>CAMIN</t>
  </si>
  <si>
    <t>CIUMESTI</t>
  </si>
  <si>
    <t>AGRIS</t>
  </si>
  <si>
    <t>PORUMBESTI</t>
  </si>
  <si>
    <t>BELTIUG</t>
  </si>
  <si>
    <t>TURULUNG</t>
  </si>
  <si>
    <t>VETIS</t>
  </si>
  <si>
    <t>BOTIZ</t>
  </si>
  <si>
    <t>BOGDAND</t>
  </si>
  <si>
    <t>VIILE SATU MARE</t>
  </si>
  <si>
    <t>PISCOLT</t>
  </si>
  <si>
    <t>SACASENI</t>
  </si>
  <si>
    <t>CEHAL</t>
  </si>
  <si>
    <t>FOIENI</t>
  </si>
  <si>
    <t>CAUAS</t>
  </si>
  <si>
    <t>ORASU NOU</t>
  </si>
  <si>
    <t>CALINESTI</t>
  </si>
  <si>
    <t>CAMARZANA</t>
  </si>
  <si>
    <t>TURT</t>
  </si>
  <si>
    <t>VAMA</t>
  </si>
  <si>
    <t>TARSOLT</t>
  </si>
  <si>
    <t>GHERTA MICA</t>
  </si>
  <si>
    <t>VALEA VINULUI</t>
  </si>
  <si>
    <t>MEDIESU AURIT</t>
  </si>
  <si>
    <t>PAULESTI</t>
  </si>
  <si>
    <t>CULCIU</t>
  </si>
  <si>
    <t>ANDRID</t>
  </si>
  <si>
    <t>BERVENI</t>
  </si>
  <si>
    <t>MOFTIN</t>
  </si>
  <si>
    <t>CRAIDOROLT</t>
  </si>
  <si>
    <t>SUPUR</t>
  </si>
  <si>
    <t>SANTAU</t>
  </si>
  <si>
    <t>PIR</t>
  </si>
  <si>
    <t>HALMEU</t>
  </si>
  <si>
    <t>BATARCI</t>
  </si>
  <si>
    <t>TARNA MARE</t>
  </si>
  <si>
    <t>BARSAU</t>
  </si>
  <si>
    <t>MICULA</t>
  </si>
  <si>
    <t>ACAS</t>
  </si>
  <si>
    <t>APA</t>
  </si>
  <si>
    <t>ODOREU</t>
  </si>
  <si>
    <t>SOCOND</t>
  </si>
  <si>
    <t>CRUCISOR</t>
  </si>
  <si>
    <t>CAPLENI</t>
  </si>
  <si>
    <t>TIREAM</t>
  </si>
  <si>
    <t>PETRESTI</t>
  </si>
  <si>
    <t>URZICENI</t>
  </si>
  <si>
    <t>HODOD</t>
  </si>
  <si>
    <t>HOMOROADE</t>
  </si>
  <si>
    <t>TEREBESTI</t>
  </si>
  <si>
    <t>POMI</t>
  </si>
  <si>
    <t>DOBA</t>
  </si>
  <si>
    <t>DOROLT</t>
  </si>
  <si>
    <t>SAUCA</t>
  </si>
  <si>
    <t>CERTEZE</t>
  </si>
  <si>
    <t>BIXAD</t>
  </si>
  <si>
    <t>LAZURI</t>
  </si>
  <si>
    <t>SANISLAU</t>
  </si>
  <si>
    <t>RACSA</t>
  </si>
  <si>
    <t>BRASOV</t>
  </si>
  <si>
    <t>FAGARAS</t>
  </si>
  <si>
    <t>CODLEA</t>
  </si>
  <si>
    <t>SACELE</t>
  </si>
  <si>
    <t>RUPEA</t>
  </si>
  <si>
    <t>RASNOV</t>
  </si>
  <si>
    <t>PREDEAL</t>
  </si>
  <si>
    <t>VICTORIA</t>
  </si>
  <si>
    <t>ZARNESTI</t>
  </si>
  <si>
    <t>GHIMBAV</t>
  </si>
  <si>
    <t>APATA</t>
  </si>
  <si>
    <t>AUGUSTIN</t>
  </si>
  <si>
    <t>BECLEAN</t>
  </si>
  <si>
    <t>BOD</t>
  </si>
  <si>
    <t>BRAN</t>
  </si>
  <si>
    <t>BUDILA</t>
  </si>
  <si>
    <t>BUNESTI</t>
  </si>
  <si>
    <t>CATA</t>
  </si>
  <si>
    <t>CINCU</t>
  </si>
  <si>
    <t>COMANA</t>
  </si>
  <si>
    <t>CRIZBAV</t>
  </si>
  <si>
    <t>CRISTIAN</t>
  </si>
  <si>
    <t>DRAGUS</t>
  </si>
  <si>
    <t>DUMBRAVITA</t>
  </si>
  <si>
    <t>FELDIOARA</t>
  </si>
  <si>
    <t>FUNDATA</t>
  </si>
  <si>
    <t>HALCHIU</t>
  </si>
  <si>
    <t>HARMAN</t>
  </si>
  <si>
    <t>HIRSENI</t>
  </si>
  <si>
    <t>HOGHIZ</t>
  </si>
  <si>
    <t>HOLBAV</t>
  </si>
  <si>
    <t>HOMOROD</t>
  </si>
  <si>
    <t>JIBERT</t>
  </si>
  <si>
    <t>LISA</t>
  </si>
  <si>
    <t>MAIERUS</t>
  </si>
  <si>
    <t>MANDRA</t>
  </si>
  <si>
    <t>MOIECIU</t>
  </si>
  <si>
    <t>ORMENIS</t>
  </si>
  <si>
    <t>PARAU</t>
  </si>
  <si>
    <t>POIANA MARULUI</t>
  </si>
  <si>
    <t>PREJMER</t>
  </si>
  <si>
    <t>RACOS</t>
  </si>
  <si>
    <t>RECEA</t>
  </si>
  <si>
    <t>SERCAIA</t>
  </si>
  <si>
    <t>SAMBATA DE SUS</t>
  </si>
  <si>
    <t>SINCA</t>
  </si>
  <si>
    <t>SINCA-NOUA</t>
  </si>
  <si>
    <t>SANPETRU</t>
  </si>
  <si>
    <t>SOARS</t>
  </si>
  <si>
    <t>TARLUNGENI</t>
  </si>
  <si>
    <t>TELIU</t>
  </si>
  <si>
    <t>TICUS</t>
  </si>
  <si>
    <t>UCEA</t>
  </si>
  <si>
    <t>UNGRA</t>
  </si>
  <si>
    <t>VAMA BUZAULUI</t>
  </si>
  <si>
    <t>VISTEA</t>
  </si>
  <si>
    <t>VOILA</t>
  </si>
  <si>
    <t>VULCAN</t>
  </si>
  <si>
    <t>Judeţul BRASOV</t>
  </si>
  <si>
    <t>146263</t>
  </si>
  <si>
    <t>MUNICIPIUL SUCEAVA</t>
  </si>
  <si>
    <t>146502</t>
  </si>
  <si>
    <t>MUNICIPIUL CIMPULUNG MOLDOVENESC</t>
  </si>
  <si>
    <t>146539</t>
  </si>
  <si>
    <t>MUNICIPIUL FALTICENI</t>
  </si>
  <si>
    <t>146628</t>
  </si>
  <si>
    <t>MUNICIPIUL RADAUTI</t>
  </si>
  <si>
    <t>146744</t>
  </si>
  <si>
    <t>MUNICIPIUL VATRA DORNEI</t>
  </si>
  <si>
    <t>146584</t>
  </si>
  <si>
    <t>ORASUL GURA HUMORULUI</t>
  </si>
  <si>
    <t>146655</t>
  </si>
  <si>
    <t>ORASUL SIRET</t>
  </si>
  <si>
    <t>146708</t>
  </si>
  <si>
    <t>ORASUL SOLCA</t>
  </si>
  <si>
    <t>147358</t>
  </si>
  <si>
    <t>ORASUL BROSTENI</t>
  </si>
  <si>
    <t>147633</t>
  </si>
  <si>
    <t>ORASUL CAJVANA</t>
  </si>
  <si>
    <t>148006</t>
  </si>
  <si>
    <t>ORASUL DOLHASCA</t>
  </si>
  <si>
    <t>148612</t>
  </si>
  <si>
    <t>ORASUL FRASIN</t>
  </si>
  <si>
    <t>149227</t>
  </si>
  <si>
    <t>ORASUL LITENI</t>
  </si>
  <si>
    <t>146931</t>
  </si>
  <si>
    <t>ORASUL MILISAUTI</t>
  </si>
  <si>
    <t>146370</t>
  </si>
  <si>
    <t>ORASUL SALCEA</t>
  </si>
  <si>
    <t>151095</t>
  </si>
  <si>
    <t>ORASUL VICOVU DE SUS</t>
  </si>
  <si>
    <t>146799</t>
  </si>
  <si>
    <t>COMUNA ADINCATA</t>
  </si>
  <si>
    <t>146860</t>
  </si>
  <si>
    <t>COMUNA ARBORE</t>
  </si>
  <si>
    <t>1464904</t>
  </si>
  <si>
    <t>COMUNA BAIA</t>
  </si>
  <si>
    <t>151530</t>
  </si>
  <si>
    <t>COMUNA BALACEANA</t>
  </si>
  <si>
    <t>146995</t>
  </si>
  <si>
    <t>COMUNA BALCAUTI</t>
  </si>
  <si>
    <t>147036</t>
  </si>
  <si>
    <t>COMUNA BILCA</t>
  </si>
  <si>
    <t>147054</t>
  </si>
  <si>
    <t>COMUNA BOGDANESTI</t>
  </si>
  <si>
    <t>147072</t>
  </si>
  <si>
    <t>COMUNA BOROAIA</t>
  </si>
  <si>
    <t>147134</t>
  </si>
  <si>
    <t>COMUNA BOSANCI</t>
  </si>
  <si>
    <t>147161</t>
  </si>
  <si>
    <t>COMUNA BOTOSANA</t>
  </si>
  <si>
    <t>147205</t>
  </si>
  <si>
    <t>COMUNA BREAZA</t>
  </si>
  <si>
    <t>147241</t>
  </si>
  <si>
    <t>COMUNA BRODINA</t>
  </si>
  <si>
    <t>147465</t>
  </si>
  <si>
    <t>COMUNA BUNESTI</t>
  </si>
  <si>
    <t>147526</t>
  </si>
  <si>
    <t>COMUNA CACICA</t>
  </si>
  <si>
    <t>147580</t>
  </si>
  <si>
    <t>COMUNA CALAFINDESTI</t>
  </si>
  <si>
    <t>151503</t>
  </si>
  <si>
    <t>COMUNA CAPU CIMPULUI</t>
  </si>
  <si>
    <t>151451</t>
  </si>
  <si>
    <t>COMUNA CIOCANESTI</t>
  </si>
  <si>
    <t>151567</t>
  </si>
  <si>
    <t>COMUNA CIPRIAN PORUMBESCU</t>
  </si>
  <si>
    <t>147713</t>
  </si>
  <si>
    <t>COMUNA CIRLIBABA</t>
  </si>
  <si>
    <t>151433</t>
  </si>
  <si>
    <t>COMUNA COMANESTI</t>
  </si>
  <si>
    <t>147786</t>
  </si>
  <si>
    <t>COMUNA CORNU LUNCII</t>
  </si>
  <si>
    <t>151497</t>
  </si>
  <si>
    <t>COMUNA COSNA</t>
  </si>
  <si>
    <t>147884</t>
  </si>
  <si>
    <t>COMUNA CRUCEA</t>
  </si>
  <si>
    <t>147937</t>
  </si>
  <si>
    <t>COMUNA DARMANESTI</t>
  </si>
  <si>
    <t>148097</t>
  </si>
  <si>
    <t>COMUNA DOLHESTI</t>
  </si>
  <si>
    <t>148131</t>
  </si>
  <si>
    <t>COMUNA DORNA ARINI</t>
  </si>
  <si>
    <t>148202</t>
  </si>
  <si>
    <t>COMUNA DORNA CANDRENI</t>
  </si>
  <si>
    <t>148293</t>
  </si>
  <si>
    <t>COMUNA DORNESTI</t>
  </si>
  <si>
    <t>148328</t>
  </si>
  <si>
    <t>COMUNA DRAGOIESTI</t>
  </si>
  <si>
    <t>148382</t>
  </si>
  <si>
    <t>COMUNA DRAGUSENI</t>
  </si>
  <si>
    <t>148426</t>
  </si>
  <si>
    <t>COMUNA DUMBRAVENI</t>
  </si>
  <si>
    <t>151488</t>
  </si>
  <si>
    <t>COMUNA FINTINA MARE</t>
  </si>
  <si>
    <t>148453</t>
  </si>
  <si>
    <t>COMUNA FINTINELE</t>
  </si>
  <si>
    <t>148514</t>
  </si>
  <si>
    <t>COMUNA FORASTI</t>
  </si>
  <si>
    <t>148667</t>
  </si>
  <si>
    <t>COMUNA FRATAUTII NOI</t>
  </si>
  <si>
    <t>148694</t>
  </si>
  <si>
    <t>COMUNA FRATAUTII VECHI</t>
  </si>
  <si>
    <t>148729</t>
  </si>
  <si>
    <t>COMUNA FRUMOSU</t>
  </si>
  <si>
    <t>148765</t>
  </si>
  <si>
    <t>COMUNA FUNDU MOLDOVEI</t>
  </si>
  <si>
    <t>148872</t>
  </si>
  <si>
    <t>COMUNA GALANESTI</t>
  </si>
  <si>
    <t>148916</t>
  </si>
  <si>
    <t>COMUNA GRAMESTI</t>
  </si>
  <si>
    <t>148970</t>
  </si>
  <si>
    <t>COMUNA GRANICESTI</t>
  </si>
  <si>
    <t>151512</t>
  </si>
  <si>
    <t>COMUNA HINTESTI</t>
  </si>
  <si>
    <t>151549</t>
  </si>
  <si>
    <t>COMUNA HIRTOP</t>
  </si>
  <si>
    <t>149101</t>
  </si>
  <si>
    <t>COMUNA HORODNIC DE JOS</t>
  </si>
  <si>
    <t>151479</t>
  </si>
  <si>
    <t>COMUNA HORODNIC DE SUS</t>
  </si>
  <si>
    <t>149049</t>
  </si>
  <si>
    <t>COMUNA HORODNICENI</t>
  </si>
  <si>
    <t>149138</t>
  </si>
  <si>
    <t>COMUNA IACOBENI</t>
  </si>
  <si>
    <t>151442</t>
  </si>
  <si>
    <t>COMUNA IASLOVAT</t>
  </si>
  <si>
    <t>147660</t>
  </si>
  <si>
    <t>COMUNA ILISESTI</t>
  </si>
  <si>
    <t>146281</t>
  </si>
  <si>
    <t>COMUNA IPOTESTI</t>
  </si>
  <si>
    <t>149183</t>
  </si>
  <si>
    <t>COMUNA IZVOARELE SUCEVEI</t>
  </si>
  <si>
    <t>149290</t>
  </si>
  <si>
    <t>COMUNA MARGINEA</t>
  </si>
  <si>
    <t>149316</t>
  </si>
  <si>
    <t>COMUNA MALINI</t>
  </si>
  <si>
    <t>149370</t>
  </si>
  <si>
    <t>COMUNA MANASTIREA HUMORULUI</t>
  </si>
  <si>
    <t>146325</t>
  </si>
  <si>
    <t>COMUNA MITOCUL DRAGOMIRNEI</t>
  </si>
  <si>
    <t>149414</t>
  </si>
  <si>
    <t>COMUNA MOARA</t>
  </si>
  <si>
    <t>149502</t>
  </si>
  <si>
    <t>COMUNA MOLDOVA SULITA</t>
  </si>
  <si>
    <t>149539</t>
  </si>
  <si>
    <t>COMUNA MOLDOVITA</t>
  </si>
  <si>
    <t>149584</t>
  </si>
  <si>
    <t>COMUNA MUSENITA</t>
  </si>
  <si>
    <t>149655</t>
  </si>
  <si>
    <t>COMUNA OSTRA</t>
  </si>
  <si>
    <t>149682</t>
  </si>
  <si>
    <t>COMUNA PANACI</t>
  </si>
  <si>
    <t>149753</t>
  </si>
  <si>
    <t>COMUNA PALTINOASA</t>
  </si>
  <si>
    <t>149833</t>
  </si>
  <si>
    <t>COMUNA PATRAUTI</t>
  </si>
  <si>
    <t>149780</t>
  </si>
  <si>
    <t>COMUNA PIRTESTII DE JOS</t>
  </si>
  <si>
    <t>149851</t>
  </si>
  <si>
    <t>COMUNA POIANA STAMPEI</t>
  </si>
  <si>
    <t>149931</t>
  </si>
  <si>
    <t>COMUNA POJORITA</t>
  </si>
  <si>
    <t>149968</t>
  </si>
  <si>
    <t>COMUNA PREUTESTI</t>
  </si>
  <si>
    <t>150043</t>
  </si>
  <si>
    <t>COMUNA PUTNA</t>
  </si>
  <si>
    <t>150070</t>
  </si>
  <si>
    <t>COMUNA RADASENI</t>
  </si>
  <si>
    <t>150114</t>
  </si>
  <si>
    <t>COMUNA RISCA</t>
  </si>
  <si>
    <t>150178</t>
  </si>
  <si>
    <t>COMUNA SADOVA</t>
  </si>
  <si>
    <t>150196</t>
  </si>
  <si>
    <t>COMUNA SATU MARE</t>
  </si>
  <si>
    <t>150221</t>
  </si>
  <si>
    <t>COMUNA SIMINICEA</t>
  </si>
  <si>
    <t>150258</t>
  </si>
  <si>
    <t>COMUNA SLATINA</t>
  </si>
  <si>
    <t>150294</t>
  </si>
  <si>
    <t>COMUNA STRAJA</t>
  </si>
  <si>
    <t>150310</t>
  </si>
  <si>
    <t>COMUNA STROIESTI</t>
  </si>
  <si>
    <t>150356</t>
  </si>
  <si>
    <t>COMUNA STULPICANI</t>
  </si>
  <si>
    <t>150418</t>
  </si>
  <si>
    <t>COMUNA SUCEVITA</t>
  </si>
  <si>
    <t>150445</t>
  </si>
  <si>
    <t>COMUNA SARU DORNEI</t>
  </si>
  <si>
    <t>146432</t>
  </si>
  <si>
    <t>COMUNA SCHEIA</t>
  </si>
  <si>
    <t>151460</t>
  </si>
  <si>
    <t>COMUNA SERBAUTI</t>
  </si>
  <si>
    <t>150524</t>
  </si>
  <si>
    <t>COMUNA TODIRESTI</t>
  </si>
  <si>
    <t>150588</t>
  </si>
  <si>
    <t>COMUNA UDESTI</t>
  </si>
  <si>
    <t>150702</t>
  </si>
  <si>
    <t>COMUNA ULMA</t>
  </si>
  <si>
    <t>150766</t>
  </si>
  <si>
    <t>COMUNA VADU MOLDOVEI</t>
  </si>
  <si>
    <t>150891</t>
  </si>
  <si>
    <t>COMUNA VALEA MOLDOVEI</t>
  </si>
  <si>
    <t>150935</t>
  </si>
  <si>
    <t>COMUNA VAMA</t>
  </si>
  <si>
    <t>150980</t>
  </si>
  <si>
    <t>COMUNA VATRA MOLDOVITEI</t>
  </si>
  <si>
    <t>151022</t>
  </si>
  <si>
    <t>COMUNA VERESTI</t>
  </si>
  <si>
    <t>151077</t>
  </si>
  <si>
    <t>COMUNA VICOVU DE JOS</t>
  </si>
  <si>
    <t>151558</t>
  </si>
  <si>
    <t>COMUNA VOITINEL</t>
  </si>
  <si>
    <t>151120</t>
  </si>
  <si>
    <t>COMUNA VOLOVAT</t>
  </si>
  <si>
    <t>151157</t>
  </si>
  <si>
    <t>COMUNA VULTURESTI</t>
  </si>
  <si>
    <t>151246</t>
  </si>
  <si>
    <t>COMUNA ZAMOSTEA</t>
  </si>
  <si>
    <t>151344</t>
  </si>
  <si>
    <t>COMUNA ZVORISTEA</t>
  </si>
  <si>
    <t>151521</t>
  </si>
  <si>
    <t>COMUNA BURLA</t>
  </si>
  <si>
    <t>151576</t>
  </si>
  <si>
    <t>COMUNA BERCHISESTI</t>
  </si>
  <si>
    <t>151585</t>
  </si>
  <si>
    <t>COMUNA POIENI SOLCA</t>
  </si>
  <si>
    <t>Judeţul SUCEAVA</t>
  </si>
  <si>
    <t>SIBIU</t>
  </si>
  <si>
    <t>MEDIAS</t>
  </si>
  <si>
    <t>AGNITA</t>
  </si>
  <si>
    <t>AVRIG</t>
  </si>
  <si>
    <t>CISNADIE</t>
  </si>
  <si>
    <t>COPSA MICA</t>
  </si>
  <si>
    <t>DUMBRAVENI</t>
  </si>
  <si>
    <t>MIERCUREA SIBIULUI</t>
  </si>
  <si>
    <t>OCNA SIBIULUI</t>
  </si>
  <si>
    <t>SALISTE</t>
  </si>
  <si>
    <t>TALMACIU</t>
  </si>
  <si>
    <t>ALMA</t>
  </si>
  <si>
    <t>ALTINA</t>
  </si>
  <si>
    <t>APOLDU DE JOS</t>
  </si>
  <si>
    <t>ARPASU DE JOS</t>
  </si>
  <si>
    <t>ATEL</t>
  </si>
  <si>
    <t>AXENTE SEVER</t>
  </si>
  <si>
    <t>BAZNA</t>
  </si>
  <si>
    <t>BIERTAN</t>
  </si>
  <si>
    <t>BIRGHIS</t>
  </si>
  <si>
    <t>BLAJEL</t>
  </si>
  <si>
    <t>BOITA</t>
  </si>
  <si>
    <t>BRATEIU</t>
  </si>
  <si>
    <t>BRADENI</t>
  </si>
  <si>
    <t>BRUIU</t>
  </si>
  <si>
    <t>CHIRPAR</t>
  </si>
  <si>
    <t>CIRTA</t>
  </si>
  <si>
    <t>CIRTISOARA</t>
  </si>
  <si>
    <t>DIRLOS</t>
  </si>
  <si>
    <t>GURA RIULUI</t>
  </si>
  <si>
    <t>HOGHILAG</t>
  </si>
  <si>
    <t>IACOBENI</t>
  </si>
  <si>
    <t>JINA</t>
  </si>
  <si>
    <t>LASLEA</t>
  </si>
  <si>
    <t>LOAMNES</t>
  </si>
  <si>
    <t>LUDOS</t>
  </si>
  <si>
    <t>MARPOD</t>
  </si>
  <si>
    <t>MERGHINDEAL</t>
  </si>
  <si>
    <t>MICASASA</t>
  </si>
  <si>
    <t>MIHAILENI</t>
  </si>
  <si>
    <t>MOSNA</t>
  </si>
  <si>
    <t>NOCRICH</t>
  </si>
  <si>
    <t>ORLAT</t>
  </si>
  <si>
    <t>PAUCA</t>
  </si>
  <si>
    <t>POIANA SIBIULUI</t>
  </si>
  <si>
    <t>POPLACA</t>
  </si>
  <si>
    <t>PORUMBACU DE JOS</t>
  </si>
  <si>
    <t>RACOVITA</t>
  </si>
  <si>
    <t>RASINARI</t>
  </si>
  <si>
    <t>RIU SADULUI</t>
  </si>
  <si>
    <t>ROSIA</t>
  </si>
  <si>
    <t>SADU</t>
  </si>
  <si>
    <t>SLIMNIC</t>
  </si>
  <si>
    <t>SEICA MARE</t>
  </si>
  <si>
    <t>SEICA MICA</t>
  </si>
  <si>
    <t>SELIMBAR</t>
  </si>
  <si>
    <t>SURA MARE</t>
  </si>
  <si>
    <t>SURA MICA</t>
  </si>
  <si>
    <t>TILISCA</t>
  </si>
  <si>
    <t>TIRNAVA</t>
  </si>
  <si>
    <t>TURNU ROSU</t>
  </si>
  <si>
    <t>VALEA VIILOR</t>
  </si>
  <si>
    <t>VURPAR</t>
  </si>
  <si>
    <t>Judeţul SIBIU</t>
  </si>
  <si>
    <t>MUNICIPIU DROBETA TR.SEVERIN</t>
  </si>
  <si>
    <t>MUNICIPIU ORSOVA</t>
  </si>
  <si>
    <t>BAIA DE ARAMA</t>
  </si>
  <si>
    <t>STREHAIA</t>
  </si>
  <si>
    <t>VINJU MARE</t>
  </si>
  <si>
    <t>BALA</t>
  </si>
  <si>
    <t>BALACITA</t>
  </si>
  <si>
    <t>BALTA</t>
  </si>
  <si>
    <t>BACLES</t>
  </si>
  <si>
    <t>BALVANESTI</t>
  </si>
  <si>
    <t>BREZNITA MOTRU</t>
  </si>
  <si>
    <t>BREZNITA OCOL</t>
  </si>
  <si>
    <t>BROSTENI</t>
  </si>
  <si>
    <t>BURILA MARE</t>
  </si>
  <si>
    <t>BUTOIESTI</t>
  </si>
  <si>
    <t>CAZANESTI</t>
  </si>
  <si>
    <t>CIRESU</t>
  </si>
  <si>
    <t>CORCOVA</t>
  </si>
  <si>
    <t>CORLATEL</t>
  </si>
  <si>
    <t>CUJMIR</t>
  </si>
  <si>
    <t>DEVESEL</t>
  </si>
  <si>
    <t>DARVARI</t>
  </si>
  <si>
    <t>DUBOVA</t>
  </si>
  <si>
    <t>DUMBRAVA</t>
  </si>
  <si>
    <t>FLORESTI</t>
  </si>
  <si>
    <t>GARLA MARE</t>
  </si>
  <si>
    <t>GODEANU</t>
  </si>
  <si>
    <t>GOGOSU</t>
  </si>
  <si>
    <t>GRECI</t>
  </si>
  <si>
    <t>GROZESTI</t>
  </si>
  <si>
    <t>GRUIA</t>
  </si>
  <si>
    <t>HINOVA</t>
  </si>
  <si>
    <t>HUSNICIOARA</t>
  </si>
  <si>
    <t>ESELNITA</t>
  </si>
  <si>
    <t>ILOVAT</t>
  </si>
  <si>
    <t>ILOVITA</t>
  </si>
  <si>
    <t>ISVERNA</t>
  </si>
  <si>
    <t>IZVORU BARZII</t>
  </si>
  <si>
    <t>JIANA</t>
  </si>
  <si>
    <t>LIVEZILE</t>
  </si>
  <si>
    <t>MALOVAT</t>
  </si>
  <si>
    <t>OBARSIA CLOSANI</t>
  </si>
  <si>
    <t>OBARSIA CAMP</t>
  </si>
  <si>
    <t>OPRISOR</t>
  </si>
  <si>
    <t>PADINA</t>
  </si>
  <si>
    <t>PATULELE</t>
  </si>
  <si>
    <t>PODENI</t>
  </si>
  <si>
    <t>PONOARE</t>
  </si>
  <si>
    <t>POROINA MARE</t>
  </si>
  <si>
    <t>PRISTOL</t>
  </si>
  <si>
    <t>PRUNISOR</t>
  </si>
  <si>
    <t>PUNGHINA</t>
  </si>
  <si>
    <t>ROGOVA</t>
  </si>
  <si>
    <t>SALCIA</t>
  </si>
  <si>
    <t>SIMIAN</t>
  </si>
  <si>
    <t>SISESTI</t>
  </si>
  <si>
    <t>SOVARNA</t>
  </si>
  <si>
    <t>STANGACEAUA</t>
  </si>
  <si>
    <t>SVINITA</t>
  </si>
  <si>
    <t>TAMNA</t>
  </si>
  <si>
    <t>VANATORI</t>
  </si>
  <si>
    <t>VANJULET</t>
  </si>
  <si>
    <t>VLADAIA</t>
  </si>
  <si>
    <t>VOLOIAC</t>
  </si>
  <si>
    <t>BRANISTE</t>
  </si>
  <si>
    <t>VRATA</t>
  </si>
  <si>
    <t>Judeţul MEHEDINTI</t>
  </si>
  <si>
    <t>Judeţul CARAS SEVERIN</t>
  </si>
  <si>
    <t>RESITA</t>
  </si>
  <si>
    <t>CARANSEBES</t>
  </si>
  <si>
    <t>ANINA</t>
  </si>
  <si>
    <t>HERCULANE</t>
  </si>
  <si>
    <t>BOCŞA</t>
  </si>
  <si>
    <t>MOLDOVA NOUĂ</t>
  </si>
  <si>
    <t>ORAVIŢA</t>
  </si>
  <si>
    <t>OŢELU ROŞU</t>
  </si>
  <si>
    <t>ARMENIS</t>
  </si>
  <si>
    <t>BANIA</t>
  </si>
  <si>
    <t>BAUTARI</t>
  </si>
  <si>
    <t>BERLISTE</t>
  </si>
  <si>
    <t>BERZASCA</t>
  </si>
  <si>
    <t>BERZOVIA</t>
  </si>
  <si>
    <t>BOLVASNITA</t>
  </si>
  <si>
    <t>BOZOVICI</t>
  </si>
  <si>
    <t>BREBU</t>
  </si>
  <si>
    <t>BREBU NOU</t>
  </si>
  <si>
    <t>BUCHIN</t>
  </si>
  <si>
    <t>BUCOSNITA</t>
  </si>
  <si>
    <t>CARASOVA</t>
  </si>
  <si>
    <t>CARBUNARI</t>
  </si>
  <si>
    <t>CICLOVA ROMANA</t>
  </si>
  <si>
    <t>CIUCHICI</t>
  </si>
  <si>
    <t>CIUDANOVITA</t>
  </si>
  <si>
    <t>CONSTANTIN DAICOVICIU</t>
  </si>
  <si>
    <t>COPACELE</t>
  </si>
  <si>
    <t>CORNEA</t>
  </si>
  <si>
    <t>CORNEREVA</t>
  </si>
  <si>
    <t>CORONINI</t>
  </si>
  <si>
    <t>DALBOSET</t>
  </si>
  <si>
    <t>DOCLIN</t>
  </si>
  <si>
    <t>DOGNECEA</t>
  </si>
  <si>
    <t>DOMASNEA</t>
  </si>
  <si>
    <t>EFTIMIE MURGU</t>
  </si>
  <si>
    <t>EZERIS</t>
  </si>
  <si>
    <t>FARLIUG</t>
  </si>
  <si>
    <t>FOROTIC</t>
  </si>
  <si>
    <t>GARNIC</t>
  </si>
  <si>
    <t>GLIMBOCA</t>
  </si>
  <si>
    <t>GORUIA</t>
  </si>
  <si>
    <t>GRADINARI</t>
  </si>
  <si>
    <t>IABLANITA</t>
  </si>
  <si>
    <t>LAPUSNICEL</t>
  </si>
  <si>
    <t>LAPUSNICU MARE</t>
  </si>
  <si>
    <t>LUNCAVITA</t>
  </si>
  <si>
    <t>LUPAC</t>
  </si>
  <si>
    <t>MARGA</t>
  </si>
  <si>
    <t>MAURENI</t>
  </si>
  <si>
    <t>MEHADIA</t>
  </si>
  <si>
    <t>MEHADICA</t>
  </si>
  <si>
    <t>NAIDAS</t>
  </si>
  <si>
    <t>OBREJA</t>
  </si>
  <si>
    <t>OCNA DE FIER</t>
  </si>
  <si>
    <t>PALTINIS</t>
  </si>
  <si>
    <t>POJEJENA</t>
  </si>
  <si>
    <t>PRIGOR</t>
  </si>
  <si>
    <t>RACASDIA</t>
  </si>
  <si>
    <t>RAMNA</t>
  </si>
  <si>
    <t>RUSCA MONTANA</t>
  </si>
  <si>
    <t>SACU</t>
  </si>
  <si>
    <t>SASCA MONTANA</t>
  </si>
  <si>
    <t>SICHEVITA</t>
  </si>
  <si>
    <t>SLATINA TIMIS</t>
  </si>
  <si>
    <t>SOCOL</t>
  </si>
  <si>
    <t>SOPOTU NOU</t>
  </si>
  <si>
    <t>TARNOVA</t>
  </si>
  <si>
    <t>TEREGOVA</t>
  </si>
  <si>
    <t>TICVANIU MARE</t>
  </si>
  <si>
    <t>TOPLET</t>
  </si>
  <si>
    <t>TURNU RUIENI</t>
  </si>
  <si>
    <t>VALIUG</t>
  </si>
  <si>
    <t>VARADIA</t>
  </si>
  <si>
    <t>VERMES</t>
  </si>
  <si>
    <t>VRANI</t>
  </si>
  <si>
    <t>ZAVOI</t>
  </si>
  <si>
    <t>ZORLENTU MARE</t>
  </si>
  <si>
    <t>Judeţul GALATI</t>
  </si>
  <si>
    <t>MUNICIPIUL GALATI</t>
  </si>
  <si>
    <t>MUNICIPIUL TECUCI</t>
  </si>
  <si>
    <t>ORAS BERESTI</t>
  </si>
  <si>
    <t>ORAS TARGU BUJOR</t>
  </si>
  <si>
    <t>COMUNA BARCEA</t>
  </si>
  <si>
    <t>COMUNA BALABANESTI</t>
  </si>
  <si>
    <t>COMUNA BALASESTI</t>
  </si>
  <si>
    <t>COMUNA BALENI</t>
  </si>
  <si>
    <t>COMUNA BANEASA</t>
  </si>
  <si>
    <t>COMUNA BERESTI-MERIA</t>
  </si>
  <si>
    <t>COMUNA BRANISTEA</t>
  </si>
  <si>
    <t>COMUNA BRAHASESTI</t>
  </si>
  <si>
    <t>COMUNA BUCIUMENI</t>
  </si>
  <si>
    <t>COMUNA CAVADINESTI</t>
  </si>
  <si>
    <t>COMUNA CERTESTI</t>
  </si>
  <si>
    <t>COMUNA CORNI</t>
  </si>
  <si>
    <t>COMUNA COROD</t>
  </si>
  <si>
    <t>COMUNA COSMESTI</t>
  </si>
  <si>
    <t>COMUNA COSTACHE NEGRI</t>
  </si>
  <si>
    <t>COMUNA CUCA</t>
  </si>
  <si>
    <t>COMUNA CUDALBI</t>
  </si>
  <si>
    <t>COMUNA CUZA VODA</t>
  </si>
  <si>
    <t>COMUNA DRAGANESTI</t>
  </si>
  <si>
    <t>COMUNA FIRTANESTI</t>
  </si>
  <si>
    <t>COMUNA FOLTESTI</t>
  </si>
  <si>
    <t>COMUNA FRUMUSITA</t>
  </si>
  <si>
    <t>COMUNA FUNDENI</t>
  </si>
  <si>
    <t>COMUNA GHIDIGENI</t>
  </si>
  <si>
    <t>COMUNA GOHOR</t>
  </si>
  <si>
    <t>COMUNA GRIVITA</t>
  </si>
  <si>
    <t>COMUNA INDEPENDENTA</t>
  </si>
  <si>
    <t>COMUNA IVESTI</t>
  </si>
  <si>
    <t>COMUNA JORASTI</t>
  </si>
  <si>
    <t>COMUNA LIESTI</t>
  </si>
  <si>
    <t>COMUNA MATCA</t>
  </si>
  <si>
    <t>COMUNA MASTACANI</t>
  </si>
  <si>
    <t>COMUNA MOVILENI</t>
  </si>
  <si>
    <t>COMUNA MUNTENI</t>
  </si>
  <si>
    <t>COMUNA NAMOLOASA</t>
  </si>
  <si>
    <t>COMUNA NEGRILESTI</t>
  </si>
  <si>
    <t>COMUNA NICORESTI</t>
  </si>
  <si>
    <t>COMUNA OANCEA</t>
  </si>
  <si>
    <t>COMUNA PECHEA</t>
  </si>
  <si>
    <t>COMUNA PISCU</t>
  </si>
  <si>
    <t>COMUNA POIANA</t>
  </si>
  <si>
    <t>COMUNA PRIPONESTI</t>
  </si>
  <si>
    <t>COMUNA RADESTI</t>
  </si>
  <si>
    <t>COMUNA REDIU</t>
  </si>
  <si>
    <t>COMUNA SCHELA</t>
  </si>
  <si>
    <t>COMUNA SCINTEESTI</t>
  </si>
  <si>
    <t>COMUNA SLOBOZIA-CONACHI</t>
  </si>
  <si>
    <t>COMUNA SMIRDAN</t>
  </si>
  <si>
    <t>COMUNA SMULTI</t>
  </si>
  <si>
    <t>COMUNA SUCEVENI</t>
  </si>
  <si>
    <t>COMUNA SUHURLUI</t>
  </si>
  <si>
    <t>COMUNA SENDRENI</t>
  </si>
  <si>
    <t>COMUNA TUDOR-VLADIMIRESCU</t>
  </si>
  <si>
    <t>COMUNA TULUCESTI</t>
  </si>
  <si>
    <t>COMUNA TEPU</t>
  </si>
  <si>
    <t>COMUNA UMBRARESTI</t>
  </si>
  <si>
    <t>COMUNA VALEA-MARULUI</t>
  </si>
  <si>
    <t>COMUNA VINATORI</t>
  </si>
  <si>
    <t>COMUNA VIRLEZI</t>
  </si>
  <si>
    <t>COMUNA VLADESTI</t>
  </si>
  <si>
    <t>Judeţul TIMIS</t>
  </si>
  <si>
    <t>MUN. LUGOJ</t>
  </si>
  <si>
    <t>MUN. TIMISOARA</t>
  </si>
  <si>
    <t>BUZIAS</t>
  </si>
  <si>
    <t>CIACOVA</t>
  </si>
  <si>
    <t>DETA</t>
  </si>
  <si>
    <t>FAGET</t>
  </si>
  <si>
    <t>GATAIA</t>
  </si>
  <si>
    <t>JIMBOLIA</t>
  </si>
  <si>
    <t>RECAS</t>
  </si>
  <si>
    <t>SINICOLAUL MARE</t>
  </si>
  <si>
    <t>BALINT</t>
  </si>
  <si>
    <t>BANLOC</t>
  </si>
  <si>
    <t>BARA</t>
  </si>
  <si>
    <t>BEBA VECHE</t>
  </si>
  <si>
    <t>BECICHERECUL M</t>
  </si>
  <si>
    <t>BELINT</t>
  </si>
  <si>
    <t>BETHAUSEN</t>
  </si>
  <si>
    <t>BILED</t>
  </si>
  <si>
    <t>BIRDA</t>
  </si>
  <si>
    <t>BIRNA</t>
  </si>
  <si>
    <t>BOGDA</t>
  </si>
  <si>
    <t>BOLDUR</t>
  </si>
  <si>
    <t>BRESTOVAT</t>
  </si>
  <si>
    <t>BUCOVAT</t>
  </si>
  <si>
    <t>CARPINIS</t>
  </si>
  <si>
    <t>CENAD</t>
  </si>
  <si>
    <t>CENEI</t>
  </si>
  <si>
    <t>CHECEA</t>
  </si>
  <si>
    <t>CHEVERESUL M.</t>
  </si>
  <si>
    <t>COMLOSU MARE</t>
  </si>
  <si>
    <t>COSTEIU</t>
  </si>
  <si>
    <t>CRICIOVA</t>
  </si>
  <si>
    <t>CURTEA</t>
  </si>
  <si>
    <t>DAROVA</t>
  </si>
  <si>
    <t>DENTA</t>
  </si>
  <si>
    <t>DUDESTII NOI</t>
  </si>
  <si>
    <t>DUDESTII VECHI</t>
  </si>
  <si>
    <t>FIBIS</t>
  </si>
  <si>
    <t>FIRDEA</t>
  </si>
  <si>
    <t>FOENI</t>
  </si>
  <si>
    <t>GAVOJDIA</t>
  </si>
  <si>
    <t>GHILAD</t>
  </si>
  <si>
    <t>GHIRODA</t>
  </si>
  <si>
    <t>GHIZELA</t>
  </si>
  <si>
    <t>GIARMATA</t>
  </si>
  <si>
    <t>GIERA</t>
  </si>
  <si>
    <t>GIROC</t>
  </si>
  <si>
    <t>GIULVAZ</t>
  </si>
  <si>
    <t>GOTTLOB</t>
  </si>
  <si>
    <t>IECEA MARE</t>
  </si>
  <si>
    <t>JAMU MARE</t>
  </si>
  <si>
    <t>JEBEL</t>
  </si>
  <si>
    <t>LENAUHEIM</t>
  </si>
  <si>
    <t>LIEBLING</t>
  </si>
  <si>
    <t>LOVRIN</t>
  </si>
  <si>
    <t>MANASTUR</t>
  </si>
  <si>
    <t>MARGINA</t>
  </si>
  <si>
    <t>MASLOC</t>
  </si>
  <si>
    <t>MORAVITA</t>
  </si>
  <si>
    <t>MOSNITA NOUA</t>
  </si>
  <si>
    <t>NADRAG</t>
  </si>
  <si>
    <t>NITCHIDORF</t>
  </si>
  <si>
    <t>OHABA LUNGA</t>
  </si>
  <si>
    <t>ORTISOARA</t>
  </si>
  <si>
    <t>OTELEC</t>
  </si>
  <si>
    <t>PADURENI</t>
  </si>
  <si>
    <t>PARTA</t>
  </si>
  <si>
    <t>PECIU NOU</t>
  </si>
  <si>
    <t>PERIAM</t>
  </si>
  <si>
    <t>PESAC</t>
  </si>
  <si>
    <t>PIETROASA</t>
  </si>
  <si>
    <t>PISCHIA</t>
  </si>
  <si>
    <t>REMETEA MARE</t>
  </si>
  <si>
    <t>SACALAZ</t>
  </si>
  <si>
    <t>SACOSUL TURCESC</t>
  </si>
  <si>
    <t>SAG</t>
  </si>
  <si>
    <t>SANDRA</t>
  </si>
  <si>
    <t>SARAVALE</t>
  </si>
  <si>
    <t>SATCHINEZ</t>
  </si>
  <si>
    <t>SECAS</t>
  </si>
  <si>
    <t>SIMPETRU</t>
  </si>
  <si>
    <t>SINANDREI</t>
  </si>
  <si>
    <t>SINMIHAIUL ROMAN</t>
  </si>
  <si>
    <t>STIUCA</t>
  </si>
  <si>
    <t>TEREMIA MARE</t>
  </si>
  <si>
    <t>TOMESTI</t>
  </si>
  <si>
    <t>TOMNATIC</t>
  </si>
  <si>
    <t>TOPOLOVATUL M.</t>
  </si>
  <si>
    <t>TORMAC</t>
  </si>
  <si>
    <t>TRAIAN VUIA</t>
  </si>
  <si>
    <t>UIVAR</t>
  </si>
  <si>
    <t>V. VLAD DELAMARINA</t>
  </si>
  <si>
    <t>VALCANI</t>
  </si>
  <si>
    <t>VARIAS</t>
  </si>
  <si>
    <t>VOITEG</t>
  </si>
  <si>
    <t>Judeţul VALCEA</t>
  </si>
  <si>
    <t>Ramnicu Valcea</t>
  </si>
  <si>
    <t>Dragasani</t>
  </si>
  <si>
    <t>Babeni</t>
  </si>
  <si>
    <t>Balcesti</t>
  </si>
  <si>
    <t>Baile Govora</t>
  </si>
  <si>
    <t>Baile Olanesti</t>
  </si>
  <si>
    <t>Berbesti</t>
  </si>
  <si>
    <t>Brezoi</t>
  </si>
  <si>
    <t>Calimanesti</t>
  </si>
  <si>
    <t>Horezu</t>
  </si>
  <si>
    <t>Ocnele Mari</t>
  </si>
  <si>
    <t>Alunu</t>
  </si>
  <si>
    <t>Amarasti</t>
  </si>
  <si>
    <t>Barbatesti</t>
  </si>
  <si>
    <t>Berislavesti</t>
  </si>
  <si>
    <t>Boisoara</t>
  </si>
  <si>
    <t>Budesti</t>
  </si>
  <si>
    <t>Bujoreni</t>
  </si>
  <si>
    <t>Bunesti</t>
  </si>
  <si>
    <t>Cernisoara</t>
  </si>
  <si>
    <t>Ciineni</t>
  </si>
  <si>
    <t>Copaceni</t>
  </si>
  <si>
    <t>Costesti</t>
  </si>
  <si>
    <t>Creteni</t>
  </si>
  <si>
    <t>Daesti</t>
  </si>
  <si>
    <t>Danicei</t>
  </si>
  <si>
    <t>Diculesti</t>
  </si>
  <si>
    <t>Dragoesti</t>
  </si>
  <si>
    <t>Fauresti</t>
  </si>
  <si>
    <t>Fartatesti</t>
  </si>
  <si>
    <t>Francesti</t>
  </si>
  <si>
    <t>Galicea</t>
  </si>
  <si>
    <t>Ghioroiu</t>
  </si>
  <si>
    <t>Glavile</t>
  </si>
  <si>
    <t>Golesti</t>
  </si>
  <si>
    <t>Gradistea</t>
  </si>
  <si>
    <t>Gusoeni</t>
  </si>
  <si>
    <t>Ionesti</t>
  </si>
  <si>
    <t>Lalosu</t>
  </si>
  <si>
    <t>Ladesti</t>
  </si>
  <si>
    <t>Lapusata</t>
  </si>
  <si>
    <t>Lacusteni</t>
  </si>
  <si>
    <t>Livezi</t>
  </si>
  <si>
    <t>Lungesti</t>
  </si>
  <si>
    <t>Malaia</t>
  </si>
  <si>
    <t>Mateesti</t>
  </si>
  <si>
    <t>Maciuca</t>
  </si>
  <si>
    <t>Madulari</t>
  </si>
  <si>
    <t>Maldaresti</t>
  </si>
  <si>
    <t>Mihaesti</t>
  </si>
  <si>
    <t>Milcoiu</t>
  </si>
  <si>
    <t>Mitrofani</t>
  </si>
  <si>
    <t>Muereasca</t>
  </si>
  <si>
    <t>Nicolae Balcescu</t>
  </si>
  <si>
    <t>Olanu</t>
  </si>
  <si>
    <t>Orlesti</t>
  </si>
  <si>
    <t>Otesani</t>
  </si>
  <si>
    <t>Pausesti</t>
  </si>
  <si>
    <t>Pausesti Maglasi</t>
  </si>
  <si>
    <t>Perisani</t>
  </si>
  <si>
    <t>Pesceana</t>
  </si>
  <si>
    <t>Pietrari</t>
  </si>
  <si>
    <t>Popesti</t>
  </si>
  <si>
    <t>Prundeni</t>
  </si>
  <si>
    <t>Racovita</t>
  </si>
  <si>
    <t>Roesti</t>
  </si>
  <si>
    <t>Rosiile</t>
  </si>
  <si>
    <t>Runcu</t>
  </si>
  <si>
    <t>Salatrucel</t>
  </si>
  <si>
    <t>Scundu</t>
  </si>
  <si>
    <t>Sinesti</t>
  </si>
  <si>
    <t>Slatioara</t>
  </si>
  <si>
    <t>Stanesti</t>
  </si>
  <si>
    <t>Stoenesti</t>
  </si>
  <si>
    <t>Stoilesti</t>
  </si>
  <si>
    <t>Stroesti</t>
  </si>
  <si>
    <t>Sutesti</t>
  </si>
  <si>
    <t>Sirineasa</t>
  </si>
  <si>
    <t>Stefanesti</t>
  </si>
  <si>
    <t>Susani</t>
  </si>
  <si>
    <t>Tetoiu</t>
  </si>
  <si>
    <t>Titesti</t>
  </si>
  <si>
    <t>Tomsani</t>
  </si>
  <si>
    <t>Vaideeni</t>
  </si>
  <si>
    <t>Valea Mare</t>
  </si>
  <si>
    <t>Vladesti</t>
  </si>
  <si>
    <t>Voicesti</t>
  </si>
  <si>
    <t>Voineasa</t>
  </si>
  <si>
    <t>Zatreni</t>
  </si>
  <si>
    <t>TOTAL TARA</t>
  </si>
  <si>
    <t>Sume primite de la Ue/alti donatori in contul platilor efectuate si prefinantari</t>
  </si>
  <si>
    <t>Servicii şi dezvoltare publică, locuinţe</t>
  </si>
  <si>
    <t>45.02</t>
  </si>
  <si>
    <t>70.02</t>
  </si>
  <si>
    <t>Alba</t>
  </si>
  <si>
    <t>Arad</t>
  </si>
  <si>
    <t>Argeş</t>
  </si>
  <si>
    <t>Bacău</t>
  </si>
  <si>
    <t>Bihor</t>
  </si>
  <si>
    <t>Bistriţa - Năsăud</t>
  </si>
  <si>
    <t>Botoşani</t>
  </si>
  <si>
    <t>Braşov</t>
  </si>
  <si>
    <t>Brăila</t>
  </si>
  <si>
    <t>Buzău</t>
  </si>
  <si>
    <t>Caraş - Severin</t>
  </si>
  <si>
    <t>Călăraşi</t>
  </si>
  <si>
    <t>Cluj</t>
  </si>
  <si>
    <t>Constanţa</t>
  </si>
  <si>
    <t>Covasna</t>
  </si>
  <si>
    <t>Dâmboviţa</t>
  </si>
  <si>
    <t>Dolj</t>
  </si>
  <si>
    <t>Galaţi</t>
  </si>
  <si>
    <t>Giurgiu</t>
  </si>
  <si>
    <t>Gorj</t>
  </si>
  <si>
    <t>Harghita</t>
  </si>
  <si>
    <t>Hunedoara</t>
  </si>
  <si>
    <t>Ialomiţa</t>
  </si>
  <si>
    <t>Iaşi</t>
  </si>
  <si>
    <t>Ilfov</t>
  </si>
  <si>
    <t>Maramureş</t>
  </si>
  <si>
    <t>Mehedinţi</t>
  </si>
  <si>
    <t>Mureş</t>
  </si>
  <si>
    <t>Neamţ</t>
  </si>
  <si>
    <t>Olt</t>
  </si>
  <si>
    <t>Prahova</t>
  </si>
  <si>
    <t>Satu Mare</t>
  </si>
  <si>
    <t>Sălaj</t>
  </si>
  <si>
    <t>Sibiu</t>
  </si>
  <si>
    <t>Suceava</t>
  </si>
  <si>
    <t>Teleorman</t>
  </si>
  <si>
    <t>Timiş</t>
  </si>
  <si>
    <t>Tulcea</t>
  </si>
  <si>
    <t>Vaslui</t>
  </si>
  <si>
    <t>Vâlcea</t>
  </si>
  <si>
    <t>Vrancea</t>
  </si>
  <si>
    <t>Mun. Bucureşti</t>
  </si>
  <si>
    <t>Perioada: 2015</t>
  </si>
  <si>
    <t>TOTAL CONSILII JUDETENE</t>
  </si>
  <si>
    <t>TOTAL MUNICIPII</t>
  </si>
  <si>
    <t>TOTAL ORASE</t>
  </si>
  <si>
    <t>TOTAL COMUNE</t>
  </si>
  <si>
    <t>Judeţul ARAD</t>
  </si>
  <si>
    <t>Judeţul ARGES</t>
  </si>
  <si>
    <t>Judeţul BACAU</t>
  </si>
  <si>
    <t>Judeţul BIHOR</t>
  </si>
  <si>
    <t>Judeţul BISTRITA-NASAUD</t>
  </si>
  <si>
    <t>Judeţul BOTOSANI</t>
  </si>
  <si>
    <t>Judeţul BRAILA</t>
  </si>
  <si>
    <t>Judeţul BUZAU</t>
  </si>
  <si>
    <t>Judeţul CALARASI</t>
  </si>
  <si>
    <t>Judeţul CLUJ</t>
  </si>
  <si>
    <t>Judeţul CONSTANTA</t>
  </si>
  <si>
    <t>Judeţul COVASNA</t>
  </si>
  <si>
    <t>Judeţul DAMBOVITA</t>
  </si>
  <si>
    <t>Judeţul DOLJ</t>
  </si>
  <si>
    <t>Judeţul GIURGIU</t>
  </si>
  <si>
    <t>Judeţul GORJ</t>
  </si>
  <si>
    <t>Judeţul HARGHITA</t>
  </si>
  <si>
    <t>Judeţul HUNEDOARA</t>
  </si>
  <si>
    <t>Judeţul IALOMITA</t>
  </si>
  <si>
    <t>Judeţul IASI</t>
  </si>
  <si>
    <t>Judeţul ILFOV</t>
  </si>
  <si>
    <t>Judetul MARAMURES</t>
  </si>
  <si>
    <t>Judeţul MURES</t>
  </si>
  <si>
    <t>Judeţul NEAMT</t>
  </si>
  <si>
    <t>Judeţul OLT</t>
  </si>
  <si>
    <t>Judeţul PRAHOVA</t>
  </si>
  <si>
    <t>Judeţul SATU-MARE</t>
  </si>
  <si>
    <t>Judeţul TELEORMAN</t>
  </si>
  <si>
    <t>Judeţul TULCEA</t>
  </si>
  <si>
    <t>Judeţul VASLUI</t>
  </si>
  <si>
    <t>Judeţul VRANCEA</t>
  </si>
  <si>
    <t>MUNICIPIUL BUCURESTI</t>
  </si>
  <si>
    <t>ALBA  IULIA</t>
  </si>
  <si>
    <t>AIUD</t>
  </si>
  <si>
    <t>BLAJ</t>
  </si>
  <si>
    <t>SEBES</t>
  </si>
  <si>
    <t>ABRUD</t>
  </si>
  <si>
    <t>BAIA  DE  ARIES</t>
  </si>
  <si>
    <t>CIMPENI</t>
  </si>
  <si>
    <t>CUGIR</t>
  </si>
  <si>
    <t>OCNA  MURES</t>
  </si>
  <si>
    <t>TEIUS</t>
  </si>
  <si>
    <t>ZLATNA</t>
  </si>
  <si>
    <t>ALBAC</t>
  </si>
  <si>
    <t>ALMASU MARE</t>
  </si>
  <si>
    <t>ARIESENI</t>
  </si>
  <si>
    <t>AVRAM  IANCU</t>
  </si>
  <si>
    <t>BERGHIN</t>
  </si>
  <si>
    <t>BISTRA</t>
  </si>
  <si>
    <t>BLANDIANA</t>
  </si>
  <si>
    <t>BUCERDEA GRANOASA</t>
  </si>
  <si>
    <t>BUCIUM</t>
  </si>
  <si>
    <t>CENADE</t>
  </si>
  <si>
    <t>CERGAU</t>
  </si>
  <si>
    <t>CERU BACAINTI</t>
  </si>
  <si>
    <t>CETATEA  DE  BALTA</t>
  </si>
  <si>
    <t>CIUGUD</t>
  </si>
  <si>
    <t>CIURULEASA</t>
  </si>
  <si>
    <t>CILNIC</t>
  </si>
  <si>
    <t>CRICAU</t>
  </si>
  <si>
    <t>CRACIUNELUL DE JOS</t>
  </si>
  <si>
    <t>CUT</t>
  </si>
  <si>
    <t>DAIA  ROMANA</t>
  </si>
  <si>
    <t>DOSTAT</t>
  </si>
  <si>
    <t>FARAU</t>
  </si>
  <si>
    <t>GALDA DE JOS</t>
  </si>
  <si>
    <t>GIRBOVA</t>
  </si>
  <si>
    <t>GIRDA DE SUS</t>
  </si>
  <si>
    <t>HOPIRTA</t>
  </si>
  <si>
    <t>HOREA</t>
  </si>
  <si>
    <t>IGHIU</t>
  </si>
  <si>
    <t>INTREGALDE</t>
  </si>
  <si>
    <t>JIDVEI</t>
  </si>
  <si>
    <t>LOPADEA NOUA</t>
  </si>
  <si>
    <t>LUNCA  MURES</t>
  </si>
  <si>
    <t>LUPSA</t>
  </si>
  <si>
    <t>METES</t>
  </si>
  <si>
    <t>MIHALT</t>
  </si>
  <si>
    <t>MIRASLAU</t>
  </si>
  <si>
    <t>MOGOS</t>
  </si>
  <si>
    <t>NOSLAC</t>
  </si>
  <si>
    <t>OCOLIS</t>
  </si>
  <si>
    <t>OHABA</t>
  </si>
  <si>
    <t>PIANU</t>
  </si>
  <si>
    <t>POIANA  VADULUI</t>
  </si>
  <si>
    <t>PONOR</t>
  </si>
  <si>
    <t>POSAGA</t>
  </si>
  <si>
    <t>RADESTI</t>
  </si>
  <si>
    <t>RIMETEA</t>
  </si>
  <si>
    <t>RIMET</t>
  </si>
  <si>
    <t>ROSIA MONTANA</t>
  </si>
  <si>
    <t>ROSIA DE SECAS</t>
  </si>
  <si>
    <t>SALCIUA</t>
  </si>
  <si>
    <t>SALISTEA</t>
  </si>
  <si>
    <t>SASCIORI</t>
  </si>
  <si>
    <t>SCARISOARA</t>
  </si>
  <si>
    <t>SINCEL</t>
  </si>
  <si>
    <t>SINTIMBRU</t>
  </si>
  <si>
    <t>SOHODOL</t>
  </si>
  <si>
    <t>STREMT</t>
  </si>
  <si>
    <t>SIBOT</t>
  </si>
  <si>
    <t>SONA</t>
  </si>
  <si>
    <t>SPRING</t>
  </si>
  <si>
    <t>SUGAG</t>
  </si>
  <si>
    <t>UNIREA</t>
  </si>
  <si>
    <t>VADU MOTILOR</t>
  </si>
  <si>
    <t>VALEA  LUNGA</t>
  </si>
  <si>
    <t>VIDRA</t>
  </si>
  <si>
    <t>VINTU DE JOS</t>
  </si>
  <si>
    <t>MUNICIPIUL  BACAU</t>
  </si>
  <si>
    <t>MUNICIPIUL  ONESTI</t>
  </si>
  <si>
    <t>MUNICIPIUL  MOINESTI</t>
  </si>
  <si>
    <t>ORASUL  BUHUSI</t>
  </si>
  <si>
    <t>ORASUL COMANESTI</t>
  </si>
  <si>
    <t>ORASUL  DARMANESTI</t>
  </si>
  <si>
    <t>ORASUL  SLANIC  MOLDOVA</t>
  </si>
  <si>
    <t>ORASUL  TG. OCNA</t>
  </si>
  <si>
    <t>COMUNA  AGAS</t>
  </si>
  <si>
    <t>COMUNA  ARDEOANI</t>
  </si>
  <si>
    <t>COMUNA  ASAU</t>
  </si>
  <si>
    <t>COMUNA  BALCANI</t>
  </si>
  <si>
    <t>COMUNA  BERESTI-BISTRITA</t>
  </si>
  <si>
    <t>COMUNA  BERESTI-TAZLAU</t>
  </si>
  <si>
    <t>COMUNA  BERZUNTI</t>
  </si>
  <si>
    <t>COMUNA  BARSANESTI</t>
  </si>
  <si>
    <t>U. A. T.  BLAGESTI</t>
  </si>
  <si>
    <t>COMUNA  BOGDANESTI</t>
  </si>
  <si>
    <t>COMUNA  BRUSTUROASA</t>
  </si>
  <si>
    <t>COMUNA  BUHOCI</t>
  </si>
  <si>
    <t>COMUNA  CASIN</t>
  </si>
  <si>
    <t>U. A.T. COMUNA  CAIUTI</t>
  </si>
  <si>
    <t>COMUNA  CLEJA</t>
  </si>
  <si>
    <t>COMUNA  COLONESTI</t>
  </si>
  <si>
    <t>COMUNA  CORBASCA</t>
  </si>
  <si>
    <t>COMUNA  COTOFANESTI</t>
  </si>
  <si>
    <t>COMUNA  DAMIENESTI</t>
  </si>
  <si>
    <t>COMUNA  DEALU MORII</t>
  </si>
  <si>
    <t>COMUNA   DOFTEANA</t>
  </si>
  <si>
    <t>COMUNA  FARAOANI</t>
  </si>
  <si>
    <t>COMUNA  FILIPENI</t>
  </si>
  <si>
    <t>COMUNA  FILIPESTI</t>
  </si>
  <si>
    <t>COMUNA  GAICEANA</t>
  </si>
  <si>
    <t>COMUNA  GHIMES-FAGET</t>
  </si>
  <si>
    <t>COMUNA  GARLENI</t>
  </si>
  <si>
    <t>COMUNA  GLAVANESTI</t>
  </si>
  <si>
    <t>U. A. T. COMUNA  GURA VAII</t>
  </si>
  <si>
    <t>COMUNA  HELEGIU</t>
  </si>
  <si>
    <t>COMUNA  HEMEIUSI</t>
  </si>
  <si>
    <t>COMUNA  HORGESTI</t>
  </si>
  <si>
    <t>COMUNA  HURUIESTI</t>
  </si>
  <si>
    <t>COMUNA  IZVORUL BERHECIULUI</t>
  </si>
  <si>
    <t>COMUNA  LETEA VECHE</t>
  </si>
  <si>
    <t>COMUNA  LIPOVA</t>
  </si>
  <si>
    <t>COMUNA  LIVEZI</t>
  </si>
  <si>
    <t>COMUNA  LUIZI CALUGARA</t>
  </si>
  <si>
    <t>COMUNA  MAGIRESTI</t>
  </si>
  <si>
    <t>COMUNA  MAGURA</t>
  </si>
  <si>
    <t>COMUNA  MARGINENI</t>
  </si>
  <si>
    <t>COMUNA  MANASTIREA CASIN</t>
  </si>
  <si>
    <t>COMUNA  MOTOSENI</t>
  </si>
  <si>
    <t>COMUNA  NEGRI</t>
  </si>
  <si>
    <t>COMUNA  NICOLAE BALCESCU</t>
  </si>
  <si>
    <t>COMUNA  OITUZ</t>
  </si>
  <si>
    <t>COMUNA  ONCESTI</t>
  </si>
  <si>
    <t>COMUNA  ORBENI</t>
  </si>
  <si>
    <t>COMUNA  PALANCA</t>
  </si>
  <si>
    <t>COMUNA  PARAVA</t>
  </si>
  <si>
    <t>U. A.T. A COMUNEI  PARINCEA</t>
  </si>
  <si>
    <t>COMUNA  PANCESTI</t>
  </si>
  <si>
    <t>COMUNA  PARGARESTI</t>
  </si>
  <si>
    <t>COMUNA  PARJOL</t>
  </si>
  <si>
    <t>COMUNA  PLOPANA</t>
  </si>
  <si>
    <t>COMUNA  PODU TUCULUI</t>
  </si>
  <si>
    <t>COMUNA  PODURI</t>
  </si>
  <si>
    <t>COMUNA  RACOVA</t>
  </si>
  <si>
    <t>COMUNA  RACACIUNI</t>
  </si>
  <si>
    <t>COMUNA  ROSIORI</t>
  </si>
  <si>
    <t>COMUNA  RACHITOASA</t>
  </si>
  <si>
    <t>COMUNA  SASCUT</t>
  </si>
  <si>
    <t>COMUNA  SANDULENI</t>
  </si>
  <si>
    <t>COMUNA  SAUCESTI</t>
  </si>
  <si>
    <t>COMUNA  SCORTENI</t>
  </si>
  <si>
    <t>COMUNA  SECUIENI</t>
  </si>
  <si>
    <t>COMUNA  SOLONT</t>
  </si>
  <si>
    <t>CONSILIUL LOCAL  STANISESTI</t>
  </si>
  <si>
    <t>COMUNA  STEFAN CEL MARE</t>
  </si>
  <si>
    <t>COMUNA  STRUGARI</t>
  </si>
  <si>
    <t>COMUNA  TAMASI</t>
  </si>
  <si>
    <t>COMUNA  TATARASTI</t>
  </si>
  <si>
    <t>COMUNA  TIRGU TROTUS</t>
  </si>
  <si>
    <t>COMUNA  TRAIAN</t>
  </si>
  <si>
    <t>COMUNA  UNGURENI</t>
  </si>
  <si>
    <t>U. A. T.  URECHESTI</t>
  </si>
  <si>
    <t>COMUNA  VALEA SEACA</t>
  </si>
  <si>
    <t>COMUNA  VULTURENI</t>
  </si>
  <si>
    <t>COMUNA  ZEMES</t>
  </si>
  <si>
    <t>COMUNA  SARATA</t>
  </si>
  <si>
    <t>COMUNA  BUCIUM</t>
  </si>
  <si>
    <t>COMUNA  GIOSENI</t>
  </si>
  <si>
    <t>COMUNA  ODOBESTI</t>
  </si>
  <si>
    <t>COMUNA  PRAJESTI</t>
  </si>
  <si>
    <t>COMUNA  ITESTI</t>
  </si>
  <si>
    <t>CONSILIUL LOCAL AL MUNICIPIULUI BOTOSANI</t>
  </si>
  <si>
    <t>CONSILIUL LOCAL AL MUNICIPIULUI DOROHOI</t>
  </si>
  <si>
    <t>CONSILIUL LOCAL BUCECEA</t>
  </si>
  <si>
    <t>CONSILIUL LOCAL DARABANI</t>
  </si>
  <si>
    <t>CONSILIUL LOCAL FLAMANZI</t>
  </si>
  <si>
    <t>CONSILIUL LOCAL SAVENI</t>
  </si>
  <si>
    <t>CONSILIUL LOCAL STEFANESTI</t>
  </si>
  <si>
    <t>CONSILIUL LOCAL ADASENI</t>
  </si>
  <si>
    <t>CONSILIUL LOCAL ALBESTI</t>
  </si>
  <si>
    <t>CONSILIUL LOCAL AVRAMENI</t>
  </si>
  <si>
    <t>CONSILIUL LOCAL BALUSENI</t>
  </si>
  <si>
    <t>CONSILIUL LOCAL BLANDESTI</t>
  </si>
  <si>
    <t>CONSILIUL LOCAL BRAESTI</t>
  </si>
  <si>
    <t>CONSILIUL LOCAL BROSCAUTI</t>
  </si>
  <si>
    <t>CONSILIUL LOCAL CALARASI</t>
  </si>
  <si>
    <t>CONSILIUL LOCAL CANDESTI</t>
  </si>
  <si>
    <t>CONSILIUL LOCAL CONCESTI</t>
  </si>
  <si>
    <t>CONSILIUL LOCAL COPALAU</t>
  </si>
  <si>
    <t>CONSILIUL LOCAL CORDARENI</t>
  </si>
  <si>
    <t>CONSILIUL LOCAL CORLATENI</t>
  </si>
  <si>
    <t>CONSILIUL LOCAL CORNI</t>
  </si>
  <si>
    <t>CONSILIUL LOCAL COSULA</t>
  </si>
  <si>
    <t>CONSILIUL LOCAL COTUSCA</t>
  </si>
  <si>
    <t>CONSILIUL LOCAL CRISTESTI</t>
  </si>
  <si>
    <t>CONSILIUL LOCAL CRISTINESTI</t>
  </si>
  <si>
    <t>CONSILIUL LOCAL CURTESTI</t>
  </si>
  <si>
    <t>CONSILIUL LOCAL DANGENI</t>
  </si>
  <si>
    <t>CONSILIUL LOCAL DERSCA</t>
  </si>
  <si>
    <t>CONSILIUL LOCAL DIMACHENI</t>
  </si>
  <si>
    <t>CONSILIUL LOCAL DOBARCENI</t>
  </si>
  <si>
    <t>CONSILIUL LOCAL DRAGUSENI</t>
  </si>
  <si>
    <t>CONSILIUL LOCAL DURNESTI</t>
  </si>
  <si>
    <t>CONSILIUL LOCAL FRUMUSICA</t>
  </si>
  <si>
    <t>CONSILIUL LOCAL GEORGE ENESCU</t>
  </si>
  <si>
    <t>CONSILIUL LOCAL GORBANESTI</t>
  </si>
  <si>
    <t>CONSILIUL LOCAL HANESTI</t>
  </si>
  <si>
    <t>CONSILIUL LOCAL HAVARNA</t>
  </si>
  <si>
    <t>CONSILIUL LOCAL HILISEU HORIA</t>
  </si>
  <si>
    <t>CONSILIUL LOCAL HLIPICENI</t>
  </si>
  <si>
    <t>CONSILIUL LOCAL HUDESTI</t>
  </si>
  <si>
    <t>CONSILIUL LOCAL IBANESTI</t>
  </si>
  <si>
    <t>CONSILIUL LOCAL LEORDA</t>
  </si>
  <si>
    <t>CONSILIUL LOCAL LOZNA</t>
  </si>
  <si>
    <t>CONSILIUL LOCAL LUNCA</t>
  </si>
  <si>
    <t>CONSILIUL LOCAL MANOLEASA</t>
  </si>
  <si>
    <t>CONSILIUL LOCAL MIHAI EMINESCU</t>
  </si>
  <si>
    <t>CONSILIUL LOCAL MIHAILENI</t>
  </si>
  <si>
    <t>CONSILIUL LOCAL MIHALASENI</t>
  </si>
  <si>
    <t>CONSILIUL LOCAL MILEANCA</t>
  </si>
  <si>
    <t>CONSILIUL LOCAL MITOC</t>
  </si>
  <si>
    <t>CONSILIUL LOCAL NICSENI</t>
  </si>
  <si>
    <t>CONSILIUL LOCAL PALTINIS</t>
  </si>
  <si>
    <t>CONSILIUL LOCAL POMARLA</t>
  </si>
  <si>
    <t>CONSILIUL LOCAL PRAJENI</t>
  </si>
  <si>
    <t>CONSILIUL LOCAL RACHITI</t>
  </si>
  <si>
    <t>CONSILIUL LOCAL RADAUTI PRUT</t>
  </si>
  <si>
    <t>CONSILIUL LOCAL RAUSENI</t>
  </si>
  <si>
    <t>CONSILIUL LOCAL RIPICENI</t>
  </si>
  <si>
    <t>CONSILIUL LOCAL ROMA</t>
  </si>
  <si>
    <t>CONSILIUL LOCAL ROMANESTI</t>
  </si>
  <si>
    <t>CONSILIUL LOCAL SANTA MARE</t>
  </si>
  <si>
    <t>CONSILIUL LOCAL SENDRICENI</t>
  </si>
  <si>
    <t>CONSILIUL LOCAL STAUCENI</t>
  </si>
  <si>
    <t>CONSILIUL LOCAL STIUBIENI</t>
  </si>
  <si>
    <t>CONSILIUL LOCAL SUHARAU</t>
  </si>
  <si>
    <t>CONSILIUL LOCAL SULITA</t>
  </si>
  <si>
    <t>CONSILIUL LOCAL TODIRENI</t>
  </si>
  <si>
    <t>CONSILIUL LOCAL TRUSESTI</t>
  </si>
  <si>
    <t>CONSILIUL LOCAL TUDORA</t>
  </si>
  <si>
    <t>CONSILIUL LOCAL UNGURENI</t>
  </si>
  <si>
    <t>CONSILIUL LOCAL UNTENI</t>
  </si>
  <si>
    <t>CONSILIUL LOCAL VACULESTI</t>
  </si>
  <si>
    <t>CONSILIUL LOCAL VARFU CAMPULUI</t>
  </si>
  <si>
    <t>CONSILIUL LOCAL VIISOARA</t>
  </si>
  <si>
    <t>CONSILIUL LOCAL VLADENI</t>
  </si>
  <si>
    <t>CONSILIUL LOCAL VLASINESTI</t>
  </si>
  <si>
    <t>CONSILIUL LOCAL VORNICENI</t>
  </si>
  <si>
    <t>CONSILIUL LOCAL VORONA</t>
  </si>
  <si>
    <t>MUN. CLUJ-NAPOCA</t>
  </si>
  <si>
    <t>MUN. TURDA</t>
  </si>
  <si>
    <t>MUN. DEJ</t>
  </si>
  <si>
    <t>MUN. CAMPIA-TURZII</t>
  </si>
  <si>
    <t>MUN. GHERLA</t>
  </si>
  <si>
    <t>ORS. HUEDIN</t>
  </si>
  <si>
    <t>COMUNA AGHIRESU</t>
  </si>
  <si>
    <t>COMUNA AITON</t>
  </si>
  <si>
    <t>COMUNA ALUNIS</t>
  </si>
  <si>
    <t>COMUNA APAHIDA</t>
  </si>
  <si>
    <t>COMUNA ASCHILEU</t>
  </si>
  <si>
    <t>COMUNA BACIU</t>
  </si>
  <si>
    <t>COMUNA BAISOARA</t>
  </si>
  <si>
    <t>COMUNA BELIS</t>
  </si>
  <si>
    <t>COMUNA BOBILNA</t>
  </si>
  <si>
    <t>COMUNA BONTIDA</t>
  </si>
  <si>
    <t>COMUNA BORSA</t>
  </si>
  <si>
    <t>COMUNA BUZA</t>
  </si>
  <si>
    <t>COMUNA CAIANU</t>
  </si>
  <si>
    <t>COMUNA CALARASI</t>
  </si>
  <si>
    <t>COMUNA CALATELE</t>
  </si>
  <si>
    <t>COMUNA CAMARASU</t>
  </si>
  <si>
    <t>COMUNA CAPUSU MARE</t>
  </si>
  <si>
    <t>COMUNA CASEIU</t>
  </si>
  <si>
    <t>COMUNA CATINA</t>
  </si>
  <si>
    <t>COMUNA CEANU MARE</t>
  </si>
  <si>
    <t>COMUNA CHINTENI</t>
  </si>
  <si>
    <t>COMUNA CHIUIESTI</t>
  </si>
  <si>
    <t>COMUNA CITCAU</t>
  </si>
  <si>
    <t>COMUNA CIUCEA</t>
  </si>
  <si>
    <t>COMUNA CIURILA</t>
  </si>
  <si>
    <t>COMUNA COJOCNA</t>
  </si>
  <si>
    <t>COMUNA CORNESTI</t>
  </si>
  <si>
    <t>COMUNA CUZDRIOARA</t>
  </si>
  <si>
    <t>COMUNA DABICA</t>
  </si>
  <si>
    <t>COMUNA FELEACU</t>
  </si>
  <si>
    <t>COMUNA FIZESU GHERLII</t>
  </si>
  <si>
    <t>COMUNA FLORESTI</t>
  </si>
  <si>
    <t>COMUNA FRATA</t>
  </si>
  <si>
    <t>COMUNA GEACA</t>
  </si>
  <si>
    <t>COMUNA GILAU</t>
  </si>
  <si>
    <t>COMUNA GIRBAU</t>
  </si>
  <si>
    <t>COMUNA IARA</t>
  </si>
  <si>
    <t>COMUNA ICLOD</t>
  </si>
  <si>
    <t>COMUNA IZVORU CRISULUI</t>
  </si>
  <si>
    <t>COMUNA JICHISU DE JOS</t>
  </si>
  <si>
    <t>COMUNA JUCU</t>
  </si>
  <si>
    <t>COMUNA LUNA</t>
  </si>
  <si>
    <t>COMUNA MAGURI-RACATAU</t>
  </si>
  <si>
    <t>COMUNA MANASTIRENI</t>
  </si>
  <si>
    <t>COMUNA MARGAU</t>
  </si>
  <si>
    <t>COMUNA MARISEL</t>
  </si>
  <si>
    <t>COMUNA MICA</t>
  </si>
  <si>
    <t>COMUNA MIHAI VITEAZU</t>
  </si>
  <si>
    <t>COMUNA MINTIU GHERLII</t>
  </si>
  <si>
    <t>COMUNA MOCIU</t>
  </si>
  <si>
    <t>COMUNA MOLDOVENESTI</t>
  </si>
  <si>
    <t>COMUNA PALATCA</t>
  </si>
  <si>
    <t>COMUNA PANTICEU</t>
  </si>
  <si>
    <t>COMUNA PETRESTII DE JOS</t>
  </si>
  <si>
    <t>COMUNA PLOSCOS</t>
  </si>
  <si>
    <t>COMUNA POIENI</t>
  </si>
  <si>
    <t>COMUNA RECEA-CRISTUR</t>
  </si>
  <si>
    <t>COMUNA SACUIEU</t>
  </si>
  <si>
    <t>COMUNA SANDULESTI</t>
  </si>
  <si>
    <t>COMUNA SAVADISLA</t>
  </si>
  <si>
    <t>COMUNA SIC</t>
  </si>
  <si>
    <t>COMUNA SINCRAIU</t>
  </si>
  <si>
    <t>COMUNA SINMARTIN</t>
  </si>
  <si>
    <t>COMUNA SINPAUL</t>
  </si>
  <si>
    <t>COMUNA SUATU</t>
  </si>
  <si>
    <t>COMUNA TAGA</t>
  </si>
  <si>
    <t>COMUNA TRITENII DE JOS</t>
  </si>
  <si>
    <t>COMUNA TURENI</t>
  </si>
  <si>
    <t>COMUNA UNGURAS</t>
  </si>
  <si>
    <t>COMUNA VAD</t>
  </si>
  <si>
    <t>COMUNA VALEA IERII</t>
  </si>
  <si>
    <t>COMUNA VIISOARA</t>
  </si>
  <si>
    <t>COMUNA VULTURENI</t>
  </si>
  <si>
    <t>COMUNA NEGRENI</t>
  </si>
  <si>
    <t>SF.GHEORGHE</t>
  </si>
  <si>
    <t>TG.SECUIESC</t>
  </si>
  <si>
    <t>COVASNA</t>
  </si>
  <si>
    <t>BARAOLT</t>
  </si>
  <si>
    <t>INT.BUZAULUI</t>
  </si>
  <si>
    <t>AITA MARE</t>
  </si>
  <si>
    <t>BATANI</t>
  </si>
  <si>
    <t>BELIN</t>
  </si>
  <si>
    <t>BODOC</t>
  </si>
  <si>
    <t>BOROSNEU</t>
  </si>
  <si>
    <t>BRATES</t>
  </si>
  <si>
    <t>BRADUT</t>
  </si>
  <si>
    <t>BRETCU</t>
  </si>
  <si>
    <t>CATALINA</t>
  </si>
  <si>
    <t>CERNAT</t>
  </si>
  <si>
    <t>CHICHIS</t>
  </si>
  <si>
    <t>DOBARLAU</t>
  </si>
  <si>
    <t>GHELINTA</t>
  </si>
  <si>
    <t>GHIDFALAU</t>
  </si>
  <si>
    <t>HAGHIG</t>
  </si>
  <si>
    <t>ILIENI</t>
  </si>
  <si>
    <t>LEMNIA</t>
  </si>
  <si>
    <t>MALNAS</t>
  </si>
  <si>
    <t>MOACSA</t>
  </si>
  <si>
    <t>OJDULA</t>
  </si>
  <si>
    <t>OZUN</t>
  </si>
  <si>
    <t>POIAN</t>
  </si>
  <si>
    <t>RECI</t>
  </si>
  <si>
    <t>SANZIENI</t>
  </si>
  <si>
    <t>TURIA</t>
  </si>
  <si>
    <t>VALEA CRISULUI</t>
  </si>
  <si>
    <t>VALCELE</t>
  </si>
  <si>
    <t>VARGHIS</t>
  </si>
  <si>
    <t>ZAGON</t>
  </si>
  <si>
    <t>ZABALA</t>
  </si>
  <si>
    <t>COMANDAU</t>
  </si>
  <si>
    <t>BARCANI</t>
  </si>
  <si>
    <t>SITA BUZAULUI</t>
  </si>
  <si>
    <t>VALEA MARE</t>
  </si>
  <si>
    <t>MERENI</t>
  </si>
  <si>
    <t>ARCUS</t>
  </si>
  <si>
    <t>DALNIC</t>
  </si>
  <si>
    <t>MICFALAU</t>
  </si>
  <si>
    <t>ESTELNIC</t>
  </si>
  <si>
    <t>COMUNA ADUNATII COPACENI</t>
  </si>
  <si>
    <t>COMUNA BOLINTIN DEAL</t>
  </si>
  <si>
    <t>COMUNA BUCSANI</t>
  </si>
  <si>
    <t>COMUNA BULBUCATA</t>
  </si>
  <si>
    <t>COMUNA BUTURUGENI</t>
  </si>
  <si>
    <t>COMUNA CALUGARENI</t>
  </si>
  <si>
    <t>COMUNA CLEJANI</t>
  </si>
  <si>
    <t>COMUNA COLIBASI</t>
  </si>
  <si>
    <t>COMUNA COMANA</t>
  </si>
  <si>
    <t>COMUNA CREVEDIA MARE</t>
  </si>
  <si>
    <t>COMUNA DAIA</t>
  </si>
  <si>
    <t>COMUNA FLORESTI STOENESTI</t>
  </si>
  <si>
    <t>COMUNA FRATESTI</t>
  </si>
  <si>
    <t>COMUNA GAISENI</t>
  </si>
  <si>
    <t>COMUNA GAUJANI</t>
  </si>
  <si>
    <t>COMUNA GHIMPATI</t>
  </si>
  <si>
    <t>COMUNA GOGOSARI</t>
  </si>
  <si>
    <t>COMUNA GOSTINARI</t>
  </si>
  <si>
    <t>COMUNA GOSTINU</t>
  </si>
  <si>
    <t>COMUNA GRADINARI</t>
  </si>
  <si>
    <t>COMUNA GREACA</t>
  </si>
  <si>
    <t>COMUNA HOTARELE</t>
  </si>
  <si>
    <t>COMUNA IEPURESTI</t>
  </si>
  <si>
    <t>COMUNA IZVOARELE</t>
  </si>
  <si>
    <t>COMUNA JOITA</t>
  </si>
  <si>
    <t>COMUNA LETCA NOUA</t>
  </si>
  <si>
    <t>COMUNA MIHAI BRAVU</t>
  </si>
  <si>
    <t>COMUNA MARSA</t>
  </si>
  <si>
    <t>COMUNA OGREZENI</t>
  </si>
  <si>
    <t>COMUNA OINACU</t>
  </si>
  <si>
    <t>COMUNA PRUNDU</t>
  </si>
  <si>
    <t>COMUNA PUTINEIU</t>
  </si>
  <si>
    <t>COMUNA RASUCENI</t>
  </si>
  <si>
    <t>COMUNA ROATA DE JOS</t>
  </si>
  <si>
    <t>COMUNA SCHITU</t>
  </si>
  <si>
    <t>COMUNA SINGURENI</t>
  </si>
  <si>
    <t>COMUNA SLOBOZIA</t>
  </si>
  <si>
    <t>COMUNA STANESTI</t>
  </si>
  <si>
    <t>COMUNA STOENESTI</t>
  </si>
  <si>
    <t>COMUNA TOPORU</t>
  </si>
  <si>
    <t>COMUNA ULMI</t>
  </si>
  <si>
    <t>COMUNA VALEA DRAGULUI</t>
  </si>
  <si>
    <t>COMUNA VARASTI</t>
  </si>
  <si>
    <t>PRIMARIA VEDEA</t>
  </si>
  <si>
    <t>COMUNA VANATORII MICI</t>
  </si>
  <si>
    <t>COMUNA MALU</t>
  </si>
  <si>
    <t>COMUNA COSOBA</t>
  </si>
  <si>
    <t>COMUNA HERESTI</t>
  </si>
  <si>
    <t>COMUNA ISVOARELE</t>
  </si>
  <si>
    <t>COMUNA SABARENI</t>
  </si>
  <si>
    <t>MUNICIPIUL IASI</t>
  </si>
  <si>
    <t>MUNICIPIUL PASCANI</t>
  </si>
  <si>
    <t>ORAS HARLAU</t>
  </si>
  <si>
    <t>ORAS TARGU FRUMOS</t>
  </si>
  <si>
    <t>ORAS PODU ILOAIE</t>
  </si>
  <si>
    <t>Comuna ALEX. I. CUZA</t>
  </si>
  <si>
    <t>Comuna ANDRIESENI</t>
  </si>
  <si>
    <t>Comuna ARONEANU</t>
  </si>
  <si>
    <t>Comuna BALS</t>
  </si>
  <si>
    <t>Comuna BALTATI</t>
  </si>
  <si>
    <t>Comuna BELCESTI</t>
  </si>
  <si>
    <t>Comuna BIVOLARI</t>
  </si>
  <si>
    <t>Comuna BIRNOVA</t>
  </si>
  <si>
    <t>Comuna BOSIA</t>
  </si>
  <si>
    <t>Comuna BRAESTI</t>
  </si>
  <si>
    <t>Comuna BUTEA</t>
  </si>
  <si>
    <t>Comuna CEPLENITA</t>
  </si>
  <si>
    <t>Comuna CIOHORANI</t>
  </si>
  <si>
    <t>Comuna CIORTESTI</t>
  </si>
  <si>
    <t>Comuna CIUREA</t>
  </si>
  <si>
    <t>Comuna COARNELE CAPREI</t>
  </si>
  <si>
    <t>Comuna COMARNA</t>
  </si>
  <si>
    <t>Comuna COSTESTI</t>
  </si>
  <si>
    <t>Comuna COSTULENI</t>
  </si>
  <si>
    <t>Comuna COTNARI</t>
  </si>
  <si>
    <t>Comuna COZMESTI</t>
  </si>
  <si>
    <t>Comuna CRISTESTI</t>
  </si>
  <si>
    <t>Comuna CUCUTENI</t>
  </si>
  <si>
    <t>Comuna DAGITA</t>
  </si>
  <si>
    <t>Comuna DELENI</t>
  </si>
  <si>
    <t>Comuna DOBROVAT</t>
  </si>
  <si>
    <t>Comuna DOLHESTI</t>
  </si>
  <si>
    <t>Comuna DRAGUSENI</t>
  </si>
  <si>
    <t>Comuna DUMESTI</t>
  </si>
  <si>
    <t>Comuna ERBICENI</t>
  </si>
  <si>
    <t>Comuna FANTANELE</t>
  </si>
  <si>
    <t>Comuna FOCURI</t>
  </si>
  <si>
    <t>Comuna GOLAESTI</t>
  </si>
  <si>
    <t>Comuna GORBAN</t>
  </si>
  <si>
    <t>Comuna GRAJDURI</t>
  </si>
  <si>
    <t>Comuna GROPNITA</t>
  </si>
  <si>
    <t>Comuna GROZESTI</t>
  </si>
  <si>
    <t>Comuna HALAUCESTI</t>
  </si>
  <si>
    <t>Comuna HARMANESTI</t>
  </si>
  <si>
    <t>Comuna HELESTENI</t>
  </si>
  <si>
    <t>Comuna HOLBOCA</t>
  </si>
  <si>
    <t>Comuna HORLESTI</t>
  </si>
  <si>
    <t>Comuna IPATELE</t>
  </si>
  <si>
    <t>Comuna LESPEZI</t>
  </si>
  <si>
    <t>Comuna LETCANI</t>
  </si>
  <si>
    <t>Comuna LUNGANI</t>
  </si>
  <si>
    <t>Comuna MADARJAC</t>
  </si>
  <si>
    <t>Comuna MIRCESTI</t>
  </si>
  <si>
    <t>Comuna MIRONEASA</t>
  </si>
  <si>
    <t>Comuna MIROSLAVA</t>
  </si>
  <si>
    <t>Comuna MIROSLOVESTI</t>
  </si>
  <si>
    <t>Comuna MOGOSESTI-IASI</t>
  </si>
  <si>
    <t>Comuna MOGOSESTI - SIRET</t>
  </si>
  <si>
    <t>Comuna MOSNA</t>
  </si>
  <si>
    <t>Comuna MOTCA</t>
  </si>
  <si>
    <t>Comuna MOVILENI</t>
  </si>
  <si>
    <t>Comuna OTELENI</t>
  </si>
  <si>
    <t>Comuna PLUGARI</t>
  </si>
  <si>
    <t>Comuna POPESTI</t>
  </si>
  <si>
    <t>Comuna POPRICANI</t>
  </si>
  <si>
    <t>Comuna PRISACANI</t>
  </si>
  <si>
    <t>Comuna PROBOTA</t>
  </si>
  <si>
    <t>Comuna RACHITENI</t>
  </si>
  <si>
    <t>Comuna RADUCANENI</t>
  </si>
  <si>
    <t>Comuna REDIU</t>
  </si>
  <si>
    <t>Comuna ROMANESTI</t>
  </si>
  <si>
    <t>Comuna ROSCANI</t>
  </si>
  <si>
    <t>Comuna RUGINOASA</t>
  </si>
  <si>
    <t>Comuna SCHITU-DUCA</t>
  </si>
  <si>
    <t>Comuna SCINTEIA</t>
  </si>
  <si>
    <t>Comuna SCOBINTI</t>
  </si>
  <si>
    <t>Comuna SINESTI</t>
  </si>
  <si>
    <t>Comuna SIRETEL</t>
  </si>
  <si>
    <t>Comuna STOLNICENI-PRAJESCU</t>
  </si>
  <si>
    <t>Comuna STRUNGA</t>
  </si>
  <si>
    <t>Comuna SCHEIA</t>
  </si>
  <si>
    <t>Comuna SIPOTE</t>
  </si>
  <si>
    <t>Comuna TANSA</t>
  </si>
  <si>
    <t>Comuna TATARUSI</t>
  </si>
  <si>
    <t>Comuna ION NECULCE</t>
  </si>
  <si>
    <t>Comuna TODIRESTI</t>
  </si>
  <si>
    <t>Comuna TOMESTI</t>
  </si>
  <si>
    <t>Comuna TRIFESTI</t>
  </si>
  <si>
    <t>Comuna TIBANA</t>
  </si>
  <si>
    <t>Comuna TIBANESTI</t>
  </si>
  <si>
    <t>Comuna TIGANASI</t>
  </si>
  <si>
    <t>Comuna TUTORA</t>
  </si>
  <si>
    <t>Comuna VALEA LUPULUI</t>
  </si>
  <si>
    <t>Comuna VALEA-SEACA</t>
  </si>
  <si>
    <t>Comuna VICTORIA</t>
  </si>
  <si>
    <t>Comuna VINATORI</t>
  </si>
  <si>
    <t>Comuna VLADENI</t>
  </si>
  <si>
    <t>Comuna VOINESTI</t>
  </si>
  <si>
    <t>CRAIOVA</t>
  </si>
  <si>
    <t>CALAFAT</t>
  </si>
  <si>
    <t>BAILESTI</t>
  </si>
  <si>
    <t>BECHET</t>
  </si>
  <si>
    <t>DABULENI</t>
  </si>
  <si>
    <t>FILIASI</t>
  </si>
  <si>
    <t>SEGARCEA</t>
  </si>
  <si>
    <t>AFUMATI</t>
  </si>
  <si>
    <t>ALMAJ</t>
  </si>
  <si>
    <t>AMARASTII DE JOS</t>
  </si>
  <si>
    <t>AMARASTII DE SUS</t>
  </si>
  <si>
    <t>APELE VII</t>
  </si>
  <si>
    <t>ARGETOAIA</t>
  </si>
  <si>
    <t>BISTRET</t>
  </si>
  <si>
    <t>BIRCA</t>
  </si>
  <si>
    <t>BOTOSESTI-PAIA</t>
  </si>
  <si>
    <t>BRABOVA</t>
  </si>
  <si>
    <t>BRADESTI</t>
  </si>
  <si>
    <t>BRALOSTITA</t>
  </si>
  <si>
    <t>BRATOVOIESTI</t>
  </si>
  <si>
    <t>BREASTA</t>
  </si>
  <si>
    <t>BULZESTI</t>
  </si>
  <si>
    <t>CALOPAR</t>
  </si>
  <si>
    <t>CARAULA</t>
  </si>
  <si>
    <t>CARPEN</t>
  </si>
  <si>
    <t>CASTRANOVA</t>
  </si>
  <si>
    <t>CATANE</t>
  </si>
  <si>
    <t>CALARASI</t>
  </si>
  <si>
    <t>CELARU</t>
  </si>
  <si>
    <t>CERAT</t>
  </si>
  <si>
    <t>CERNATESTI</t>
  </si>
  <si>
    <t>CETATE</t>
  </si>
  <si>
    <t>CIOROIASI</t>
  </si>
  <si>
    <t>CIUPERCENII NOI</t>
  </si>
  <si>
    <t>CARCEA</t>
  </si>
  <si>
    <t>CARNA</t>
  </si>
  <si>
    <t>COSOVENI</t>
  </si>
  <si>
    <t>COTOFENII DIN DOS</t>
  </si>
  <si>
    <t>COTOFENII DIN FATA</t>
  </si>
  <si>
    <t>DANETI</t>
  </si>
  <si>
    <t>DESA</t>
  </si>
  <si>
    <t>DIOSTI</t>
  </si>
  <si>
    <t>DOBRESTI</t>
  </si>
  <si>
    <t>DOBROTESTI</t>
  </si>
  <si>
    <t>DRAGOTESTI</t>
  </si>
  <si>
    <t>DRANIC</t>
  </si>
  <si>
    <t>FARCAS</t>
  </si>
  <si>
    <t>GALICEA MARE</t>
  </si>
  <si>
    <t>GALICIUICA</t>
  </si>
  <si>
    <t>GHERCESTI</t>
  </si>
  <si>
    <t>GHIDICI</t>
  </si>
  <si>
    <t>GHINDENI</t>
  </si>
  <si>
    <t>GIGHERA</t>
  </si>
  <si>
    <t>GIUBEGA</t>
  </si>
  <si>
    <t>GIURGITA</t>
  </si>
  <si>
    <t>GINGIOVA</t>
  </si>
  <si>
    <t>GOICEA</t>
  </si>
  <si>
    <t>GOIESTI</t>
  </si>
  <si>
    <t>GRECESTI</t>
  </si>
  <si>
    <t>ISALNITA</t>
  </si>
  <si>
    <t>IZVOARE</t>
  </si>
  <si>
    <t>INTORSURA</t>
  </si>
  <si>
    <t>LEU</t>
  </si>
  <si>
    <t>LIPOVU</t>
  </si>
  <si>
    <t>MACESU DE JOS</t>
  </si>
  <si>
    <t>MACESU DE SUS</t>
  </si>
  <si>
    <t>MAGLAVIT</t>
  </si>
  <si>
    <t>MALU MARE</t>
  </si>
  <si>
    <t>MELINESTI</t>
  </si>
  <si>
    <t>MISCHII</t>
  </si>
  <si>
    <t>MIRSANI</t>
  </si>
  <si>
    <t>MOTATEI</t>
  </si>
  <si>
    <t>MURGASI</t>
  </si>
  <si>
    <t>NEGOI</t>
  </si>
  <si>
    <t>ORODEL</t>
  </si>
  <si>
    <t>OSTROVENI</t>
  </si>
  <si>
    <t>PERISOR</t>
  </si>
  <si>
    <t>PIELESTI</t>
  </si>
  <si>
    <t>PISCU VECHI</t>
  </si>
  <si>
    <t>PLENITA</t>
  </si>
  <si>
    <t>PLESOI</t>
  </si>
  <si>
    <t>POIANA MARE</t>
  </si>
  <si>
    <t>PODARI</t>
  </si>
  <si>
    <t>PREDESTI</t>
  </si>
  <si>
    <t>RADOVAN</t>
  </si>
  <si>
    <t>RAST</t>
  </si>
  <si>
    <t>ROBANESTI</t>
  </si>
  <si>
    <t>ROJISTE</t>
  </si>
  <si>
    <t>SADOVA</t>
  </si>
  <si>
    <t>SALCUTA</t>
  </si>
  <si>
    <t>SCAIESTI</t>
  </si>
  <si>
    <t>SEACA DE CIMP</t>
  </si>
  <si>
    <t>SEACA DE PADURE</t>
  </si>
  <si>
    <t>SECU</t>
  </si>
  <si>
    <t>SILISTEA CRUCII</t>
  </si>
  <si>
    <t>SOPOT</t>
  </si>
  <si>
    <t>SIMNICU DE SUS</t>
  </si>
  <si>
    <t>TALPAS</t>
  </si>
  <si>
    <t>TEASC</t>
  </si>
  <si>
    <t>TERPEZITA</t>
  </si>
  <si>
    <t>TESLUI</t>
  </si>
  <si>
    <t>TUGLUI</t>
  </si>
  <si>
    <t>URZICUTA</t>
  </si>
  <si>
    <t>VALEA STANCIULUI</t>
  </si>
  <si>
    <t>VELA</t>
  </si>
  <si>
    <t>VERBITA</t>
  </si>
  <si>
    <t>VARTOP</t>
  </si>
  <si>
    <t>VARVORU DE JOS</t>
  </si>
  <si>
    <t>PIATRA NEAMT</t>
  </si>
  <si>
    <t>ROMAN</t>
  </si>
  <si>
    <t>TARGU NEAMT</t>
  </si>
  <si>
    <t>BICAZ</t>
  </si>
  <si>
    <t>ROZNOV</t>
  </si>
  <si>
    <t>AGAPIA</t>
  </si>
  <si>
    <t>BAHNA</t>
  </si>
  <si>
    <t>BALTATESTI</t>
  </si>
  <si>
    <t>BICAZ CHEI</t>
  </si>
  <si>
    <t>BICAZ ARDEAL</t>
  </si>
  <si>
    <t>BARGAOANI</t>
  </si>
  <si>
    <t>BODESTI</t>
  </si>
  <si>
    <t>BORCA</t>
  </si>
  <si>
    <t>BORLESTI</t>
  </si>
  <si>
    <t>BOTESTI</t>
  </si>
  <si>
    <t>BOZIENI</t>
  </si>
  <si>
    <t>BRUSTURI</t>
  </si>
  <si>
    <t>CEAHLAU</t>
  </si>
  <si>
    <t>CANDESTI</t>
  </si>
  <si>
    <t>CORDUN</t>
  </si>
  <si>
    <t>COSTISA</t>
  </si>
  <si>
    <t>CRACAOANI</t>
  </si>
  <si>
    <t>DAMUC</t>
  </si>
  <si>
    <t>DOBRENI</t>
  </si>
  <si>
    <t>DOLJESTI</t>
  </si>
  <si>
    <t>DRAGOMIRESTI</t>
  </si>
  <si>
    <t>DUMBRAVA ROSIE</t>
  </si>
  <si>
    <t>DULCESTI</t>
  </si>
  <si>
    <t>FARCASA</t>
  </si>
  <si>
    <t>FAUREI</t>
  </si>
  <si>
    <t>GHERAIESTI</t>
  </si>
  <si>
    <t>GIROV</t>
  </si>
  <si>
    <t>GARCINA</t>
  </si>
  <si>
    <t>GRINTIES</t>
  </si>
  <si>
    <t>GRUMAZESTI</t>
  </si>
  <si>
    <t>HANGU</t>
  </si>
  <si>
    <t>HORIA</t>
  </si>
  <si>
    <t>ICUSESTI</t>
  </si>
  <si>
    <t>ION CREANGA</t>
  </si>
  <si>
    <t>MARGINENI</t>
  </si>
  <si>
    <t>MOLDOVENI</t>
  </si>
  <si>
    <t>ONICENI</t>
  </si>
  <si>
    <t>PASTRAVENI</t>
  </si>
  <si>
    <t>PETRICANI</t>
  </si>
  <si>
    <t>PIATRA SOIMULUI</t>
  </si>
  <si>
    <t>PIPIRIG</t>
  </si>
  <si>
    <t>PANGARATI</t>
  </si>
  <si>
    <t>PODOLENI</t>
  </si>
  <si>
    <t>POIENARI</t>
  </si>
  <si>
    <t>POIANA TEIULUI</t>
  </si>
  <si>
    <t>RAUCESTI</t>
  </si>
  <si>
    <t>RAZBOIENI</t>
  </si>
  <si>
    <t>REDIU</t>
  </si>
  <si>
    <t>ROMANI</t>
  </si>
  <si>
    <t>SAGNA</t>
  </si>
  <si>
    <t>SABAOANI</t>
  </si>
  <si>
    <t>SAVINESTI</t>
  </si>
  <si>
    <t>SECUIENI</t>
  </si>
  <si>
    <t>STANITA</t>
  </si>
  <si>
    <t>STEFAN CEL MARE</t>
  </si>
  <si>
    <t>TARCAU</t>
  </si>
  <si>
    <t>TASCA</t>
  </si>
  <si>
    <t>TAZLAU</t>
  </si>
  <si>
    <t>TAMASENI</t>
  </si>
  <si>
    <t>TIMISESTI</t>
  </si>
  <si>
    <t>TRIFESTI</t>
  </si>
  <si>
    <t>TUPILATI</t>
  </si>
  <si>
    <t>TIBUCANI</t>
  </si>
  <si>
    <t>URECHENI</t>
  </si>
  <si>
    <t>VALEA URSULUI</t>
  </si>
  <si>
    <t>ALEXANDRU CEL BUN</t>
  </si>
  <si>
    <t>ZANESTI</t>
  </si>
  <si>
    <t>DOCHIA</t>
  </si>
  <si>
    <t>RUGINOASA</t>
  </si>
  <si>
    <t>GHINDAOANI</t>
  </si>
  <si>
    <t>VALENI</t>
  </si>
  <si>
    <t>DRAGANESTI</t>
  </si>
  <si>
    <t>PANCESTI</t>
  </si>
  <si>
    <t>GADINTI</t>
  </si>
  <si>
    <t>BOGHICEA</t>
  </si>
  <si>
    <t>Municipiul Caracal</t>
  </si>
  <si>
    <t>Municipiul Slatina</t>
  </si>
  <si>
    <t>Oras Bals</t>
  </si>
  <si>
    <t>Oras Corabia</t>
  </si>
  <si>
    <t>Oras Draganesti-Olt</t>
  </si>
  <si>
    <t>Oras Piatra-Olt</t>
  </si>
  <si>
    <t>Oras Potcoava</t>
  </si>
  <si>
    <t>Oras Scornicesti</t>
  </si>
  <si>
    <t>Comuna Baldovinesti</t>
  </si>
  <si>
    <t>Comuna Babiciu</t>
  </si>
  <si>
    <t>Comuna Balteni</t>
  </si>
  <si>
    <t>Comuna Barasti</t>
  </si>
  <si>
    <t>Comuna Barza</t>
  </si>
  <si>
    <t>Comuna Bobicesti</t>
  </si>
  <si>
    <t>Comuna Brastavatu</t>
  </si>
  <si>
    <t>Comuna Brancoveni</t>
  </si>
  <si>
    <t>Comuna Brebeni</t>
  </si>
  <si>
    <t>Comuna Bucinisu</t>
  </si>
  <si>
    <t>Comuna Calui</t>
  </si>
  <si>
    <t xml:space="preserve">Comuna Carlogani </t>
  </si>
  <si>
    <t>Comuna Cezieni</t>
  </si>
  <si>
    <t>Comuna Cilieni</t>
  </si>
  <si>
    <t>Comuna Colonesti</t>
  </si>
  <si>
    <t>Comuna Corbu</t>
  </si>
  <si>
    <t>Comuna Coteana</t>
  </si>
  <si>
    <t>Comuna Crampoia</t>
  </si>
  <si>
    <t>Comuna Cungrea</t>
  </si>
  <si>
    <t>Comuna Curtisoara</t>
  </si>
  <si>
    <t>Comuna Daneasa</t>
  </si>
  <si>
    <t>Comuna Deveselu</t>
  </si>
  <si>
    <t>Comuna Dobretu</t>
  </si>
  <si>
    <t>Comuna Dobrosloveni</t>
  </si>
  <si>
    <t>Comuna Dobroteasa</t>
  </si>
  <si>
    <t>Comuna Dobrun</t>
  </si>
  <si>
    <t>Comuna Draghiceni</t>
  </si>
  <si>
    <t>Comuna Fagetelu</t>
  </si>
  <si>
    <t>Comuna Falcoiu</t>
  </si>
  <si>
    <t>Comuna Farcasele</t>
  </si>
  <si>
    <t>Comuna Ganeasa</t>
  </si>
  <si>
    <t>Comuna Gavanesti</t>
  </si>
  <si>
    <t>Comuna Garcov</t>
  </si>
  <si>
    <t>Comuna Ghimpeteni</t>
  </si>
  <si>
    <t>Comuna Giuvarasti</t>
  </si>
  <si>
    <t>Comuna Gostavatu</t>
  </si>
  <si>
    <t>Comuna Gradinari</t>
  </si>
  <si>
    <t>Comuna Gradinile</t>
  </si>
  <si>
    <t>Comuna Grojdibodu</t>
  </si>
  <si>
    <t>Comuna Gura Padinii</t>
  </si>
  <si>
    <t>Comuna Ianca</t>
  </si>
  <si>
    <t>Comuna Iancu Jianu</t>
  </si>
  <si>
    <t>Comuna Icoana</t>
  </si>
  <si>
    <t>Comuna Ipotesti</t>
  </si>
  <si>
    <t>Comuna Izbiceni</t>
  </si>
  <si>
    <t>Comuna Izvoarele</t>
  </si>
  <si>
    <t>Comuna Leleasca</t>
  </si>
  <si>
    <t>Comuna Maruntei</t>
  </si>
  <si>
    <t>Comuna Mihaesti</t>
  </si>
  <si>
    <t>Comuna Milcov</t>
  </si>
  <si>
    <t>Comuna Morunglav</t>
  </si>
  <si>
    <t>Comuna Movileni</t>
  </si>
  <si>
    <t>Comuna N.Titulescu</t>
  </si>
  <si>
    <t>Comuna Obarsia</t>
  </si>
  <si>
    <t>Comuna Oboga</t>
  </si>
  <si>
    <t>Comuna Oporelu</t>
  </si>
  <si>
    <t>Comuna Optasi Magura</t>
  </si>
  <si>
    <t>Comuna Orlea</t>
  </si>
  <si>
    <t>Comuna Osica de Jos</t>
  </si>
  <si>
    <t>Comuna Osica de Sus</t>
  </si>
  <si>
    <t>Comuna Parscoveni</t>
  </si>
  <si>
    <t>Comuna Perieti</t>
  </si>
  <si>
    <t>Comuna Plesoiu</t>
  </si>
  <si>
    <t>Comuna Poboru</t>
  </si>
  <si>
    <t>Comuna Priseaca</t>
  </si>
  <si>
    <t>Comuna Radomiresti</t>
  </si>
  <si>
    <t>Comuna Redea</t>
  </si>
  <si>
    <t>Comuna Rotunda</t>
  </si>
  <si>
    <t>Comuna Rusanesti</t>
  </si>
  <si>
    <t>Comuna Samburesti</t>
  </si>
  <si>
    <t>Comuna Sarbii-Magura</t>
  </si>
  <si>
    <t>Comuna Scarisoara</t>
  </si>
  <si>
    <t>Comuna Schitu</t>
  </si>
  <si>
    <t>Comuna Seaca</t>
  </si>
  <si>
    <t>Comuna Slatioara</t>
  </si>
  <si>
    <t>Comuna Spineni</t>
  </si>
  <si>
    <t>Comuna Sprancenata</t>
  </si>
  <si>
    <t>Comuna Stoenesti</t>
  </si>
  <si>
    <t>Comuna Stoicanesti</t>
  </si>
  <si>
    <t>Comuna Strejesti</t>
  </si>
  <si>
    <t>Comuna Studina</t>
  </si>
  <si>
    <t>Comuna Serbanesti</t>
  </si>
  <si>
    <t>Comuna Soparlita</t>
  </si>
  <si>
    <t>Comuna Stefan cel Mare</t>
  </si>
  <si>
    <t>Comuna Tatulesti</t>
  </si>
  <si>
    <t>Comuna Teslui</t>
  </si>
  <si>
    <t>Comuna Tia Mare</t>
  </si>
  <si>
    <t>Comuna Topana</t>
  </si>
  <si>
    <t xml:space="preserve">Comuna Traian </t>
  </si>
  <si>
    <t>Comuna Tufeni</t>
  </si>
  <si>
    <t>Comuna Urzica</t>
  </si>
  <si>
    <t>Comuna Valea Mare</t>
  </si>
  <si>
    <t>Comuna Vadastra</t>
  </si>
  <si>
    <t>Comuna Vadastrita</t>
  </si>
  <si>
    <t>Comuna Valeni</t>
  </si>
  <si>
    <t>Comuna Valcele</t>
  </si>
  <si>
    <t>Comuna Verguleasa</t>
  </si>
  <si>
    <t>Comuna Visina</t>
  </si>
  <si>
    <t>Comuna Visina Noua</t>
  </si>
  <si>
    <t>Comuna Vitomiresti</t>
  </si>
  <si>
    <t>Comuna Vladila</t>
  </si>
  <si>
    <t>Comuna Voineasa</t>
  </si>
  <si>
    <t>Comuna Vulpeni</t>
  </si>
  <si>
    <t>Comuna Vulturesti</t>
  </si>
  <si>
    <t>CAMPINA</t>
  </si>
  <si>
    <t>PLOIESTI</t>
  </si>
  <si>
    <t>AZUGA</t>
  </si>
  <si>
    <t>BAICOI</t>
  </si>
  <si>
    <t>BOLDESTI SCAIENI</t>
  </si>
  <si>
    <t>BREAZA</t>
  </si>
  <si>
    <t>BUSTENI</t>
  </si>
  <si>
    <t>COMARNIC</t>
  </si>
  <si>
    <t>MIZIL</t>
  </si>
  <si>
    <t>PLOPENI</t>
  </si>
  <si>
    <t>SINAIA</t>
  </si>
  <si>
    <t>SLANIC</t>
  </si>
  <si>
    <t>URLATI</t>
  </si>
  <si>
    <t>VALENII DE MUNTE</t>
  </si>
  <si>
    <t>ADUNATI</t>
  </si>
  <si>
    <t>ALBESTI PALEOLOGU</t>
  </si>
  <si>
    <t>ALUNIS</t>
  </si>
  <si>
    <t>APOSTOLACHE</t>
  </si>
  <si>
    <t>ARICESTII RAHTIVANI</t>
  </si>
  <si>
    <t>ARICESTII ZELETIN</t>
  </si>
  <si>
    <t>BABA ANA</t>
  </si>
  <si>
    <t>BALTA DOAMNEI</t>
  </si>
  <si>
    <t>BALTESTI</t>
  </si>
  <si>
    <t>BANESTI</t>
  </si>
  <si>
    <t>BARCANESTI</t>
  </si>
  <si>
    <t>BATRANI</t>
  </si>
  <si>
    <t>BERTEA</t>
  </si>
  <si>
    <t>BERCENI</t>
  </si>
  <si>
    <t>BOLDESTI GRADISTE</t>
  </si>
  <si>
    <t>BLEJOI</t>
  </si>
  <si>
    <t>BRAZI</t>
  </si>
  <si>
    <t>BUCOV</t>
  </si>
  <si>
    <t>CALUGARENI</t>
  </si>
  <si>
    <t>CARBUNESTI</t>
  </si>
  <si>
    <t>CEPTURA</t>
  </si>
  <si>
    <t>CERASU</t>
  </si>
  <si>
    <t>CHIJDEANCA</t>
  </si>
  <si>
    <t>CIORANI</t>
  </si>
  <si>
    <t>COCORASTII COLT</t>
  </si>
  <si>
    <t>COCORASTII MISLI</t>
  </si>
  <si>
    <t>COLCEAG</t>
  </si>
  <si>
    <t>CORNU</t>
  </si>
  <si>
    <t>COSMINELE</t>
  </si>
  <si>
    <t>DRAJNA</t>
  </si>
  <si>
    <t>DUMBRAVESTI</t>
  </si>
  <si>
    <t>FILIPESTII DE PADURE</t>
  </si>
  <si>
    <t>FILIPESTI DE TARG</t>
  </si>
  <si>
    <t>FANTANELE</t>
  </si>
  <si>
    <t>FULGA</t>
  </si>
  <si>
    <t>GHERGHITA</t>
  </si>
  <si>
    <t>GORGOTA</t>
  </si>
  <si>
    <t>GORNET</t>
  </si>
  <si>
    <t>GORNET CRICOV</t>
  </si>
  <si>
    <t>GURA VADULUI</t>
  </si>
  <si>
    <t>GURA VITIOAREI</t>
  </si>
  <si>
    <t>ORDACHE</t>
  </si>
  <si>
    <t>ZVOARELE</t>
  </si>
  <si>
    <t>JUGURENI</t>
  </si>
  <si>
    <t>LAPOS</t>
  </si>
  <si>
    <t>LIPANESTI</t>
  </si>
  <si>
    <t>MAGURELE</t>
  </si>
  <si>
    <t>MAGURENI</t>
  </si>
  <si>
    <t>MANECIU</t>
  </si>
  <si>
    <t>MANESTI</t>
  </si>
  <si>
    <t>OLARI</t>
  </si>
  <si>
    <t>PACURETI</t>
  </si>
  <si>
    <t>PLOPU</t>
  </si>
  <si>
    <t>PODENII NOI</t>
  </si>
  <si>
    <t>POIENARII BURCHI</t>
  </si>
  <si>
    <t>POIANA CAMPINA</t>
  </si>
  <si>
    <t>POSESTI</t>
  </si>
  <si>
    <t>PREDEAL SARARI</t>
  </si>
  <si>
    <t>PROVITA DE JOS</t>
  </si>
  <si>
    <t>PROVITA DE SUS</t>
  </si>
  <si>
    <t>PUCHENII MARI</t>
  </si>
  <si>
    <t>RAFOV</t>
  </si>
  <si>
    <t>SALCIILE</t>
  </si>
  <si>
    <t>SCORTENI</t>
  </si>
  <si>
    <t>SECARIA</t>
  </si>
  <si>
    <t>SANGERU</t>
  </si>
  <si>
    <t>STARCHIOJD</t>
  </si>
  <si>
    <t>SURANI</t>
  </si>
  <si>
    <t>SIRNA</t>
  </si>
  <si>
    <t>SOIMARI</t>
  </si>
  <si>
    <t>SOTRIILE</t>
  </si>
  <si>
    <t>STEFESTI</t>
  </si>
  <si>
    <t>TALEA</t>
  </si>
  <si>
    <t>TARGSORU VECHI</t>
  </si>
  <si>
    <t>TATARU</t>
  </si>
  <si>
    <t>TEISANI</t>
  </si>
  <si>
    <t>TELEGA</t>
  </si>
  <si>
    <t>TINOSU</t>
  </si>
  <si>
    <t>TOMSANI</t>
  </si>
  <si>
    <t>VADU SAPAT</t>
  </si>
  <si>
    <t>VALEA CALUGAREASCA</t>
  </si>
  <si>
    <t>VALEA DOFTANEI</t>
  </si>
  <si>
    <t>VARBILAU</t>
  </si>
  <si>
    <t>VALCANESTI</t>
  </si>
  <si>
    <t>ALEXANDRIA</t>
  </si>
  <si>
    <t>TURNU MAGURELE</t>
  </si>
  <si>
    <t>ROSIORI DE VEDE</t>
  </si>
  <si>
    <t>ZIMNICEA</t>
  </si>
  <si>
    <t>VIDELE</t>
  </si>
  <si>
    <t>NANOV</t>
  </si>
  <si>
    <t>POROSCHIA</t>
  </si>
  <si>
    <t>BABAITA</t>
  </si>
  <si>
    <t>BOGDANA</t>
  </si>
  <si>
    <t>BRANCENI</t>
  </si>
  <si>
    <t>BUZESCU</t>
  </si>
  <si>
    <t>FURCULESTI</t>
  </si>
  <si>
    <t>MAVRODIN</t>
  </si>
  <si>
    <t>MAGURA</t>
  </si>
  <si>
    <t>MARZANESTI</t>
  </si>
  <si>
    <t xml:space="preserve">ORBEASCA </t>
  </si>
  <si>
    <t>PLOSCA</t>
  </si>
  <si>
    <t>VITANESTI</t>
  </si>
  <si>
    <t>RASMIRESTI</t>
  </si>
  <si>
    <t>STOROBANEASA</t>
  </si>
  <si>
    <t>TIGANESTI</t>
  </si>
  <si>
    <t>BUJORENI</t>
  </si>
  <si>
    <t>DRAGANESTI VLASCA</t>
  </si>
  <si>
    <t>NENCIULESTI</t>
  </si>
  <si>
    <t>FRASINET</t>
  </si>
  <si>
    <t>CIUPERCENI</t>
  </si>
  <si>
    <t>ISLAZ</t>
  </si>
  <si>
    <t>LITA</t>
  </si>
  <si>
    <t>CRANGU</t>
  </si>
  <si>
    <t>LUNCA</t>
  </si>
  <si>
    <t>PLOPII SLAVITESTI</t>
  </si>
  <si>
    <t>PUTINEIU</t>
  </si>
  <si>
    <t>SEACA</t>
  </si>
  <si>
    <t>SEGARCEA VALE</t>
  </si>
  <si>
    <t>TRAIAN</t>
  </si>
  <si>
    <t>SLOBOZIA MANDRA</t>
  </si>
  <si>
    <t>DRACEA</t>
  </si>
  <si>
    <t>BECIU</t>
  </si>
  <si>
    <t>UDA CLOCOCIOV</t>
  </si>
  <si>
    <t>SAELELE</t>
  </si>
  <si>
    <t>BALACI</t>
  </si>
  <si>
    <t>CALMATUIU DE SUS</t>
  </si>
  <si>
    <t>CIOLANESTI</t>
  </si>
  <si>
    <t>CRANGENI</t>
  </si>
  <si>
    <t>DIDESTI</t>
  </si>
  <si>
    <t>DRACSENEI</t>
  </si>
  <si>
    <t>DRAGANESTI DE  VEDE</t>
  </si>
  <si>
    <t>MALDAIENI</t>
  </si>
  <si>
    <t>NECSESTI</t>
  </si>
  <si>
    <t>PERETU</t>
  </si>
  <si>
    <t>RADOIESTI</t>
  </si>
  <si>
    <t>SACENI</t>
  </si>
  <si>
    <t>SCRIOASTEA</t>
  </si>
  <si>
    <t>SFINTESTI</t>
  </si>
  <si>
    <t>SILISTEA NOUA</t>
  </si>
  <si>
    <t>STEJARU</t>
  </si>
  <si>
    <t>TROIANU</t>
  </si>
  <si>
    <t>VEDEA</t>
  </si>
  <si>
    <t>ZAMBREASCA</t>
  </si>
  <si>
    <t>VARTOAPE</t>
  </si>
  <si>
    <t>CALMATUIU</t>
  </si>
  <si>
    <t>BEUCA</t>
  </si>
  <si>
    <t>BRAGADIRU</t>
  </si>
  <si>
    <t>BUJORU</t>
  </si>
  <si>
    <t>CERVENIA</t>
  </si>
  <si>
    <t>CONTESTI</t>
  </si>
  <si>
    <t>FRUMOASA</t>
  </si>
  <si>
    <t>IZVOARELE</t>
  </si>
  <si>
    <t>NASTURELU</t>
  </si>
  <si>
    <t>PIATRA</t>
  </si>
  <si>
    <t>PIETROSANI</t>
  </si>
  <si>
    <t>SMARDIOASA</t>
  </si>
  <si>
    <t>SUHAIA</t>
  </si>
  <si>
    <t>VIISOARA</t>
  </si>
  <si>
    <t>CREVENICU</t>
  </si>
  <si>
    <t>BLEJESTI</t>
  </si>
  <si>
    <t>BOTOROAGA</t>
  </si>
  <si>
    <t>GALATENI</t>
  </si>
  <si>
    <t>GRATIA</t>
  </si>
  <si>
    <t>OLTENI</t>
  </si>
  <si>
    <t>POENI</t>
  </si>
  <si>
    <t>SCURTU MARE</t>
  </si>
  <si>
    <t>SILISTEA</t>
  </si>
  <si>
    <t>COSMESTI</t>
  </si>
  <si>
    <t>SARBENI</t>
  </si>
  <si>
    <t>TALPA</t>
  </si>
  <si>
    <t>TATARASTII DE JOS</t>
  </si>
  <si>
    <t>TRIVALE MOSTENI</t>
  </si>
  <si>
    <t>TATARASTII DE SUS</t>
  </si>
  <si>
    <t>MOSTENI</t>
  </si>
  <si>
    <t>PURANI</t>
  </si>
  <si>
    <t>MUNICIPIUL TULCEA</t>
  </si>
  <si>
    <t>BABADAG</t>
  </si>
  <si>
    <t>ISACCEA</t>
  </si>
  <si>
    <t>MACIN</t>
  </si>
  <si>
    <t>SULINA</t>
  </si>
  <si>
    <t>BAIA</t>
  </si>
  <si>
    <t>BEIDAUD</t>
  </si>
  <si>
    <t>BESTEPE</t>
  </si>
  <si>
    <t>C.A.ROSETTI</t>
  </si>
  <si>
    <t>CARCALIU</t>
  </si>
  <si>
    <t>CASIMCEA</t>
  </si>
  <si>
    <t>CEAMURLIA DE JOS</t>
  </si>
  <si>
    <t>CEATALCHIOI</t>
  </si>
  <si>
    <t>CERNA</t>
  </si>
  <si>
    <t>CHILIA VECHE</t>
  </si>
  <si>
    <t>CIUCUROVA</t>
  </si>
  <si>
    <t xml:space="preserve">CRISAN </t>
  </si>
  <si>
    <t>DAENI</t>
  </si>
  <si>
    <t>DOROBANTU</t>
  </si>
  <si>
    <t>FRECATEI</t>
  </si>
  <si>
    <t>GRINDU</t>
  </si>
  <si>
    <t>HAMCEARCA</t>
  </si>
  <si>
    <t>I.C.BRATIANU</t>
  </si>
  <si>
    <t>JIJILA</t>
  </si>
  <si>
    <t>JURILOVCA</t>
  </si>
  <si>
    <t>MAHMUDIA</t>
  </si>
  <si>
    <t>MALIUC</t>
  </si>
  <si>
    <t>MIHAI BRAVU</t>
  </si>
  <si>
    <t>M.KOGALNICEANU</t>
  </si>
  <si>
    <t>MURIGHIOL</t>
  </si>
  <si>
    <t>NALBANT</t>
  </si>
  <si>
    <t>NICULITEL</t>
  </si>
  <si>
    <t>NUFARU</t>
  </si>
  <si>
    <t>OSTROV</t>
  </si>
  <si>
    <t>PARDINA</t>
  </si>
  <si>
    <t>PECENEAGA</t>
  </si>
  <si>
    <t>SARICHIOI</t>
  </si>
  <si>
    <t>SLAVA CERCHEZA</t>
  </si>
  <si>
    <t>SMARDAN</t>
  </si>
  <si>
    <t>SOMOVA</t>
  </si>
  <si>
    <t>TOPOLOG</t>
  </si>
  <si>
    <t>TURCOAIA</t>
  </si>
  <si>
    <t>VALEA NUCARILOR</t>
  </si>
  <si>
    <t>VALEA TEILOR</t>
  </si>
  <si>
    <t>VACARENI</t>
  </si>
  <si>
    <t>Mun.Targoviste</t>
  </si>
  <si>
    <t>Mun.Moreni</t>
  </si>
  <si>
    <t>Oras Fieni</t>
  </si>
  <si>
    <t>Oras Gaesti</t>
  </si>
  <si>
    <t>Oras Pucioasa</t>
  </si>
  <si>
    <t>Oras Titu</t>
  </si>
  <si>
    <t>Oras Racari</t>
  </si>
  <si>
    <t>COMUNA ANINOASA</t>
  </si>
  <si>
    <t>COMUNA BARBULETU</t>
  </si>
  <si>
    <t>COMUNA BEZDEAD</t>
  </si>
  <si>
    <t>COMUNA BILCIURESTI</t>
  </si>
  <si>
    <t>COMUNA BRANESTI</t>
  </si>
  <si>
    <t>COMUNA BRANISTE</t>
  </si>
  <si>
    <t>COMUNA BREZOAELE</t>
  </si>
  <si>
    <t>COMUNA BUTIMANU</t>
  </si>
  <si>
    <t>COMUNA CANDESTI</t>
  </si>
  <si>
    <t>COMUNA COBIA</t>
  </si>
  <si>
    <t>COMUNA COJASCA</t>
  </si>
  <si>
    <t>COMUNA COMISANI</t>
  </si>
  <si>
    <t>COMUNA CONTESTI</t>
  </si>
  <si>
    <t>COMUNA CORBII MARI</t>
  </si>
  <si>
    <t>COMUNA CORNATELU</t>
  </si>
  <si>
    <t>COMUNA COSTESTI VALE</t>
  </si>
  <si>
    <t>COMUNA CRANGURI</t>
  </si>
  <si>
    <t>COMUNA CREVEDIA</t>
  </si>
  <si>
    <t>COMUNA DOBRA</t>
  </si>
  <si>
    <t>COMUNA DOICESTI</t>
  </si>
  <si>
    <t>COMUNA DRAGODANA</t>
  </si>
  <si>
    <t>COMUNA DRAGOMIRESTI</t>
  </si>
  <si>
    <t>COMUNA FINTA</t>
  </si>
  <si>
    <t>COMUNA GLODENI</t>
  </si>
  <si>
    <t>COMUNA GURA FOII</t>
  </si>
  <si>
    <t>COMUNA GURA OCNITEI</t>
  </si>
  <si>
    <t>COMUNA GURA SUTII</t>
  </si>
  <si>
    <t>COMUNA HULUBESTI</t>
  </si>
  <si>
    <t>COMUNA I. L. CARAGIALE</t>
  </si>
  <si>
    <t>COMUNA IEDERA</t>
  </si>
  <si>
    <t>COMUNA LUCIENI</t>
  </si>
  <si>
    <t>COMUNA LUDESTI</t>
  </si>
  <si>
    <t>COMUNA LUNGULETU</t>
  </si>
  <si>
    <t>COMUNA MALU CU FLORI</t>
  </si>
  <si>
    <t>COMUNA MANESTI</t>
  </si>
  <si>
    <t>COMUNA MATASARU</t>
  </si>
  <si>
    <t>COMUNA MOGOSANI</t>
  </si>
  <si>
    <t>COMUNA MOROIENI</t>
  </si>
  <si>
    <t>COMUNA MORTENI</t>
  </si>
  <si>
    <t>COMUNA MOTAIENI</t>
  </si>
  <si>
    <t>COMUNA NICULESTI</t>
  </si>
  <si>
    <t>COMUNA NUCET</t>
  </si>
  <si>
    <t>COMUNA OCNITA</t>
  </si>
  <si>
    <t>COMUNA ODOBESTI</t>
  </si>
  <si>
    <t>COMUNA PERSINARI</t>
  </si>
  <si>
    <t>COMUNA PETRESTI</t>
  </si>
  <si>
    <t>COMUNA PIETRARI</t>
  </si>
  <si>
    <t>COMUNA PIETROSITA</t>
  </si>
  <si>
    <t>COMUNA POTLOGI</t>
  </si>
  <si>
    <t>COMUNA PRODULESTI</t>
  </si>
  <si>
    <t>COMUNA PUCHENI</t>
  </si>
  <si>
    <t>COMUNA RACIU</t>
  </si>
  <si>
    <t>COMUNA RASCAETI</t>
  </si>
  <si>
    <t>COMUNA RAU ALB</t>
  </si>
  <si>
    <t>COMUNA RAZVAD</t>
  </si>
  <si>
    <t>COMUNA RUNCU</t>
  </si>
  <si>
    <t>COMUNA SALCIOARA</t>
  </si>
  <si>
    <t>COMUNA SELARU</t>
  </si>
  <si>
    <t>COMUNA SLOBOZIA MOARA</t>
  </si>
  <si>
    <t>COMUNA SOTANGA</t>
  </si>
  <si>
    <t>COMUNA TARTASESTI</t>
  </si>
  <si>
    <t>COMUNA TATARANI</t>
  </si>
  <si>
    <t>COMUNA ULIESTI</t>
  </si>
  <si>
    <t>COMUNA VACARESTI</t>
  </si>
  <si>
    <t>COMUNA VALEA LUNGA</t>
  </si>
  <si>
    <t>COMUNA VALEA MARE</t>
  </si>
  <si>
    <t>COMUNA VALENI DAMBOVITA</t>
  </si>
  <si>
    <t>COMUNA VARFURI</t>
  </si>
  <si>
    <t>COMUNA VISINA</t>
  </si>
  <si>
    <t>COMUNA VISINESTI</t>
  </si>
  <si>
    <t>COMUNA VLADENI</t>
  </si>
  <si>
    <t>COMUNA VOINESTI</t>
  </si>
  <si>
    <t>COMUNA VULCANA BAI</t>
  </si>
  <si>
    <t>COMUNA VULCANA PANDELE</t>
  </si>
  <si>
    <t>TG-JIU</t>
  </si>
  <si>
    <t>MOTRU</t>
  </si>
  <si>
    <t>NOVACI</t>
  </si>
  <si>
    <t>TG-CARBUNESTI</t>
  </si>
  <si>
    <t>TICLENI</t>
  </si>
  <si>
    <t>ROVINARI</t>
  </si>
  <si>
    <t>BUMBESTI JIU</t>
  </si>
  <si>
    <t>TISMANA</t>
  </si>
  <si>
    <t>TURCENI</t>
  </si>
  <si>
    <t>Albeni</t>
  </si>
  <si>
    <t>Alimpesti</t>
  </si>
  <si>
    <t>Aninoasa</t>
  </si>
  <si>
    <t>Arcani</t>
  </si>
  <si>
    <t>Baia de Fier</t>
  </si>
  <si>
    <t>Balanesti</t>
  </si>
  <si>
    <t>Bengesti-Ciocadia</t>
  </si>
  <si>
    <t>Berlesti</t>
  </si>
  <si>
    <t>Bilteni</t>
  </si>
  <si>
    <t>Bolbosi</t>
  </si>
  <si>
    <t>Borascu</t>
  </si>
  <si>
    <t>Branesti</t>
  </si>
  <si>
    <t>Dragutesti</t>
  </si>
  <si>
    <t>Bumbesti-Pitic</t>
  </si>
  <si>
    <t>Bustuchin</t>
  </si>
  <si>
    <t>Capreni</t>
  </si>
  <si>
    <t>Catunele</t>
  </si>
  <si>
    <t>Ciuperceni</t>
  </si>
  <si>
    <t>Cilnic</t>
  </si>
  <si>
    <t>Crasna</t>
  </si>
  <si>
    <t>Cruset</t>
  </si>
  <si>
    <t>Danciulesti</t>
  </si>
  <si>
    <t>Danesti</t>
  </si>
  <si>
    <t>Dragotesti</t>
  </si>
  <si>
    <t>Farcasesti</t>
  </si>
  <si>
    <t>Glogova</t>
  </si>
  <si>
    <t>Godinesti</t>
  </si>
  <si>
    <t>Hurezani</t>
  </si>
  <si>
    <t>Jupinesti</t>
  </si>
  <si>
    <t>Lelesti</t>
  </si>
  <si>
    <t>Licurici</t>
  </si>
  <si>
    <t>Logresti</t>
  </si>
  <si>
    <t>Matasari</t>
  </si>
  <si>
    <t>Musetesti</t>
  </si>
  <si>
    <t>Negomir</t>
  </si>
  <si>
    <t>Pades</t>
  </si>
  <si>
    <t>Pestisani</t>
  </si>
  <si>
    <t>Polovragi</t>
  </si>
  <si>
    <t>Plopsoru</t>
  </si>
  <si>
    <t>Prigoria</t>
  </si>
  <si>
    <t>Rosia De Amaradia</t>
  </si>
  <si>
    <t>Samarinesti</t>
  </si>
  <si>
    <t>Sacelu</t>
  </si>
  <si>
    <t>Saulesti</t>
  </si>
  <si>
    <t>Scoarta</t>
  </si>
  <si>
    <t>Schela</t>
  </si>
  <si>
    <t>Slivilesti</t>
  </si>
  <si>
    <t>Stejari</t>
  </si>
  <si>
    <t>Stoina</t>
  </si>
  <si>
    <t>Telesti</t>
  </si>
  <si>
    <t>Turburea</t>
  </si>
  <si>
    <t>Tintareni</t>
  </si>
  <si>
    <t>Urdari</t>
  </si>
  <si>
    <t>Vagiulesti</t>
  </si>
  <si>
    <t>Vladimir</t>
  </si>
  <si>
    <t>Balesti</t>
  </si>
  <si>
    <t>Turcinesti</t>
  </si>
  <si>
    <t>PRIMARIA BAIA MARE</t>
  </si>
  <si>
    <t>PRIMARIA SIGHETU MARMATIEI</t>
  </si>
  <si>
    <t>PRIMARIA BAIA SPRIE</t>
  </si>
  <si>
    <t>PRIMARIA BORSA</t>
  </si>
  <si>
    <t>PRIMARIA CAVNIC</t>
  </si>
  <si>
    <t>PRIMARIA SEINI</t>
  </si>
  <si>
    <t>PRIMARIA TARGU LAPUS</t>
  </si>
  <si>
    <t>PRIMARIA VISEU DE SUS</t>
  </si>
  <si>
    <t>PRIMARIA DRAGOMIRESTI</t>
  </si>
  <si>
    <t>PRIMARIA SALISTEA DE SUS</t>
  </si>
  <si>
    <t>PRIMARIA SOMCUTA MARE</t>
  </si>
  <si>
    <t>PRIMARIA ULMENI</t>
  </si>
  <si>
    <t>PRIMARIA TAUTII MAGHERAUSI</t>
  </si>
  <si>
    <t>PRIMARIA ARDUSAT</t>
  </si>
  <si>
    <t>PRIMARIA ARINIS</t>
  </si>
  <si>
    <t>PRIMARIA ASUAJU DE SUS</t>
  </si>
  <si>
    <t>PRIMARIA BAITA DE SUB CODRU</t>
  </si>
  <si>
    <t>PRIMARIA BAIUT</t>
  </si>
  <si>
    <t>PRIMARIA BASESTI</t>
  </si>
  <si>
    <t>PRIMARIA BICAZ</t>
  </si>
  <si>
    <t>PRIMARIA BIRSANA</t>
  </si>
  <si>
    <t>PRIMARIA BISTRA</t>
  </si>
  <si>
    <t>PRIMARIA BOCICOIU MARE</t>
  </si>
  <si>
    <t>PRIMARIA BOGDAN VODA</t>
  </si>
  <si>
    <t>PRIMARIA BOIU MARE</t>
  </si>
  <si>
    <t>PRIMARIA BOTIZA</t>
  </si>
  <si>
    <t>PRIMARIA BUDESTI</t>
  </si>
  <si>
    <t>PRIMARIA CALINESTI</t>
  </si>
  <si>
    <t>PRIMARIA CERNESTI</t>
  </si>
  <si>
    <t>PRIMARIA CICIRLAU</t>
  </si>
  <si>
    <t>PRIMARIA CIMPULUNG LA TISA</t>
  </si>
  <si>
    <t>PRIMARIA COPALNIC MANASTUR</t>
  </si>
  <si>
    <t>PRIMARIA COROIENI</t>
  </si>
  <si>
    <t>PRIMARIA CUPSENI</t>
  </si>
  <si>
    <t>PRIMARIA DESESTI</t>
  </si>
  <si>
    <t>PRIMARIA DUMBRAVITA</t>
  </si>
  <si>
    <t>PRIMARIA FARCASA</t>
  </si>
  <si>
    <t>PRIMARIA GIULESTI</t>
  </si>
  <si>
    <t>PRIMARIA IEUD</t>
  </si>
  <si>
    <t>PRIMARIA LAPUS</t>
  </si>
  <si>
    <t>PRIMARIA LEORDINA</t>
  </si>
  <si>
    <t>PRIMARIA MIRESU MARE</t>
  </si>
  <si>
    <t>PRIMARIA MOISEI</t>
  </si>
  <si>
    <t>PRIMARIA OARTA DE JOS</t>
  </si>
  <si>
    <t>PRIMARIA OCNA SUGATAG</t>
  </si>
  <si>
    <t>PRIMARIA PETROVA</t>
  </si>
  <si>
    <t>PRIMARIA POIENILE DE SUB MUNTE</t>
  </si>
  <si>
    <t>PRIMARIA REMETEA CHIOARULUI</t>
  </si>
  <si>
    <t>PRIMARIA REMETI</t>
  </si>
  <si>
    <t>PRIMARIA REPEDEA</t>
  </si>
  <si>
    <t>PRIMARIA RONA DE JOS</t>
  </si>
  <si>
    <t>PRIMARIA RONA DE SUS</t>
  </si>
  <si>
    <t>PRIMARIA ROZAVLEA</t>
  </si>
  <si>
    <t>PRIMARIA RUSCOVA</t>
  </si>
  <si>
    <t>PRIMARIA SATULUNG</t>
  </si>
  <si>
    <t>PRIMARIA SACALASENI</t>
  </si>
  <si>
    <t>PRIMARIA SACEL</t>
  </si>
  <si>
    <t>PRIMARIA SALSIG</t>
  </si>
  <si>
    <t>PRIMARIA SAPINTA</t>
  </si>
  <si>
    <t>PRIMARIA STRIMTURA</t>
  </si>
  <si>
    <t>PRIMARIA SUCIU DE SUS</t>
  </si>
  <si>
    <t>PRIMARIA SISESTI</t>
  </si>
  <si>
    <t>PRIMARIA VALEA CHIOARULUI</t>
  </si>
  <si>
    <t>PRIMARIA VIMA MICA</t>
  </si>
  <si>
    <t>PRIMARIA VISEU DE JOS</t>
  </si>
  <si>
    <t>PRIMARIA GROSI</t>
  </si>
  <si>
    <t>PRIMARIA RECEA</t>
  </si>
  <si>
    <t>PRIMARIA SARASAU</t>
  </si>
  <si>
    <t>PRIMARIA VADU IZEI</t>
  </si>
  <si>
    <t>PRIMARIA POIENILE IZEI</t>
  </si>
  <si>
    <t>PRIMARIA SIEU</t>
  </si>
  <si>
    <t>PRIMARIA GROSII TIBLESULUI</t>
  </si>
  <si>
    <t>PRIMARIA COAS</t>
  </si>
  <si>
    <t>PRIMARIA COLTAU</t>
  </si>
  <si>
    <t>PRIMARIA GARDANI</t>
  </si>
  <si>
    <t>PRIMARIA ONCESTI</t>
  </si>
  <si>
    <t>OLTENITA</t>
  </si>
  <si>
    <t>BUDESTI</t>
  </si>
  <si>
    <t>FUNDULEA</t>
  </si>
  <si>
    <t>LEHLIU GARA</t>
  </si>
  <si>
    <t>AL.ODOBESCU</t>
  </si>
  <si>
    <t>BELCIUGATELE</t>
  </si>
  <si>
    <t>BORCEA</t>
  </si>
  <si>
    <t>CASCIOARELE</t>
  </si>
  <si>
    <t>CHIRNOGI</t>
  </si>
  <si>
    <t>CHISELET</t>
  </si>
  <si>
    <t>CIOCANESTI</t>
  </si>
  <si>
    <t>CRIVAT</t>
  </si>
  <si>
    <t>CURCANI</t>
  </si>
  <si>
    <t>CUZA VODA</t>
  </si>
  <si>
    <t>DICHISENI</t>
  </si>
  <si>
    <t>DOR MARUNT</t>
  </si>
  <si>
    <t>DRAGALINA</t>
  </si>
  <si>
    <t>DRAGOS VODA</t>
  </si>
  <si>
    <t>FRUMUSANI</t>
  </si>
  <si>
    <t>FUNDENI</t>
  </si>
  <si>
    <t>GALBINASI</t>
  </si>
  <si>
    <t>GRADISTEA</t>
  </si>
  <si>
    <t>GURBANESTI</t>
  </si>
  <si>
    <t>ILEANA</t>
  </si>
  <si>
    <t>INDEPENDENTA</t>
  </si>
  <si>
    <t>JEGALIA</t>
  </si>
  <si>
    <t>LEHLIU SAT</t>
  </si>
  <si>
    <t>LUICA</t>
  </si>
  <si>
    <t>LUPSANU</t>
  </si>
  <si>
    <t>MITRENI</t>
  </si>
  <si>
    <t>MANASTIREA</t>
  </si>
  <si>
    <t>MODELU</t>
  </si>
  <si>
    <t>NANA</t>
  </si>
  <si>
    <t>NIC.BALCESCU</t>
  </si>
  <si>
    <t>PERISORU</t>
  </si>
  <si>
    <t>PLATARESTI</t>
  </si>
  <si>
    <t>RADOVANU</t>
  </si>
  <si>
    <t>ROSETI</t>
  </si>
  <si>
    <t>SARULESTI</t>
  </si>
  <si>
    <t>SOHATU</t>
  </si>
  <si>
    <t>SPANTOV</t>
  </si>
  <si>
    <t>SOLDANU</t>
  </si>
  <si>
    <t>STEFAN VODA</t>
  </si>
  <si>
    <t>TAMADAU MARE</t>
  </si>
  <si>
    <t>ULMENI</t>
  </si>
  <si>
    <t>ULMU</t>
  </si>
  <si>
    <t>VALEA ARGOVEI</t>
  </si>
  <si>
    <t>VASILATI</t>
  </si>
  <si>
    <t>VALCELELE</t>
  </si>
  <si>
    <t>VLAD TEPES</t>
  </si>
  <si>
    <t>Judeţul ALBA</t>
  </si>
  <si>
    <t>Nr crt</t>
  </si>
  <si>
    <t>Chişineu-Criş</t>
  </si>
  <si>
    <t>Curtici</t>
  </si>
  <si>
    <t>Ineu</t>
  </si>
  <si>
    <t>Lipova</t>
  </si>
  <si>
    <t>Nădlac</t>
  </si>
  <si>
    <t>Pâncota</t>
  </si>
  <si>
    <t>Pecica</t>
  </si>
  <si>
    <t>Sântana</t>
  </si>
  <si>
    <t>Sebiş</t>
  </si>
  <si>
    <t>Almaş</t>
  </si>
  <si>
    <t>Apateu</t>
  </si>
  <si>
    <t>Archiş</t>
  </si>
  <si>
    <t>Bata</t>
  </si>
  <si>
    <t>Beliu</t>
  </si>
  <si>
    <t>Birchiş</t>
  </si>
  <si>
    <t>Bârsa</t>
  </si>
  <si>
    <t>Bârzava</t>
  </si>
  <si>
    <t>Bocsig</t>
  </si>
  <si>
    <t>Brazii</t>
  </si>
  <si>
    <t>Buteni</t>
  </si>
  <si>
    <t>Cărand</t>
  </si>
  <si>
    <t>Cermei</t>
  </si>
  <si>
    <t>Chisindia</t>
  </si>
  <si>
    <t>Conop</t>
  </si>
  <si>
    <t>Covăsânţ</t>
  </si>
  <si>
    <t>Craiva</t>
  </si>
  <si>
    <t>Dezna</t>
  </si>
  <si>
    <t>Dieci</t>
  </si>
  <si>
    <t>Dorobanţi</t>
  </si>
  <si>
    <t>Fântânale</t>
  </si>
  <si>
    <t>Felnac</t>
  </si>
  <si>
    <t>Frumuşeni</t>
  </si>
  <si>
    <t>Ghioroc</t>
  </si>
  <si>
    <t>Grăniceri</t>
  </si>
  <si>
    <t>Gurahonţ</t>
  </si>
  <si>
    <t>Hălmagiu</t>
  </si>
  <si>
    <t>Hălmăgel</t>
  </si>
  <si>
    <t>Hăşmaş</t>
  </si>
  <si>
    <t>Igneşti</t>
  </si>
  <si>
    <t>Iratoşu</t>
  </si>
  <si>
    <t>Livada</t>
  </si>
  <si>
    <t>Macea</t>
  </si>
  <si>
    <t>Mişca</t>
  </si>
  <si>
    <t>Moneasa</t>
  </si>
  <si>
    <t>Olari</t>
  </si>
  <si>
    <t>Păuliş</t>
  </si>
  <si>
    <t>Peregu - Mare</t>
  </si>
  <si>
    <t>Petriş</t>
  </si>
  <si>
    <t>Pilu</t>
  </si>
  <si>
    <t>Pleşcuţa</t>
  </si>
  <si>
    <t>Săvârşin</t>
  </si>
  <si>
    <t>Secusigiu</t>
  </si>
  <si>
    <t>Seleuş</t>
  </si>
  <si>
    <t>Semlac</t>
  </si>
  <si>
    <t>Sintea - Mare</t>
  </si>
  <si>
    <t>Socodor</t>
  </si>
  <si>
    <t>Şagu</t>
  </si>
  <si>
    <t>Şeitin</t>
  </si>
  <si>
    <t>Şepreuş</t>
  </si>
  <si>
    <t>Şicula</t>
  </si>
  <si>
    <t>Şilindia</t>
  </si>
  <si>
    <t>Şimand</t>
  </si>
  <si>
    <t>Şiria</t>
  </si>
  <si>
    <t>Şiştarovăţ</t>
  </si>
  <si>
    <t>Şofronea</t>
  </si>
  <si>
    <t>Tauţ</t>
  </si>
  <si>
    <t>Târnova</t>
  </si>
  <si>
    <t>Ususău</t>
  </si>
  <si>
    <t>Vărădia de Mureş</t>
  </si>
  <si>
    <t>Vinga</t>
  </si>
  <si>
    <t>Vârfurile</t>
  </si>
  <si>
    <t>Vladimirescu</t>
  </si>
  <si>
    <t>Zăbrani</t>
  </si>
  <si>
    <t>Zădăreni</t>
  </si>
  <si>
    <t>Zărand</t>
  </si>
  <si>
    <t>Zerind</t>
  </si>
  <si>
    <t>Zimandul Nou</t>
  </si>
  <si>
    <t>Municipiul Pitesti</t>
  </si>
  <si>
    <t>Municipiul Campulung</t>
  </si>
  <si>
    <t>Municipiul Curtea de Arges</t>
  </si>
  <si>
    <t>Orasul Mioveni</t>
  </si>
  <si>
    <t>Orasul Costesti</t>
  </si>
  <si>
    <t>Orasul Topoloveni</t>
  </si>
  <si>
    <t>Orasul Stefanesti</t>
  </si>
  <si>
    <t>Comuna Albestii de Arges</t>
  </si>
  <si>
    <t>Comuna Albestii de Muscel</t>
  </si>
  <si>
    <t>Comuna Albota</t>
  </si>
  <si>
    <t>Comuna Aninoasa</t>
  </si>
  <si>
    <t>Comuna Arefu</t>
  </si>
  <si>
    <t>Comuna Bascov</t>
  </si>
  <si>
    <t>Comuna Babana</t>
  </si>
  <si>
    <t>Comuna Baiculesti</t>
  </si>
  <si>
    <t>Comuna Balilesti</t>
  </si>
  <si>
    <t>Comuna Beleti-Negresti</t>
  </si>
  <si>
    <t>Comuna Berevoesti</t>
  </si>
  <si>
    <t>Comuna Birla</t>
  </si>
  <si>
    <t>Comuna Bogati</t>
  </si>
  <si>
    <t>Comuna Boteni</t>
  </si>
  <si>
    <t>Comuna Botesti</t>
  </si>
  <si>
    <t>Comuna Bradu</t>
  </si>
  <si>
    <t>Comuna Bradulet</t>
  </si>
  <si>
    <t>Comuna Budeasa</t>
  </si>
  <si>
    <t>Comuna Bughea de Jos</t>
  </si>
  <si>
    <t>Comuna Buzoiesti</t>
  </si>
  <si>
    <t>Comuna Caldararu</t>
  </si>
  <si>
    <t>Comuna Calinesti</t>
  </si>
  <si>
    <t>Comuna Cateasca</t>
  </si>
  <si>
    <t>Comuna Cepari</t>
  </si>
  <si>
    <t>Comuna Cetateni</t>
  </si>
  <si>
    <t>Comuna Cicanesti</t>
  </si>
  <si>
    <t>Comuna Ciofrangeni</t>
  </si>
  <si>
    <t>Comuna Ciomagesti</t>
  </si>
  <si>
    <t>Comuna Cocu</t>
  </si>
  <si>
    <t>Comuna Corbeni</t>
  </si>
  <si>
    <t>Comuna Corbi</t>
  </si>
  <si>
    <t>Comuna Cosesti</t>
  </si>
  <si>
    <t>Comuna Cotmeana</t>
  </si>
  <si>
    <t>Comuna Cuca</t>
  </si>
  <si>
    <t>Comuna Davidesti</t>
  </si>
  <si>
    <t>Comuna Dambovicioara</t>
  </si>
  <si>
    <t>Comuna Darmanesti</t>
  </si>
  <si>
    <t>Comuna Dobresti</t>
  </si>
  <si>
    <t>Comuna Domnesti</t>
  </si>
  <si>
    <t>Comuna Dragoslavele</t>
  </si>
  <si>
    <t>Comuna Draganu</t>
  </si>
  <si>
    <t>Comuna Godeni</t>
  </si>
  <si>
    <t>Comuna Harsesti</t>
  </si>
  <si>
    <t>Comuna Hartiesti</t>
  </si>
  <si>
    <t>Comuna Izvoru</t>
  </si>
  <si>
    <t>Comuna Leordeni</t>
  </si>
  <si>
    <t>Comuna Leresti</t>
  </si>
  <si>
    <t>Comuna Lunca Corbului</t>
  </si>
  <si>
    <t>Comuna Malureni</t>
  </si>
  <si>
    <t>Comuna Maracineni</t>
  </si>
  <si>
    <t>Comuna Merisani</t>
  </si>
  <si>
    <t>Comuna Micesti</t>
  </si>
  <si>
    <t>Comuna Mioarele</t>
  </si>
  <si>
    <t>Comuna Mirosi</t>
  </si>
  <si>
    <t>Comuna Moraresti</t>
  </si>
  <si>
    <t>Comuna Mosoaia</t>
  </si>
  <si>
    <t>Comuna Mozaceni</t>
  </si>
  <si>
    <t>Comuna Musatesti</t>
  </si>
  <si>
    <t>Comuna Negrasi</t>
  </si>
  <si>
    <t>Comuna Nucsoara</t>
  </si>
  <si>
    <t>Comuna Oarja</t>
  </si>
  <si>
    <t>Comuna Pietrosani</t>
  </si>
  <si>
    <t>Comuna Poiana Lacului</t>
  </si>
  <si>
    <t>Comuna Poienarii de Arges</t>
  </si>
  <si>
    <t>Comuna Poienarii de Muscel</t>
  </si>
  <si>
    <t>Comuna Popesti</t>
  </si>
  <si>
    <t>Comuna Priboieni</t>
  </si>
  <si>
    <t>Comuna Ratesti</t>
  </si>
  <si>
    <t>Comuna Recea</t>
  </si>
  <si>
    <t>Comuna Rociu</t>
  </si>
  <si>
    <t>Comuna Rucar</t>
  </si>
  <si>
    <t>Comuna Salatrucu</t>
  </si>
  <si>
    <t>Comuna Sapata</t>
  </si>
  <si>
    <t>Comuna Schitu Golesti</t>
  </si>
  <si>
    <t>Comuna Slobozia</t>
  </si>
  <si>
    <t>Comuna Stalpeni</t>
  </si>
  <si>
    <t>Comuna Stolnici</t>
  </si>
  <si>
    <t>Comuna Suseni</t>
  </si>
  <si>
    <t>Comuna Suici</t>
  </si>
  <si>
    <t>Comuna Teiu</t>
  </si>
  <si>
    <t>Comuna Tigveni</t>
  </si>
  <si>
    <t>Comuna Titesti</t>
  </si>
  <si>
    <t>Comuna Uda</t>
  </si>
  <si>
    <t>Comuna Ungheni</t>
  </si>
  <si>
    <t>Comuna Valea Danului</t>
  </si>
  <si>
    <t>Comuna Valea Iasului</t>
  </si>
  <si>
    <t>Comuna Valea Mare Pravat</t>
  </si>
  <si>
    <t>Comuna Vedea</t>
  </si>
  <si>
    <t>Comuna Vladesti</t>
  </si>
  <si>
    <t>Comuna Raca</t>
  </si>
  <si>
    <t>Comuna Bughea de Sus</t>
  </si>
  <si>
    <t>BEIUS</t>
  </si>
  <si>
    <t>MARGHITA</t>
  </si>
  <si>
    <t>ORADEA</t>
  </si>
  <si>
    <t>SALONTA</t>
  </si>
  <si>
    <t>ALESD</t>
  </si>
  <si>
    <t>NUCET</t>
  </si>
  <si>
    <t>SACUIENI</t>
  </si>
  <si>
    <t>STEI</t>
  </si>
  <si>
    <t>VALEA LUI MIHAI</t>
  </si>
  <si>
    <t>VASCAU</t>
  </si>
  <si>
    <t>ABRAM</t>
  </si>
  <si>
    <t>ABRAMUT</t>
  </si>
  <si>
    <t>ASTILEU</t>
  </si>
  <si>
    <t>AUSEU</t>
  </si>
  <si>
    <t>AVRAM IANCU</t>
  </si>
  <si>
    <t>BALC</t>
  </si>
  <si>
    <t>BATAR</t>
  </si>
  <si>
    <t>BIHARIA</t>
  </si>
  <si>
    <t>BOIANU MARE</t>
  </si>
  <si>
    <t>BOROD</t>
  </si>
  <si>
    <t>BORS</t>
  </si>
  <si>
    <t>BRATCA</t>
  </si>
  <si>
    <t>BUDUREASA</t>
  </si>
  <si>
    <t>BUDUSLAU</t>
  </si>
  <si>
    <t>BULZ</t>
  </si>
  <si>
    <t>BUNTESTI</t>
  </si>
  <si>
    <t>CABESTI</t>
  </si>
  <si>
    <t>CAPALNA</t>
  </si>
  <si>
    <t>CARPINET</t>
  </si>
  <si>
    <t>CEFA</t>
  </si>
  <si>
    <t>CEICA</t>
  </si>
  <si>
    <t>CETARIU</t>
  </si>
  <si>
    <t>CHERECHIU</t>
  </si>
  <si>
    <t>CHISLAZ</t>
  </si>
  <si>
    <t>SANIOB (CIUHOI)</t>
  </si>
  <si>
    <t>CIUMEGHIU</t>
  </si>
  <si>
    <t>CAMPANI</t>
  </si>
  <si>
    <t>COCIUBA MARE</t>
  </si>
  <si>
    <t>COPACEL</t>
  </si>
  <si>
    <t>CRISTIORU DE JOS</t>
  </si>
  <si>
    <t>CURATELE</t>
  </si>
  <si>
    <t>CURTUIUSENI</t>
  </si>
  <si>
    <t>DERNA</t>
  </si>
  <si>
    <t>DIOSIG</t>
  </si>
  <si>
    <t>DRAGESTI</t>
  </si>
  <si>
    <t>FINIS</t>
  </si>
  <si>
    <t>GEPIU</t>
  </si>
  <si>
    <t>GIRIS DE CRIS</t>
  </si>
  <si>
    <t>HIDISELU DE SUS</t>
  </si>
  <si>
    <t>HOLOD</t>
  </si>
  <si>
    <t>HUSASAU DE TINCA</t>
  </si>
  <si>
    <t>INEU</t>
  </si>
  <si>
    <t>LAZURI DE BEIUS</t>
  </si>
  <si>
    <t>LAZARENI</t>
  </si>
  <si>
    <t>LUGASU DE JOS</t>
  </si>
  <si>
    <t>.MADARAS</t>
  </si>
  <si>
    <t>MAGESTI</t>
  </si>
  <si>
    <t>NOJORID</t>
  </si>
  <si>
    <t>OLCEA</t>
  </si>
  <si>
    <t>OSORHEI</t>
  </si>
  <si>
    <t>PALEU</t>
  </si>
  <si>
    <t>POCOLA</t>
  </si>
  <si>
    <t>POMEZEU</t>
  </si>
  <si>
    <t>POPESTI</t>
  </si>
  <si>
    <t>RABAGANI</t>
  </si>
  <si>
    <t>REMETEA</t>
  </si>
  <si>
    <t>RIENI</t>
  </si>
  <si>
    <t>ROSIORI</t>
  </si>
  <si>
    <t>SACADAT</t>
  </si>
  <si>
    <t>SALACEA</t>
  </si>
  <si>
    <t>SALARD</t>
  </si>
  <si>
    <t>SAMBATA</t>
  </si>
  <si>
    <t>SANMARTIN</t>
  </si>
  <si>
    <t>SANTANDREI</t>
  </si>
  <si>
    <t>SANICOLAUL ROMAN</t>
  </si>
  <si>
    <t>SARBI</t>
  </si>
  <si>
    <t>SPINUS</t>
  </si>
  <si>
    <t>SUPLACUL DE BARCAU</t>
  </si>
  <si>
    <t>SINTEU</t>
  </si>
  <si>
    <t>SOIMI</t>
  </si>
  <si>
    <t>SUNCUIUS</t>
  </si>
  <si>
    <t>TARCEA</t>
  </si>
  <si>
    <t>TAMASEU</t>
  </si>
  <si>
    <t>TARCAIA</t>
  </si>
  <si>
    <t>TAUTEU</t>
  </si>
  <si>
    <t>TILEAGD</t>
  </si>
  <si>
    <t>TINCA</t>
  </si>
  <si>
    <t>TULCA</t>
  </si>
  <si>
    <t>TETCHEA</t>
  </si>
  <si>
    <t>UILEACU DE BEIUS</t>
  </si>
  <si>
    <t>VADU CRISULUI</t>
  </si>
  <si>
    <t>VARCIOROG</t>
  </si>
  <si>
    <t>TOBOLIU</t>
  </si>
  <si>
    <t>BISTRITA</t>
  </si>
  <si>
    <t>NASAUD</t>
  </si>
  <si>
    <t>SINGEORZ BAI</t>
  </si>
  <si>
    <t>BISTRITA BIRGAULUI</t>
  </si>
  <si>
    <t>BUDACU DE JOS</t>
  </si>
  <si>
    <t>CAIANU MIC</t>
  </si>
  <si>
    <t>CICEU GIURGESTI</t>
  </si>
  <si>
    <t>CICEU MIHAIESTI</t>
  </si>
  <si>
    <t>CHIOCHIS</t>
  </si>
  <si>
    <t>CHIUZA</t>
  </si>
  <si>
    <t>COSBUC</t>
  </si>
  <si>
    <t>DUMITRA</t>
  </si>
  <si>
    <t>DUMITRITA</t>
  </si>
  <si>
    <t>FELDRU</t>
  </si>
  <si>
    <t>GALATII BISTRITEI</t>
  </si>
  <si>
    <t>ILVA MARE</t>
  </si>
  <si>
    <t>ILVA MICA</t>
  </si>
  <si>
    <t>JOSENII BIRGAULUI</t>
  </si>
  <si>
    <t>LECHINTA</t>
  </si>
  <si>
    <t>LESU</t>
  </si>
  <si>
    <t>LUNCA ILVEI</t>
  </si>
  <si>
    <t>MAIERU</t>
  </si>
  <si>
    <t>MATEI</t>
  </si>
  <si>
    <t>MAGURA ILVEI</t>
  </si>
  <si>
    <t>MARISELU</t>
  </si>
  <si>
    <t>MICESTII DE CIMPIE</t>
  </si>
  <si>
    <t>MILAS</t>
  </si>
  <si>
    <t>MONOR</t>
  </si>
  <si>
    <t>NEGRILESTI</t>
  </si>
  <si>
    <t>NIMIGEA</t>
  </si>
  <si>
    <t>NUSENI</t>
  </si>
  <si>
    <t>PARVA</t>
  </si>
  <si>
    <t>PETRU RARES</t>
  </si>
  <si>
    <t>POIANA ILVEI</t>
  </si>
  <si>
    <t>PRUNDU BIRGAULUI</t>
  </si>
  <si>
    <t>REBRA</t>
  </si>
  <si>
    <t>REBRISOARA</t>
  </si>
  <si>
    <t>RODNA</t>
  </si>
  <si>
    <t>ROMULI</t>
  </si>
  <si>
    <t>RUNCU SALVEI</t>
  </si>
  <si>
    <t>SALVA</t>
  </si>
  <si>
    <t>SILIVASU DE CIMPIE</t>
  </si>
  <si>
    <t>SINMIHAIU DE CIMPIE</t>
  </si>
  <si>
    <t>SPERMEZEU</t>
  </si>
  <si>
    <t>SANT</t>
  </si>
  <si>
    <t>SIEU</t>
  </si>
  <si>
    <t>SIEUT</t>
  </si>
  <si>
    <t>SIEU MAGHERUS</t>
  </si>
  <si>
    <t>SIEU ODORHEI</t>
  </si>
  <si>
    <t>SINTEREAG</t>
  </si>
  <si>
    <t>TEACA</t>
  </si>
  <si>
    <t>TELCIU</t>
  </si>
  <si>
    <t>TIHA BIRGAULUI</t>
  </si>
  <si>
    <t>TIRLISUA</t>
  </si>
  <si>
    <t>URIU</t>
  </si>
  <si>
    <t>URMENIS</t>
  </si>
  <si>
    <t>ZAGRA</t>
  </si>
  <si>
    <t>Municipiul Braila</t>
  </si>
  <si>
    <t>IANCA</t>
  </si>
  <si>
    <t>INSURATEI</t>
  </si>
  <si>
    <t>BARAGANU</t>
  </si>
  <si>
    <t>BERTESTII DE JOS</t>
  </si>
  <si>
    <t>BORDEI VERDE</t>
  </si>
  <si>
    <t>CIOCILE</t>
  </si>
  <si>
    <t>DUDESTI</t>
  </si>
  <si>
    <t>GALBENU</t>
  </si>
  <si>
    <t>GEMENELE</t>
  </si>
  <si>
    <t>GROPENI</t>
  </si>
  <si>
    <t>CHISCANI</t>
  </si>
  <si>
    <t>SURDILA GRECI</t>
  </si>
  <si>
    <t>JIRLAU</t>
  </si>
  <si>
    <t>MARASU</t>
  </si>
  <si>
    <t>MAXINENI</t>
  </si>
  <si>
    <t>MIRCEA VODA</t>
  </si>
  <si>
    <t>MOVILA MIRESII</t>
  </si>
  <si>
    <t>RAMNICELU</t>
  </si>
  <si>
    <t>ROMANU</t>
  </si>
  <si>
    <t>SALCIA TUDOR</t>
  </si>
  <si>
    <t>SCORTARU NOU</t>
  </si>
  <si>
    <t>STANCUTA</t>
  </si>
  <si>
    <t>SURDILA GAISEANCA</t>
  </si>
  <si>
    <t>SUTESTI</t>
  </si>
  <si>
    <t>TICHILESTI</t>
  </si>
  <si>
    <t>TUDOR VLADIMIRESCU</t>
  </si>
  <si>
    <t>CAZASU</t>
  </si>
  <si>
    <t>TUFESTI</t>
  </si>
  <si>
    <t>VADENI</t>
  </si>
  <si>
    <t>VISANI</t>
  </si>
  <si>
    <t>VIZIRU</t>
  </si>
  <si>
    <t>ZAVOAIA</t>
  </si>
  <si>
    <t>MUN. BUZAU</t>
  </si>
  <si>
    <t>MUN. RAMNICU SARAT</t>
  </si>
  <si>
    <t>ORAS NEHOIU</t>
  </si>
  <si>
    <t>ORAS POGOANELE</t>
  </si>
  <si>
    <t>ORAS PATARLAGELE</t>
  </si>
  <si>
    <t>AMARU</t>
  </si>
  <si>
    <t>BALACEANU</t>
  </si>
  <si>
    <t>BALTA ALBA</t>
  </si>
  <si>
    <t>BECENI</t>
  </si>
  <si>
    <t>BERCA</t>
  </si>
  <si>
    <t>BISOCA</t>
  </si>
  <si>
    <t>BLAJANI</t>
  </si>
  <si>
    <t>BOLDU</t>
  </si>
  <si>
    <t>BOZIORU</t>
  </si>
  <si>
    <t>BRADEANU</t>
  </si>
  <si>
    <t>BRAIESTI</t>
  </si>
  <si>
    <t>BUDA</t>
  </si>
  <si>
    <t>CANESTI</t>
  </si>
  <si>
    <t>CALVINI</t>
  </si>
  <si>
    <t>C. A. ROSETTI</t>
  </si>
  <si>
    <t>CATINA</t>
  </si>
  <si>
    <t>CHILIILE</t>
  </si>
  <si>
    <t>CHIOJDU</t>
  </si>
  <si>
    <t>CILIBIA</t>
  </si>
  <si>
    <t>CISLAU</t>
  </si>
  <si>
    <t>COSTESTI</t>
  </si>
  <si>
    <t>COCHIRLEANCA</t>
  </si>
  <si>
    <t>COZIENI</t>
  </si>
  <si>
    <t>COLTI</t>
  </si>
  <si>
    <t>GHERASENI</t>
  </si>
  <si>
    <t>GHERGHEASA</t>
  </si>
  <si>
    <t>GLODEANU SILISTEA</t>
  </si>
  <si>
    <t>GLODEANU SARAT</t>
  </si>
  <si>
    <t>GREBANU</t>
  </si>
  <si>
    <t>GURA TEGHII</t>
  </si>
  <si>
    <t>LARGU</t>
  </si>
  <si>
    <t>LOPATARI</t>
  </si>
  <si>
    <t>LUCIU</t>
  </si>
  <si>
    <t>MARACINENI</t>
  </si>
  <si>
    <t>MARGARITESTI</t>
  </si>
  <si>
    <t>MIHAILESTI</t>
  </si>
  <si>
    <t>MEREI</t>
  </si>
  <si>
    <t>MANZALESTI</t>
  </si>
  <si>
    <t>MOVILA BANULUI</t>
  </si>
  <si>
    <t>MURGESTI</t>
  </si>
  <si>
    <t>NAENI</t>
  </si>
  <si>
    <t>ODAILE</t>
  </si>
  <si>
    <t>PARDOSI</t>
  </si>
  <si>
    <t>PANATAU</t>
  </si>
  <si>
    <t>PIETROASELE</t>
  </si>
  <si>
    <t>PARSCOV</t>
  </si>
  <si>
    <t>PODGORIA</t>
  </si>
  <si>
    <t>POASTA CALNAU</t>
  </si>
  <si>
    <t>PUIESTI</t>
  </si>
  <si>
    <t>RACOVITENI</t>
  </si>
  <si>
    <t>ROBEASCA</t>
  </si>
  <si>
    <t>RUSETU</t>
  </si>
  <si>
    <t>SAGEATA</t>
  </si>
  <si>
    <t>SAHATENI</t>
  </si>
  <si>
    <t>SAPOCA</t>
  </si>
  <si>
    <t>SCORTOASA</t>
  </si>
  <si>
    <t>SCUTELNICI</t>
  </si>
  <si>
    <t>SIRIU</t>
  </si>
  <si>
    <t>SMEENI</t>
  </si>
  <si>
    <t>STALPU</t>
  </si>
  <si>
    <t>TISAU</t>
  </si>
  <si>
    <t>TOPLICENI</t>
  </si>
  <si>
    <t>TINTESTI</t>
  </si>
  <si>
    <t>VADU PASII</t>
  </si>
  <si>
    <t>VALEA RAMNICULUI</t>
  </si>
  <si>
    <t>VALEA SALCIEI</t>
  </si>
  <si>
    <t>VERNESTI</t>
  </si>
  <si>
    <t>VINTILA VODA</t>
  </si>
  <si>
    <t>VIPERESTI</t>
  </si>
  <si>
    <t>ZIDURI</t>
  </si>
  <si>
    <t>UNGURIU</t>
  </si>
  <si>
    <t>FLORICA</t>
  </si>
  <si>
    <t>Constanta</t>
  </si>
  <si>
    <t>Medgidia</t>
  </si>
  <si>
    <t xml:space="preserve">Mangalia </t>
  </si>
  <si>
    <t>baneasa</t>
  </si>
  <si>
    <t>navodari</t>
  </si>
  <si>
    <t>cernavodă</t>
  </si>
  <si>
    <t>eforie</t>
  </si>
  <si>
    <t>hârşova</t>
  </si>
  <si>
    <t>negruvoda</t>
  </si>
  <si>
    <t>murfatlat</t>
  </si>
  <si>
    <t>ovidiu</t>
  </si>
  <si>
    <t>techirghiol</t>
  </si>
  <si>
    <t xml:space="preserve">adamclisi </t>
  </si>
  <si>
    <t xml:space="preserve">agigea </t>
  </si>
  <si>
    <t>albeşti</t>
  </si>
  <si>
    <t xml:space="preserve">aliman </t>
  </si>
  <si>
    <t>amzacea</t>
  </si>
  <si>
    <t>23 august</t>
  </si>
  <si>
    <t>bărăganu</t>
  </si>
  <si>
    <t>castelu</t>
  </si>
  <si>
    <t>cerchezu</t>
  </si>
  <si>
    <t>chirnogeni</t>
  </si>
  <si>
    <t>ciobanu</t>
  </si>
  <si>
    <t>ciocârlia</t>
  </si>
  <si>
    <t xml:space="preserve">cobadin </t>
  </si>
  <si>
    <t>costineşti</t>
  </si>
  <si>
    <t>cogealac</t>
  </si>
  <si>
    <t>comana</t>
  </si>
  <si>
    <t>corbu</t>
  </si>
  <si>
    <t>crucea</t>
  </si>
  <si>
    <t>cumpăna</t>
  </si>
  <si>
    <t>cuza voda</t>
  </si>
  <si>
    <t>deleni</t>
  </si>
  <si>
    <t>dobromir</t>
  </si>
  <si>
    <t>dumbrăveni</t>
  </si>
  <si>
    <t>fantanele</t>
  </si>
  <si>
    <t>ghindăresţi</t>
  </si>
  <si>
    <t>gradina</t>
  </si>
  <si>
    <t>gârliciu</t>
  </si>
  <si>
    <t>horia</t>
  </si>
  <si>
    <t>independenţa</t>
  </si>
  <si>
    <t>ion corvin</t>
  </si>
  <si>
    <t>istria</t>
  </si>
  <si>
    <t>limanu</t>
  </si>
  <si>
    <t>lipniţa</t>
  </si>
  <si>
    <t>lumina</t>
  </si>
  <si>
    <t>mereni</t>
  </si>
  <si>
    <t>m. kogălniceanu</t>
  </si>
  <si>
    <t>m viteazu</t>
  </si>
  <si>
    <t>m vodă</t>
  </si>
  <si>
    <t>n bălcescu</t>
  </si>
  <si>
    <t>oltina</t>
  </si>
  <si>
    <t>ostrov</t>
  </si>
  <si>
    <t>pantelimon</t>
  </si>
  <si>
    <t>pecineaga</t>
  </si>
  <si>
    <t>peştera</t>
  </si>
  <si>
    <t>poarta albă</t>
  </si>
  <si>
    <t>rasova</t>
  </si>
  <si>
    <t>saraiu</t>
  </si>
  <si>
    <t>saligny</t>
  </si>
  <si>
    <t>săcele</t>
  </si>
  <si>
    <t>siliştea</t>
  </si>
  <si>
    <t>târguşor</t>
  </si>
  <si>
    <t>tuzla</t>
  </si>
  <si>
    <t>topalu</t>
  </si>
  <si>
    <t>topraisar</t>
  </si>
  <si>
    <t>tortoman</t>
  </si>
  <si>
    <t>valu lui traian</t>
  </si>
  <si>
    <t>vulturu</t>
  </si>
  <si>
    <t>seimeni</t>
  </si>
  <si>
    <t>DEVA</t>
  </si>
  <si>
    <t>BRAD</t>
  </si>
  <si>
    <t>HUNEDOARA</t>
  </si>
  <si>
    <t>LUPENI</t>
  </si>
  <si>
    <t>ORASTIE</t>
  </si>
  <si>
    <t>PETROSANI</t>
  </si>
  <si>
    <t>ANINOASA</t>
  </si>
  <si>
    <t>CALAN</t>
  </si>
  <si>
    <t>GEOAGIU</t>
  </si>
  <si>
    <t>HATEG</t>
  </si>
  <si>
    <t>PETRILA</t>
  </si>
  <si>
    <t>SIMERIA</t>
  </si>
  <si>
    <t>URICANI</t>
  </si>
  <si>
    <t>BAIA DE CRIS</t>
  </si>
  <si>
    <t>BALSA</t>
  </si>
  <si>
    <t xml:space="preserve">BARU </t>
  </si>
  <si>
    <t>BACIA</t>
  </si>
  <si>
    <t>BAITA</t>
  </si>
  <si>
    <t>BANITA</t>
  </si>
  <si>
    <t>BATRANA</t>
  </si>
  <si>
    <t>BERIU</t>
  </si>
  <si>
    <t>BLAJENI</t>
  </si>
  <si>
    <t>BOSOROD</t>
  </si>
  <si>
    <t>BRANISCA</t>
  </si>
  <si>
    <t>BRETEA ROMANA</t>
  </si>
  <si>
    <t>BUCES</t>
  </si>
  <si>
    <t>BUCURESCI</t>
  </si>
  <si>
    <t>BUNILA</t>
  </si>
  <si>
    <t>BURJUC</t>
  </si>
  <si>
    <t>CERBAL</t>
  </si>
  <si>
    <t>CERTEJU DE SUS</t>
  </si>
  <si>
    <t>CARJITI</t>
  </si>
  <si>
    <t>CRISCIOR</t>
  </si>
  <si>
    <t>DENSUS</t>
  </si>
  <si>
    <t>DOBRA</t>
  </si>
  <si>
    <t>GENERAL BERTHELOT</t>
  </si>
  <si>
    <t>GHELARI</t>
  </si>
  <si>
    <t>GURASADA</t>
  </si>
  <si>
    <t>HARAU</t>
  </si>
  <si>
    <t>ILIA</t>
  </si>
  <si>
    <t>LAPUGIU DE JOS</t>
  </si>
  <si>
    <t>LELESE</t>
  </si>
  <si>
    <t>LUNCA CERNII</t>
  </si>
  <si>
    <t>LUNCOIU DE JOS</t>
  </si>
  <si>
    <t>MARTINESTI</t>
  </si>
  <si>
    <t>ORASTIOARA DE SUS</t>
  </si>
  <si>
    <t>PESTISU MIC</t>
  </si>
  <si>
    <t>PUI</t>
  </si>
  <si>
    <t>RAPOLTU MARE</t>
  </si>
  <si>
    <t>RACHITOVA</t>
  </si>
  <si>
    <t>RIBITA</t>
  </si>
  <si>
    <t>RIU DE MORI</t>
  </si>
  <si>
    <t>ROMOS</t>
  </si>
  <si>
    <t>SARMIZEGETUSA</t>
  </si>
  <si>
    <t>SALASU DE SUS</t>
  </si>
  <si>
    <t>SANTAMARIA ORLEA</t>
  </si>
  <si>
    <t>SOIMUS</t>
  </si>
  <si>
    <t>TELIUCU INFERIOR</t>
  </si>
  <si>
    <t>TOPLITA</t>
  </si>
  <si>
    <t>TOTESTI</t>
  </si>
  <si>
    <t>TURDAS</t>
  </si>
  <si>
    <t>VATA DE JOS</t>
  </si>
  <si>
    <t>VALISOARA</t>
  </si>
  <si>
    <t>VETEL</t>
  </si>
  <si>
    <t>VORTA</t>
  </si>
  <si>
    <t>ZAM</t>
  </si>
  <si>
    <t>Miercurea-Ciuc</t>
  </si>
  <si>
    <t>Odorheiu-Secuiesc</t>
  </si>
  <si>
    <t xml:space="preserve">Topliţa </t>
  </si>
  <si>
    <t>Gheorgheni</t>
  </si>
  <si>
    <t>Băile-Tuşnad</t>
  </si>
  <si>
    <t>Bălan</t>
  </si>
  <si>
    <t>Borsec</t>
  </si>
  <si>
    <t>Cristuru-Secuiesc</t>
  </si>
  <si>
    <t>Vlăhiţa</t>
  </si>
  <si>
    <t>Atid</t>
  </si>
  <si>
    <t>Avrămeşti</t>
  </si>
  <si>
    <t>Bilbor</t>
  </si>
  <si>
    <t>Bradesti</t>
  </si>
  <si>
    <t>Căpâlniţa</t>
  </si>
  <si>
    <t>Ciceu</t>
  </si>
  <si>
    <t>Ciucsângeorgiu</t>
  </si>
  <si>
    <t>Ciumani</t>
  </si>
  <si>
    <t>Cârţa</t>
  </si>
  <si>
    <t>Corbu</t>
  </si>
  <si>
    <t>Corund</t>
  </si>
  <si>
    <t>Cozmeni</t>
  </si>
  <si>
    <t>Dăneşti</t>
  </si>
  <si>
    <t>Dealu</t>
  </si>
  <si>
    <t>Ditrău</t>
  </si>
  <si>
    <t>Dârjiu</t>
  </si>
  <si>
    <t>Feliceni</t>
  </si>
  <si>
    <t>Frumoasa</t>
  </si>
  <si>
    <t>Gălăuţaş</t>
  </si>
  <si>
    <t>Joseni</t>
  </si>
  <si>
    <t>Lăzarea</t>
  </si>
  <si>
    <t>Leliceni</t>
  </si>
  <si>
    <t>Lueta</t>
  </si>
  <si>
    <t>Lunca de Jos</t>
  </si>
  <si>
    <t>Lunca de Sus</t>
  </si>
  <si>
    <t>Lupeni</t>
  </si>
  <si>
    <t>Mădăraş</t>
  </si>
  <si>
    <t>Mărtiniş</t>
  </si>
  <si>
    <t>Mereşti</t>
  </si>
  <si>
    <t>Mihăileni</t>
  </si>
  <si>
    <t>Mugeni</t>
  </si>
  <si>
    <t>Ocland</t>
  </si>
  <si>
    <t>Păuleni Ciuc</t>
  </si>
  <si>
    <t>Plăieşii de Jos</t>
  </si>
  <si>
    <t>Porumbeni</t>
  </si>
  <si>
    <t>Praid</t>
  </si>
  <si>
    <t>Racu</t>
  </si>
  <si>
    <t>Remetea</t>
  </si>
  <si>
    <t>Satu-Mare</t>
  </si>
  <si>
    <t>Săcel</t>
  </si>
  <si>
    <t>Sărmaş</t>
  </si>
  <si>
    <t>Secuieni</t>
  </si>
  <si>
    <t>Siculeni</t>
  </si>
  <si>
    <t>Sâncrăieni</t>
  </si>
  <si>
    <t>Sândominic</t>
  </si>
  <si>
    <t>Sânmartin</t>
  </si>
  <si>
    <t>Sânsimion</t>
  </si>
  <si>
    <t>Sântimbru</t>
  </si>
  <si>
    <t>Subcetate</t>
  </si>
  <si>
    <t>Suseni</t>
  </si>
  <si>
    <t>Şimoneşti</t>
  </si>
  <si>
    <t>Tomeşti</t>
  </si>
  <si>
    <t>Tulgheş</t>
  </si>
  <si>
    <t>Tuşnad</t>
  </si>
  <si>
    <t>Ulieş</t>
  </si>
  <si>
    <t>Vărşag</t>
  </si>
  <si>
    <t>Voşlobeni</t>
  </si>
  <si>
    <t>Zetea</t>
  </si>
  <si>
    <t>TIRGU MURES</t>
  </si>
  <si>
    <t>SIGHISOARA</t>
  </si>
  <si>
    <t>REGHIN</t>
  </si>
  <si>
    <t>TIRNAVENI</t>
  </si>
  <si>
    <t>IERNUT</t>
  </si>
  <si>
    <t>LUDUS</t>
  </si>
  <si>
    <t>SOVATA</t>
  </si>
  <si>
    <t>MIERCUREA NIRAJ</t>
  </si>
  <si>
    <t>SARMASU</t>
  </si>
  <si>
    <t>SINGEORGIU DE PADURE</t>
  </si>
  <si>
    <t>UNGHENI</t>
  </si>
  <si>
    <t>ACATARI</t>
  </si>
  <si>
    <t>ADAMUS</t>
  </si>
  <si>
    <t>ALBESTI</t>
  </si>
  <si>
    <t>APOLD</t>
  </si>
  <si>
    <t>ATINTIS</t>
  </si>
  <si>
    <t>BAHNEA</t>
  </si>
  <si>
    <t>BAND</t>
  </si>
  <si>
    <t>BATOS</t>
  </si>
  <si>
    <t>BAGACIU</t>
  </si>
  <si>
    <t>BALAUSERI</t>
  </si>
  <si>
    <t>BEICA DE JOS</t>
  </si>
  <si>
    <t>BICHIS</t>
  </si>
  <si>
    <t>BOGATA</t>
  </si>
  <si>
    <t>BRINCOVENESTI</t>
  </si>
  <si>
    <t>CEUASU DE CIMPIE</t>
  </si>
  <si>
    <t>CHETANI</t>
  </si>
  <si>
    <t>CHIHERU DE JOS</t>
  </si>
  <si>
    <t>COROISINMARTIN</t>
  </si>
  <si>
    <t>COZMA</t>
  </si>
  <si>
    <t>CRACIUNESTI</t>
  </si>
  <si>
    <t>CRAIESTI</t>
  </si>
  <si>
    <t>CRISTESTI</t>
  </si>
  <si>
    <t>CUCERDEA</t>
  </si>
  <si>
    <t>CUCI</t>
  </si>
  <si>
    <t>DANES</t>
  </si>
  <si>
    <t>DEDA</t>
  </si>
  <si>
    <t>EREMITU</t>
  </si>
  <si>
    <t>ERNEI</t>
  </si>
  <si>
    <t>FARAGAU</t>
  </si>
  <si>
    <t>FINTINELE</t>
  </si>
  <si>
    <t>GALESTI</t>
  </si>
  <si>
    <t>GANESTI</t>
  </si>
  <si>
    <t>GHEORGHE DOJA</t>
  </si>
  <si>
    <t>GHINDARI</t>
  </si>
  <si>
    <t>GLODENI</t>
  </si>
  <si>
    <t>GORNESTI</t>
  </si>
  <si>
    <t>GREBENISU DE CIMPIE</t>
  </si>
  <si>
    <t>GURGHIU</t>
  </si>
  <si>
    <t>HODAC</t>
  </si>
  <si>
    <t>HODOSA</t>
  </si>
  <si>
    <t>IBANESTI</t>
  </si>
  <si>
    <t>ICLANZEL</t>
  </si>
  <si>
    <t>IDECIU DE JOS</t>
  </si>
  <si>
    <t>LIVEZENI</t>
  </si>
  <si>
    <t>LUNCA BRADULUI</t>
  </si>
  <si>
    <t>MAGHERANI</t>
  </si>
  <si>
    <t>MICA</t>
  </si>
  <si>
    <t>CHIBED</t>
  </si>
  <si>
    <t>MIHESU DE CIMPIE</t>
  </si>
  <si>
    <t>NADES</t>
  </si>
  <si>
    <t>NEAUA</t>
  </si>
  <si>
    <t>OGRA</t>
  </si>
  <si>
    <t>PAPIU ILARIAN</t>
  </si>
  <si>
    <t>PANET</t>
  </si>
  <si>
    <t>PASARENI</t>
  </si>
  <si>
    <t>PETELEA</t>
  </si>
  <si>
    <t>POGACEAUA</t>
  </si>
  <si>
    <t>RASTOLITA</t>
  </si>
  <si>
    <t>RICIU</t>
  </si>
  <si>
    <t>RUSII MUNTI</t>
  </si>
  <si>
    <t>SASCHIZ</t>
  </si>
  <si>
    <t>SINCRAIU DE MURES</t>
  </si>
  <si>
    <t>SINGEORGIU DE MURES</t>
  </si>
  <si>
    <t>SINGER</t>
  </si>
  <si>
    <t>SINPAUL</t>
  </si>
  <si>
    <t>SINPETRU DE CIMPIE</t>
  </si>
  <si>
    <t>SINTANA DE MURES</t>
  </si>
  <si>
    <t>SOLOVASTRU</t>
  </si>
  <si>
    <t>STINCENI</t>
  </si>
  <si>
    <t>SUPLAC</t>
  </si>
  <si>
    <t>SUSENI</t>
  </si>
  <si>
    <t>SAULIA</t>
  </si>
  <si>
    <t>SINCAI</t>
  </si>
  <si>
    <t>TAURENI</t>
  </si>
  <si>
    <t>VALEA LARGA</t>
  </si>
  <si>
    <t>VARGATA</t>
  </si>
  <si>
    <t>VATAVA</t>
  </si>
  <si>
    <t>VETCA</t>
  </si>
  <si>
    <t>VINATORI</t>
  </si>
  <si>
    <t>VOIVODENI</t>
  </si>
  <si>
    <t>ZAGAR</t>
  </si>
  <si>
    <t>ZAU DE CIMPIE</t>
  </si>
  <si>
    <t>BERENI</t>
  </si>
  <si>
    <t>CORUNCA</t>
  </si>
  <si>
    <t>MADARAS</t>
  </si>
  <si>
    <t>SARATENI</t>
  </si>
  <si>
    <t>BARLAD</t>
  </si>
  <si>
    <t>HUSI</t>
  </si>
  <si>
    <t>VASLUI</t>
  </si>
  <si>
    <t>MURGENI</t>
  </si>
  <si>
    <t>AL. VLAHUTA</t>
  </si>
  <si>
    <t>ARSURA</t>
  </si>
  <si>
    <t>BANCA</t>
  </si>
  <si>
    <t>BACANI</t>
  </si>
  <si>
    <t>BACESTI</t>
  </si>
  <si>
    <t>BALTENI</t>
  </si>
  <si>
    <t>BEREZENI</t>
  </si>
  <si>
    <t>BLAGESTI</t>
  </si>
  <si>
    <t>BOGDANESTI</t>
  </si>
  <si>
    <t>BOGDANITA</t>
  </si>
  <si>
    <t>BUNESTI-AVERESTI</t>
  </si>
  <si>
    <t>CIOCANI</t>
  </si>
  <si>
    <t>CODAIESTI</t>
  </si>
  <si>
    <t>COROIESTI</t>
  </si>
  <si>
    <t>COZMESTI</t>
  </si>
  <si>
    <t>CRETESTI</t>
  </si>
  <si>
    <t>DANESTI</t>
  </si>
  <si>
    <t>DELENI</t>
  </si>
  <si>
    <t>DELESTI</t>
  </si>
  <si>
    <t>DIMITRIE CANTEMIR</t>
  </si>
  <si>
    <t>DODESTI</t>
  </si>
  <si>
    <t>DRANCENI</t>
  </si>
  <si>
    <t>DUDA-EPURENI</t>
  </si>
  <si>
    <t>DUMESTI</t>
  </si>
  <si>
    <t>EPURENI</t>
  </si>
  <si>
    <t>FALCIU</t>
  </si>
  <si>
    <t>FERESTI</t>
  </si>
  <si>
    <t>FRUNTISENI</t>
  </si>
  <si>
    <t>GAGESTI</t>
  </si>
  <si>
    <t>GHERGHESTI</t>
  </si>
  <si>
    <t>GIRCENI</t>
  </si>
  <si>
    <t>GRIVITA</t>
  </si>
  <si>
    <t>HOCENI</t>
  </si>
  <si>
    <t>IANA</t>
  </si>
  <si>
    <t>IVANESTI</t>
  </si>
  <si>
    <t>IVESTI</t>
  </si>
  <si>
    <t>LAZA</t>
  </si>
  <si>
    <t>LIPOVAT</t>
  </si>
  <si>
    <t>LUNCA-BANULUI</t>
  </si>
  <si>
    <t>MALUSTENI</t>
  </si>
  <si>
    <t>MICLESTI</t>
  </si>
  <si>
    <t>MUNTENI DE JOS</t>
  </si>
  <si>
    <t>MUNTENI DE SUS</t>
  </si>
  <si>
    <t>OLTENESTI</t>
  </si>
  <si>
    <t>OSESTI</t>
  </si>
  <si>
    <t>PERIENI</t>
  </si>
  <si>
    <t>POCHIDIA</t>
  </si>
  <si>
    <t>POGANA</t>
  </si>
  <si>
    <t>POGONESTI</t>
  </si>
  <si>
    <t>POIENESTI</t>
  </si>
  <si>
    <t>PUNGESTI</t>
  </si>
  <si>
    <t>PUSCASI</t>
  </si>
  <si>
    <t>RAFAILA</t>
  </si>
  <si>
    <t>REBRICEA</t>
  </si>
  <si>
    <t>ROSIESTI</t>
  </si>
  <si>
    <t>SOLESTI</t>
  </si>
  <si>
    <t>STANILESTI</t>
  </si>
  <si>
    <t>SULETEA</t>
  </si>
  <si>
    <t>TANACU</t>
  </si>
  <si>
    <t>TACUTA</t>
  </si>
  <si>
    <t>TATARANI</t>
  </si>
  <si>
    <t>TODIRESTI</t>
  </si>
  <si>
    <t>TUTOVA</t>
  </si>
  <si>
    <t>VETRISOAIA</t>
  </si>
  <si>
    <t>VINDEREI</t>
  </si>
  <si>
    <t>VOINESTI</t>
  </si>
  <si>
    <t>VULTURESTI</t>
  </si>
  <si>
    <t>VUTCANI</t>
  </si>
  <si>
    <t>ZAPODENI</t>
  </si>
  <si>
    <t>ZORLENI</t>
  </si>
  <si>
    <t>ADANCATA</t>
  </si>
  <si>
    <t>ALEXENI</t>
  </si>
  <si>
    <t>BUESTI</t>
  </si>
  <si>
    <t>ANDRASESTI</t>
  </si>
  <si>
    <t>ARMASESTI</t>
  </si>
  <si>
    <t>AXINTELE</t>
  </si>
  <si>
    <t>BALACIU</t>
  </si>
  <si>
    <t>BORDUSANI</t>
  </si>
  <si>
    <t>RADULESTI</t>
  </si>
  <si>
    <t>BUCU</t>
  </si>
  <si>
    <t>COLELIA</t>
  </si>
  <si>
    <t>CIOCARLIA</t>
  </si>
  <si>
    <t>CIOCHINA</t>
  </si>
  <si>
    <t>CIULNITA</t>
  </si>
  <si>
    <t>COCORA</t>
  </si>
  <si>
    <t>COSAMBESTI</t>
  </si>
  <si>
    <t>COSERENI</t>
  </si>
  <si>
    <t>DRAGOESTI</t>
  </si>
  <si>
    <t>DRIDU</t>
  </si>
  <si>
    <t>FACAENI</t>
  </si>
  <si>
    <t>MAIA</t>
  </si>
  <si>
    <t>GIURGENI</t>
  </si>
  <si>
    <t>GHEORGHE LAZAR</t>
  </si>
  <si>
    <t>GARBOVI</t>
  </si>
  <si>
    <t>ION ROATA</t>
  </si>
  <si>
    <t>JILAVELE</t>
  </si>
  <si>
    <t>MANASIA</t>
  </si>
  <si>
    <t>MILOSESTI</t>
  </si>
  <si>
    <t>MIHAIL KOGALNICEANU</t>
  </si>
  <si>
    <t>MOVILA</t>
  </si>
  <si>
    <t>MOVILITA</t>
  </si>
  <si>
    <t>MUNTENI BUZAU</t>
  </si>
  <si>
    <t>PERIETI</t>
  </si>
  <si>
    <t>REVIGA</t>
  </si>
  <si>
    <t>SALCIOARA</t>
  </si>
  <si>
    <t>SAVENI</t>
  </si>
  <si>
    <t>SCANTEIA</t>
  </si>
  <si>
    <t>SFANTUL GHEORGHE</t>
  </si>
  <si>
    <t>SINESTI</t>
  </si>
  <si>
    <t>STELNICA</t>
  </si>
  <si>
    <t>SUDITI</t>
  </si>
  <si>
    <t>VALEA CIORII</t>
  </si>
  <si>
    <t>VALEA MACRISULUI</t>
  </si>
  <si>
    <t>VLADENI</t>
  </si>
  <si>
    <t>OGRADA</t>
  </si>
  <si>
    <t>BORANESTI</t>
  </si>
  <si>
    <t>MODOVENI</t>
  </si>
  <si>
    <t>PLATONESTI</t>
  </si>
  <si>
    <t>MARCULESTI</t>
  </si>
  <si>
    <t>GURA IALOMITEI</t>
  </si>
  <si>
    <t>BARBULESTI</t>
  </si>
  <si>
    <t>ORAS TANDAREI</t>
  </si>
  <si>
    <t>ORAS AMARA</t>
  </si>
  <si>
    <t>ORAS FIERBINTI TARG</t>
  </si>
  <si>
    <t>ORAS CAZANESTI</t>
  </si>
  <si>
    <t>MUNICIPIUL SLOBOZIA</t>
  </si>
  <si>
    <t>MUNICIPIUL URZICENI</t>
  </si>
  <si>
    <t>MUNICIPIUL FETESTI</t>
  </si>
  <si>
    <t>FOCSANI</t>
  </si>
  <si>
    <t>ADJUD</t>
  </si>
  <si>
    <t>MARASESTI</t>
  </si>
  <si>
    <t>ODOBESTI</t>
  </si>
  <si>
    <t>PANCIU</t>
  </si>
  <si>
    <t>ANDREIASU</t>
  </si>
  <si>
    <t>BALESTI</t>
  </si>
  <si>
    <t>BILIESTI</t>
  </si>
  <si>
    <t>BIRSESTI</t>
  </si>
  <si>
    <t>BOGHESTI</t>
  </si>
  <si>
    <t>BOLOTESTI</t>
  </si>
  <si>
    <t>BORDESTI</t>
  </si>
  <si>
    <t>CHIOJDENI</t>
  </si>
  <si>
    <t>CIORASTI</t>
  </si>
  <si>
    <t>CIMPINEANCA</t>
  </si>
  <si>
    <t>CIMPURI</t>
  </si>
  <si>
    <t>CIRLIGELE</t>
  </si>
  <si>
    <t>CORBITA</t>
  </si>
  <si>
    <t>COTESTI</t>
  </si>
  <si>
    <t>DUMITRESTI</t>
  </si>
  <si>
    <t>FITIONESTI</t>
  </si>
  <si>
    <t>GAROAFA</t>
  </si>
  <si>
    <t>GOLESTI</t>
  </si>
  <si>
    <t>GOLOGANU</t>
  </si>
  <si>
    <t>GUGESTI</t>
  </si>
  <si>
    <t>GURA CALITEI</t>
  </si>
  <si>
    <t>HOMOCEA</t>
  </si>
  <si>
    <t>JARISTEA</t>
  </si>
  <si>
    <t>JITIA</t>
  </si>
  <si>
    <t>MAICANESTI</t>
  </si>
  <si>
    <t>MERA</t>
  </si>
  <si>
    <t>MILCOVUL</t>
  </si>
  <si>
    <t>NANESTI</t>
  </si>
  <si>
    <t>NARUJA</t>
  </si>
  <si>
    <t>NEREJU</t>
  </si>
  <si>
    <t>NISTORESTI</t>
  </si>
  <si>
    <t>OBREJITA</t>
  </si>
  <si>
    <t>PALTIN</t>
  </si>
  <si>
    <t>PAUNESTI</t>
  </si>
  <si>
    <t>PLOSCUTENI</t>
  </si>
  <si>
    <t>POIANA CRISTEI</t>
  </si>
  <si>
    <t>PUFESTI</t>
  </si>
  <si>
    <t>RACOASA</t>
  </si>
  <si>
    <t>RASTOACA</t>
  </si>
  <si>
    <t>REGHIU</t>
  </si>
  <si>
    <t>RUGINESTI</t>
  </si>
  <si>
    <t>SIHLEA</t>
  </si>
  <si>
    <t>SLOBOZIA BRADULUI</t>
  </si>
  <si>
    <t>SLOBOZIA CIORASTI</t>
  </si>
  <si>
    <t>SOVEJA</t>
  </si>
  <si>
    <t>SPULBER</t>
  </si>
  <si>
    <t>STRAOANE</t>
  </si>
  <si>
    <t>SURAIA</t>
  </si>
  <si>
    <t>TANASOAIA</t>
  </si>
  <si>
    <t>TATARANU</t>
  </si>
  <si>
    <t>TIMBOIESTI</t>
  </si>
  <si>
    <t>TULNICI</t>
  </si>
  <si>
    <t>TIFESTI</t>
  </si>
  <si>
    <t>URECHESTI</t>
  </si>
  <si>
    <t>VALEA SARII</t>
  </si>
  <si>
    <t>VINTILEASCA</t>
  </si>
  <si>
    <t>VIZANTEA LIVEZI</t>
  </si>
  <si>
    <t>VIRTESCOIU</t>
  </si>
  <si>
    <t>VRINCIOAIA</t>
  </si>
  <si>
    <t>VULTURU</t>
  </si>
  <si>
    <t>GIURGIU</t>
  </si>
  <si>
    <t>BOLINTIN VALE</t>
  </si>
  <si>
    <t>ZALAU</t>
  </si>
  <si>
    <t>CEHU SILV</t>
  </si>
  <si>
    <t>JIBOU</t>
  </si>
  <si>
    <t>SIMLEU SILVANIEI</t>
  </si>
  <si>
    <t>AGRIJ</t>
  </si>
  <si>
    <t>ALMAS</t>
  </si>
  <si>
    <t>BABENI</t>
  </si>
  <si>
    <t>BALAN</t>
  </si>
  <si>
    <t>BANISOR</t>
  </si>
  <si>
    <t>BENESAT</t>
  </si>
  <si>
    <t>BOBOTA</t>
  </si>
  <si>
    <t>BOCSA</t>
  </si>
  <si>
    <t>BOGHIS</t>
  </si>
  <si>
    <t>BUCIUMI</t>
  </si>
  <si>
    <t>CAMAR</t>
  </si>
  <si>
    <t>CARASTELEC</t>
  </si>
  <si>
    <t>CHIESD</t>
  </si>
  <si>
    <t>CIZER</t>
  </si>
  <si>
    <t>COSEI</t>
  </si>
  <si>
    <t>CRASNA</t>
  </si>
  <si>
    <t>CREACA</t>
  </si>
  <si>
    <t>CRISTOLT</t>
  </si>
  <si>
    <t>CRISENI</t>
  </si>
  <si>
    <t>CUZAPLAC</t>
  </si>
  <si>
    <t>DOBRIN</t>
  </si>
  <si>
    <t>DRAGU</t>
  </si>
  <si>
    <t>FILDU DE JOS</t>
  </si>
  <si>
    <t>GALGAU</t>
  </si>
  <si>
    <t>GARBOU</t>
  </si>
  <si>
    <t>HALMASD</t>
  </si>
  <si>
    <t>HERECLEAN</t>
  </si>
  <si>
    <t>HIDA</t>
  </si>
  <si>
    <t>HOROATU CRASNEI</t>
  </si>
  <si>
    <t>ILEANDA</t>
  </si>
  <si>
    <t>IP</t>
  </si>
  <si>
    <t>LETCA</t>
  </si>
  <si>
    <t>LOZNA</t>
  </si>
  <si>
    <t>MARCA</t>
  </si>
  <si>
    <t>MAERISTE</t>
  </si>
  <si>
    <t>MESESENII DE JOS</t>
  </si>
  <si>
    <t>MIRSID</t>
  </si>
  <si>
    <t>NAPRADEA</t>
  </si>
  <si>
    <t>NUSFALAU</t>
  </si>
  <si>
    <t>PERICEI</t>
  </si>
  <si>
    <t>PLOPIS</t>
  </si>
  <si>
    <t>POIANA BLENCHII</t>
  </si>
  <si>
    <t>ROMANASI</t>
  </si>
  <si>
    <t>RUS</t>
  </si>
  <si>
    <t>SALATIG</t>
  </si>
  <si>
    <t>SIMISNA</t>
  </si>
  <si>
    <t>SANMIHAIUL ALMASULUI</t>
  </si>
  <si>
    <t>SOMES ODORHEI</t>
  </si>
  <si>
    <t>SURDUC</t>
  </si>
  <si>
    <t>SAMSUD</t>
  </si>
  <si>
    <t>SARMASAG</t>
  </si>
  <si>
    <t>TREZNEA</t>
  </si>
  <si>
    <t>VALCAUL DE JOS</t>
  </si>
  <si>
    <t>VARSOLT</t>
  </si>
  <si>
    <t>ZALHA</t>
  </si>
  <si>
    <t>ZIMBOR</t>
  </si>
  <si>
    <t>Judeţul SALAJ</t>
  </si>
  <si>
    <t>sector 1</t>
  </si>
  <si>
    <t>sector 2</t>
  </si>
  <si>
    <t>sector 3</t>
  </si>
  <si>
    <t>sector 4</t>
  </si>
  <si>
    <t>sector 5</t>
  </si>
  <si>
    <t>sector 6</t>
  </si>
  <si>
    <t>mun. Bucuresti</t>
  </si>
  <si>
    <t>Bragadiru</t>
  </si>
  <si>
    <t>Buftea</t>
  </si>
  <si>
    <t>Chitila</t>
  </si>
  <si>
    <t>Magurele</t>
  </si>
  <si>
    <t>Otopeni</t>
  </si>
  <si>
    <t>Pantelimon</t>
  </si>
  <si>
    <t>Popesti Leordeni</t>
  </si>
  <si>
    <t>Voluntari</t>
  </si>
  <si>
    <t>1 Decembrie</t>
  </si>
  <si>
    <t>Afumati</t>
  </si>
  <si>
    <t>Balotesti</t>
  </si>
  <si>
    <t>Berceni</t>
  </si>
  <si>
    <t>Cernica</t>
  </si>
  <si>
    <t>Chiajna</t>
  </si>
  <si>
    <t>Ciolpani</t>
  </si>
  <si>
    <t>Ciorogarla</t>
  </si>
  <si>
    <t>Clinceni</t>
  </si>
  <si>
    <t>Corbeanca</t>
  </si>
  <si>
    <t>Cornetu</t>
  </si>
  <si>
    <t>Darasti</t>
  </si>
  <si>
    <t>Dascalu</t>
  </si>
  <si>
    <t>Dobroesti</t>
  </si>
  <si>
    <t>Domnesti</t>
  </si>
  <si>
    <t>Dragomiresti</t>
  </si>
  <si>
    <t>Ganeasa</t>
  </si>
  <si>
    <t>Glina</t>
  </si>
  <si>
    <t>Gruiu</t>
  </si>
  <si>
    <t>Jilava</t>
  </si>
  <si>
    <t>Moara Vlasiei</t>
  </si>
  <si>
    <t>Mogosoaia</t>
  </si>
  <si>
    <t>Nuci</t>
  </si>
  <si>
    <t>Peris</t>
  </si>
  <si>
    <t>Petrachioaia</t>
  </si>
  <si>
    <t>Snagov</t>
  </si>
  <si>
    <t>Tunari</t>
  </si>
  <si>
    <t>Vidra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</si>
</sst>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lei&quot;_-;\-* #,##0.00\ &quot;lei&quot;_-;_-* &quot;-&quot;??\ &quot;lei&quot;_-;_-@_-"/>
    <numFmt numFmtId="164" formatCode="#,###"/>
    <numFmt numFmtId="165" formatCode="#,##0;[Red]#,##0"/>
    <numFmt numFmtId="166" formatCode="d\ mmm\ yy"/>
  </numFmts>
  <fonts count="6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6"/>
      <color indexed="8"/>
      <name val="Arial"/>
      <family val="2"/>
    </font>
    <font>
      <b/>
      <sz val="9"/>
      <color indexed="8"/>
      <name val="Arial"/>
      <family val="2"/>
    </font>
    <font>
      <b/>
      <sz val="6"/>
      <color indexed="8"/>
      <name val="Arial"/>
      <family val="2"/>
    </font>
    <font>
      <sz val="9"/>
      <color indexed="8"/>
      <name val="Arial"/>
      <family val="2"/>
    </font>
    <font>
      <sz val="6"/>
      <name val="Arial"/>
      <family val="2"/>
    </font>
    <font>
      <b/>
      <u/>
      <sz val="9"/>
      <color indexed="8"/>
      <name val="Arial"/>
      <family val="2"/>
    </font>
    <font>
      <b/>
      <sz val="5"/>
      <color indexed="8"/>
      <name val="Arial"/>
      <family val="2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  <charset val="238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b/>
      <u/>
      <sz val="12"/>
      <color indexed="8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MS Sans Serif"/>
      <family val="2"/>
    </font>
    <font>
      <sz val="12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color indexed="8"/>
      <name val="Arial"/>
      <family val="2"/>
      <charset val="238"/>
    </font>
    <font>
      <sz val="10"/>
      <color indexed="9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family val="2"/>
      <charset val="238"/>
    </font>
    <font>
      <sz val="10"/>
      <color theme="0"/>
      <name val="Arial"/>
      <family val="2"/>
      <charset val="238"/>
    </font>
    <font>
      <sz val="6"/>
      <color indexed="8"/>
      <name val="Arial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0"/>
      <name val="Arial"/>
      <family val="2"/>
      <charset val="238"/>
    </font>
    <font>
      <b/>
      <sz val="6"/>
      <name val="Arial"/>
      <family val="2"/>
    </font>
    <font>
      <sz val="7"/>
      <name val="Arial"/>
      <family val="2"/>
      <charset val="238"/>
    </font>
    <font>
      <sz val="7"/>
      <color indexed="8"/>
      <name val="Arial"/>
      <family val="2"/>
      <charset val="238"/>
    </font>
    <font>
      <sz val="10"/>
      <name val="Arial"/>
      <family val="2"/>
      <charset val="238"/>
    </font>
    <font>
      <sz val="6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</font>
    <font>
      <b/>
      <u/>
      <sz val="12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5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  <charset val="238"/>
    </font>
    <font>
      <b/>
      <sz val="6"/>
      <color indexed="8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rgb="FF99FFCC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rgb="FFCC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34"/>
      </patternFill>
    </fill>
    <fill>
      <patternFill patternType="solid">
        <fgColor indexed="41"/>
        <bgColor indexed="26"/>
      </patternFill>
    </fill>
    <fill>
      <patternFill patternType="solid">
        <fgColor indexed="41"/>
        <bgColor indexed="27"/>
      </patternFill>
    </fill>
    <fill>
      <patternFill patternType="solid">
        <fgColor indexed="27"/>
        <bgColor indexed="42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/>
      <diagonal/>
    </border>
    <border>
      <left style="thin">
        <color indexed="8"/>
      </left>
      <right style="thin">
        <color indexed="8"/>
      </right>
      <top style="dotted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12">
    <xf numFmtId="0" fontId="0" fillId="0" borderId="0"/>
    <xf numFmtId="0" fontId="2" fillId="0" borderId="0"/>
    <xf numFmtId="0" fontId="30" fillId="0" borderId="0"/>
    <xf numFmtId="0" fontId="31" fillId="0" borderId="0"/>
    <xf numFmtId="0" fontId="32" fillId="0" borderId="0"/>
    <xf numFmtId="0" fontId="30" fillId="0" borderId="0"/>
    <xf numFmtId="0" fontId="2" fillId="0" borderId="0"/>
    <xf numFmtId="0" fontId="2" fillId="0" borderId="0"/>
    <xf numFmtId="44" fontId="45" fillId="0" borderId="0" applyFont="0" applyFill="0" applyBorder="0" applyAlignment="0" applyProtection="0"/>
    <xf numFmtId="0" fontId="49" fillId="0" borderId="0"/>
    <xf numFmtId="0" fontId="1" fillId="0" borderId="0"/>
    <xf numFmtId="0" fontId="30" fillId="0" borderId="0"/>
  </cellStyleXfs>
  <cellXfs count="714">
    <xf numFmtId="0" fontId="0" fillId="0" borderId="0" xfId="0"/>
    <xf numFmtId="0" fontId="3" fillId="0" borderId="0" xfId="1" applyNumberFormat="1" applyFont="1" applyFill="1" applyAlignment="1" applyProtection="1">
      <protection locked="0"/>
    </xf>
    <xf numFmtId="0" fontId="4" fillId="0" borderId="0" xfId="1" applyNumberFormat="1" applyFont="1" applyFill="1" applyAlignment="1" applyProtection="1">
      <alignment horizontal="left"/>
      <protection locked="0"/>
    </xf>
    <xf numFmtId="0" fontId="5" fillId="0" borderId="0" xfId="1" applyNumberFormat="1" applyFont="1" applyFill="1" applyAlignment="1" applyProtection="1">
      <alignment horizontal="left"/>
      <protection locked="0"/>
    </xf>
    <xf numFmtId="0" fontId="7" fillId="0" borderId="0" xfId="1" applyNumberFormat="1" applyFont="1" applyFill="1" applyAlignment="1" applyProtection="1">
      <protection locked="0"/>
    </xf>
    <xf numFmtId="0" fontId="8" fillId="0" borderId="0" xfId="1" applyNumberFormat="1" applyFont="1" applyFill="1" applyAlignment="1" applyProtection="1">
      <alignment horizontal="left"/>
      <protection locked="0"/>
    </xf>
    <xf numFmtId="0" fontId="3" fillId="0" borderId="0" xfId="1" applyNumberFormat="1" applyFont="1" applyFill="1" applyAlignment="1" applyProtection="1">
      <alignment horizontal="centerContinuous" wrapText="1"/>
      <protection locked="0"/>
    </xf>
    <xf numFmtId="4" fontId="5" fillId="0" borderId="0" xfId="1" applyNumberFormat="1" applyFont="1" applyFill="1" applyAlignment="1" applyProtection="1">
      <alignment horizontal="centerContinuous" wrapText="1"/>
      <protection locked="0"/>
    </xf>
    <xf numFmtId="0" fontId="5" fillId="2" borderId="22" xfId="1" applyNumberFormat="1" applyFont="1" applyFill="1" applyBorder="1" applyAlignment="1" applyProtection="1">
      <alignment vertical="center"/>
    </xf>
    <xf numFmtId="3" fontId="10" fillId="3" borderId="5" xfId="1" applyNumberFormat="1" applyFont="1" applyFill="1" applyBorder="1" applyAlignment="1" applyProtection="1"/>
    <xf numFmtId="164" fontId="10" fillId="0" borderId="22" xfId="1" applyNumberFormat="1" applyFont="1" applyFill="1" applyBorder="1" applyAlignment="1" applyProtection="1"/>
    <xf numFmtId="3" fontId="10" fillId="3" borderId="22" xfId="1" applyNumberFormat="1" applyFont="1" applyFill="1" applyBorder="1" applyAlignment="1" applyProtection="1"/>
    <xf numFmtId="0" fontId="5" fillId="2" borderId="21" xfId="1" applyNumberFormat="1" applyFont="1" applyFill="1" applyBorder="1" applyAlignment="1" applyProtection="1">
      <alignment vertical="center" wrapText="1"/>
    </xf>
    <xf numFmtId="164" fontId="17" fillId="0" borderId="22" xfId="0" applyNumberFormat="1" applyFont="1" applyFill="1" applyBorder="1" applyProtection="1">
      <protection locked="0"/>
    </xf>
    <xf numFmtId="164" fontId="10" fillId="0" borderId="22" xfId="1" applyNumberFormat="1" applyFont="1" applyFill="1" applyBorder="1" applyAlignment="1" applyProtection="1">
      <protection locked="0"/>
    </xf>
    <xf numFmtId="164" fontId="17" fillId="4" borderId="22" xfId="0" applyNumberFormat="1" applyFont="1" applyFill="1" applyBorder="1" applyProtection="1">
      <protection locked="0"/>
    </xf>
    <xf numFmtId="164" fontId="10" fillId="4" borderId="22" xfId="1" applyNumberFormat="1" applyFont="1" applyFill="1" applyBorder="1" applyAlignment="1" applyProtection="1">
      <protection locked="0"/>
    </xf>
    <xf numFmtId="164" fontId="19" fillId="0" borderId="22" xfId="0" applyNumberFormat="1" applyFont="1" applyBorder="1"/>
    <xf numFmtId="164" fontId="19" fillId="4" borderId="22" xfId="0" applyNumberFormat="1" applyFont="1" applyFill="1" applyBorder="1"/>
    <xf numFmtId="164" fontId="16" fillId="0" borderId="22" xfId="1" applyNumberFormat="1" applyFont="1" applyFill="1" applyBorder="1" applyAlignment="1" applyProtection="1">
      <protection locked="0"/>
    </xf>
    <xf numFmtId="0" fontId="5" fillId="2" borderId="23" xfId="1" applyNumberFormat="1" applyFont="1" applyFill="1" applyBorder="1" applyAlignment="1" applyProtection="1">
      <alignment horizontal="center" vertical="center" wrapText="1"/>
    </xf>
    <xf numFmtId="0" fontId="5" fillId="2" borderId="22" xfId="1" applyNumberFormat="1" applyFont="1" applyFill="1" applyBorder="1" applyAlignment="1" applyProtection="1">
      <alignment horizontal="center" vertical="center" wrapText="1"/>
    </xf>
    <xf numFmtId="164" fontId="6" fillId="0" borderId="22" xfId="1" applyNumberFormat="1" applyFont="1" applyFill="1" applyBorder="1" applyAlignment="1" applyProtection="1"/>
    <xf numFmtId="3" fontId="12" fillId="0" borderId="22" xfId="0" applyNumberFormat="1" applyFont="1" applyBorder="1"/>
    <xf numFmtId="164" fontId="13" fillId="0" borderId="22" xfId="1" applyNumberFormat="1" applyFont="1" applyFill="1" applyBorder="1" applyAlignment="1" applyProtection="1">
      <protection locked="0"/>
    </xf>
    <xf numFmtId="164" fontId="16" fillId="4" borderId="22" xfId="1" applyNumberFormat="1" applyFont="1" applyFill="1" applyBorder="1" applyAlignment="1" applyProtection="1">
      <protection locked="0"/>
    </xf>
    <xf numFmtId="0" fontId="5" fillId="0" borderId="22" xfId="1" applyNumberFormat="1" applyFont="1" applyFill="1" applyBorder="1" applyAlignment="1" applyProtection="1">
      <alignment horizontal="center" vertical="center"/>
    </xf>
    <xf numFmtId="3" fontId="10" fillId="0" borderId="22" xfId="1" applyNumberFormat="1" applyFont="1" applyFill="1" applyBorder="1" applyAlignment="1" applyProtection="1">
      <protection locked="0"/>
    </xf>
    <xf numFmtId="3" fontId="10" fillId="0" borderId="22" xfId="1" applyNumberFormat="1" applyFont="1" applyFill="1" applyBorder="1" applyAlignment="1" applyProtection="1"/>
    <xf numFmtId="0" fontId="5" fillId="2" borderId="20" xfId="1" applyNumberFormat="1" applyFont="1" applyFill="1" applyBorder="1" applyAlignment="1" applyProtection="1">
      <alignment vertical="center" wrapText="1"/>
    </xf>
    <xf numFmtId="0" fontId="5" fillId="2" borderId="3" xfId="1" applyNumberFormat="1" applyFont="1" applyFill="1" applyBorder="1" applyAlignment="1" applyProtection="1">
      <alignment vertical="center"/>
    </xf>
    <xf numFmtId="0" fontId="5" fillId="2" borderId="25" xfId="1" applyNumberFormat="1" applyFont="1" applyFill="1" applyBorder="1" applyAlignment="1" applyProtection="1">
      <alignment vertical="center"/>
    </xf>
    <xf numFmtId="164" fontId="11" fillId="0" borderId="22" xfId="0" applyNumberFormat="1" applyFont="1" applyBorder="1"/>
    <xf numFmtId="164" fontId="6" fillId="0" borderId="22" xfId="1" applyNumberFormat="1" applyFont="1" applyFill="1" applyBorder="1" applyAlignment="1" applyProtection="1">
      <protection locked="0"/>
    </xf>
    <xf numFmtId="164" fontId="6" fillId="4" borderId="22" xfId="1" applyNumberFormat="1" applyFont="1" applyFill="1" applyBorder="1" applyAlignment="1" applyProtection="1">
      <protection locked="0"/>
    </xf>
    <xf numFmtId="164" fontId="13" fillId="4" borderId="22" xfId="1" applyNumberFormat="1" applyFont="1" applyFill="1" applyBorder="1" applyAlignment="1" applyProtection="1"/>
    <xf numFmtId="164" fontId="14" fillId="0" borderId="22" xfId="0" applyNumberFormat="1" applyFont="1" applyBorder="1"/>
    <xf numFmtId="164" fontId="15" fillId="0" borderId="22" xfId="1" applyNumberFormat="1" applyFont="1" applyFill="1" applyBorder="1" applyAlignment="1" applyProtection="1">
      <protection locked="0"/>
    </xf>
    <xf numFmtId="3" fontId="10" fillId="3" borderId="22" xfId="1" applyNumberFormat="1" applyFont="1" applyFill="1" applyBorder="1" applyAlignment="1" applyProtection="1">
      <protection locked="0"/>
    </xf>
    <xf numFmtId="0" fontId="12" fillId="0" borderId="22" xfId="0" applyFont="1" applyBorder="1"/>
    <xf numFmtId="164" fontId="18" fillId="0" borderId="22" xfId="0" applyNumberFormat="1" applyFont="1" applyBorder="1"/>
    <xf numFmtId="164" fontId="13" fillId="0" borderId="22" xfId="1" applyNumberFormat="1" applyFont="1" applyFill="1" applyBorder="1" applyAlignment="1" applyProtection="1"/>
    <xf numFmtId="3" fontId="10" fillId="3" borderId="24" xfId="1" applyNumberFormat="1" applyFont="1" applyFill="1" applyBorder="1" applyAlignment="1" applyProtection="1"/>
    <xf numFmtId="3" fontId="10" fillId="3" borderId="24" xfId="1" applyNumberFormat="1" applyFont="1" applyFill="1" applyBorder="1" applyAlignment="1" applyProtection="1">
      <protection locked="0"/>
    </xf>
    <xf numFmtId="0" fontId="3" fillId="0" borderId="22" xfId="1" applyNumberFormat="1" applyFont="1" applyFill="1" applyBorder="1" applyAlignment="1" applyProtection="1">
      <protection locked="0"/>
    </xf>
    <xf numFmtId="164" fontId="6" fillId="4" borderId="22" xfId="1" applyNumberFormat="1" applyFont="1" applyFill="1" applyBorder="1" applyAlignment="1" applyProtection="1"/>
    <xf numFmtId="0" fontId="3" fillId="2" borderId="22" xfId="1" applyNumberFormat="1" applyFont="1" applyFill="1" applyBorder="1" applyAlignment="1" applyProtection="1">
      <alignment horizontal="center"/>
    </xf>
    <xf numFmtId="165" fontId="12" fillId="0" borderId="22" xfId="0" applyNumberFormat="1" applyFont="1" applyBorder="1"/>
    <xf numFmtId="164" fontId="13" fillId="4" borderId="22" xfId="1" applyNumberFormat="1" applyFont="1" applyFill="1" applyBorder="1" applyAlignment="1" applyProtection="1">
      <protection locked="0"/>
    </xf>
    <xf numFmtId="164" fontId="11" fillId="4" borderId="22" xfId="0" applyNumberFormat="1" applyFont="1" applyFill="1" applyBorder="1"/>
    <xf numFmtId="164" fontId="18" fillId="4" borderId="22" xfId="0" applyNumberFormat="1" applyFont="1" applyFill="1" applyBorder="1"/>
    <xf numFmtId="164" fontId="12" fillId="0" borderId="22" xfId="0" applyNumberFormat="1" applyFont="1" applyBorder="1"/>
    <xf numFmtId="3" fontId="12" fillId="0" borderId="22" xfId="0" applyNumberFormat="1" applyFont="1" applyBorder="1" applyAlignment="1">
      <alignment horizontal="center"/>
    </xf>
    <xf numFmtId="0" fontId="21" fillId="0" borderId="0" xfId="1" applyNumberFormat="1" applyFont="1" applyFill="1" applyAlignment="1" applyProtection="1">
      <protection locked="0"/>
    </xf>
    <xf numFmtId="0" fontId="22" fillId="0" borderId="0" xfId="1" applyNumberFormat="1" applyFont="1" applyFill="1" applyAlignment="1" applyProtection="1">
      <alignment horizontal="left"/>
      <protection locked="0"/>
    </xf>
    <xf numFmtId="0" fontId="23" fillId="0" borderId="0" xfId="0" applyFont="1"/>
    <xf numFmtId="0" fontId="22" fillId="0" borderId="0" xfId="1" applyNumberFormat="1" applyFont="1" applyFill="1" applyAlignment="1" applyProtection="1">
      <alignment horizontal="center"/>
      <protection locked="0"/>
    </xf>
    <xf numFmtId="15" fontId="22" fillId="0" borderId="0" xfId="1" applyNumberFormat="1" applyFont="1" applyFill="1" applyAlignment="1" applyProtection="1">
      <alignment horizontal="center"/>
      <protection locked="0"/>
    </xf>
    <xf numFmtId="0" fontId="23" fillId="0" borderId="0" xfId="1" applyNumberFormat="1" applyFont="1" applyFill="1" applyAlignment="1" applyProtection="1">
      <protection locked="0"/>
    </xf>
    <xf numFmtId="0" fontId="24" fillId="0" borderId="0" xfId="1" applyNumberFormat="1" applyFont="1" applyFill="1" applyAlignment="1" applyProtection="1">
      <alignment horizontal="left"/>
      <protection locked="0"/>
    </xf>
    <xf numFmtId="4" fontId="20" fillId="0" borderId="1" xfId="1" quotePrefix="1" applyNumberFormat="1" applyFont="1" applyFill="1" applyBorder="1" applyAlignment="1" applyProtection="1">
      <alignment horizontal="center" vertical="center" wrapText="1"/>
      <protection locked="0"/>
    </xf>
    <xf numFmtId="0" fontId="16" fillId="2" borderId="21" xfId="1" applyNumberFormat="1" applyFont="1" applyFill="1" applyBorder="1" applyAlignment="1" applyProtection="1">
      <alignment vertical="center"/>
    </xf>
    <xf numFmtId="0" fontId="16" fillId="2" borderId="21" xfId="1" applyNumberFormat="1" applyFont="1" applyFill="1" applyBorder="1" applyAlignment="1" applyProtection="1">
      <alignment vertical="center" wrapText="1"/>
    </xf>
    <xf numFmtId="0" fontId="16" fillId="2" borderId="11" xfId="1" applyNumberFormat="1" applyFont="1" applyFill="1" applyBorder="1" applyAlignment="1" applyProtection="1">
      <alignment vertical="center"/>
    </xf>
    <xf numFmtId="0" fontId="16" fillId="2" borderId="20" xfId="1" applyNumberFormat="1" applyFont="1" applyFill="1" applyBorder="1" applyAlignment="1" applyProtection="1">
      <alignment vertical="center"/>
    </xf>
    <xf numFmtId="0" fontId="16" fillId="2" borderId="22" xfId="1" applyNumberFormat="1" applyFont="1" applyFill="1" applyBorder="1" applyAlignment="1" applyProtection="1">
      <alignment vertical="center"/>
    </xf>
    <xf numFmtId="0" fontId="18" fillId="0" borderId="0" xfId="0" applyFont="1"/>
    <xf numFmtId="0" fontId="13" fillId="2" borderId="2" xfId="1" applyNumberFormat="1" applyFont="1" applyFill="1" applyBorder="1" applyAlignment="1" applyProtection="1">
      <alignment horizontal="center" vertical="center"/>
    </xf>
    <xf numFmtId="0" fontId="13" fillId="2" borderId="9" xfId="1" quotePrefix="1" applyNumberFormat="1" applyFont="1" applyFill="1" applyBorder="1" applyAlignment="1" applyProtection="1">
      <alignment horizontal="center" vertical="center"/>
    </xf>
    <xf numFmtId="0" fontId="13" fillId="2" borderId="9" xfId="1" applyNumberFormat="1" applyFont="1" applyFill="1" applyBorder="1" applyAlignment="1" applyProtection="1">
      <alignment horizontal="center" vertical="center"/>
    </xf>
    <xf numFmtId="0" fontId="13" fillId="2" borderId="30" xfId="1" applyNumberFormat="1" applyFont="1" applyFill="1" applyBorder="1" applyAlignment="1" applyProtection="1">
      <alignment horizontal="center" vertical="center"/>
    </xf>
    <xf numFmtId="0" fontId="13" fillId="2" borderId="23" xfId="1" applyNumberFormat="1" applyFont="1" applyFill="1" applyBorder="1" applyAlignment="1" applyProtection="1">
      <alignment horizontal="center" vertical="center"/>
    </xf>
    <xf numFmtId="3" fontId="10" fillId="3" borderId="23" xfId="1" applyNumberFormat="1" applyFont="1" applyFill="1" applyBorder="1" applyAlignment="1" applyProtection="1"/>
    <xf numFmtId="0" fontId="25" fillId="2" borderId="2" xfId="1" applyNumberFormat="1" applyFont="1" applyFill="1" applyBorder="1" applyAlignment="1" applyProtection="1">
      <alignment horizontal="center"/>
    </xf>
    <xf numFmtId="0" fontId="25" fillId="2" borderId="2" xfId="1" applyNumberFormat="1" applyFont="1" applyFill="1" applyBorder="1" applyAlignment="1" applyProtection="1">
      <alignment horizontal="centerContinuous" wrapText="1"/>
    </xf>
    <xf numFmtId="0" fontId="25" fillId="2" borderId="3" xfId="1" applyNumberFormat="1" applyFont="1" applyFill="1" applyBorder="1" applyAlignment="1" applyProtection="1">
      <alignment horizontal="centerContinuous" wrapText="1"/>
    </xf>
    <xf numFmtId="0" fontId="26" fillId="2" borderId="3" xfId="1" applyNumberFormat="1" applyFont="1" applyFill="1" applyBorder="1" applyAlignment="1" applyProtection="1">
      <alignment horizontal="centerContinuous" vertical="center" wrapText="1"/>
    </xf>
    <xf numFmtId="0" fontId="26" fillId="2" borderId="7" xfId="1" applyNumberFormat="1" applyFont="1" applyFill="1" applyBorder="1" applyAlignment="1" applyProtection="1">
      <alignment horizontal="center" vertical="center" wrapText="1"/>
    </xf>
    <xf numFmtId="0" fontId="27" fillId="0" borderId="0" xfId="0" applyFont="1"/>
    <xf numFmtId="0" fontId="25" fillId="2" borderId="9" xfId="1" applyNumberFormat="1" applyFont="1" applyFill="1" applyBorder="1" applyAlignment="1" applyProtection="1">
      <alignment horizontal="center"/>
    </xf>
    <xf numFmtId="0" fontId="26" fillId="2" borderId="16" xfId="1" applyNumberFormat="1" applyFont="1" applyFill="1" applyBorder="1" applyAlignment="1" applyProtection="1">
      <alignment horizontal="center" vertical="center" wrapText="1"/>
    </xf>
    <xf numFmtId="0" fontId="25" fillId="2" borderId="26" xfId="1" applyNumberFormat="1" applyFont="1" applyFill="1" applyBorder="1" applyAlignment="1" applyProtection="1">
      <alignment horizontal="center" vertical="top" wrapText="1"/>
    </xf>
    <xf numFmtId="0" fontId="25" fillId="2" borderId="26" xfId="1" applyNumberFormat="1" applyFont="1" applyFill="1" applyBorder="1" applyAlignment="1" applyProtection="1">
      <alignment horizontal="centerContinuous" vertical="center" wrapText="1"/>
    </xf>
    <xf numFmtId="0" fontId="25" fillId="2" borderId="27" xfId="1" applyNumberFormat="1" applyFont="1" applyFill="1" applyBorder="1" applyAlignment="1" applyProtection="1">
      <alignment horizontal="center" vertical="center" wrapText="1"/>
    </xf>
    <xf numFmtId="0" fontId="25" fillId="2" borderId="29" xfId="1" applyNumberFormat="1" applyFont="1" applyFill="1" applyBorder="1" applyAlignment="1" applyProtection="1">
      <alignment horizontal="center" vertical="center" wrapText="1"/>
    </xf>
    <xf numFmtId="0" fontId="28" fillId="2" borderId="27" xfId="1" applyNumberFormat="1" applyFont="1" applyFill="1" applyBorder="1" applyAlignment="1" applyProtection="1">
      <alignment horizontal="center" vertical="center" wrapText="1"/>
    </xf>
    <xf numFmtId="0" fontId="18" fillId="2" borderId="9" xfId="1" quotePrefix="1" applyNumberFormat="1" applyFont="1" applyFill="1" applyBorder="1" applyAlignment="1" applyProtection="1">
      <alignment horizontal="center" vertical="center"/>
    </xf>
    <xf numFmtId="0" fontId="28" fillId="2" borderId="26" xfId="1" applyNumberFormat="1" applyFont="1" applyFill="1" applyBorder="1" applyAlignment="1" applyProtection="1">
      <alignment horizontal="center" vertical="center" wrapText="1"/>
    </xf>
    <xf numFmtId="0" fontId="18" fillId="2" borderId="9" xfId="1" applyNumberFormat="1" applyFont="1" applyFill="1" applyBorder="1" applyAlignment="1" applyProtection="1">
      <alignment horizontal="center" vertical="center"/>
    </xf>
    <xf numFmtId="0" fontId="18" fillId="2" borderId="2" xfId="1" applyNumberFormat="1" applyFont="1" applyFill="1" applyBorder="1" applyAlignment="1" applyProtection="1">
      <alignment horizontal="center" vertical="center"/>
    </xf>
    <xf numFmtId="0" fontId="0" fillId="0" borderId="0" xfId="0" applyAlignment="1">
      <alignment shrinkToFit="1"/>
    </xf>
    <xf numFmtId="0" fontId="33" fillId="0" borderId="0" xfId="4" applyNumberFormat="1" applyFont="1" applyFill="1" applyAlignment="1" applyProtection="1">
      <protection locked="0"/>
    </xf>
    <xf numFmtId="0" fontId="33" fillId="0" borderId="0" xfId="4" applyNumberFormat="1" applyFont="1" applyFill="1" applyAlignment="1" applyProtection="1">
      <alignment horizontal="left"/>
      <protection locked="0"/>
    </xf>
    <xf numFmtId="0" fontId="33" fillId="0" borderId="0" xfId="4" applyNumberFormat="1" applyFont="1" applyFill="1" applyAlignment="1" applyProtection="1">
      <alignment horizontal="center"/>
      <protection locked="0"/>
    </xf>
    <xf numFmtId="0" fontId="34" fillId="0" borderId="0" xfId="5" applyFont="1"/>
    <xf numFmtId="0" fontId="35" fillId="0" borderId="0" xfId="5" applyFont="1"/>
    <xf numFmtId="166" fontId="33" fillId="0" borderId="0" xfId="4" applyNumberFormat="1" applyFont="1" applyFill="1" applyAlignment="1" applyProtection="1">
      <alignment horizontal="center"/>
      <protection locked="0"/>
    </xf>
    <xf numFmtId="3" fontId="33" fillId="0" borderId="0" xfId="4" applyNumberFormat="1" applyFont="1" applyFill="1" applyAlignment="1" applyProtection="1">
      <protection locked="0"/>
    </xf>
    <xf numFmtId="0" fontId="35" fillId="0" borderId="0" xfId="4" applyNumberFormat="1" applyFont="1" applyFill="1" applyAlignment="1" applyProtection="1">
      <protection locked="0"/>
    </xf>
    <xf numFmtId="3" fontId="35" fillId="0" borderId="0" xfId="5" applyNumberFormat="1" applyFont="1"/>
    <xf numFmtId="0" fontId="36" fillId="0" borderId="0" xfId="4" applyNumberFormat="1" applyFont="1" applyFill="1" applyAlignment="1" applyProtection="1">
      <alignment horizontal="left"/>
      <protection locked="0"/>
    </xf>
    <xf numFmtId="0" fontId="37" fillId="0" borderId="0" xfId="4" applyNumberFormat="1" applyFont="1" applyFill="1" applyAlignment="1" applyProtection="1">
      <protection locked="0"/>
    </xf>
    <xf numFmtId="3" fontId="38" fillId="0" borderId="0" xfId="4" applyNumberFormat="1" applyFont="1" applyFill="1" applyAlignment="1" applyProtection="1">
      <alignment horizontal="left"/>
      <protection locked="0"/>
    </xf>
    <xf numFmtId="0" fontId="38" fillId="0" borderId="0" xfId="5" applyFont="1"/>
    <xf numFmtId="0" fontId="37" fillId="0" borderId="0" xfId="5" applyFont="1"/>
    <xf numFmtId="0" fontId="38" fillId="0" borderId="0" xfId="4" applyNumberFormat="1" applyFont="1" applyFill="1" applyAlignment="1" applyProtection="1">
      <protection locked="0"/>
    </xf>
    <xf numFmtId="0" fontId="39" fillId="0" borderId="0" xfId="4" applyNumberFormat="1" applyFont="1" applyFill="1" applyAlignment="1" applyProtection="1">
      <protection locked="0"/>
    </xf>
    <xf numFmtId="0" fontId="39" fillId="0" borderId="0" xfId="4" applyNumberFormat="1" applyFont="1" applyFill="1" applyAlignment="1" applyProtection="1">
      <alignment horizontal="center" wrapText="1"/>
      <protection locked="0"/>
    </xf>
    <xf numFmtId="0" fontId="0" fillId="0" borderId="0" xfId="4" applyNumberFormat="1" applyFont="1" applyFill="1" applyAlignment="1" applyProtection="1">
      <protection locked="0"/>
    </xf>
    <xf numFmtId="4" fontId="39" fillId="0" borderId="0" xfId="4" applyNumberFormat="1" applyFont="1" applyFill="1" applyAlignment="1" applyProtection="1">
      <alignment horizontal="center" wrapText="1"/>
      <protection locked="0"/>
    </xf>
    <xf numFmtId="4" fontId="39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5" applyFont="1"/>
    <xf numFmtId="0" fontId="0" fillId="0" borderId="0" xfId="5" applyFont="1"/>
    <xf numFmtId="0" fontId="0" fillId="5" borderId="2" xfId="4" applyNumberFormat="1" applyFont="1" applyFill="1" applyBorder="1" applyAlignment="1" applyProtection="1">
      <alignment horizontal="center"/>
    </xf>
    <xf numFmtId="0" fontId="0" fillId="5" borderId="3" xfId="4" applyNumberFormat="1" applyFont="1" applyFill="1" applyBorder="1" applyAlignment="1" applyProtection="1">
      <alignment horizontal="center" vertical="center" wrapText="1"/>
    </xf>
    <xf numFmtId="0" fontId="14" fillId="0" borderId="0" xfId="5" applyFont="1" applyFill="1"/>
    <xf numFmtId="0" fontId="0" fillId="0" borderId="0" xfId="5" applyFont="1" applyFill="1"/>
    <xf numFmtId="0" fontId="0" fillId="5" borderId="9" xfId="4" applyNumberFormat="1" applyFont="1" applyFill="1" applyBorder="1" applyAlignment="1" applyProtection="1">
      <alignment horizontal="center"/>
    </xf>
    <xf numFmtId="0" fontId="0" fillId="5" borderId="2" xfId="4" applyNumberFormat="1" applyFont="1" applyFill="1" applyBorder="1" applyAlignment="1" applyProtection="1">
      <alignment horizontal="center" wrapText="1"/>
    </xf>
    <xf numFmtId="0" fontId="0" fillId="5" borderId="1" xfId="4" applyNumberFormat="1" applyFont="1" applyFill="1" applyBorder="1" applyAlignment="1" applyProtection="1">
      <alignment horizontal="center" vertical="center" wrapText="1"/>
    </xf>
    <xf numFmtId="0" fontId="0" fillId="5" borderId="9" xfId="4" applyNumberFormat="1" applyFont="1" applyFill="1" applyBorder="1" applyAlignment="1" applyProtection="1">
      <alignment horizontal="center" vertical="top" wrapText="1"/>
    </xf>
    <xf numFmtId="0" fontId="0" fillId="5" borderId="9" xfId="4" applyNumberFormat="1" applyFont="1" applyFill="1" applyBorder="1" applyAlignment="1" applyProtection="1">
      <alignment horizontal="center" vertical="center" wrapText="1"/>
    </xf>
    <xf numFmtId="0" fontId="0" fillId="5" borderId="2" xfId="4" applyNumberFormat="1" applyFont="1" applyFill="1" applyBorder="1" applyAlignment="1" applyProtection="1">
      <alignment horizontal="center" vertical="center" wrapText="1"/>
    </xf>
    <xf numFmtId="0" fontId="0" fillId="5" borderId="5" xfId="4" applyNumberFormat="1" applyFont="1" applyFill="1" applyBorder="1" applyAlignment="1" applyProtection="1">
      <alignment horizontal="center" vertical="center" wrapText="1"/>
    </xf>
    <xf numFmtId="0" fontId="0" fillId="5" borderId="35" xfId="4" applyNumberFormat="1" applyFont="1" applyFill="1" applyBorder="1" applyAlignment="1" applyProtection="1">
      <alignment horizontal="center" vertical="center"/>
    </xf>
    <xf numFmtId="0" fontId="0" fillId="5" borderId="36" xfId="4" applyNumberFormat="1" applyFont="1" applyFill="1" applyBorder="1" applyAlignment="1" applyProtection="1">
      <alignment horizontal="center" vertical="center"/>
    </xf>
    <xf numFmtId="0" fontId="0" fillId="5" borderId="2" xfId="4" applyNumberFormat="1" applyFont="1" applyFill="1" applyBorder="1" applyAlignment="1" applyProtection="1">
      <alignment horizontal="center" vertical="center"/>
    </xf>
    <xf numFmtId="0" fontId="0" fillId="5" borderId="5" xfId="4" applyNumberFormat="1" applyFont="1" applyFill="1" applyBorder="1" applyAlignment="1" applyProtection="1">
      <alignment horizontal="center" vertical="center"/>
    </xf>
    <xf numFmtId="3" fontId="39" fillId="7" borderId="5" xfId="4" applyNumberFormat="1" applyFont="1" applyFill="1" applyBorder="1" applyAlignment="1" applyProtection="1">
      <protection locked="0"/>
    </xf>
    <xf numFmtId="3" fontId="14" fillId="0" borderId="0" xfId="5" applyNumberFormat="1" applyFont="1" applyAlignment="1" applyProtection="1">
      <protection locked="0"/>
    </xf>
    <xf numFmtId="0" fontId="0" fillId="0" borderId="0" xfId="5" applyFont="1" applyAlignment="1" applyProtection="1">
      <protection locked="0"/>
    </xf>
    <xf numFmtId="0" fontId="39" fillId="7" borderId="21" xfId="4" applyNumberFormat="1" applyFont="1" applyFill="1" applyBorder="1" applyAlignment="1" applyProtection="1">
      <alignment horizontal="center" wrapText="1"/>
      <protection locked="0"/>
    </xf>
    <xf numFmtId="0" fontId="40" fillId="7" borderId="21" xfId="5" applyFont="1" applyFill="1" applyBorder="1" applyAlignment="1" applyProtection="1">
      <alignment wrapText="1"/>
    </xf>
    <xf numFmtId="0" fontId="40" fillId="7" borderId="21" xfId="5" applyFont="1" applyFill="1" applyBorder="1" applyAlignment="1" applyProtection="1">
      <alignment horizontal="left" wrapText="1"/>
    </xf>
    <xf numFmtId="0" fontId="39" fillId="7" borderId="21" xfId="4" applyNumberFormat="1" applyFont="1" applyFill="1" applyBorder="1" applyAlignment="1" applyProtection="1">
      <alignment horizontal="center"/>
      <protection locked="0"/>
    </xf>
    <xf numFmtId="3" fontId="0" fillId="0" borderId="0" xfId="5" applyNumberFormat="1" applyFont="1"/>
    <xf numFmtId="0" fontId="14" fillId="0" borderId="0" xfId="4" applyNumberFormat="1" applyFont="1" applyFill="1" applyAlignment="1" applyProtection="1">
      <protection locked="0"/>
    </xf>
    <xf numFmtId="3" fontId="14" fillId="0" borderId="0" xfId="4" applyNumberFormat="1" applyFont="1" applyFill="1" applyAlignment="1" applyProtection="1">
      <alignment horizontal="left"/>
      <protection locked="0"/>
    </xf>
    <xf numFmtId="0" fontId="41" fillId="0" borderId="0" xfId="4" applyNumberFormat="1" applyFont="1" applyFill="1" applyAlignment="1" applyProtection="1">
      <protection locked="0"/>
    </xf>
    <xf numFmtId="3" fontId="41" fillId="0" borderId="0" xfId="4" applyNumberFormat="1" applyFont="1" applyFill="1" applyAlignment="1" applyProtection="1">
      <protection locked="0"/>
    </xf>
    <xf numFmtId="3" fontId="14" fillId="0" borderId="22" xfId="0" applyNumberFormat="1" applyFont="1" applyBorder="1" applyAlignment="1">
      <alignment shrinkToFit="1"/>
    </xf>
    <xf numFmtId="0" fontId="15" fillId="2" borderId="21" xfId="1" applyNumberFormat="1" applyFont="1" applyFill="1" applyBorder="1" applyAlignment="1" applyProtection="1">
      <alignment horizontal="center" vertical="center" wrapText="1"/>
    </xf>
    <xf numFmtId="3" fontId="15" fillId="3" borderId="22" xfId="4" applyNumberFormat="1" applyFont="1" applyFill="1" applyBorder="1" applyAlignment="1" applyProtection="1">
      <alignment shrinkToFit="1"/>
    </xf>
    <xf numFmtId="0" fontId="15" fillId="2" borderId="22" xfId="4" applyNumberFormat="1" applyFont="1" applyFill="1" applyBorder="1" applyAlignment="1" applyProtection="1">
      <alignment horizontal="center" shrinkToFit="1"/>
    </xf>
    <xf numFmtId="0" fontId="15" fillId="2" borderId="22" xfId="4" applyNumberFormat="1" applyFont="1" applyFill="1" applyBorder="1" applyAlignment="1" applyProtection="1">
      <alignment horizontal="center" vertical="center" shrinkToFit="1"/>
    </xf>
    <xf numFmtId="164" fontId="14" fillId="0" borderId="22" xfId="0" applyNumberFormat="1" applyFont="1" applyBorder="1" applyAlignment="1">
      <alignment shrinkToFit="1"/>
    </xf>
    <xf numFmtId="0" fontId="29" fillId="2" borderId="22" xfId="1" applyNumberFormat="1" applyFont="1" applyFill="1" applyBorder="1" applyAlignment="1" applyProtection="1">
      <alignment horizontal="center" vertical="center" wrapText="1"/>
    </xf>
    <xf numFmtId="0" fontId="39" fillId="7" borderId="11" xfId="4" applyNumberFormat="1" applyFont="1" applyFill="1" applyBorder="1" applyAlignment="1" applyProtection="1">
      <alignment horizontal="center"/>
      <protection locked="0"/>
    </xf>
    <xf numFmtId="0" fontId="40" fillId="7" borderId="5" xfId="5" applyFont="1" applyFill="1" applyBorder="1" applyAlignment="1" applyProtection="1">
      <alignment wrapText="1"/>
    </xf>
    <xf numFmtId="0" fontId="40" fillId="7" borderId="22" xfId="5" applyFont="1" applyFill="1" applyBorder="1" applyAlignment="1" applyProtection="1">
      <alignment wrapText="1"/>
    </xf>
    <xf numFmtId="3" fontId="39" fillId="7" borderId="22" xfId="4" applyNumberFormat="1" applyFont="1" applyFill="1" applyBorder="1" applyAlignment="1" applyProtection="1">
      <protection locked="0"/>
    </xf>
    <xf numFmtId="0" fontId="39" fillId="7" borderId="5" xfId="4" applyNumberFormat="1" applyFont="1" applyFill="1" applyBorder="1" applyAlignment="1" applyProtection="1">
      <alignment horizontal="center"/>
      <protection locked="0"/>
    </xf>
    <xf numFmtId="0" fontId="39" fillId="7" borderId="22" xfId="4" applyNumberFormat="1" applyFont="1" applyFill="1" applyBorder="1" applyAlignment="1" applyProtection="1">
      <alignment horizontal="center"/>
      <protection locked="0"/>
    </xf>
    <xf numFmtId="0" fontId="29" fillId="2" borderId="21" xfId="1" applyNumberFormat="1" applyFont="1" applyFill="1" applyBorder="1" applyAlignment="1" applyProtection="1">
      <alignment vertical="center"/>
    </xf>
    <xf numFmtId="0" fontId="29" fillId="2" borderId="21" xfId="1" applyNumberFormat="1" applyFont="1" applyFill="1" applyBorder="1" applyAlignment="1" applyProtection="1">
      <alignment vertical="center" wrapText="1"/>
    </xf>
    <xf numFmtId="0" fontId="14" fillId="0" borderId="0" xfId="0" applyFont="1"/>
    <xf numFmtId="0" fontId="29" fillId="2" borderId="11" xfId="1" applyNumberFormat="1" applyFont="1" applyFill="1" applyBorder="1" applyAlignment="1" applyProtection="1">
      <alignment vertical="center"/>
    </xf>
    <xf numFmtId="0" fontId="29" fillId="2" borderId="20" xfId="1" applyNumberFormat="1" applyFont="1" applyFill="1" applyBorder="1" applyAlignment="1" applyProtection="1">
      <alignment vertical="center"/>
    </xf>
    <xf numFmtId="0" fontId="29" fillId="2" borderId="20" xfId="1" applyNumberFormat="1" applyFont="1" applyFill="1" applyBorder="1" applyAlignment="1" applyProtection="1">
      <alignment vertical="center" wrapText="1"/>
    </xf>
    <xf numFmtId="0" fontId="29" fillId="2" borderId="3" xfId="1" applyNumberFormat="1" applyFont="1" applyFill="1" applyBorder="1" applyAlignment="1" applyProtection="1">
      <alignment vertical="center"/>
    </xf>
    <xf numFmtId="0" fontId="14" fillId="8" borderId="21" xfId="0" applyFont="1" applyFill="1" applyBorder="1" applyAlignment="1">
      <alignment horizontal="center"/>
    </xf>
    <xf numFmtId="0" fontId="29" fillId="8" borderId="22" xfId="1" applyNumberFormat="1" applyFont="1" applyFill="1" applyBorder="1" applyAlignment="1" applyProtection="1">
      <alignment horizontal="center" vertical="center" wrapText="1"/>
    </xf>
    <xf numFmtId="0" fontId="29" fillId="0" borderId="22" xfId="1" applyNumberFormat="1" applyFont="1" applyFill="1" applyBorder="1" applyAlignment="1" applyProtection="1">
      <alignment horizontal="center" vertical="center"/>
    </xf>
    <xf numFmtId="0" fontId="15" fillId="0" borderId="22" xfId="1" applyNumberFormat="1" applyFont="1" applyFill="1" applyBorder="1" applyAlignment="1" applyProtection="1">
      <protection locked="0"/>
    </xf>
    <xf numFmtId="0" fontId="29" fillId="2" borderId="22" xfId="1" applyNumberFormat="1" applyFont="1" applyFill="1" applyBorder="1" applyAlignment="1" applyProtection="1">
      <alignment vertical="center"/>
    </xf>
    <xf numFmtId="0" fontId="29" fillId="8" borderId="22" xfId="1" applyNumberFormat="1" applyFont="1" applyFill="1" applyBorder="1" applyAlignment="1" applyProtection="1">
      <alignment vertical="center"/>
    </xf>
    <xf numFmtId="164" fontId="29" fillId="0" borderId="22" xfId="1" applyNumberFormat="1" applyFont="1" applyFill="1" applyBorder="1" applyAlignment="1" applyProtection="1">
      <protection locked="0"/>
    </xf>
    <xf numFmtId="0" fontId="14" fillId="0" borderId="22" xfId="0" applyFont="1" applyBorder="1"/>
    <xf numFmtId="0" fontId="15" fillId="2" borderId="22" xfId="1" applyNumberFormat="1" applyFont="1" applyFill="1" applyBorder="1" applyAlignment="1" applyProtection="1">
      <alignment horizontal="center"/>
    </xf>
    <xf numFmtId="0" fontId="15" fillId="8" borderId="21" xfId="1" applyNumberFormat="1" applyFont="1" applyFill="1" applyBorder="1" applyAlignment="1" applyProtection="1">
      <alignment horizontal="center"/>
    </xf>
    <xf numFmtId="0" fontId="15" fillId="8" borderId="11" xfId="1" applyNumberFormat="1" applyFont="1" applyFill="1" applyBorder="1" applyAlignment="1" applyProtection="1">
      <alignment horizontal="center"/>
    </xf>
    <xf numFmtId="0" fontId="15" fillId="8" borderId="22" xfId="1" applyNumberFormat="1" applyFont="1" applyFill="1" applyBorder="1" applyAlignment="1" applyProtection="1">
      <alignment horizontal="center"/>
    </xf>
    <xf numFmtId="164" fontId="34" fillId="0" borderId="31" xfId="0" applyNumberFormat="1" applyFont="1" applyFill="1" applyBorder="1" applyProtection="1">
      <protection locked="0"/>
    </xf>
    <xf numFmtId="164" fontId="29" fillId="0" borderId="31" xfId="1" applyNumberFormat="1" applyFont="1" applyFill="1" applyBorder="1" applyAlignment="1" applyProtection="1">
      <protection locked="0"/>
    </xf>
    <xf numFmtId="3" fontId="15" fillId="3" borderId="22" xfId="4" applyNumberFormat="1" applyFont="1" applyFill="1" applyBorder="1" applyAlignment="1" applyProtection="1"/>
    <xf numFmtId="0" fontId="15" fillId="0" borderId="31" xfId="4" applyNumberFormat="1" applyFont="1" applyFill="1" applyBorder="1" applyAlignment="1" applyProtection="1">
      <protection locked="0"/>
    </xf>
    <xf numFmtId="3" fontId="15" fillId="3" borderId="11" xfId="4" applyNumberFormat="1" applyFont="1" applyFill="1" applyBorder="1" applyAlignment="1" applyProtection="1"/>
    <xf numFmtId="0" fontId="15" fillId="2" borderId="11" xfId="4" applyNumberFormat="1" applyFont="1" applyFill="1" applyBorder="1" applyAlignment="1" applyProtection="1">
      <alignment horizontal="center" shrinkToFit="1"/>
    </xf>
    <xf numFmtId="0" fontId="15" fillId="2" borderId="21" xfId="4" applyNumberFormat="1" applyFont="1" applyFill="1" applyBorder="1" applyAlignment="1" applyProtection="1">
      <alignment horizontal="center" shrinkToFit="1"/>
    </xf>
    <xf numFmtId="0" fontId="15" fillId="0" borderId="15" xfId="4" applyNumberFormat="1" applyFont="1" applyFill="1" applyBorder="1" applyAlignment="1" applyProtection="1">
      <protection locked="0"/>
    </xf>
    <xf numFmtId="0" fontId="15" fillId="0" borderId="11" xfId="4" applyNumberFormat="1" applyFont="1" applyFill="1" applyBorder="1" applyAlignment="1" applyProtection="1">
      <protection locked="0"/>
    </xf>
    <xf numFmtId="0" fontId="29" fillId="2" borderId="22" xfId="1" applyNumberFormat="1" applyFont="1" applyFill="1" applyBorder="1" applyAlignment="1" applyProtection="1">
      <alignment horizontal="center" vertical="center" shrinkToFit="1"/>
    </xf>
    <xf numFmtId="164" fontId="34" fillId="4" borderId="31" xfId="0" applyNumberFormat="1" applyFont="1" applyFill="1" applyBorder="1" applyProtection="1">
      <protection locked="0"/>
    </xf>
    <xf numFmtId="0" fontId="14" fillId="0" borderId="22" xfId="0" applyFont="1" applyBorder="1" applyAlignment="1">
      <alignment shrinkToFit="1"/>
    </xf>
    <xf numFmtId="0" fontId="15" fillId="2" borderId="2" xfId="4" applyNumberFormat="1" applyFont="1" applyFill="1" applyBorder="1" applyAlignment="1" applyProtection="1">
      <alignment horizontal="center" shrinkToFit="1"/>
    </xf>
    <xf numFmtId="0" fontId="29" fillId="2" borderId="2" xfId="1" applyNumberFormat="1" applyFont="1" applyFill="1" applyBorder="1" applyAlignment="1" applyProtection="1">
      <alignment vertical="center"/>
    </xf>
    <xf numFmtId="0" fontId="14" fillId="0" borderId="31" xfId="0" applyFont="1" applyBorder="1" applyAlignment="1">
      <alignment wrapText="1"/>
    </xf>
    <xf numFmtId="0" fontId="14" fillId="0" borderId="31" xfId="0" applyFont="1" applyBorder="1" applyAlignment="1">
      <alignment wrapText="1" shrinkToFit="1"/>
    </xf>
    <xf numFmtId="0" fontId="15" fillId="0" borderId="11" xfId="1" applyNumberFormat="1" applyFont="1" applyFill="1" applyBorder="1" applyAlignment="1" applyProtection="1">
      <alignment horizontal="left" vertical="center"/>
    </xf>
    <xf numFmtId="0" fontId="15" fillId="2" borderId="21" xfId="1" applyNumberFormat="1" applyFont="1" applyFill="1" applyBorder="1" applyAlignment="1" applyProtection="1">
      <alignment horizontal="center"/>
    </xf>
    <xf numFmtId="0" fontId="15" fillId="0" borderId="11" xfId="1" applyNumberFormat="1" applyFont="1" applyFill="1" applyBorder="1" applyAlignment="1" applyProtection="1">
      <protection locked="0"/>
    </xf>
    <xf numFmtId="0" fontId="15" fillId="2" borderId="33" xfId="1" applyNumberFormat="1" applyFont="1" applyFill="1" applyBorder="1" applyAlignment="1" applyProtection="1">
      <alignment horizontal="center"/>
    </xf>
    <xf numFmtId="0" fontId="15" fillId="2" borderId="11" xfId="4" applyNumberFormat="1" applyFont="1" applyFill="1" applyBorder="1" applyAlignment="1" applyProtection="1">
      <alignment horizontal="center" vertical="center" wrapText="1"/>
    </xf>
    <xf numFmtId="0" fontId="15" fillId="2" borderId="21" xfId="4" applyNumberFormat="1" applyFont="1" applyFill="1" applyBorder="1" applyAlignment="1" applyProtection="1">
      <alignment horizontal="center" vertical="center" wrapText="1"/>
    </xf>
    <xf numFmtId="0" fontId="15" fillId="0" borderId="11" xfId="4" applyNumberFormat="1" applyFont="1" applyFill="1" applyBorder="1" applyAlignment="1" applyProtection="1">
      <alignment horizontal="left" vertical="center"/>
    </xf>
    <xf numFmtId="0" fontId="15" fillId="2" borderId="11" xfId="4" applyNumberFormat="1" applyFont="1" applyFill="1" applyBorder="1" applyAlignment="1" applyProtection="1">
      <alignment horizontal="center"/>
    </xf>
    <xf numFmtId="0" fontId="15" fillId="2" borderId="11" xfId="1" applyNumberFormat="1" applyFont="1" applyFill="1" applyBorder="1" applyAlignment="1" applyProtection="1">
      <alignment horizontal="center"/>
    </xf>
    <xf numFmtId="0" fontId="15" fillId="2" borderId="2" xfId="1" applyNumberFormat="1" applyFont="1" applyFill="1" applyBorder="1" applyAlignment="1" applyProtection="1">
      <alignment horizontal="center"/>
    </xf>
    <xf numFmtId="3" fontId="15" fillId="3" borderId="22" xfId="1" applyNumberFormat="1" applyFont="1" applyFill="1" applyBorder="1" applyAlignment="1" applyProtection="1">
      <alignment shrinkToFit="1"/>
    </xf>
    <xf numFmtId="0" fontId="14" fillId="8" borderId="22" xfId="3" quotePrefix="1" applyNumberFormat="1" applyFont="1" applyFill="1" applyBorder="1" applyAlignment="1">
      <alignment shrinkToFit="1"/>
    </xf>
    <xf numFmtId="0" fontId="14" fillId="8" borderId="22" xfId="3" quotePrefix="1" applyNumberFormat="1" applyFont="1" applyFill="1" applyBorder="1"/>
    <xf numFmtId="0" fontId="15" fillId="6" borderId="22" xfId="1" applyNumberFormat="1" applyFont="1" applyFill="1" applyBorder="1" applyAlignment="1" applyProtection="1">
      <alignment horizontal="center"/>
    </xf>
    <xf numFmtId="0" fontId="29" fillId="2" borderId="11" xfId="1" applyNumberFormat="1" applyFont="1" applyFill="1" applyBorder="1" applyAlignment="1" applyProtection="1">
      <alignment vertical="center" wrapText="1"/>
    </xf>
    <xf numFmtId="0" fontId="14" fillId="0" borderId="0" xfId="0" applyFont="1" applyAlignment="1">
      <alignment shrinkToFit="1"/>
    </xf>
    <xf numFmtId="0" fontId="29" fillId="2" borderId="22" xfId="1" applyNumberFormat="1" applyFont="1" applyFill="1" applyBorder="1" applyAlignment="1" applyProtection="1">
      <alignment vertical="center" shrinkToFit="1"/>
    </xf>
    <xf numFmtId="0" fontId="15" fillId="2" borderId="22" xfId="1" applyNumberFormat="1" applyFont="1" applyFill="1" applyBorder="1" applyAlignment="1" applyProtection="1">
      <alignment horizontal="center" shrinkToFit="1"/>
    </xf>
    <xf numFmtId="0" fontId="29" fillId="0" borderId="31" xfId="1" applyNumberFormat="1" applyFont="1" applyFill="1" applyBorder="1" applyAlignment="1" applyProtection="1">
      <alignment horizontal="center" vertical="center"/>
    </xf>
    <xf numFmtId="0" fontId="15" fillId="0" borderId="31" xfId="1" applyNumberFormat="1" applyFont="1" applyFill="1" applyBorder="1" applyAlignment="1" applyProtection="1">
      <protection locked="0"/>
    </xf>
    <xf numFmtId="0" fontId="29" fillId="2" borderId="31" xfId="1" applyNumberFormat="1" applyFont="1" applyFill="1" applyBorder="1" applyAlignment="1" applyProtection="1">
      <alignment vertical="center"/>
    </xf>
    <xf numFmtId="0" fontId="15" fillId="8" borderId="31" xfId="0" applyNumberFormat="1" applyFont="1" applyFill="1" applyBorder="1" applyAlignment="1">
      <alignment horizontal="right" shrinkToFit="1"/>
    </xf>
    <xf numFmtId="0" fontId="15" fillId="8" borderId="25" xfId="0" applyNumberFormat="1" applyFont="1" applyFill="1" applyBorder="1" applyAlignment="1">
      <alignment horizontal="right" shrinkToFit="1"/>
    </xf>
    <xf numFmtId="0" fontId="14" fillId="0" borderId="25" xfId="0" applyNumberFormat="1" applyFont="1" applyFill="1" applyBorder="1" applyAlignment="1" applyProtection="1">
      <alignment horizontal="left" vertical="top" shrinkToFit="1"/>
    </xf>
    <xf numFmtId="0" fontId="15" fillId="8" borderId="37" xfId="0" applyNumberFormat="1" applyFont="1" applyFill="1" applyBorder="1" applyAlignment="1">
      <alignment horizontal="right" shrinkToFit="1"/>
    </xf>
    <xf numFmtId="0" fontId="14" fillId="0" borderId="41" xfId="0" applyNumberFormat="1" applyFont="1" applyFill="1" applyBorder="1" applyAlignment="1" applyProtection="1">
      <alignment horizontal="left" vertical="top" shrinkToFit="1"/>
    </xf>
    <xf numFmtId="0" fontId="15" fillId="8" borderId="38" xfId="0" applyNumberFormat="1" applyFont="1" applyFill="1" applyBorder="1" applyAlignment="1">
      <alignment horizontal="right" shrinkToFit="1"/>
    </xf>
    <xf numFmtId="0" fontId="14" fillId="0" borderId="31" xfId="0" applyNumberFormat="1" applyFont="1" applyFill="1" applyBorder="1" applyAlignment="1" applyProtection="1">
      <alignment horizontal="left" vertical="top" shrinkToFit="1"/>
    </xf>
    <xf numFmtId="0" fontId="15" fillId="8" borderId="39" xfId="0" applyNumberFormat="1" applyFont="1" applyFill="1" applyBorder="1" applyAlignment="1">
      <alignment horizontal="right" shrinkToFit="1"/>
    </xf>
    <xf numFmtId="0" fontId="15" fillId="8" borderId="40" xfId="0" applyNumberFormat="1" applyFont="1" applyFill="1" applyBorder="1" applyAlignment="1">
      <alignment horizontal="right" shrinkToFit="1"/>
    </xf>
    <xf numFmtId="0" fontId="14" fillId="0" borderId="42" xfId="0" applyNumberFormat="1" applyFont="1" applyFill="1" applyBorder="1" applyAlignment="1" applyProtection="1">
      <alignment horizontal="left" vertical="top" shrinkToFit="1"/>
    </xf>
    <xf numFmtId="3" fontId="15" fillId="10" borderId="22" xfId="4" applyNumberFormat="1" applyFont="1" applyFill="1" applyBorder="1" applyAlignment="1" applyProtection="1">
      <alignment shrinkToFit="1"/>
    </xf>
    <xf numFmtId="0" fontId="15" fillId="2" borderId="21" xfId="4" applyNumberFormat="1" applyFont="1" applyFill="1" applyBorder="1" applyAlignment="1" applyProtection="1">
      <alignment horizontal="center" vertical="center" shrinkToFit="1"/>
    </xf>
    <xf numFmtId="0" fontId="14" fillId="0" borderId="11" xfId="0" applyFont="1" applyBorder="1" applyAlignment="1">
      <alignment shrinkToFit="1"/>
    </xf>
    <xf numFmtId="0" fontId="15" fillId="2" borderId="21" xfId="1" applyNumberFormat="1" applyFont="1" applyFill="1" applyBorder="1" applyAlignment="1" applyProtection="1">
      <alignment horizontal="center" vertical="center" shrinkToFit="1"/>
    </xf>
    <xf numFmtId="0" fontId="15" fillId="2" borderId="21" xfId="1" applyNumberFormat="1" applyFont="1" applyFill="1" applyBorder="1" applyAlignment="1" applyProtection="1">
      <alignment horizontal="center" shrinkToFit="1"/>
    </xf>
    <xf numFmtId="0" fontId="14" fillId="0" borderId="31" xfId="0" applyFont="1" applyBorder="1" applyAlignment="1">
      <alignment shrinkToFit="1"/>
    </xf>
    <xf numFmtId="0" fontId="15" fillId="2" borderId="11" xfId="6" applyNumberFormat="1" applyFont="1" applyFill="1" applyBorder="1" applyAlignment="1" applyProtection="1">
      <alignment horizontal="center" vertical="center" wrapText="1"/>
    </xf>
    <xf numFmtId="0" fontId="15" fillId="0" borderId="22" xfId="7" applyNumberFormat="1" applyFont="1" applyFill="1" applyBorder="1" applyAlignment="1" applyProtection="1">
      <protection locked="0"/>
    </xf>
    <xf numFmtId="0" fontId="15" fillId="2" borderId="11" xfId="6" applyNumberFormat="1" applyFont="1" applyFill="1" applyBorder="1" applyAlignment="1" applyProtection="1">
      <alignment horizontal="center"/>
    </xf>
    <xf numFmtId="0" fontId="15" fillId="5" borderId="11" xfId="4" applyNumberFormat="1" applyFont="1" applyFill="1" applyBorder="1" applyAlignment="1" applyProtection="1">
      <alignment horizontal="center"/>
    </xf>
    <xf numFmtId="0" fontId="15" fillId="5" borderId="21" xfId="1" applyNumberFormat="1" applyFont="1" applyFill="1" applyBorder="1" applyAlignment="1" applyProtection="1">
      <alignment horizontal="center"/>
    </xf>
    <xf numFmtId="0" fontId="15" fillId="5" borderId="22" xfId="1" applyNumberFormat="1" applyFont="1" applyFill="1" applyBorder="1" applyAlignment="1" applyProtection="1">
      <alignment horizontal="center" vertical="center" shrinkToFit="1"/>
    </xf>
    <xf numFmtId="0" fontId="15" fillId="2" borderId="22" xfId="1" applyNumberFormat="1" applyFont="1" applyFill="1" applyBorder="1" applyAlignment="1" applyProtection="1">
      <alignment horizontal="center" vertical="center" shrinkToFit="1"/>
    </xf>
    <xf numFmtId="0" fontId="15" fillId="5" borderId="22" xfId="1" applyNumberFormat="1" applyFont="1" applyFill="1" applyBorder="1" applyAlignment="1" applyProtection="1">
      <alignment horizontal="center" shrinkToFit="1"/>
    </xf>
    <xf numFmtId="0" fontId="14" fillId="0" borderId="0" xfId="0" applyFont="1" applyAlignment="1"/>
    <xf numFmtId="0" fontId="15" fillId="2" borderId="22" xfId="1" applyNumberFormat="1" applyFont="1" applyFill="1" applyBorder="1" applyAlignment="1" applyProtection="1">
      <alignment horizontal="center" vertical="center" wrapText="1"/>
    </xf>
    <xf numFmtId="0" fontId="15" fillId="0" borderId="22" xfId="1" applyNumberFormat="1" applyFont="1" applyFill="1" applyBorder="1" applyAlignment="1" applyProtection="1">
      <alignment horizontal="center" vertical="center"/>
    </xf>
    <xf numFmtId="0" fontId="15" fillId="2" borderId="22" xfId="1" applyNumberFormat="1" applyFont="1" applyFill="1" applyBorder="1" applyAlignment="1" applyProtection="1">
      <alignment vertical="center"/>
    </xf>
    <xf numFmtId="164" fontId="14" fillId="4" borderId="22" xfId="0" applyNumberFormat="1" applyFont="1" applyFill="1" applyBorder="1" applyProtection="1">
      <protection locked="0"/>
    </xf>
    <xf numFmtId="3" fontId="14" fillId="0" borderId="31" xfId="0" applyNumberFormat="1" applyFont="1" applyBorder="1" applyAlignment="1">
      <alignment shrinkToFit="1"/>
    </xf>
    <xf numFmtId="0" fontId="29" fillId="2" borderId="22" xfId="1" applyNumberFormat="1" applyFont="1" applyFill="1" applyBorder="1" applyAlignment="1" applyProtection="1">
      <alignment horizontal="left" vertical="center" shrinkToFit="1"/>
    </xf>
    <xf numFmtId="0" fontId="29" fillId="2" borderId="22" xfId="1" applyNumberFormat="1" applyFont="1" applyFill="1" applyBorder="1" applyAlignment="1" applyProtection="1">
      <alignment horizontal="left" shrinkToFit="1"/>
    </xf>
    <xf numFmtId="0" fontId="15" fillId="9" borderId="11" xfId="1" applyNumberFormat="1" applyFont="1" applyFill="1" applyBorder="1" applyAlignment="1" applyProtection="1">
      <alignment horizontal="left" vertical="center" wrapText="1"/>
    </xf>
    <xf numFmtId="0" fontId="15" fillId="9" borderId="11" xfId="1" applyNumberFormat="1" applyFont="1" applyFill="1" applyBorder="1" applyAlignment="1" applyProtection="1">
      <alignment horizontal="left" vertical="center"/>
    </xf>
    <xf numFmtId="0" fontId="14" fillId="0" borderId="11" xfId="0" applyFont="1" applyBorder="1"/>
    <xf numFmtId="164" fontId="29" fillId="4" borderId="31" xfId="1" applyNumberFormat="1" applyFont="1" applyFill="1" applyBorder="1" applyAlignment="1" applyProtection="1">
      <protection locked="0"/>
    </xf>
    <xf numFmtId="0" fontId="14" fillId="0" borderId="31" xfId="3" quotePrefix="1" applyNumberFormat="1" applyFont="1" applyFill="1" applyBorder="1" applyAlignment="1">
      <alignment shrinkToFit="1"/>
    </xf>
    <xf numFmtId="0" fontId="14" fillId="0" borderId="31" xfId="3" quotePrefix="1" applyNumberFormat="1" applyFont="1" applyFill="1" applyBorder="1"/>
    <xf numFmtId="0" fontId="15" fillId="0" borderId="31" xfId="4" applyNumberFormat="1" applyFont="1" applyFill="1" applyBorder="1" applyAlignment="1" applyProtection="1">
      <alignment horizontal="center" vertical="center" shrinkToFit="1"/>
    </xf>
    <xf numFmtId="0" fontId="15" fillId="0" borderId="31" xfId="4" applyNumberFormat="1" applyFont="1" applyFill="1" applyBorder="1" applyAlignment="1" applyProtection="1">
      <alignment shrinkToFit="1"/>
      <protection locked="0"/>
    </xf>
    <xf numFmtId="0" fontId="29" fillId="0" borderId="31" xfId="1" applyNumberFormat="1" applyFont="1" applyFill="1" applyBorder="1" applyAlignment="1" applyProtection="1">
      <alignment horizontal="center" vertical="center" shrinkToFit="1"/>
    </xf>
    <xf numFmtId="0" fontId="15" fillId="0" borderId="31" xfId="1" applyNumberFormat="1" applyFont="1" applyFill="1" applyBorder="1" applyAlignment="1" applyProtection="1">
      <alignment shrinkToFit="1"/>
      <protection locked="0"/>
    </xf>
    <xf numFmtId="0" fontId="29" fillId="2" borderId="31" xfId="1" applyNumberFormat="1" applyFont="1" applyFill="1" applyBorder="1" applyAlignment="1" applyProtection="1">
      <alignment vertical="center" shrinkToFit="1"/>
    </xf>
    <xf numFmtId="164" fontId="34" fillId="0" borderId="31" xfId="0" applyNumberFormat="1" applyFont="1" applyFill="1" applyBorder="1" applyAlignment="1" applyProtection="1">
      <alignment shrinkToFit="1"/>
      <protection locked="0"/>
    </xf>
    <xf numFmtId="164" fontId="34" fillId="4" borderId="31" xfId="0" applyNumberFormat="1" applyFont="1" applyFill="1" applyBorder="1" applyAlignment="1" applyProtection="1">
      <alignment shrinkToFit="1"/>
      <protection locked="0"/>
    </xf>
    <xf numFmtId="164" fontId="29" fillId="0" borderId="31" xfId="1" applyNumberFormat="1" applyFont="1" applyFill="1" applyBorder="1" applyAlignment="1" applyProtection="1">
      <alignment shrinkToFit="1"/>
      <protection locked="0"/>
    </xf>
    <xf numFmtId="0" fontId="15" fillId="0" borderId="11" xfId="4" applyNumberFormat="1" applyFont="1" applyFill="1" applyBorder="1" applyAlignment="1" applyProtection="1">
      <alignment horizontal="left" vertical="center" shrinkToFit="1"/>
    </xf>
    <xf numFmtId="0" fontId="15" fillId="0" borderId="31" xfId="7" applyNumberFormat="1" applyFont="1" applyFill="1" applyBorder="1" applyAlignment="1" applyProtection="1">
      <protection locked="0"/>
    </xf>
    <xf numFmtId="0" fontId="15" fillId="0" borderId="31" xfId="1" applyNumberFormat="1" applyFont="1" applyFill="1" applyBorder="1" applyAlignment="1" applyProtection="1">
      <alignment horizontal="left" vertical="center"/>
    </xf>
    <xf numFmtId="0" fontId="15" fillId="4" borderId="31" xfId="0" applyFont="1" applyFill="1" applyBorder="1" applyAlignment="1">
      <alignment shrinkToFit="1"/>
    </xf>
    <xf numFmtId="0" fontId="15" fillId="0" borderId="31" xfId="1" applyNumberFormat="1" applyFont="1" applyFill="1" applyBorder="1" applyAlignment="1" applyProtection="1">
      <alignment horizontal="center" vertical="center"/>
    </xf>
    <xf numFmtId="0" fontId="15" fillId="2" borderId="31" xfId="1" applyNumberFormat="1" applyFont="1" applyFill="1" applyBorder="1" applyAlignment="1" applyProtection="1">
      <alignment vertical="center"/>
    </xf>
    <xf numFmtId="164" fontId="14" fillId="0" borderId="31" xfId="0" applyNumberFormat="1" applyFont="1" applyFill="1" applyBorder="1" applyProtection="1">
      <protection locked="0"/>
    </xf>
    <xf numFmtId="164" fontId="14" fillId="4" borderId="31" xfId="0" applyNumberFormat="1" applyFont="1" applyFill="1" applyBorder="1" applyProtection="1">
      <protection locked="0"/>
    </xf>
    <xf numFmtId="164" fontId="15" fillId="0" borderId="31" xfId="1" applyNumberFormat="1" applyFont="1" applyFill="1" applyBorder="1" applyAlignment="1" applyProtection="1">
      <protection locked="0"/>
    </xf>
    <xf numFmtId="0" fontId="29" fillId="0" borderId="31" xfId="1" applyNumberFormat="1" applyFont="1" applyFill="1" applyBorder="1" applyAlignment="1" applyProtection="1">
      <alignment horizontal="left" vertical="center" shrinkToFit="1"/>
    </xf>
    <xf numFmtId="0" fontId="29" fillId="0" borderId="31" xfId="1" applyNumberFormat="1" applyFont="1" applyFill="1" applyBorder="1" applyAlignment="1" applyProtection="1">
      <alignment horizontal="left" vertical="center" shrinkToFit="1"/>
      <protection locked="0"/>
    </xf>
    <xf numFmtId="0" fontId="34" fillId="0" borderId="31" xfId="0" applyNumberFormat="1" applyFont="1" applyBorder="1" applyAlignment="1">
      <alignment horizontal="left" vertical="center" shrinkToFit="1"/>
    </xf>
    <xf numFmtId="0" fontId="15" fillId="0" borderId="31" xfId="1" applyNumberFormat="1" applyFont="1" applyFill="1" applyBorder="1" applyAlignment="1" applyProtection="1">
      <alignment wrapText="1"/>
      <protection locked="0"/>
    </xf>
    <xf numFmtId="0" fontId="14" fillId="0" borderId="31" xfId="0" applyFont="1" applyBorder="1"/>
    <xf numFmtId="3" fontId="15" fillId="3" borderId="15" xfId="4" applyNumberFormat="1" applyFont="1" applyFill="1" applyBorder="1" applyAlignment="1" applyProtection="1"/>
    <xf numFmtId="0" fontId="14" fillId="0" borderId="19" xfId="0" applyFont="1" applyBorder="1"/>
    <xf numFmtId="3" fontId="15" fillId="3" borderId="19" xfId="4" applyNumberFormat="1" applyFont="1" applyFill="1" applyBorder="1" applyAlignment="1" applyProtection="1"/>
    <xf numFmtId="3" fontId="15" fillId="3" borderId="19" xfId="1" applyNumberFormat="1" applyFont="1" applyFill="1" applyBorder="1" applyAlignment="1" applyProtection="1">
      <alignment shrinkToFit="1"/>
    </xf>
    <xf numFmtId="3" fontId="14" fillId="0" borderId="19" xfId="0" applyNumberFormat="1" applyFont="1" applyBorder="1" applyAlignment="1">
      <alignment shrinkToFit="1"/>
    </xf>
    <xf numFmtId="0" fontId="14" fillId="0" borderId="19" xfId="0" applyFont="1" applyBorder="1" applyAlignment="1">
      <alignment shrinkToFit="1"/>
    </xf>
    <xf numFmtId="3" fontId="15" fillId="3" borderId="19" xfId="4" applyNumberFormat="1" applyFont="1" applyFill="1" applyBorder="1" applyAlignment="1" applyProtection="1">
      <alignment shrinkToFit="1"/>
    </xf>
    <xf numFmtId="3" fontId="15" fillId="10" borderId="19" xfId="4" applyNumberFormat="1" applyFont="1" applyFill="1" applyBorder="1" applyAlignment="1" applyProtection="1">
      <alignment shrinkToFit="1"/>
    </xf>
    <xf numFmtId="0" fontId="15" fillId="2" borderId="23" xfId="1" applyNumberFormat="1" applyFont="1" applyFill="1" applyBorder="1" applyAlignment="1" applyProtection="1">
      <alignment horizontal="center" vertical="center" wrapText="1"/>
    </xf>
    <xf numFmtId="0" fontId="15" fillId="2" borderId="25" xfId="1" applyNumberFormat="1" applyFont="1" applyFill="1" applyBorder="1" applyAlignment="1" applyProtection="1">
      <alignment vertical="center"/>
    </xf>
    <xf numFmtId="0" fontId="42" fillId="2" borderId="23" xfId="1" applyNumberFormat="1" applyFont="1" applyFill="1" applyBorder="1" applyAlignment="1" applyProtection="1">
      <alignment horizontal="center" vertical="center" wrapText="1"/>
    </xf>
    <xf numFmtId="0" fontId="42" fillId="8" borderId="23" xfId="1" applyNumberFormat="1" applyFont="1" applyFill="1" applyBorder="1" applyAlignment="1" applyProtection="1">
      <alignment horizontal="center" vertical="center" wrapText="1"/>
    </xf>
    <xf numFmtId="0" fontId="42" fillId="2" borderId="22" xfId="1" applyNumberFormat="1" applyFont="1" applyFill="1" applyBorder="1" applyAlignment="1" applyProtection="1">
      <alignment horizontal="center" vertical="center" wrapText="1"/>
    </xf>
    <xf numFmtId="0" fontId="34" fillId="11" borderId="22" xfId="3" applyNumberFormat="1" applyFont="1" applyFill="1" applyBorder="1"/>
    <xf numFmtId="0" fontId="15" fillId="0" borderId="31" xfId="4" applyNumberFormat="1" applyFont="1" applyFill="1" applyBorder="1" applyAlignment="1" applyProtection="1">
      <alignment horizontal="left" vertical="center"/>
    </xf>
    <xf numFmtId="164" fontId="14" fillId="0" borderId="31" xfId="0" applyNumberFormat="1" applyFont="1" applyFill="1" applyBorder="1" applyAlignment="1" applyProtection="1">
      <alignment horizontal="left"/>
      <protection locked="0"/>
    </xf>
    <xf numFmtId="164" fontId="14" fillId="0" borderId="43" xfId="0" applyNumberFormat="1" applyFont="1" applyFill="1" applyBorder="1" applyProtection="1">
      <protection locked="0"/>
    </xf>
    <xf numFmtId="0" fontId="29" fillId="2" borderId="22" xfId="1" applyNumberFormat="1" applyFont="1" applyFill="1" applyBorder="1" applyAlignment="1" applyProtection="1">
      <alignment horizontal="center"/>
    </xf>
    <xf numFmtId="0" fontId="15" fillId="0" borderId="31" xfId="1" applyNumberFormat="1" applyFont="1" applyFill="1" applyBorder="1" applyAlignment="1" applyProtection="1">
      <alignment horizontal="center" vertical="center" wrapText="1"/>
    </xf>
    <xf numFmtId="0" fontId="15" fillId="8" borderId="22" xfId="1" applyNumberFormat="1" applyFont="1" applyFill="1" applyBorder="1" applyAlignment="1" applyProtection="1">
      <alignment horizontal="center" vertical="center" wrapText="1"/>
    </xf>
    <xf numFmtId="0" fontId="14" fillId="0" borderId="22" xfId="0" applyNumberFormat="1" applyFont="1" applyBorder="1" applyAlignment="1" applyProtection="1">
      <alignment shrinkToFit="1"/>
      <protection locked="0"/>
    </xf>
    <xf numFmtId="0" fontId="15" fillId="0" borderId="31" xfId="4" applyNumberFormat="1" applyFont="1" applyFill="1" applyBorder="1" applyAlignment="1" applyProtection="1">
      <alignment horizontal="left" vertical="center" shrinkToFit="1"/>
    </xf>
    <xf numFmtId="0" fontId="15" fillId="0" borderId="31" xfId="4" applyNumberFormat="1" applyFont="1" applyFill="1" applyBorder="1" applyAlignment="1" applyProtection="1">
      <alignment horizontal="left" shrinkToFit="1"/>
      <protection locked="0"/>
    </xf>
    <xf numFmtId="164" fontId="34" fillId="4" borderId="31" xfId="0" applyNumberFormat="1" applyFont="1" applyFill="1" applyBorder="1" applyAlignment="1" applyProtection="1">
      <alignment horizontal="left"/>
      <protection locked="0"/>
    </xf>
    <xf numFmtId="164" fontId="34" fillId="0" borderId="31" xfId="0" applyNumberFormat="1" applyFont="1" applyFill="1" applyBorder="1" applyAlignment="1" applyProtection="1">
      <alignment horizontal="left"/>
      <protection locked="0"/>
    </xf>
    <xf numFmtId="0" fontId="14" fillId="0" borderId="0" xfId="0" applyFont="1" applyAlignment="1">
      <alignment horizontal="left"/>
    </xf>
    <xf numFmtId="164" fontId="14" fillId="4" borderId="31" xfId="0" applyNumberFormat="1" applyFont="1" applyFill="1" applyBorder="1" applyAlignment="1" applyProtection="1">
      <alignment horizontal="left" shrinkToFit="1"/>
      <protection locked="0"/>
    </xf>
    <xf numFmtId="164" fontId="14" fillId="0" borderId="31" xfId="0" applyNumberFormat="1" applyFont="1" applyFill="1" applyBorder="1" applyAlignment="1" applyProtection="1">
      <alignment horizontal="left" shrinkToFit="1"/>
      <protection locked="0"/>
    </xf>
    <xf numFmtId="164" fontId="15" fillId="0" borderId="31" xfId="1" applyNumberFormat="1" applyFont="1" applyFill="1" applyBorder="1" applyAlignment="1" applyProtection="1">
      <alignment horizontal="left" shrinkToFit="1"/>
      <protection locked="0"/>
    </xf>
    <xf numFmtId="3" fontId="15" fillId="2" borderId="22" xfId="1" applyNumberFormat="1" applyFont="1" applyFill="1" applyBorder="1" applyAlignment="1" applyProtection="1">
      <alignment horizontal="center" vertical="center" shrinkToFit="1"/>
    </xf>
    <xf numFmtId="3" fontId="15" fillId="0" borderId="31" xfId="1" applyNumberFormat="1" applyFont="1" applyFill="1" applyBorder="1" applyAlignment="1" applyProtection="1">
      <alignment shrinkToFit="1"/>
      <protection locked="0"/>
    </xf>
    <xf numFmtId="3" fontId="15" fillId="2" borderId="22" xfId="1" applyNumberFormat="1" applyFont="1" applyFill="1" applyBorder="1" applyAlignment="1" applyProtection="1">
      <alignment horizontal="center" shrinkToFit="1"/>
    </xf>
    <xf numFmtId="164" fontId="14" fillId="4" borderId="31" xfId="0" applyNumberFormat="1" applyFont="1" applyFill="1" applyBorder="1" applyAlignment="1" applyProtection="1">
      <alignment shrinkToFit="1"/>
      <protection locked="0"/>
    </xf>
    <xf numFmtId="164" fontId="14" fillId="0" borderId="31" xfId="0" applyNumberFormat="1" applyFont="1" applyFill="1" applyBorder="1" applyAlignment="1" applyProtection="1">
      <alignment shrinkToFit="1"/>
      <protection locked="0"/>
    </xf>
    <xf numFmtId="164" fontId="15" fillId="0" borderId="31" xfId="1" applyNumberFormat="1" applyFont="1" applyFill="1" applyBorder="1" applyAlignment="1" applyProtection="1">
      <alignment shrinkToFit="1"/>
      <protection locked="0"/>
    </xf>
    <xf numFmtId="49" fontId="14" fillId="0" borderId="22" xfId="0" applyNumberFormat="1" applyFont="1" applyBorder="1" applyAlignment="1">
      <alignment horizontal="right" shrinkToFit="1"/>
    </xf>
    <xf numFmtId="0" fontId="15" fillId="2" borderId="11" xfId="4" applyNumberFormat="1" applyFont="1" applyFill="1" applyBorder="1" applyAlignment="1" applyProtection="1">
      <alignment horizontal="center" vertical="center" shrinkToFit="1"/>
    </xf>
    <xf numFmtId="3" fontId="48" fillId="3" borderId="45" xfId="1" applyNumberFormat="1" applyFont="1" applyFill="1" applyBorder="1" applyAlignment="1" applyProtection="1"/>
    <xf numFmtId="3" fontId="47" fillId="0" borderId="22" xfId="0" applyNumberFormat="1" applyFont="1" applyBorder="1"/>
    <xf numFmtId="3" fontId="48" fillId="3" borderId="47" xfId="1" applyNumberFormat="1" applyFont="1" applyFill="1" applyBorder="1" applyAlignment="1" applyProtection="1"/>
    <xf numFmtId="3" fontId="47" fillId="0" borderId="19" xfId="0" applyNumberFormat="1" applyFont="1" applyBorder="1"/>
    <xf numFmtId="0" fontId="13" fillId="2" borderId="22" xfId="1" applyNumberFormat="1" applyFont="1" applyFill="1" applyBorder="1" applyAlignment="1" applyProtection="1">
      <alignment horizontal="right" vertical="center" wrapText="1"/>
    </xf>
    <xf numFmtId="3" fontId="48" fillId="3" borderId="48" xfId="1" applyNumberFormat="1" applyFont="1" applyFill="1" applyBorder="1" applyAlignment="1" applyProtection="1"/>
    <xf numFmtId="3" fontId="47" fillId="0" borderId="50" xfId="0" applyNumberFormat="1" applyFont="1" applyBorder="1"/>
    <xf numFmtId="3" fontId="47" fillId="0" borderId="44" xfId="0" applyNumberFormat="1" applyFont="1" applyBorder="1"/>
    <xf numFmtId="3" fontId="47" fillId="0" borderId="46" xfId="0" applyNumberFormat="1" applyFont="1" applyBorder="1"/>
    <xf numFmtId="3" fontId="47" fillId="0" borderId="49" xfId="0" applyNumberFormat="1" applyFont="1" applyBorder="1"/>
    <xf numFmtId="0" fontId="42" fillId="5" borderId="21" xfId="1" applyNumberFormat="1" applyFont="1" applyFill="1" applyBorder="1" applyAlignment="1" applyProtection="1">
      <alignment horizontal="center"/>
    </xf>
    <xf numFmtId="0" fontId="42" fillId="0" borderId="21" xfId="1" applyNumberFormat="1" applyFont="1" applyFill="1" applyBorder="1" applyAlignment="1" applyProtection="1">
      <protection locked="0"/>
    </xf>
    <xf numFmtId="3" fontId="15" fillId="7" borderId="11" xfId="1" applyNumberFormat="1" applyFont="1" applyFill="1" applyBorder="1" applyAlignment="1" applyProtection="1">
      <alignment vertical="center"/>
    </xf>
    <xf numFmtId="3" fontId="14" fillId="0" borderId="22" xfId="0" applyNumberFormat="1" applyFont="1" applyBorder="1"/>
    <xf numFmtId="3" fontId="15" fillId="7" borderId="15" xfId="1" applyNumberFormat="1" applyFont="1" applyFill="1" applyBorder="1" applyAlignment="1" applyProtection="1">
      <alignment vertical="center"/>
    </xf>
    <xf numFmtId="3" fontId="42" fillId="7" borderId="11" xfId="1" applyNumberFormat="1" applyFont="1" applyFill="1" applyBorder="1" applyAlignment="1" applyProtection="1"/>
    <xf numFmtId="0" fontId="51" fillId="2" borderId="21" xfId="1" applyNumberFormat="1" applyFont="1" applyFill="1" applyBorder="1" applyAlignment="1" applyProtection="1">
      <alignment vertical="center"/>
    </xf>
    <xf numFmtId="0" fontId="51" fillId="2" borderId="21" xfId="1" applyNumberFormat="1" applyFont="1" applyFill="1" applyBorder="1" applyAlignment="1" applyProtection="1">
      <alignment vertical="center" wrapText="1"/>
    </xf>
    <xf numFmtId="0" fontId="51" fillId="2" borderId="11" xfId="1" applyNumberFormat="1" applyFont="1" applyFill="1" applyBorder="1" applyAlignment="1" applyProtection="1">
      <alignment vertical="center" wrapText="1"/>
    </xf>
    <xf numFmtId="0" fontId="30" fillId="0" borderId="0" xfId="0" applyFont="1"/>
    <xf numFmtId="0" fontId="51" fillId="2" borderId="11" xfId="1" applyNumberFormat="1" applyFont="1" applyFill="1" applyBorder="1" applyAlignment="1" applyProtection="1">
      <alignment vertical="center"/>
    </xf>
    <xf numFmtId="0" fontId="51" fillId="2" borderId="20" xfId="1" applyNumberFormat="1" applyFont="1" applyFill="1" applyBorder="1" applyAlignment="1" applyProtection="1">
      <alignment vertical="center"/>
    </xf>
    <xf numFmtId="0" fontId="51" fillId="2" borderId="20" xfId="1" applyNumberFormat="1" applyFont="1" applyFill="1" applyBorder="1" applyAlignment="1" applyProtection="1">
      <alignment vertical="center" wrapText="1"/>
    </xf>
    <xf numFmtId="0" fontId="51" fillId="2" borderId="3" xfId="1" applyNumberFormat="1" applyFont="1" applyFill="1" applyBorder="1" applyAlignment="1" applyProtection="1">
      <alignment vertical="center"/>
    </xf>
    <xf numFmtId="0" fontId="39" fillId="2" borderId="23" xfId="1" applyNumberFormat="1" applyFont="1" applyFill="1" applyBorder="1" applyAlignment="1" applyProtection="1">
      <alignment horizontal="center" vertical="center" wrapText="1"/>
    </xf>
    <xf numFmtId="0" fontId="51" fillId="2" borderId="22" xfId="1" applyNumberFormat="1" applyFont="1" applyFill="1" applyBorder="1" applyAlignment="1" applyProtection="1">
      <alignment horizontal="center" vertical="center" wrapText="1"/>
    </xf>
    <xf numFmtId="3" fontId="30" fillId="0" borderId="22" xfId="0" applyNumberFormat="1" applyFont="1" applyBorder="1" applyAlignment="1">
      <alignment shrinkToFit="1"/>
    </xf>
    <xf numFmtId="0" fontId="51" fillId="0" borderId="31" xfId="1" applyNumberFormat="1" applyFont="1" applyFill="1" applyBorder="1" applyAlignment="1" applyProtection="1">
      <alignment horizontal="center" vertical="center"/>
    </xf>
    <xf numFmtId="0" fontId="39" fillId="0" borderId="31" xfId="1" applyNumberFormat="1" applyFont="1" applyFill="1" applyBorder="1" applyAlignment="1" applyProtection="1">
      <protection locked="0"/>
    </xf>
    <xf numFmtId="0" fontId="51" fillId="2" borderId="22" xfId="1" applyNumberFormat="1" applyFont="1" applyFill="1" applyBorder="1" applyAlignment="1" applyProtection="1">
      <alignment vertical="center"/>
    </xf>
    <xf numFmtId="0" fontId="51" fillId="2" borderId="31" xfId="1" applyNumberFormat="1" applyFont="1" applyFill="1" applyBorder="1" applyAlignment="1" applyProtection="1">
      <alignment vertical="center"/>
    </xf>
    <xf numFmtId="164" fontId="52" fillId="0" borderId="31" xfId="0" applyNumberFormat="1" applyFont="1" applyFill="1" applyBorder="1" applyProtection="1">
      <protection locked="0"/>
    </xf>
    <xf numFmtId="164" fontId="52" fillId="4" borderId="31" xfId="0" applyNumberFormat="1" applyFont="1" applyFill="1" applyBorder="1" applyProtection="1">
      <protection locked="0"/>
    </xf>
    <xf numFmtId="0" fontId="39" fillId="2" borderId="22" xfId="1" applyNumberFormat="1" applyFont="1" applyFill="1" applyBorder="1" applyAlignment="1" applyProtection="1">
      <alignment horizontal="center"/>
    </xf>
    <xf numFmtId="0" fontId="30" fillId="0" borderId="0" xfId="0" applyFont="1" applyAlignment="1">
      <alignment shrinkToFit="1"/>
    </xf>
    <xf numFmtId="0" fontId="53" fillId="0" borderId="0" xfId="1" applyNumberFormat="1" applyFont="1" applyFill="1" applyAlignment="1" applyProtection="1">
      <alignment horizontal="left"/>
      <protection locked="0"/>
    </xf>
    <xf numFmtId="0" fontId="53" fillId="0" borderId="0" xfId="1" applyNumberFormat="1" applyFont="1" applyFill="1" applyAlignment="1" applyProtection="1">
      <alignment horizontal="center"/>
      <protection locked="0"/>
    </xf>
    <xf numFmtId="15" fontId="53" fillId="0" borderId="0" xfId="1" applyNumberFormat="1" applyFont="1" applyFill="1" applyAlignment="1" applyProtection="1">
      <alignment horizontal="center"/>
      <protection locked="0"/>
    </xf>
    <xf numFmtId="0" fontId="54" fillId="0" borderId="0" xfId="1" applyNumberFormat="1" applyFont="1" applyFill="1" applyAlignment="1" applyProtection="1">
      <alignment horizontal="left"/>
      <protection locked="0"/>
    </xf>
    <xf numFmtId="0" fontId="55" fillId="0" borderId="0" xfId="1" applyNumberFormat="1" applyFont="1" applyFill="1" applyAlignment="1" applyProtection="1">
      <alignment horizontal="left"/>
      <protection locked="0"/>
    </xf>
    <xf numFmtId="0" fontId="56" fillId="0" borderId="0" xfId="1" applyNumberFormat="1" applyFont="1" applyFill="1" applyAlignment="1" applyProtection="1">
      <alignment horizontal="left"/>
      <protection locked="0"/>
    </xf>
    <xf numFmtId="0" fontId="46" fillId="0" borderId="0" xfId="1" applyNumberFormat="1" applyFont="1" applyFill="1" applyAlignment="1" applyProtection="1">
      <alignment horizontal="left"/>
      <protection locked="0"/>
    </xf>
    <xf numFmtId="4" fontId="57" fillId="0" borderId="1" xfId="1" quotePrefix="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1" applyNumberFormat="1" applyFont="1" applyFill="1" applyAlignment="1" applyProtection="1">
      <alignment horizontal="centerContinuous" wrapText="1"/>
      <protection locked="0"/>
    </xf>
    <xf numFmtId="4" fontId="46" fillId="0" borderId="0" xfId="1" applyNumberFormat="1" applyFont="1" applyFill="1" applyAlignment="1" applyProtection="1">
      <alignment horizontal="centerContinuous" wrapText="1"/>
      <protection locked="0"/>
    </xf>
    <xf numFmtId="0" fontId="28" fillId="2" borderId="2" xfId="1" applyNumberFormat="1" applyFont="1" applyFill="1" applyBorder="1" applyAlignment="1" applyProtection="1">
      <alignment horizontal="center"/>
    </xf>
    <xf numFmtId="0" fontId="28" fillId="2" borderId="2" xfId="1" applyNumberFormat="1" applyFont="1" applyFill="1" applyBorder="1" applyAlignment="1" applyProtection="1">
      <alignment horizontal="centerContinuous" wrapText="1"/>
    </xf>
    <xf numFmtId="0" fontId="28" fillId="2" borderId="3" xfId="1" applyNumberFormat="1" applyFont="1" applyFill="1" applyBorder="1" applyAlignment="1" applyProtection="1">
      <alignment horizontal="centerContinuous" wrapText="1"/>
    </xf>
    <xf numFmtId="0" fontId="27" fillId="2" borderId="3" xfId="1" applyNumberFormat="1" applyFont="1" applyFill="1" applyBorder="1" applyAlignment="1" applyProtection="1">
      <alignment horizontal="centerContinuous" vertical="center" wrapText="1"/>
    </xf>
    <xf numFmtId="0" fontId="27" fillId="2" borderId="7" xfId="1" applyNumberFormat="1" applyFont="1" applyFill="1" applyBorder="1" applyAlignment="1" applyProtection="1">
      <alignment horizontal="center" vertical="center" wrapText="1"/>
    </xf>
    <xf numFmtId="0" fontId="28" fillId="2" borderId="9" xfId="1" applyNumberFormat="1" applyFont="1" applyFill="1" applyBorder="1" applyAlignment="1" applyProtection="1">
      <alignment horizontal="center"/>
    </xf>
    <xf numFmtId="0" fontId="27" fillId="2" borderId="16" xfId="1" applyNumberFormat="1" applyFont="1" applyFill="1" applyBorder="1" applyAlignment="1" applyProtection="1">
      <alignment horizontal="center" vertical="center" wrapText="1"/>
    </xf>
    <xf numFmtId="0" fontId="28" fillId="2" borderId="26" xfId="1" applyNumberFormat="1" applyFont="1" applyFill="1" applyBorder="1" applyAlignment="1" applyProtection="1">
      <alignment horizontal="center" vertical="top" wrapText="1"/>
    </xf>
    <xf numFmtId="0" fontId="28" fillId="2" borderId="26" xfId="1" applyNumberFormat="1" applyFont="1" applyFill="1" applyBorder="1" applyAlignment="1" applyProtection="1">
      <alignment horizontal="centerContinuous" vertical="center" wrapText="1"/>
    </xf>
    <xf numFmtId="0" fontId="28" fillId="2" borderId="29" xfId="1" applyNumberFormat="1" applyFont="1" applyFill="1" applyBorder="1" applyAlignment="1" applyProtection="1">
      <alignment horizontal="center" vertical="center" wrapText="1"/>
    </xf>
    <xf numFmtId="0" fontId="18" fillId="2" borderId="30" xfId="1" applyNumberFormat="1" applyFont="1" applyFill="1" applyBorder="1" applyAlignment="1" applyProtection="1">
      <alignment horizontal="center" vertical="center"/>
    </xf>
    <xf numFmtId="0" fontId="18" fillId="2" borderId="23" xfId="1" applyNumberFormat="1" applyFont="1" applyFill="1" applyBorder="1" applyAlignment="1" applyProtection="1">
      <alignment horizontal="center" vertical="center"/>
    </xf>
    <xf numFmtId="0" fontId="34" fillId="2" borderId="21" xfId="1" applyNumberFormat="1" applyFont="1" applyFill="1" applyBorder="1" applyAlignment="1" applyProtection="1">
      <alignment vertical="center"/>
    </xf>
    <xf numFmtId="0" fontId="34" fillId="2" borderId="21" xfId="1" applyNumberFormat="1" applyFont="1" applyFill="1" applyBorder="1" applyAlignment="1" applyProtection="1">
      <alignment vertical="center" wrapText="1"/>
    </xf>
    <xf numFmtId="0" fontId="34" fillId="2" borderId="11" xfId="1" applyNumberFormat="1" applyFont="1" applyFill="1" applyBorder="1" applyAlignment="1" applyProtection="1">
      <alignment vertical="center" wrapText="1"/>
    </xf>
    <xf numFmtId="0" fontId="34" fillId="2" borderId="11" xfId="1" applyNumberFormat="1" applyFont="1" applyFill="1" applyBorder="1" applyAlignment="1" applyProtection="1">
      <alignment vertical="center"/>
    </xf>
    <xf numFmtId="0" fontId="34" fillId="2" borderId="20" xfId="1" applyNumberFormat="1" applyFont="1" applyFill="1" applyBorder="1" applyAlignment="1" applyProtection="1">
      <alignment vertical="center"/>
    </xf>
    <xf numFmtId="0" fontId="34" fillId="2" borderId="20" xfId="1" applyNumberFormat="1" applyFont="1" applyFill="1" applyBorder="1" applyAlignment="1" applyProtection="1">
      <alignment vertical="center" wrapText="1"/>
    </xf>
    <xf numFmtId="0" fontId="34" fillId="2" borderId="3" xfId="1" applyNumberFormat="1" applyFont="1" applyFill="1" applyBorder="1" applyAlignment="1" applyProtection="1">
      <alignment vertical="center"/>
    </xf>
    <xf numFmtId="0" fontId="14" fillId="2" borderId="23" xfId="1" applyNumberFormat="1" applyFont="1" applyFill="1" applyBorder="1" applyAlignment="1" applyProtection="1">
      <alignment horizontal="center" vertical="center" wrapText="1"/>
    </xf>
    <xf numFmtId="0" fontId="50" fillId="2" borderId="23" xfId="1" applyNumberFormat="1" applyFont="1" applyFill="1" applyBorder="1" applyAlignment="1" applyProtection="1">
      <alignment horizontal="center" vertical="center" wrapText="1"/>
    </xf>
    <xf numFmtId="0" fontId="14" fillId="2" borderId="25" xfId="1" applyNumberFormat="1" applyFont="1" applyFill="1" applyBorder="1" applyAlignment="1" applyProtection="1">
      <alignment vertical="center"/>
    </xf>
    <xf numFmtId="0" fontId="14" fillId="0" borderId="31" xfId="1" applyNumberFormat="1" applyFont="1" applyFill="1" applyBorder="1" applyAlignment="1" applyProtection="1">
      <protection locked="0"/>
    </xf>
    <xf numFmtId="0" fontId="34" fillId="2" borderId="22" xfId="1" applyNumberFormat="1" applyFont="1" applyFill="1" applyBorder="1" applyAlignment="1" applyProtection="1">
      <alignment vertical="center"/>
    </xf>
    <xf numFmtId="0" fontId="34" fillId="2" borderId="31" xfId="1" applyNumberFormat="1" applyFont="1" applyFill="1" applyBorder="1" applyAlignment="1" applyProtection="1">
      <alignment vertical="center"/>
    </xf>
    <xf numFmtId="0" fontId="14" fillId="2" borderId="22" xfId="1" applyNumberFormat="1" applyFont="1" applyFill="1" applyBorder="1" applyAlignment="1" applyProtection="1">
      <alignment horizontal="center"/>
    </xf>
    <xf numFmtId="0" fontId="14" fillId="2" borderId="22" xfId="1" applyNumberFormat="1" applyFont="1" applyFill="1" applyBorder="1" applyAlignment="1" applyProtection="1">
      <alignment horizontal="center" vertical="center" wrapText="1"/>
    </xf>
    <xf numFmtId="0" fontId="14" fillId="0" borderId="31" xfId="1" applyNumberFormat="1" applyFont="1" applyFill="1" applyBorder="1" applyAlignment="1" applyProtection="1">
      <alignment horizontal="center" vertical="center"/>
    </xf>
    <xf numFmtId="164" fontId="34" fillId="0" borderId="41" xfId="0" applyNumberFormat="1" applyFont="1" applyFill="1" applyBorder="1" applyProtection="1">
      <protection locked="0"/>
    </xf>
    <xf numFmtId="0" fontId="14" fillId="2" borderId="24" xfId="1" applyNumberFormat="1" applyFont="1" applyFill="1" applyBorder="1" applyAlignment="1" applyProtection="1">
      <alignment horizontal="center" vertical="center" wrapText="1"/>
    </xf>
    <xf numFmtId="0" fontId="14" fillId="0" borderId="25" xfId="1" applyNumberFormat="1" applyFont="1" applyFill="1" applyBorder="1" applyAlignment="1" applyProtection="1">
      <protection locked="0"/>
    </xf>
    <xf numFmtId="0" fontId="14" fillId="0" borderId="0" xfId="0" applyFont="1" applyBorder="1"/>
    <xf numFmtId="0" fontId="14" fillId="2" borderId="0" xfId="1" applyNumberFormat="1" applyFont="1" applyFill="1" applyBorder="1" applyAlignment="1" applyProtection="1">
      <alignment horizontal="center"/>
    </xf>
    <xf numFmtId="164" fontId="14" fillId="0" borderId="0" xfId="0" applyNumberFormat="1" applyFont="1" applyFill="1" applyBorder="1" applyProtection="1">
      <protection locked="0"/>
    </xf>
    <xf numFmtId="164" fontId="14" fillId="4" borderId="0" xfId="0" applyNumberFormat="1" applyFont="1" applyFill="1" applyBorder="1" applyProtection="1">
      <protection locked="0"/>
    </xf>
    <xf numFmtId="164" fontId="34" fillId="0" borderId="0" xfId="0" applyNumberFormat="1" applyFont="1" applyFill="1" applyBorder="1" applyProtection="1">
      <protection locked="0"/>
    </xf>
    <xf numFmtId="164" fontId="34" fillId="0" borderId="0" xfId="1" applyNumberFormat="1" applyFont="1" applyFill="1" applyBorder="1" applyAlignment="1" applyProtection="1">
      <protection locked="0"/>
    </xf>
    <xf numFmtId="0" fontId="29" fillId="0" borderId="41" xfId="1" applyNumberFormat="1" applyFont="1" applyFill="1" applyBorder="1" applyAlignment="1" applyProtection="1">
      <alignment horizontal="center" vertical="center"/>
    </xf>
    <xf numFmtId="0" fontId="29" fillId="2" borderId="25" xfId="1" applyNumberFormat="1" applyFont="1" applyFill="1" applyBorder="1" applyAlignment="1" applyProtection="1">
      <alignment vertical="center"/>
    </xf>
    <xf numFmtId="0" fontId="15" fillId="2" borderId="19" xfId="1" applyNumberFormat="1" applyFont="1" applyFill="1" applyBorder="1" applyAlignment="1" applyProtection="1">
      <alignment horizontal="center"/>
    </xf>
    <xf numFmtId="3" fontId="30" fillId="10" borderId="31" xfId="1" applyNumberFormat="1" applyFont="1" applyFill="1" applyBorder="1" applyAlignment="1" applyProtection="1">
      <alignment shrinkToFit="1"/>
    </xf>
    <xf numFmtId="3" fontId="30" fillId="10" borderId="7" xfId="1" applyNumberFormat="1" applyFont="1" applyFill="1" applyBorder="1" applyAlignment="1" applyProtection="1">
      <alignment shrinkToFit="1"/>
    </xf>
    <xf numFmtId="0" fontId="30" fillId="8" borderId="19" xfId="0" applyFont="1" applyFill="1" applyBorder="1" applyAlignment="1">
      <alignment horizontal="center" vertical="top" wrapText="1"/>
    </xf>
    <xf numFmtId="0" fontId="30" fillId="8" borderId="22" xfId="0" applyFont="1" applyFill="1" applyBorder="1" applyAlignment="1">
      <alignment horizontal="center" vertical="top" wrapText="1"/>
    </xf>
    <xf numFmtId="0" fontId="30" fillId="8" borderId="24" xfId="0" applyFont="1" applyFill="1" applyBorder="1" applyAlignment="1">
      <alignment horizontal="center" vertical="top" wrapText="1"/>
    </xf>
    <xf numFmtId="0" fontId="51" fillId="8" borderId="22" xfId="1" applyNumberFormat="1" applyFont="1" applyFill="1" applyBorder="1" applyAlignment="1" applyProtection="1">
      <alignment horizontal="center" vertical="center" wrapText="1"/>
    </xf>
    <xf numFmtId="0" fontId="20" fillId="8" borderId="22" xfId="1" applyNumberFormat="1" applyFont="1" applyFill="1" applyBorder="1" applyAlignment="1" applyProtection="1">
      <alignment horizontal="center" vertical="center" wrapText="1"/>
    </xf>
    <xf numFmtId="164" fontId="20" fillId="0" borderId="31" xfId="1" applyNumberFormat="1" applyFont="1" applyFill="1" applyBorder="1" applyAlignment="1" applyProtection="1">
      <protection locked="0"/>
    </xf>
    <xf numFmtId="0" fontId="20" fillId="0" borderId="31" xfId="1" applyNumberFormat="1" applyFont="1" applyFill="1" applyBorder="1" applyAlignment="1" applyProtection="1">
      <alignment horizontal="center" vertical="center"/>
    </xf>
    <xf numFmtId="0" fontId="60" fillId="8" borderId="19" xfId="0" applyFont="1" applyFill="1" applyBorder="1" applyAlignment="1">
      <alignment horizontal="center" vertical="top" shrinkToFit="1"/>
    </xf>
    <xf numFmtId="0" fontId="60" fillId="8" borderId="22" xfId="0" applyFont="1" applyFill="1" applyBorder="1" applyAlignment="1">
      <alignment horizontal="center" vertical="top" shrinkToFit="1"/>
    </xf>
    <xf numFmtId="0" fontId="59" fillId="0" borderId="22" xfId="1" applyNumberFormat="1" applyFont="1" applyFill="1" applyBorder="1" applyAlignment="1" applyProtection="1">
      <alignment shrinkToFit="1"/>
      <protection locked="0"/>
    </xf>
    <xf numFmtId="0" fontId="59" fillId="0" borderId="24" xfId="1" applyNumberFormat="1" applyFont="1" applyFill="1" applyBorder="1" applyAlignment="1" applyProtection="1">
      <alignment shrinkToFit="1"/>
      <protection locked="0"/>
    </xf>
    <xf numFmtId="0" fontId="60" fillId="8" borderId="24" xfId="0" applyFont="1" applyFill="1" applyBorder="1" applyAlignment="1">
      <alignment horizontal="center" vertical="top" shrinkToFit="1"/>
    </xf>
    <xf numFmtId="3" fontId="18" fillId="2" borderId="22" xfId="3" quotePrefix="1" applyNumberFormat="1" applyFont="1" applyFill="1" applyBorder="1"/>
    <xf numFmtId="3" fontId="18" fillId="2" borderId="24" xfId="3" quotePrefix="1" applyNumberFormat="1" applyFont="1" applyFill="1" applyBorder="1"/>
    <xf numFmtId="0" fontId="15" fillId="2" borderId="11" xfId="1" applyNumberFormat="1" applyFont="1" applyFill="1" applyBorder="1" applyAlignment="1" applyProtection="1">
      <alignment horizontal="center" vertical="center" wrapText="1"/>
    </xf>
    <xf numFmtId="0" fontId="13" fillId="2" borderId="22" xfId="1" applyNumberFormat="1" applyFont="1" applyFill="1" applyBorder="1" applyAlignment="1" applyProtection="1">
      <alignment horizontal="center"/>
    </xf>
    <xf numFmtId="0" fontId="0" fillId="0" borderId="31" xfId="0" applyBorder="1"/>
    <xf numFmtId="0" fontId="30" fillId="0" borderId="31" xfId="11" applyFont="1" applyBorder="1"/>
    <xf numFmtId="3" fontId="18" fillId="0" borderId="31" xfId="0" applyNumberFormat="1" applyFont="1" applyBorder="1"/>
    <xf numFmtId="3" fontId="18" fillId="0" borderId="25" xfId="0" applyNumberFormat="1" applyFont="1" applyBorder="1"/>
    <xf numFmtId="0" fontId="15" fillId="9" borderId="31" xfId="0" applyNumberFormat="1" applyFont="1" applyFill="1" applyBorder="1" applyAlignment="1" applyProtection="1">
      <alignment shrinkToFit="1"/>
      <protection locked="0"/>
    </xf>
    <xf numFmtId="0" fontId="14" fillId="0" borderId="31" xfId="0" applyNumberFormat="1" applyFont="1" applyBorder="1" applyAlignment="1" applyProtection="1">
      <alignment shrinkToFit="1"/>
      <protection locked="0"/>
    </xf>
    <xf numFmtId="0" fontId="39" fillId="0" borderId="15" xfId="1" applyNumberFormat="1" applyFont="1" applyFill="1" applyBorder="1" applyAlignment="1" applyProtection="1">
      <alignment vertical="center" wrapText="1"/>
    </xf>
    <xf numFmtId="0" fontId="39" fillId="0" borderId="11" xfId="1" applyNumberFormat="1" applyFont="1" applyFill="1" applyBorder="1" applyAlignment="1" applyProtection="1">
      <alignment vertical="center"/>
    </xf>
    <xf numFmtId="0" fontId="59" fillId="0" borderId="11" xfId="1" applyNumberFormat="1" applyFont="1" applyFill="1" applyBorder="1" applyAlignment="1" applyProtection="1">
      <alignment vertical="center" shrinkToFit="1"/>
    </xf>
    <xf numFmtId="0" fontId="59" fillId="0" borderId="11" xfId="1" applyNumberFormat="1" applyFont="1" applyFill="1" applyBorder="1" applyAlignment="1" applyProtection="1">
      <alignment shrinkToFit="1"/>
      <protection locked="0"/>
    </xf>
    <xf numFmtId="0" fontId="59" fillId="0" borderId="2" xfId="1" applyNumberFormat="1" applyFont="1" applyFill="1" applyBorder="1" applyAlignment="1" applyProtection="1">
      <alignment shrinkToFit="1"/>
      <protection locked="0"/>
    </xf>
    <xf numFmtId="0" fontId="59" fillId="0" borderId="31" xfId="1" applyNumberFormat="1" applyFont="1" applyFill="1" applyBorder="1" applyAlignment="1" applyProtection="1">
      <alignment shrinkToFit="1"/>
      <protection locked="0"/>
    </xf>
    <xf numFmtId="0" fontId="14" fillId="0" borderId="31" xfId="0" applyFont="1" applyBorder="1" applyAlignment="1">
      <alignment horizontal="left" vertical="center" wrapText="1"/>
    </xf>
    <xf numFmtId="0" fontId="15" fillId="0" borderId="31" xfId="1" applyNumberFormat="1" applyFont="1" applyFill="1" applyBorder="1" applyAlignment="1" applyProtection="1">
      <alignment horizontal="left" vertical="center" wrapText="1"/>
      <protection locked="0"/>
    </xf>
    <xf numFmtId="0" fontId="39" fillId="0" borderId="31" xfId="1" applyNumberFormat="1" applyFont="1" applyFill="1" applyBorder="1" applyAlignment="1" applyProtection="1">
      <alignment horizontal="left" vertical="center"/>
    </xf>
    <xf numFmtId="0" fontId="30" fillId="0" borderId="31" xfId="1" applyNumberFormat="1" applyFont="1" applyFill="1" applyBorder="1" applyAlignment="1" applyProtection="1">
      <protection locked="0"/>
    </xf>
    <xf numFmtId="0" fontId="14" fillId="2" borderId="31" xfId="0" applyFont="1" applyFill="1" applyBorder="1"/>
    <xf numFmtId="16" fontId="14" fillId="2" borderId="31" xfId="0" quotePrefix="1" applyNumberFormat="1" applyFont="1" applyFill="1" applyBorder="1"/>
    <xf numFmtId="3" fontId="30" fillId="10" borderId="9" xfId="1" applyNumberFormat="1" applyFont="1" applyFill="1" applyBorder="1" applyAlignment="1" applyProtection="1">
      <alignment shrinkToFit="1"/>
    </xf>
    <xf numFmtId="3" fontId="30" fillId="0" borderId="19" xfId="0" applyNumberFormat="1" applyFont="1" applyBorder="1" applyAlignment="1">
      <alignment shrinkToFit="1"/>
    </xf>
    <xf numFmtId="3" fontId="30" fillId="10" borderId="0" xfId="1" applyNumberFormat="1" applyFont="1" applyFill="1" applyBorder="1" applyAlignment="1" applyProtection="1">
      <alignment shrinkToFit="1"/>
    </xf>
    <xf numFmtId="3" fontId="14" fillId="0" borderId="19" xfId="0" applyNumberFormat="1" applyFont="1" applyBorder="1"/>
    <xf numFmtId="3" fontId="11" fillId="0" borderId="22" xfId="0" applyNumberFormat="1" applyFont="1" applyBorder="1" applyAlignment="1">
      <alignment shrinkToFit="1"/>
    </xf>
    <xf numFmtId="3" fontId="10" fillId="3" borderId="22" xfId="1" applyNumberFormat="1" applyFont="1" applyFill="1" applyBorder="1" applyAlignment="1" applyProtection="1">
      <alignment shrinkToFit="1"/>
    </xf>
    <xf numFmtId="3" fontId="10" fillId="3" borderId="22" xfId="1" applyNumberFormat="1" applyFont="1" applyFill="1" applyBorder="1" applyAlignment="1" applyProtection="1">
      <alignment shrinkToFit="1"/>
      <protection locked="0"/>
    </xf>
    <xf numFmtId="3" fontId="10" fillId="0" borderId="22" xfId="1" applyNumberFormat="1" applyFont="1" applyFill="1" applyBorder="1" applyAlignment="1" applyProtection="1">
      <alignment shrinkToFit="1"/>
      <protection locked="0"/>
    </xf>
    <xf numFmtId="3" fontId="10" fillId="0" borderId="22" xfId="1" applyNumberFormat="1" applyFont="1" applyFill="1" applyBorder="1" applyAlignment="1" applyProtection="1">
      <alignment shrinkToFit="1"/>
    </xf>
    <xf numFmtId="3" fontId="11" fillId="0" borderId="22" xfId="0" applyNumberFormat="1" applyFont="1" applyBorder="1" applyAlignment="1">
      <alignment horizontal="center" shrinkToFit="1"/>
    </xf>
    <xf numFmtId="3" fontId="10" fillId="0" borderId="22" xfId="4" applyNumberFormat="1" applyFont="1" applyFill="1" applyBorder="1" applyAlignment="1" applyProtection="1">
      <alignment shrinkToFit="1"/>
      <protection locked="0"/>
    </xf>
    <xf numFmtId="3" fontId="10" fillId="3" borderId="22" xfId="4" applyNumberFormat="1" applyFont="1" applyFill="1" applyBorder="1" applyAlignment="1" applyProtection="1">
      <alignment shrinkToFit="1"/>
    </xf>
    <xf numFmtId="3" fontId="10" fillId="0" borderId="22" xfId="4" applyNumberFormat="1" applyFont="1" applyFill="1" applyBorder="1" applyAlignment="1" applyProtection="1">
      <alignment shrinkToFit="1"/>
    </xf>
    <xf numFmtId="3" fontId="11" fillId="0" borderId="22" xfId="0" applyNumberFormat="1" applyFont="1" applyFill="1" applyBorder="1" applyAlignment="1" applyProtection="1">
      <alignment horizontal="right" vertical="top" shrinkToFit="1"/>
    </xf>
    <xf numFmtId="3" fontId="11" fillId="0" borderId="22" xfId="0" applyNumberFormat="1" applyFont="1" applyFill="1" applyBorder="1" applyAlignment="1" applyProtection="1">
      <alignment horizontal="left" vertical="top" shrinkToFit="1"/>
    </xf>
    <xf numFmtId="3" fontId="10" fillId="10" borderId="22" xfId="1" applyNumberFormat="1" applyFont="1" applyFill="1" applyBorder="1" applyAlignment="1" applyProtection="1">
      <alignment shrinkToFit="1"/>
    </xf>
    <xf numFmtId="3" fontId="10" fillId="10" borderId="22" xfId="4" applyNumberFormat="1" applyFont="1" applyFill="1" applyBorder="1" applyAlignment="1" applyProtection="1">
      <alignment shrinkToFit="1"/>
    </xf>
    <xf numFmtId="3" fontId="11" fillId="10" borderId="22" xfId="1" applyNumberFormat="1" applyFont="1" applyFill="1" applyBorder="1" applyAlignment="1" applyProtection="1">
      <alignment shrinkToFit="1"/>
    </xf>
    <xf numFmtId="3" fontId="10" fillId="4" borderId="22" xfId="1" applyNumberFormat="1" applyFont="1" applyFill="1" applyBorder="1" applyAlignment="1" applyProtection="1">
      <alignment shrinkToFit="1"/>
    </xf>
    <xf numFmtId="3" fontId="11" fillId="10" borderId="22" xfId="0" applyNumberFormat="1" applyFont="1" applyFill="1" applyBorder="1" applyAlignment="1">
      <alignment shrinkToFit="1"/>
    </xf>
    <xf numFmtId="3" fontId="11" fillId="0" borderId="22" xfId="0" applyNumberFormat="1" applyFont="1" applyBorder="1" applyAlignment="1">
      <alignment horizontal="right" shrinkToFit="1"/>
    </xf>
    <xf numFmtId="3" fontId="10" fillId="0" borderId="22" xfId="0" applyNumberFormat="1" applyFont="1" applyBorder="1" applyAlignment="1">
      <alignment horizontal="center" vertical="top" shrinkToFit="1"/>
    </xf>
    <xf numFmtId="3" fontId="11" fillId="0" borderId="22" xfId="0" applyNumberFormat="1" applyFont="1" applyBorder="1" applyAlignment="1">
      <alignment vertical="top" shrinkToFit="1"/>
    </xf>
    <xf numFmtId="3" fontId="11" fillId="3" borderId="22" xfId="1" applyNumberFormat="1" applyFont="1" applyFill="1" applyBorder="1" applyAlignment="1" applyProtection="1">
      <alignment shrinkToFit="1"/>
    </xf>
    <xf numFmtId="3" fontId="10" fillId="7" borderId="22" xfId="4" applyNumberFormat="1" applyFont="1" applyFill="1" applyBorder="1" applyAlignment="1" applyProtection="1">
      <alignment shrinkToFit="1"/>
    </xf>
    <xf numFmtId="3" fontId="10" fillId="9" borderId="22" xfId="1" applyNumberFormat="1" applyFont="1" applyFill="1" applyBorder="1" applyAlignment="1" applyProtection="1">
      <alignment shrinkToFit="1"/>
    </xf>
    <xf numFmtId="3" fontId="10" fillId="7" borderId="22" xfId="1" applyNumberFormat="1" applyFont="1" applyFill="1" applyBorder="1" applyAlignment="1" applyProtection="1">
      <alignment shrinkToFit="1"/>
    </xf>
    <xf numFmtId="3" fontId="11" fillId="2" borderId="22" xfId="0" applyNumberFormat="1" applyFont="1" applyFill="1" applyBorder="1" applyAlignment="1">
      <alignment shrinkToFit="1"/>
    </xf>
    <xf numFmtId="3" fontId="11" fillId="2" borderId="22" xfId="1" applyNumberFormat="1" applyFont="1" applyFill="1" applyBorder="1" applyAlignment="1" applyProtection="1">
      <alignment shrinkToFit="1"/>
      <protection locked="0"/>
    </xf>
    <xf numFmtId="3" fontId="11" fillId="2" borderId="22" xfId="1" applyNumberFormat="1" applyFont="1" applyFill="1" applyBorder="1" applyAlignment="1" applyProtection="1">
      <alignment shrinkToFit="1"/>
    </xf>
    <xf numFmtId="3" fontId="11" fillId="3" borderId="22" xfId="1" applyNumberFormat="1" applyFont="1" applyFill="1" applyBorder="1" applyAlignment="1" applyProtection="1">
      <alignment shrinkToFit="1"/>
      <protection locked="0"/>
    </xf>
    <xf numFmtId="3" fontId="11" fillId="0" borderId="22" xfId="1" applyNumberFormat="1" applyFont="1" applyFill="1" applyBorder="1" applyAlignment="1" applyProtection="1">
      <alignment shrinkToFit="1"/>
      <protection locked="0"/>
    </xf>
    <xf numFmtId="3" fontId="11" fillId="0" borderId="22" xfId="1" applyNumberFormat="1" applyFont="1" applyFill="1" applyBorder="1" applyAlignment="1" applyProtection="1">
      <alignment shrinkToFit="1"/>
    </xf>
    <xf numFmtId="3" fontId="11" fillId="12" borderId="22" xfId="1" applyNumberFormat="1" applyFont="1" applyFill="1" applyBorder="1" applyAlignment="1" applyProtection="1">
      <alignment shrinkToFit="1"/>
      <protection locked="0"/>
    </xf>
    <xf numFmtId="3" fontId="11" fillId="12" borderId="22" xfId="0" applyNumberFormat="1" applyFont="1" applyFill="1" applyBorder="1" applyAlignment="1">
      <alignment shrinkToFit="1"/>
    </xf>
    <xf numFmtId="3" fontId="11" fillId="2" borderId="22" xfId="8" applyNumberFormat="1" applyFont="1" applyFill="1" applyBorder="1" applyAlignment="1" applyProtection="1">
      <alignment shrinkToFit="1"/>
      <protection locked="0"/>
    </xf>
    <xf numFmtId="3" fontId="11" fillId="0" borderId="22" xfId="0" applyNumberFormat="1" applyFont="1" applyFill="1" applyBorder="1" applyAlignment="1">
      <alignment shrinkToFit="1"/>
    </xf>
    <xf numFmtId="3" fontId="10" fillId="7" borderId="22" xfId="1" applyNumberFormat="1" applyFont="1" applyFill="1" applyBorder="1" applyAlignment="1" applyProtection="1">
      <alignment vertical="center" shrinkToFit="1"/>
    </xf>
    <xf numFmtId="3" fontId="10" fillId="0" borderId="22" xfId="10" applyNumberFormat="1" applyFont="1" applyBorder="1" applyAlignment="1">
      <alignment shrinkToFit="1"/>
    </xf>
    <xf numFmtId="3" fontId="11" fillId="0" borderId="22" xfId="0" applyNumberFormat="1" applyFont="1" applyBorder="1" applyAlignment="1">
      <alignment vertical="center" shrinkToFit="1"/>
    </xf>
    <xf numFmtId="3" fontId="10" fillId="3" borderId="22" xfId="1" applyNumberFormat="1" applyFont="1" applyFill="1" applyBorder="1" applyAlignment="1" applyProtection="1">
      <alignment horizontal="right" vertical="center" shrinkToFit="1"/>
    </xf>
    <xf numFmtId="3" fontId="11" fillId="4" borderId="22" xfId="0" applyNumberFormat="1" applyFont="1" applyFill="1" applyBorder="1" applyAlignment="1">
      <alignment shrinkToFit="1"/>
    </xf>
    <xf numFmtId="3" fontId="10" fillId="4" borderId="22" xfId="1" applyNumberFormat="1" applyFont="1" applyFill="1" applyBorder="1" applyAlignment="1" applyProtection="1">
      <alignment shrinkToFit="1"/>
      <protection locked="0"/>
    </xf>
    <xf numFmtId="3" fontId="10" fillId="0" borderId="22" xfId="1" applyNumberFormat="1" applyFont="1" applyFill="1" applyBorder="1" applyAlignment="1" applyProtection="1">
      <alignment horizontal="center" shrinkToFit="1"/>
      <protection locked="0"/>
    </xf>
    <xf numFmtId="3" fontId="10" fillId="0" borderId="22" xfId="1" applyNumberFormat="1" applyFont="1" applyFill="1" applyBorder="1" applyAlignment="1" applyProtection="1">
      <alignment horizontal="center" shrinkToFit="1"/>
    </xf>
    <xf numFmtId="3" fontId="10" fillId="4" borderId="22" xfId="4" applyNumberFormat="1" applyFont="1" applyFill="1" applyBorder="1" applyAlignment="1" applyProtection="1">
      <alignment shrinkToFit="1"/>
      <protection locked="0"/>
    </xf>
    <xf numFmtId="3" fontId="10" fillId="4" borderId="22" xfId="4" applyNumberFormat="1" applyFont="1" applyFill="1" applyBorder="1" applyAlignment="1" applyProtection="1">
      <alignment shrinkToFit="1"/>
    </xf>
    <xf numFmtId="3" fontId="11" fillId="0" borderId="22" xfId="0" applyNumberFormat="1" applyFont="1" applyFill="1" applyBorder="1" applyAlignment="1" applyProtection="1">
      <alignment shrinkToFit="1"/>
    </xf>
    <xf numFmtId="0" fontId="56" fillId="2" borderId="11" xfId="1" applyNumberFormat="1" applyFont="1" applyFill="1" applyBorder="1" applyAlignment="1" applyProtection="1">
      <alignment horizontal="center" vertical="center" wrapText="1"/>
    </xf>
    <xf numFmtId="0" fontId="12" fillId="0" borderId="11" xfId="1" applyNumberFormat="1" applyFont="1" applyFill="1" applyBorder="1" applyAlignment="1" applyProtection="1">
      <protection locked="0"/>
    </xf>
    <xf numFmtId="0" fontId="12" fillId="2" borderId="11" xfId="1" applyNumberFormat="1" applyFont="1" applyFill="1" applyBorder="1" applyAlignment="1" applyProtection="1">
      <alignment horizontal="center"/>
    </xf>
    <xf numFmtId="0" fontId="4" fillId="2" borderId="22" xfId="1" applyNumberFormat="1" applyFont="1" applyFill="1" applyBorder="1" applyAlignment="1" applyProtection="1">
      <alignment horizontal="center" vertical="center" wrapText="1"/>
    </xf>
    <xf numFmtId="0" fontId="4" fillId="0" borderId="31" xfId="1" applyNumberFormat="1" applyFont="1" applyFill="1" applyBorder="1" applyAlignment="1" applyProtection="1">
      <alignment horizontal="center" vertical="center"/>
    </xf>
    <xf numFmtId="0" fontId="6" fillId="2" borderId="22" xfId="1" applyNumberFormat="1" applyFont="1" applyFill="1" applyBorder="1" applyAlignment="1" applyProtection="1">
      <alignment horizontal="center"/>
    </xf>
    <xf numFmtId="164" fontId="56" fillId="0" borderId="31" xfId="0" applyNumberFormat="1" applyFont="1" applyFill="1" applyBorder="1" applyProtection="1">
      <protection locked="0"/>
    </xf>
    <xf numFmtId="0" fontId="6" fillId="2" borderId="19" xfId="1" applyNumberFormat="1" applyFont="1" applyFill="1" applyBorder="1" applyAlignment="1" applyProtection="1">
      <alignment horizontal="right" vertical="center" wrapText="1"/>
    </xf>
    <xf numFmtId="0" fontId="12" fillId="0" borderId="41" xfId="9" applyFont="1" applyFill="1" applyBorder="1" applyProtection="1">
      <protection locked="0"/>
    </xf>
    <xf numFmtId="0" fontId="6" fillId="2" borderId="22" xfId="1" applyNumberFormat="1" applyFont="1" applyFill="1" applyBorder="1" applyAlignment="1" applyProtection="1">
      <alignment horizontal="right" vertical="center" wrapText="1"/>
    </xf>
    <xf numFmtId="0" fontId="12" fillId="0" borderId="31" xfId="9" applyFont="1" applyFill="1" applyBorder="1" applyProtection="1">
      <protection locked="0"/>
    </xf>
    <xf numFmtId="0" fontId="6" fillId="2" borderId="24" xfId="1" applyNumberFormat="1" applyFont="1" applyFill="1" applyBorder="1" applyAlignment="1" applyProtection="1">
      <alignment horizontal="right" vertical="center" wrapText="1"/>
    </xf>
    <xf numFmtId="0" fontId="12" fillId="0" borderId="25" xfId="9" applyFont="1" applyFill="1" applyBorder="1" applyProtection="1">
      <protection locked="0"/>
    </xf>
    <xf numFmtId="0" fontId="6" fillId="2" borderId="47" xfId="1" applyNumberFormat="1" applyFont="1" applyFill="1" applyBorder="1" applyAlignment="1" applyProtection="1">
      <alignment horizontal="right" shrinkToFit="1"/>
    </xf>
    <xf numFmtId="0" fontId="12" fillId="0" borderId="41" xfId="9" applyFont="1" applyFill="1" applyBorder="1" applyAlignment="1" applyProtection="1">
      <alignment shrinkToFit="1"/>
      <protection locked="0"/>
    </xf>
    <xf numFmtId="0" fontId="6" fillId="2" borderId="45" xfId="1" applyNumberFormat="1" applyFont="1" applyFill="1" applyBorder="1" applyAlignment="1" applyProtection="1">
      <alignment horizontal="right" shrinkToFit="1"/>
    </xf>
    <xf numFmtId="0" fontId="12" fillId="0" borderId="31" xfId="9" applyFont="1" applyFill="1" applyBorder="1" applyAlignment="1" applyProtection="1">
      <alignment shrinkToFit="1"/>
      <protection locked="0"/>
    </xf>
    <xf numFmtId="0" fontId="12" fillId="0" borderId="44" xfId="9" applyFont="1" applyFill="1" applyBorder="1" applyAlignment="1" applyProtection="1">
      <alignment shrinkToFit="1"/>
      <protection locked="0"/>
    </xf>
    <xf numFmtId="0" fontId="6" fillId="2" borderId="48" xfId="1" applyNumberFormat="1" applyFont="1" applyFill="1" applyBorder="1" applyAlignment="1" applyProtection="1">
      <alignment horizontal="right" shrinkToFit="1"/>
    </xf>
    <xf numFmtId="0" fontId="12" fillId="0" borderId="49" xfId="9" applyFont="1" applyFill="1" applyBorder="1" applyAlignment="1" applyProtection="1">
      <alignment shrinkToFit="1"/>
      <protection locked="0"/>
    </xf>
    <xf numFmtId="0" fontId="13" fillId="0" borderId="31" xfId="1" applyNumberFormat="1" applyFont="1" applyFill="1" applyBorder="1" applyAlignment="1" applyProtection="1">
      <alignment horizontal="left" vertical="center" shrinkToFit="1"/>
    </xf>
    <xf numFmtId="0" fontId="15" fillId="0" borderId="21" xfId="1" applyNumberFormat="1" applyFont="1" applyFill="1" applyBorder="1" applyAlignment="1" applyProtection="1">
      <protection locked="0"/>
    </xf>
    <xf numFmtId="0" fontId="15" fillId="5" borderId="22" xfId="1" applyNumberFormat="1" applyFont="1" applyFill="1" applyBorder="1" applyAlignment="1" applyProtection="1">
      <alignment horizontal="center" vertical="center" wrapText="1"/>
    </xf>
    <xf numFmtId="0" fontId="15" fillId="5" borderId="21" xfId="1" applyNumberFormat="1" applyFont="1" applyFill="1" applyBorder="1" applyAlignment="1" applyProtection="1">
      <alignment horizontal="center" vertical="center" wrapText="1"/>
    </xf>
    <xf numFmtId="0" fontId="15" fillId="0" borderId="11" xfId="1" applyNumberFormat="1" applyFont="1" applyFill="1" applyBorder="1" applyAlignment="1" applyProtection="1">
      <alignment horizontal="center" vertical="center"/>
    </xf>
    <xf numFmtId="0" fontId="6" fillId="0" borderId="31" xfId="1" applyNumberFormat="1" applyFont="1" applyFill="1" applyBorder="1" applyAlignment="1" applyProtection="1">
      <protection locked="0"/>
    </xf>
    <xf numFmtId="0" fontId="4" fillId="2" borderId="22" xfId="1" applyNumberFormat="1" applyFont="1" applyFill="1" applyBorder="1" applyAlignment="1" applyProtection="1">
      <alignment vertical="center"/>
    </xf>
    <xf numFmtId="0" fontId="4" fillId="2" borderId="31" xfId="1" applyNumberFormat="1" applyFont="1" applyFill="1" applyBorder="1" applyAlignment="1" applyProtection="1">
      <alignment vertical="center"/>
    </xf>
    <xf numFmtId="164" fontId="56" fillId="4" borderId="31" xfId="0" applyNumberFormat="1" applyFont="1" applyFill="1" applyBorder="1" applyProtection="1">
      <protection locked="0"/>
    </xf>
    <xf numFmtId="164" fontId="4" fillId="0" borderId="31" xfId="1" applyNumberFormat="1" applyFont="1" applyFill="1" applyBorder="1" applyAlignment="1" applyProtection="1">
      <protection locked="0"/>
    </xf>
    <xf numFmtId="0" fontId="6" fillId="2" borderId="21" xfId="1" applyNumberFormat="1" applyFont="1" applyFill="1" applyBorder="1" applyAlignment="1" applyProtection="1">
      <alignment horizontal="center"/>
    </xf>
    <xf numFmtId="0" fontId="6" fillId="0" borderId="11" xfId="1" applyNumberFormat="1" applyFont="1" applyFill="1" applyBorder="1" applyAlignment="1" applyProtection="1">
      <protection locked="0"/>
    </xf>
    <xf numFmtId="0" fontId="10" fillId="2" borderId="22" xfId="1" applyNumberFormat="1" applyFont="1" applyFill="1" applyBorder="1" applyAlignment="1" applyProtection="1">
      <alignment horizontal="center" vertical="center" wrapText="1"/>
    </xf>
    <xf numFmtId="0" fontId="10" fillId="2" borderId="21" xfId="1" applyNumberFormat="1" applyFont="1" applyFill="1" applyBorder="1" applyAlignment="1" applyProtection="1">
      <alignment horizontal="center" vertical="center" wrapText="1"/>
    </xf>
    <xf numFmtId="164" fontId="11" fillId="0" borderId="31" xfId="0" applyNumberFormat="1" applyFont="1" applyFill="1" applyBorder="1" applyProtection="1">
      <protection locked="0"/>
    </xf>
    <xf numFmtId="0" fontId="10" fillId="0" borderId="22" xfId="1" applyNumberFormat="1" applyFont="1" applyFill="1" applyBorder="1" applyAlignment="1" applyProtection="1">
      <alignment horizontal="left" vertical="center"/>
    </xf>
    <xf numFmtId="164" fontId="10" fillId="4" borderId="22" xfId="1" applyNumberFormat="1" applyFont="1" applyFill="1" applyBorder="1" applyAlignment="1" applyProtection="1">
      <alignment horizontal="left"/>
      <protection locked="0"/>
    </xf>
    <xf numFmtId="0" fontId="4" fillId="0" borderId="22" xfId="1" applyNumberFormat="1" applyFont="1" applyFill="1" applyBorder="1" applyAlignment="1" applyProtection="1">
      <alignment horizontal="left" vertical="center"/>
    </xf>
    <xf numFmtId="0" fontId="4" fillId="0" borderId="31" xfId="1" applyNumberFormat="1" applyFont="1" applyFill="1" applyBorder="1" applyAlignment="1" applyProtection="1">
      <alignment horizontal="left" vertical="center"/>
    </xf>
    <xf numFmtId="0" fontId="6" fillId="0" borderId="31" xfId="1" applyNumberFormat="1" applyFont="1" applyFill="1" applyBorder="1" applyAlignment="1" applyProtection="1">
      <alignment horizontal="left"/>
      <protection locked="0"/>
    </xf>
    <xf numFmtId="0" fontId="4" fillId="2" borderId="31" xfId="1" applyNumberFormat="1" applyFont="1" applyFill="1" applyBorder="1" applyAlignment="1" applyProtection="1">
      <alignment horizontal="left" vertical="center"/>
    </xf>
    <xf numFmtId="0" fontId="10" fillId="0" borderId="11" xfId="1" applyNumberFormat="1" applyFont="1" applyFill="1" applyBorder="1" applyAlignment="1" applyProtection="1">
      <alignment horizontal="left" vertical="center"/>
    </xf>
    <xf numFmtId="0" fontId="15" fillId="2" borderId="11" xfId="1" applyNumberFormat="1" applyFont="1" applyFill="1" applyBorder="1" applyAlignment="1" applyProtection="1">
      <alignment horizontal="left" vertical="center" wrapText="1"/>
    </xf>
    <xf numFmtId="0" fontId="15" fillId="0" borderId="20" xfId="1" applyNumberFormat="1" applyFont="1" applyFill="1" applyBorder="1" applyAlignment="1" applyProtection="1">
      <alignment wrapText="1"/>
      <protection locked="0"/>
    </xf>
    <xf numFmtId="0" fontId="15" fillId="2" borderId="22" xfId="1" applyNumberFormat="1" applyFont="1" applyFill="1" applyBorder="1" applyAlignment="1" applyProtection="1">
      <alignment horizontal="left"/>
    </xf>
    <xf numFmtId="0" fontId="15" fillId="2" borderId="24" xfId="1" applyNumberFormat="1" applyFont="1" applyFill="1" applyBorder="1" applyAlignment="1" applyProtection="1">
      <alignment horizontal="left"/>
    </xf>
    <xf numFmtId="0" fontId="15" fillId="0" borderId="3" xfId="1" applyNumberFormat="1" applyFont="1" applyFill="1" applyBorder="1" applyAlignment="1" applyProtection="1">
      <alignment wrapText="1"/>
      <protection locked="0"/>
    </xf>
    <xf numFmtId="0" fontId="15" fillId="0" borderId="22" xfId="1" applyNumberFormat="1" applyFont="1" applyFill="1" applyBorder="1" applyAlignment="1" applyProtection="1">
      <alignment wrapText="1"/>
      <protection locked="0"/>
    </xf>
    <xf numFmtId="0" fontId="39" fillId="2" borderId="22" xfId="1" applyNumberFormat="1" applyFont="1" applyFill="1" applyBorder="1" applyAlignment="1" applyProtection="1">
      <alignment horizontal="center" vertical="center" wrapText="1"/>
    </xf>
    <xf numFmtId="0" fontId="39" fillId="2" borderId="22" xfId="1" applyNumberFormat="1" applyFont="1" applyFill="1" applyBorder="1" applyAlignment="1" applyProtection="1">
      <alignment vertical="center"/>
    </xf>
    <xf numFmtId="0" fontId="39" fillId="0" borderId="22" xfId="1" applyNumberFormat="1" applyFont="1" applyFill="1" applyBorder="1" applyAlignment="1" applyProtection="1">
      <alignment horizontal="center" vertical="center"/>
    </xf>
    <xf numFmtId="164" fontId="39" fillId="4" borderId="22" xfId="1" applyNumberFormat="1" applyFont="1" applyFill="1" applyBorder="1" applyAlignment="1" applyProtection="1">
      <protection locked="0"/>
    </xf>
    <xf numFmtId="0" fontId="39" fillId="0" borderId="31" xfId="1" applyNumberFormat="1" applyFont="1" applyFill="1" applyBorder="1" applyAlignment="1" applyProtection="1">
      <alignment horizontal="center" vertical="center"/>
    </xf>
    <xf numFmtId="0" fontId="39" fillId="2" borderId="21" xfId="1" applyNumberFormat="1" applyFont="1" applyFill="1" applyBorder="1" applyAlignment="1" applyProtection="1">
      <alignment horizontal="center" vertical="center" wrapText="1"/>
    </xf>
    <xf numFmtId="0" fontId="39" fillId="0" borderId="11" xfId="1" applyNumberFormat="1" applyFont="1" applyFill="1" applyBorder="1" applyAlignment="1" applyProtection="1">
      <alignment horizontal="left" vertical="center"/>
    </xf>
    <xf numFmtId="164" fontId="30" fillId="0" borderId="31" xfId="0" applyNumberFormat="1" applyFont="1" applyFill="1" applyBorder="1" applyProtection="1">
      <protection locked="0"/>
    </xf>
    <xf numFmtId="164" fontId="30" fillId="4" borderId="31" xfId="0" applyNumberFormat="1" applyFont="1" applyFill="1" applyBorder="1" applyProtection="1">
      <protection locked="0"/>
    </xf>
    <xf numFmtId="164" fontId="39" fillId="0" borderId="31" xfId="1" applyNumberFormat="1" applyFont="1" applyFill="1" applyBorder="1" applyAlignment="1" applyProtection="1">
      <protection locked="0"/>
    </xf>
    <xf numFmtId="0" fontId="39" fillId="2" borderId="21" xfId="1" applyNumberFormat="1" applyFont="1" applyFill="1" applyBorder="1" applyAlignment="1" applyProtection="1">
      <alignment horizontal="center"/>
    </xf>
    <xf numFmtId="0" fontId="39" fillId="0" borderId="11" xfId="1" applyNumberFormat="1" applyFont="1" applyFill="1" applyBorder="1" applyAlignment="1" applyProtection="1">
      <protection locked="0"/>
    </xf>
    <xf numFmtId="0" fontId="14" fillId="8" borderId="22" xfId="0" applyFont="1" applyFill="1" applyBorder="1"/>
    <xf numFmtId="0" fontId="14" fillId="0" borderId="22" xfId="2" applyFont="1" applyBorder="1" applyAlignment="1">
      <alignment shrinkToFit="1"/>
    </xf>
    <xf numFmtId="0" fontId="15" fillId="5" borderId="32" xfId="1" applyNumberFormat="1" applyFont="1" applyFill="1" applyBorder="1" applyAlignment="1" applyProtection="1">
      <alignment horizontal="center" vertical="center" shrinkToFit="1"/>
    </xf>
    <xf numFmtId="0" fontId="14" fillId="0" borderId="15" xfId="2" applyFont="1" applyBorder="1" applyAlignment="1">
      <alignment shrinkToFit="1"/>
    </xf>
    <xf numFmtId="0" fontId="15" fillId="5" borderId="21" xfId="1" applyNumberFormat="1" applyFont="1" applyFill="1" applyBorder="1" applyAlignment="1" applyProtection="1">
      <alignment horizontal="center" vertical="center" shrinkToFit="1"/>
    </xf>
    <xf numFmtId="0" fontId="15" fillId="0" borderId="11" xfId="1" applyNumberFormat="1" applyFont="1" applyFill="1" applyBorder="1" applyAlignment="1" applyProtection="1">
      <alignment horizontal="left" vertical="center" shrinkToFit="1"/>
    </xf>
    <xf numFmtId="0" fontId="15" fillId="5" borderId="32" xfId="1" applyNumberFormat="1" applyFont="1" applyFill="1" applyBorder="1" applyAlignment="1" applyProtection="1">
      <alignment horizontal="center" shrinkToFit="1"/>
    </xf>
    <xf numFmtId="0" fontId="15" fillId="5" borderId="21" xfId="1" applyNumberFormat="1" applyFont="1" applyFill="1" applyBorder="1" applyAlignment="1" applyProtection="1">
      <alignment horizontal="center" shrinkToFit="1"/>
    </xf>
    <xf numFmtId="0" fontId="14" fillId="0" borderId="11" xfId="2" applyFont="1" applyBorder="1" applyAlignment="1">
      <alignment shrinkToFit="1"/>
    </xf>
    <xf numFmtId="0" fontId="14" fillId="0" borderId="20" xfId="2" applyFont="1" applyBorder="1" applyAlignment="1">
      <alignment shrinkToFit="1"/>
    </xf>
    <xf numFmtId="0" fontId="14" fillId="0" borderId="1" xfId="2" applyFont="1" applyBorder="1" applyAlignment="1">
      <alignment shrinkToFit="1"/>
    </xf>
    <xf numFmtId="0" fontId="14" fillId="0" borderId="3" xfId="2" applyFont="1" applyBorder="1" applyAlignment="1">
      <alignment shrinkToFit="1"/>
    </xf>
    <xf numFmtId="0" fontId="15" fillId="5" borderId="11" xfId="1" applyNumberFormat="1" applyFont="1" applyFill="1" applyBorder="1" applyAlignment="1" applyProtection="1">
      <alignment horizontal="center" shrinkToFit="1"/>
    </xf>
    <xf numFmtId="0" fontId="14" fillId="0" borderId="31" xfId="2" applyFont="1" applyBorder="1" applyAlignment="1">
      <alignment shrinkToFit="1"/>
    </xf>
    <xf numFmtId="0" fontId="15" fillId="5" borderId="5" xfId="1" applyNumberFormat="1" applyFont="1" applyFill="1" applyBorder="1" applyAlignment="1" applyProtection="1">
      <alignment horizontal="center" shrinkToFit="1"/>
    </xf>
    <xf numFmtId="0" fontId="14" fillId="0" borderId="2" xfId="2" applyFont="1" applyBorder="1" applyAlignment="1">
      <alignment shrinkToFit="1"/>
    </xf>
    <xf numFmtId="3" fontId="10" fillId="3" borderId="24" xfId="1" applyNumberFormat="1" applyFont="1" applyFill="1" applyBorder="1" applyAlignment="1" applyProtection="1">
      <alignment shrinkToFit="1"/>
    </xf>
    <xf numFmtId="3" fontId="11" fillId="0" borderId="24" xfId="0" applyNumberFormat="1" applyFont="1" applyBorder="1" applyAlignment="1">
      <alignment shrinkToFit="1"/>
    </xf>
    <xf numFmtId="3" fontId="10" fillId="3" borderId="19" xfId="1" applyNumberFormat="1" applyFont="1" applyFill="1" applyBorder="1" applyAlignment="1" applyProtection="1">
      <alignment shrinkToFit="1"/>
    </xf>
    <xf numFmtId="3" fontId="11" fillId="0" borderId="19" xfId="0" applyNumberFormat="1" applyFont="1" applyBorder="1" applyAlignment="1">
      <alignment shrinkToFit="1"/>
    </xf>
    <xf numFmtId="164" fontId="15" fillId="0" borderId="22" xfId="1" applyNumberFormat="1" applyFont="1" applyFill="1" applyBorder="1" applyAlignment="1" applyProtection="1">
      <alignment horizontal="left"/>
      <protection locked="0"/>
    </xf>
    <xf numFmtId="164" fontId="15" fillId="4" borderId="22" xfId="1" applyNumberFormat="1" applyFont="1" applyFill="1" applyBorder="1" applyAlignment="1" applyProtection="1">
      <alignment horizontal="left"/>
      <protection locked="0"/>
    </xf>
    <xf numFmtId="0" fontId="15" fillId="0" borderId="22" xfId="1" applyNumberFormat="1" applyFont="1" applyFill="1" applyBorder="1" applyAlignment="1" applyProtection="1">
      <alignment horizontal="left" vertical="center"/>
    </xf>
    <xf numFmtId="0" fontId="15" fillId="2" borderId="31" xfId="1" applyNumberFormat="1" applyFont="1" applyFill="1" applyBorder="1" applyAlignment="1" applyProtection="1">
      <alignment horizontal="center"/>
    </xf>
    <xf numFmtId="164" fontId="14" fillId="0" borderId="22" xfId="0" applyNumberFormat="1" applyFont="1" applyFill="1" applyBorder="1" applyProtection="1">
      <protection locked="0"/>
    </xf>
    <xf numFmtId="0" fontId="15" fillId="2" borderId="24" xfId="1" applyNumberFormat="1" applyFont="1" applyFill="1" applyBorder="1" applyAlignment="1" applyProtection="1">
      <alignment horizontal="center"/>
    </xf>
    <xf numFmtId="164" fontId="14" fillId="0" borderId="24" xfId="0" applyNumberFormat="1" applyFont="1" applyFill="1" applyBorder="1" applyProtection="1">
      <protection locked="0"/>
    </xf>
    <xf numFmtId="0" fontId="42" fillId="2" borderId="2" xfId="1" applyNumberFormat="1" applyFont="1" applyFill="1" applyBorder="1" applyAlignment="1" applyProtection="1">
      <alignment horizontal="center" vertical="center" wrapText="1"/>
    </xf>
    <xf numFmtId="0" fontId="15" fillId="2" borderId="27" xfId="1" applyNumberFormat="1" applyFont="1" applyFill="1" applyBorder="1" applyAlignment="1" applyProtection="1">
      <alignment horizontal="center"/>
    </xf>
    <xf numFmtId="0" fontId="15" fillId="0" borderId="2" xfId="1" applyNumberFormat="1" applyFont="1" applyFill="1" applyBorder="1" applyAlignment="1" applyProtection="1">
      <protection locked="0"/>
    </xf>
    <xf numFmtId="0" fontId="29" fillId="2" borderId="31" xfId="1" applyNumberFormat="1" applyFont="1" applyFill="1" applyBorder="1" applyAlignment="1" applyProtection="1">
      <alignment horizontal="center" vertical="center" wrapText="1"/>
    </xf>
    <xf numFmtId="0" fontId="15" fillId="5" borderId="11" xfId="1" applyNumberFormat="1" applyFont="1" applyFill="1" applyBorder="1" applyAlignment="1" applyProtection="1">
      <alignment horizontal="center" vertical="center" wrapText="1"/>
    </xf>
    <xf numFmtId="0" fontId="15" fillId="2" borderId="31" xfId="1" applyNumberFormat="1" applyFont="1" applyFill="1" applyBorder="1" applyAlignment="1" applyProtection="1">
      <alignment horizontal="center" vertical="center" wrapText="1"/>
    </xf>
    <xf numFmtId="164" fontId="15" fillId="0" borderId="43" xfId="1" applyNumberFormat="1" applyFont="1" applyFill="1" applyBorder="1" applyAlignment="1" applyProtection="1">
      <protection locked="0"/>
    </xf>
    <xf numFmtId="164" fontId="15" fillId="4" borderId="31" xfId="1" applyNumberFormat="1" applyFont="1" applyFill="1" applyBorder="1" applyAlignment="1" applyProtection="1">
      <protection locked="0"/>
    </xf>
    <xf numFmtId="0" fontId="15" fillId="5" borderId="22" xfId="1" applyNumberFormat="1" applyFont="1" applyFill="1" applyBorder="1" applyAlignment="1" applyProtection="1">
      <alignment horizontal="center"/>
    </xf>
    <xf numFmtId="0" fontId="15" fillId="5" borderId="11" xfId="4" applyNumberFormat="1" applyFont="1" applyFill="1" applyBorder="1" applyAlignment="1" applyProtection="1">
      <alignment horizontal="center" vertical="center" wrapText="1"/>
    </xf>
    <xf numFmtId="0" fontId="30" fillId="8" borderId="22" xfId="3" quotePrefix="1" applyNumberFormat="1" applyFont="1" applyFill="1" applyBorder="1"/>
    <xf numFmtId="0" fontId="29" fillId="8" borderId="19" xfId="1" applyNumberFormat="1" applyFont="1" applyFill="1" applyBorder="1" applyAlignment="1" applyProtection="1">
      <alignment horizontal="center" vertical="center" wrapText="1"/>
    </xf>
    <xf numFmtId="0" fontId="29" fillId="8" borderId="24" xfId="1" applyNumberFormat="1" applyFont="1" applyFill="1" applyBorder="1" applyAlignment="1" applyProtection="1">
      <alignment vertical="center"/>
    </xf>
    <xf numFmtId="0" fontId="15" fillId="8" borderId="19" xfId="1" applyNumberFormat="1" applyFont="1" applyFill="1" applyBorder="1" applyAlignment="1" applyProtection="1">
      <alignment horizontal="center"/>
    </xf>
    <xf numFmtId="0" fontId="14" fillId="8" borderId="22" xfId="3" quotePrefix="1" applyNumberFormat="1" applyFont="1" applyFill="1" applyBorder="1" applyAlignment="1">
      <alignment horizontal="center" vertical="center"/>
    </xf>
    <xf numFmtId="0" fontId="14" fillId="0" borderId="22" xfId="0" applyNumberFormat="1" applyFont="1" applyFill="1" applyBorder="1" applyAlignment="1" applyProtection="1">
      <alignment horizontal="left" vertical="top" shrinkToFit="1"/>
    </xf>
    <xf numFmtId="0" fontId="14" fillId="8" borderId="22" xfId="0" applyFont="1" applyFill="1" applyBorder="1" applyAlignment="1">
      <alignment shrinkToFit="1"/>
    </xf>
    <xf numFmtId="0" fontId="61" fillId="8" borderId="22" xfId="0" applyFont="1" applyFill="1" applyBorder="1"/>
    <xf numFmtId="3" fontId="10" fillId="0" borderId="21" xfId="1" applyNumberFormat="1" applyFont="1" applyFill="1" applyBorder="1" applyAlignment="1" applyProtection="1">
      <protection locked="0"/>
    </xf>
    <xf numFmtId="164" fontId="10" fillId="0" borderId="52" xfId="1" applyNumberFormat="1" applyFont="1" applyFill="1" applyBorder="1" applyAlignment="1" applyProtection="1">
      <protection locked="0"/>
    </xf>
    <xf numFmtId="3" fontId="10" fillId="7" borderId="21" xfId="1" applyNumberFormat="1" applyFont="1" applyFill="1" applyBorder="1" applyAlignment="1" applyProtection="1"/>
    <xf numFmtId="164" fontId="12" fillId="0" borderId="0" xfId="0" applyNumberFormat="1" applyFont="1"/>
    <xf numFmtId="164" fontId="6" fillId="0" borderId="52" xfId="1" applyNumberFormat="1" applyFont="1" applyFill="1" applyBorder="1" applyAlignment="1" applyProtection="1"/>
    <xf numFmtId="3" fontId="12" fillId="0" borderId="21" xfId="0" applyNumberFormat="1" applyFont="1" applyBorder="1"/>
    <xf numFmtId="164" fontId="6" fillId="4" borderId="21" xfId="1" applyNumberFormat="1" applyFont="1" applyFill="1" applyBorder="1" applyAlignment="1" applyProtection="1"/>
    <xf numFmtId="164" fontId="12" fillId="0" borderId="21" xfId="0" applyNumberFormat="1" applyFont="1" applyBorder="1"/>
    <xf numFmtId="164" fontId="6" fillId="0" borderId="21" xfId="1" applyNumberFormat="1" applyFont="1" applyFill="1" applyBorder="1" applyAlignment="1" applyProtection="1">
      <protection locked="0"/>
    </xf>
    <xf numFmtId="164" fontId="15" fillId="0" borderId="21" xfId="1" applyNumberFormat="1" applyFont="1" applyFill="1" applyBorder="1" applyAlignment="1" applyProtection="1">
      <protection locked="0"/>
    </xf>
    <xf numFmtId="3" fontId="10" fillId="3" borderId="24" xfId="1" applyNumberFormat="1" applyFont="1" applyFill="1" applyBorder="1" applyAlignment="1" applyProtection="1">
      <alignment shrinkToFit="1"/>
      <protection locked="0"/>
    </xf>
    <xf numFmtId="3" fontId="10" fillId="7" borderId="22" xfId="1" applyNumberFormat="1" applyFont="1" applyFill="1" applyBorder="1" applyAlignment="1" applyProtection="1"/>
    <xf numFmtId="0" fontId="15" fillId="0" borderId="22" xfId="1" applyNumberFormat="1" applyFont="1" applyFill="1" applyBorder="1" applyAlignment="1" applyProtection="1">
      <alignment horizontal="left" vertical="center" shrinkToFit="1"/>
    </xf>
    <xf numFmtId="0" fontId="29" fillId="0" borderId="22" xfId="1" applyNumberFormat="1" applyFont="1" applyFill="1" applyBorder="1" applyAlignment="1" applyProtection="1">
      <alignment horizontal="center" vertical="center" shrinkToFit="1"/>
    </xf>
    <xf numFmtId="0" fontId="15" fillId="0" borderId="22" xfId="1" applyNumberFormat="1" applyFont="1" applyFill="1" applyBorder="1" applyAlignment="1" applyProtection="1">
      <alignment shrinkToFit="1"/>
      <protection locked="0"/>
    </xf>
    <xf numFmtId="164" fontId="34" fillId="0" borderId="22" xfId="0" applyNumberFormat="1" applyFont="1" applyFill="1" applyBorder="1" applyAlignment="1" applyProtection="1">
      <alignment shrinkToFit="1"/>
      <protection locked="0"/>
    </xf>
    <xf numFmtId="164" fontId="34" fillId="4" borderId="22" xfId="0" applyNumberFormat="1" applyFont="1" applyFill="1" applyBorder="1" applyAlignment="1" applyProtection="1">
      <alignment shrinkToFit="1"/>
      <protection locked="0"/>
    </xf>
    <xf numFmtId="164" fontId="29" fillId="0" borderId="22" xfId="1" applyNumberFormat="1" applyFont="1" applyFill="1" applyBorder="1" applyAlignment="1" applyProtection="1">
      <alignment shrinkToFit="1"/>
      <protection locked="0"/>
    </xf>
    <xf numFmtId="0" fontId="10" fillId="5" borderId="22" xfId="1" applyNumberFormat="1" applyFont="1" applyFill="1" applyBorder="1" applyAlignment="1" applyProtection="1">
      <alignment horizontal="center"/>
    </xf>
    <xf numFmtId="0" fontId="15" fillId="0" borderId="22" xfId="1" applyNumberFormat="1" applyFont="1" applyFill="1" applyBorder="1" applyAlignment="1" applyProtection="1">
      <alignment horizontal="left" shrinkToFit="1"/>
      <protection locked="0"/>
    </xf>
    <xf numFmtId="0" fontId="10" fillId="5" borderId="22" xfId="1" applyNumberFormat="1" applyFont="1" applyFill="1" applyBorder="1" applyAlignment="1" applyProtection="1">
      <alignment horizontal="center" vertical="center" wrapText="1"/>
    </xf>
    <xf numFmtId="164" fontId="11" fillId="0" borderId="22" xfId="0" applyNumberFormat="1" applyFont="1" applyFill="1" applyBorder="1" applyProtection="1">
      <protection locked="0"/>
    </xf>
    <xf numFmtId="0" fontId="11" fillId="0" borderId="22" xfId="0" applyFont="1" applyBorder="1"/>
    <xf numFmtId="3" fontId="11" fillId="0" borderId="22" xfId="0" applyNumberFormat="1" applyFont="1" applyBorder="1"/>
    <xf numFmtId="164" fontId="10" fillId="4" borderId="22" xfId="1" applyNumberFormat="1" applyFont="1" applyFill="1" applyBorder="1" applyAlignment="1" applyProtection="1"/>
    <xf numFmtId="164" fontId="15" fillId="0" borderId="22" xfId="1" applyNumberFormat="1" applyFont="1" applyFill="1" applyBorder="1" applyAlignment="1" applyProtection="1"/>
    <xf numFmtId="165" fontId="11" fillId="0" borderId="22" xfId="0" applyNumberFormat="1" applyFont="1" applyBorder="1"/>
    <xf numFmtId="164" fontId="11" fillId="4" borderId="22" xfId="0" applyNumberFormat="1" applyFont="1" applyFill="1" applyBorder="1" applyProtection="1">
      <protection locked="0"/>
    </xf>
    <xf numFmtId="2" fontId="62" fillId="5" borderId="21" xfId="1" applyNumberFormat="1" applyFont="1" applyFill="1" applyBorder="1" applyAlignment="1" applyProtection="1">
      <alignment horizontal="center" vertical="center" shrinkToFit="1"/>
    </xf>
    <xf numFmtId="2" fontId="29" fillId="0" borderId="21" xfId="1" applyNumberFormat="1" applyFont="1" applyFill="1" applyBorder="1" applyAlignment="1" applyProtection="1">
      <alignment shrinkToFit="1"/>
      <protection locked="0"/>
    </xf>
    <xf numFmtId="2" fontId="10" fillId="7" borderId="21" xfId="1" applyNumberFormat="1" applyFont="1" applyFill="1" applyBorder="1" applyAlignment="1" applyProtection="1">
      <alignment shrinkToFit="1"/>
    </xf>
    <xf numFmtId="2" fontId="10" fillId="0" borderId="21" xfId="1" applyNumberFormat="1" applyFont="1" applyFill="1" applyBorder="1" applyAlignment="1" applyProtection="1">
      <alignment shrinkToFit="1"/>
      <protection locked="0"/>
    </xf>
    <xf numFmtId="2" fontId="10" fillId="0" borderId="21" xfId="1" applyNumberFormat="1" applyFont="1" applyFill="1" applyBorder="1" applyAlignment="1" applyProtection="1">
      <alignment shrinkToFit="1"/>
    </xf>
    <xf numFmtId="2" fontId="11" fillId="0" borderId="21" xfId="0" applyNumberFormat="1" applyFont="1" applyBorder="1" applyAlignment="1">
      <alignment shrinkToFit="1"/>
    </xf>
    <xf numFmtId="2" fontId="15" fillId="0" borderId="21" xfId="1" applyNumberFormat="1" applyFont="1" applyFill="1" applyBorder="1" applyAlignment="1" applyProtection="1">
      <alignment shrinkToFit="1"/>
      <protection locked="0"/>
    </xf>
    <xf numFmtId="2" fontId="15" fillId="0" borderId="53" xfId="1" applyNumberFormat="1" applyFont="1" applyFill="1" applyBorder="1" applyAlignment="1" applyProtection="1">
      <alignment shrinkToFit="1"/>
      <protection locked="0"/>
    </xf>
    <xf numFmtId="2" fontId="29" fillId="4" borderId="21" xfId="1" applyNumberFormat="1" applyFont="1" applyFill="1" applyBorder="1" applyAlignment="1" applyProtection="1">
      <alignment shrinkToFit="1"/>
      <protection locked="0"/>
    </xf>
    <xf numFmtId="2" fontId="29" fillId="0" borderId="21" xfId="1" applyNumberFormat="1" applyFont="1" applyFill="1" applyBorder="1" applyAlignment="1" applyProtection="1">
      <alignment horizontal="left" vertical="center" shrinkToFit="1"/>
    </xf>
    <xf numFmtId="2" fontId="10" fillId="0" borderId="53" xfId="1" applyNumberFormat="1" applyFont="1" applyFill="1" applyBorder="1" applyAlignment="1" applyProtection="1">
      <alignment shrinkToFit="1"/>
    </xf>
    <xf numFmtId="0" fontId="14" fillId="13" borderId="0" xfId="0" applyFont="1" applyFill="1" applyAlignment="1">
      <alignment horizontal="left"/>
    </xf>
    <xf numFmtId="164" fontId="14" fillId="0" borderId="52" xfId="0" applyNumberFormat="1" applyFont="1" applyFill="1" applyBorder="1" applyAlignment="1" applyProtection="1">
      <alignment horizontal="left"/>
      <protection locked="0"/>
    </xf>
    <xf numFmtId="0" fontId="15" fillId="14" borderId="21" xfId="1" applyNumberFormat="1" applyFont="1" applyFill="1" applyBorder="1" applyAlignment="1" applyProtection="1">
      <alignment horizontal="left" vertical="center" wrapText="1"/>
    </xf>
    <xf numFmtId="164" fontId="15" fillId="0" borderId="52" xfId="0" applyNumberFormat="1" applyFont="1" applyFill="1" applyBorder="1" applyAlignment="1" applyProtection="1">
      <alignment horizontal="left"/>
      <protection locked="0"/>
    </xf>
    <xf numFmtId="164" fontId="14" fillId="4" borderId="52" xfId="0" applyNumberFormat="1" applyFont="1" applyFill="1" applyBorder="1" applyAlignment="1" applyProtection="1">
      <alignment horizontal="left"/>
      <protection locked="0"/>
    </xf>
    <xf numFmtId="164" fontId="15" fillId="0" borderId="52" xfId="1" applyNumberFormat="1" applyFont="1" applyFill="1" applyBorder="1" applyAlignment="1" applyProtection="1">
      <alignment horizontal="left"/>
      <protection locked="0"/>
    </xf>
    <xf numFmtId="0" fontId="15" fillId="14" borderId="22" xfId="1" applyNumberFormat="1" applyFont="1" applyFill="1" applyBorder="1" applyAlignment="1" applyProtection="1">
      <alignment horizontal="left"/>
    </xf>
    <xf numFmtId="164" fontId="10" fillId="0" borderId="52" xfId="1" applyNumberFormat="1" applyFont="1" applyFill="1" applyBorder="1" applyAlignment="1" applyProtection="1">
      <alignment shrinkToFit="1"/>
      <protection locked="0"/>
    </xf>
    <xf numFmtId="3" fontId="10" fillId="7" borderId="21" xfId="1" applyNumberFormat="1" applyFont="1" applyFill="1" applyBorder="1" applyAlignment="1" applyProtection="1">
      <alignment shrinkToFit="1"/>
    </xf>
    <xf numFmtId="164" fontId="11" fillId="0" borderId="0" xfId="0" applyNumberFormat="1" applyFont="1" applyAlignment="1">
      <alignment shrinkToFit="1"/>
    </xf>
    <xf numFmtId="164" fontId="10" fillId="4" borderId="52" xfId="1" applyNumberFormat="1" applyFont="1" applyFill="1" applyBorder="1" applyAlignment="1" applyProtection="1">
      <alignment shrinkToFit="1"/>
      <protection locked="0"/>
    </xf>
    <xf numFmtId="3" fontId="11" fillId="0" borderId="21" xfId="0" applyNumberFormat="1" applyFont="1" applyBorder="1" applyAlignment="1">
      <alignment shrinkToFit="1"/>
    </xf>
    <xf numFmtId="164" fontId="15" fillId="4" borderId="21" xfId="1" applyNumberFormat="1" applyFont="1" applyFill="1" applyBorder="1" applyAlignment="1" applyProtection="1">
      <alignment shrinkToFit="1"/>
    </xf>
    <xf numFmtId="164" fontId="14" fillId="0" borderId="21" xfId="0" applyNumberFormat="1" applyFont="1" applyBorder="1" applyAlignment="1">
      <alignment shrinkToFit="1"/>
    </xf>
    <xf numFmtId="164" fontId="15" fillId="0" borderId="21" xfId="1" applyNumberFormat="1" applyFont="1" applyFill="1" applyBorder="1" applyAlignment="1" applyProtection="1">
      <alignment shrinkToFit="1"/>
      <protection locked="0"/>
    </xf>
    <xf numFmtId="3" fontId="10" fillId="7" borderId="11" xfId="1" applyNumberFormat="1" applyFont="1" applyFill="1" applyBorder="1" applyAlignment="1" applyProtection="1">
      <alignment shrinkToFit="1"/>
    </xf>
    <xf numFmtId="164" fontId="10" fillId="0" borderId="21" xfId="1" applyNumberFormat="1" applyFont="1" applyFill="1" applyBorder="1" applyAlignment="1" applyProtection="1">
      <alignment shrinkToFit="1"/>
    </xf>
    <xf numFmtId="3" fontId="10" fillId="7" borderId="12" xfId="1" applyNumberFormat="1" applyFont="1" applyFill="1" applyBorder="1" applyAlignment="1" applyProtection="1">
      <alignment shrinkToFit="1"/>
    </xf>
    <xf numFmtId="164" fontId="15" fillId="0" borderId="21" xfId="1" applyNumberFormat="1" applyFont="1" applyFill="1" applyBorder="1" applyAlignment="1" applyProtection="1">
      <alignment shrinkToFit="1"/>
    </xf>
    <xf numFmtId="164" fontId="10" fillId="4" borderId="21" xfId="1" applyNumberFormat="1" applyFont="1" applyFill="1" applyBorder="1" applyAlignment="1" applyProtection="1">
      <alignment shrinkToFit="1"/>
    </xf>
    <xf numFmtId="164" fontId="10" fillId="0" borderId="22" xfId="1" applyNumberFormat="1" applyFont="1" applyFill="1" applyBorder="1" applyAlignment="1" applyProtection="1">
      <alignment shrinkToFit="1"/>
      <protection locked="0"/>
    </xf>
    <xf numFmtId="164" fontId="11" fillId="0" borderId="22" xfId="0" applyNumberFormat="1" applyFont="1" applyBorder="1" applyAlignment="1">
      <alignment shrinkToFit="1"/>
    </xf>
    <xf numFmtId="165" fontId="11" fillId="0" borderId="22" xfId="0" applyNumberFormat="1" applyFont="1" applyBorder="1" applyAlignment="1">
      <alignment shrinkToFit="1"/>
    </xf>
    <xf numFmtId="164" fontId="15" fillId="4" borderId="22" xfId="1" applyNumberFormat="1" applyFont="1" applyFill="1" applyBorder="1" applyAlignment="1" applyProtection="1">
      <alignment shrinkToFit="1"/>
      <protection locked="0"/>
    </xf>
    <xf numFmtId="164" fontId="15" fillId="0" borderId="22" xfId="1" applyNumberFormat="1" applyFont="1" applyFill="1" applyBorder="1" applyAlignment="1" applyProtection="1">
      <alignment shrinkToFit="1"/>
      <protection locked="0"/>
    </xf>
    <xf numFmtId="164" fontId="11" fillId="4" borderId="22" xfId="0" applyNumberFormat="1" applyFont="1" applyFill="1" applyBorder="1" applyAlignment="1">
      <alignment shrinkToFit="1"/>
    </xf>
    <xf numFmtId="164" fontId="14" fillId="4" borderId="22" xfId="0" applyNumberFormat="1" applyFont="1" applyFill="1" applyBorder="1" applyAlignment="1">
      <alignment shrinkToFit="1"/>
    </xf>
    <xf numFmtId="164" fontId="10" fillId="4" borderId="22" xfId="1" applyNumberFormat="1" applyFont="1" applyFill="1" applyBorder="1" applyAlignment="1" applyProtection="1">
      <alignment shrinkToFit="1"/>
      <protection locked="0"/>
    </xf>
    <xf numFmtId="0" fontId="0" fillId="5" borderId="34" xfId="4" applyNumberFormat="1" applyFont="1" applyFill="1" applyBorder="1" applyAlignment="1" applyProtection="1">
      <alignment horizontal="center" vertical="center" wrapText="1"/>
    </xf>
    <xf numFmtId="0" fontId="0" fillId="5" borderId="11" xfId="4" applyNumberFormat="1" applyFont="1" applyFill="1" applyBorder="1" applyAlignment="1" applyProtection="1">
      <alignment horizontal="center" vertical="center" wrapText="1"/>
    </xf>
    <xf numFmtId="0" fontId="0" fillId="5" borderId="21" xfId="4" applyNumberFormat="1" applyFont="1" applyFill="1" applyBorder="1" applyAlignment="1" applyProtection="1">
      <alignment horizontal="center" vertical="center" wrapText="1"/>
    </xf>
    <xf numFmtId="0" fontId="0" fillId="5" borderId="2" xfId="4" applyNumberFormat="1" applyFont="1" applyFill="1" applyBorder="1" applyAlignment="1" applyProtection="1">
      <alignment horizontal="center" wrapText="1"/>
    </xf>
    <xf numFmtId="0" fontId="0" fillId="5" borderId="11" xfId="4" applyNumberFormat="1" applyFont="1" applyFill="1" applyBorder="1" applyAlignment="1" applyProtection="1">
      <alignment horizontal="center" vertical="center"/>
    </xf>
    <xf numFmtId="0" fontId="39" fillId="7" borderId="2" xfId="4" applyNumberFormat="1" applyFont="1" applyFill="1" applyBorder="1" applyAlignment="1" applyProtection="1">
      <alignment horizontal="center" wrapText="1"/>
      <protection locked="0"/>
    </xf>
    <xf numFmtId="0" fontId="26" fillId="2" borderId="8" xfId="1" applyNumberFormat="1" applyFont="1" applyFill="1" applyBorder="1" applyAlignment="1" applyProtection="1">
      <alignment horizontal="center" vertical="center" wrapText="1"/>
    </xf>
    <xf numFmtId="0" fontId="26" fillId="2" borderId="3" xfId="1" applyNumberFormat="1" applyFont="1" applyFill="1" applyBorder="1" applyAlignment="1" applyProtection="1">
      <alignment horizontal="center" vertical="center" wrapText="1"/>
    </xf>
    <xf numFmtId="0" fontId="26" fillId="2" borderId="4" xfId="1" applyNumberFormat="1" applyFont="1" applyFill="1" applyBorder="1" applyAlignment="1" applyProtection="1">
      <alignment horizontal="center" vertical="center" wrapText="1"/>
    </xf>
    <xf numFmtId="0" fontId="26" fillId="2" borderId="17" xfId="1" applyNumberFormat="1" applyFont="1" applyFill="1" applyBorder="1" applyAlignment="1" applyProtection="1">
      <alignment horizontal="center" vertical="center" wrapText="1"/>
    </xf>
    <xf numFmtId="0" fontId="26" fillId="2" borderId="1" xfId="1" applyNumberFormat="1" applyFont="1" applyFill="1" applyBorder="1" applyAlignment="1" applyProtection="1">
      <alignment horizontal="center" vertical="center" wrapText="1"/>
    </xf>
    <xf numFmtId="0" fontId="26" fillId="2" borderId="18" xfId="1" applyNumberFormat="1" applyFont="1" applyFill="1" applyBorder="1" applyAlignment="1" applyProtection="1">
      <alignment horizontal="center" vertical="center" wrapText="1"/>
    </xf>
    <xf numFmtId="0" fontId="25" fillId="2" borderId="11" xfId="1" applyNumberFormat="1" applyFont="1" applyFill="1" applyBorder="1" applyAlignment="1" applyProtection="1">
      <alignment horizontal="center" vertical="center" wrapText="1"/>
    </xf>
    <xf numFmtId="0" fontId="25" fillId="2" borderId="12" xfId="1" applyNumberFormat="1" applyFont="1" applyFill="1" applyBorder="1" applyAlignment="1" applyProtection="1">
      <alignment horizontal="center" vertical="center" wrapText="1"/>
    </xf>
    <xf numFmtId="0" fontId="9" fillId="2" borderId="2" xfId="1" applyNumberFormat="1" applyFont="1" applyFill="1" applyBorder="1" applyAlignment="1" applyProtection="1">
      <alignment horizontal="center" vertical="center" wrapText="1"/>
    </xf>
    <xf numFmtId="0" fontId="9" fillId="2" borderId="3" xfId="1" applyNumberFormat="1" applyFont="1" applyFill="1" applyBorder="1" applyAlignment="1" applyProtection="1">
      <alignment horizontal="center" vertical="center" wrapText="1"/>
    </xf>
    <xf numFmtId="0" fontId="9" fillId="2" borderId="4" xfId="1" applyNumberFormat="1" applyFont="1" applyFill="1" applyBorder="1" applyAlignment="1" applyProtection="1">
      <alignment horizontal="center" vertical="center" wrapText="1"/>
    </xf>
    <xf numFmtId="0" fontId="9" fillId="2" borderId="9" xfId="1" applyNumberFormat="1" applyFont="1" applyFill="1" applyBorder="1" applyAlignment="1" applyProtection="1">
      <alignment horizontal="center" vertical="center" wrapText="1"/>
    </xf>
    <xf numFmtId="0" fontId="9" fillId="2" borderId="0" xfId="1" applyNumberFormat="1" applyFont="1" applyFill="1" applyBorder="1" applyAlignment="1" applyProtection="1">
      <alignment horizontal="center" vertical="center" wrapText="1"/>
    </xf>
    <xf numFmtId="0" fontId="9" fillId="2" borderId="10" xfId="1" applyNumberFormat="1" applyFont="1" applyFill="1" applyBorder="1" applyAlignment="1" applyProtection="1">
      <alignment horizontal="center" vertical="center" wrapText="1"/>
    </xf>
    <xf numFmtId="0" fontId="9" fillId="2" borderId="15" xfId="1" applyNumberFormat="1" applyFont="1" applyFill="1" applyBorder="1" applyAlignment="1" applyProtection="1">
      <alignment horizontal="center" vertical="center" wrapText="1"/>
    </xf>
    <xf numFmtId="0" fontId="9" fillId="2" borderId="1" xfId="1" applyNumberFormat="1" applyFont="1" applyFill="1" applyBorder="1" applyAlignment="1" applyProtection="1">
      <alignment horizontal="center" vertical="center" wrapText="1"/>
    </xf>
    <xf numFmtId="0" fontId="9" fillId="2" borderId="18" xfId="1" applyNumberFormat="1" applyFont="1" applyFill="1" applyBorder="1" applyAlignment="1" applyProtection="1">
      <alignment horizontal="center" vertical="center" wrapText="1"/>
    </xf>
    <xf numFmtId="0" fontId="25" fillId="2" borderId="5" xfId="1" applyNumberFormat="1" applyFont="1" applyFill="1" applyBorder="1" applyAlignment="1" applyProtection="1">
      <alignment horizontal="center" vertical="center" wrapText="1"/>
    </xf>
    <xf numFmtId="0" fontId="25" fillId="2" borderId="13" xfId="1" applyNumberFormat="1" applyFont="1" applyFill="1" applyBorder="1" applyAlignment="1" applyProtection="1">
      <alignment horizontal="center" vertical="center" wrapText="1"/>
    </xf>
    <xf numFmtId="0" fontId="25" fillId="2" borderId="28" xfId="1" applyNumberFormat="1" applyFont="1" applyFill="1" applyBorder="1" applyAlignment="1" applyProtection="1">
      <alignment horizontal="center" vertical="center" wrapText="1"/>
    </xf>
    <xf numFmtId="0" fontId="5" fillId="2" borderId="5" xfId="1" applyNumberFormat="1" applyFont="1" applyFill="1" applyBorder="1" applyAlignment="1" applyProtection="1">
      <alignment horizontal="center" vertical="center" wrapText="1"/>
    </xf>
    <xf numFmtId="0" fontId="5" fillId="2" borderId="13" xfId="1" applyNumberFormat="1" applyFont="1" applyFill="1" applyBorder="1" applyAlignment="1" applyProtection="1">
      <alignment horizontal="center" vertical="center" wrapText="1"/>
    </xf>
    <xf numFmtId="0" fontId="5" fillId="2" borderId="28" xfId="1" applyNumberFormat="1" applyFont="1" applyFill="1" applyBorder="1" applyAlignment="1" applyProtection="1">
      <alignment horizontal="center" vertical="center" wrapText="1"/>
    </xf>
    <xf numFmtId="0" fontId="13" fillId="2" borderId="11" xfId="1" applyNumberFormat="1" applyFont="1" applyFill="1" applyBorder="1" applyAlignment="1" applyProtection="1">
      <alignment horizontal="center" vertical="center"/>
    </xf>
    <xf numFmtId="0" fontId="13" fillId="2" borderId="20" xfId="1" applyNumberFormat="1" applyFont="1" applyFill="1" applyBorder="1" applyAlignment="1" applyProtection="1">
      <alignment horizontal="center" vertical="center"/>
    </xf>
    <xf numFmtId="0" fontId="13" fillId="2" borderId="12" xfId="1" applyNumberFormat="1" applyFont="1" applyFill="1" applyBorder="1" applyAlignment="1" applyProtection="1">
      <alignment horizontal="center" vertical="center"/>
    </xf>
    <xf numFmtId="0" fontId="25" fillId="2" borderId="51" xfId="1" applyNumberFormat="1" applyFont="1" applyFill="1" applyBorder="1" applyAlignment="1" applyProtection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6" fillId="2" borderId="2" xfId="1" applyNumberFormat="1" applyFont="1" applyFill="1" applyBorder="1" applyAlignment="1" applyProtection="1">
      <alignment horizontal="center" vertical="center" wrapText="1"/>
    </xf>
    <xf numFmtId="0" fontId="26" fillId="2" borderId="15" xfId="1" applyNumberFormat="1" applyFont="1" applyFill="1" applyBorder="1" applyAlignment="1" applyProtection="1">
      <alignment horizontal="center" vertical="center" wrapText="1"/>
    </xf>
    <xf numFmtId="0" fontId="27" fillId="2" borderId="8" xfId="1" applyNumberFormat="1" applyFont="1" applyFill="1" applyBorder="1" applyAlignment="1" applyProtection="1">
      <alignment horizontal="center" vertical="center" wrapText="1"/>
    </xf>
    <xf numFmtId="0" fontId="27" fillId="2" borderId="3" xfId="1" applyNumberFormat="1" applyFont="1" applyFill="1" applyBorder="1" applyAlignment="1" applyProtection="1">
      <alignment horizontal="center" vertical="center" wrapText="1"/>
    </xf>
    <xf numFmtId="0" fontId="27" fillId="2" borderId="4" xfId="1" applyNumberFormat="1" applyFont="1" applyFill="1" applyBorder="1" applyAlignment="1" applyProtection="1">
      <alignment horizontal="center" vertical="center" wrapText="1"/>
    </xf>
    <xf numFmtId="0" fontId="27" fillId="2" borderId="17" xfId="1" applyNumberFormat="1" applyFont="1" applyFill="1" applyBorder="1" applyAlignment="1" applyProtection="1">
      <alignment horizontal="center" vertical="center" wrapText="1"/>
    </xf>
    <xf numFmtId="0" fontId="27" fillId="2" borderId="1" xfId="1" applyNumberFormat="1" applyFont="1" applyFill="1" applyBorder="1" applyAlignment="1" applyProtection="1">
      <alignment horizontal="center" vertical="center" wrapText="1"/>
    </xf>
    <xf numFmtId="0" fontId="27" fillId="2" borderId="18" xfId="1" applyNumberFormat="1" applyFont="1" applyFill="1" applyBorder="1" applyAlignment="1" applyProtection="1">
      <alignment horizontal="center" vertical="center" wrapText="1"/>
    </xf>
    <xf numFmtId="0" fontId="28" fillId="2" borderId="11" xfId="1" applyNumberFormat="1" applyFont="1" applyFill="1" applyBorder="1" applyAlignment="1" applyProtection="1">
      <alignment horizontal="center" vertical="center" wrapText="1"/>
    </xf>
    <xf numFmtId="0" fontId="28" fillId="2" borderId="12" xfId="1" applyNumberFormat="1" applyFont="1" applyFill="1" applyBorder="1" applyAlignment="1" applyProtection="1">
      <alignment horizontal="center" vertical="center" wrapText="1"/>
    </xf>
    <xf numFmtId="0" fontId="58" fillId="2" borderId="2" xfId="1" applyNumberFormat="1" applyFont="1" applyFill="1" applyBorder="1" applyAlignment="1" applyProtection="1">
      <alignment horizontal="center" vertical="center" wrapText="1"/>
    </xf>
    <xf numFmtId="0" fontId="58" fillId="2" borderId="3" xfId="1" applyNumberFormat="1" applyFont="1" applyFill="1" applyBorder="1" applyAlignment="1" applyProtection="1">
      <alignment horizontal="center" vertical="center" wrapText="1"/>
    </xf>
    <xf numFmtId="0" fontId="58" fillId="2" borderId="4" xfId="1" applyNumberFormat="1" applyFont="1" applyFill="1" applyBorder="1" applyAlignment="1" applyProtection="1">
      <alignment horizontal="center" vertical="center" wrapText="1"/>
    </xf>
    <xf numFmtId="0" fontId="58" fillId="2" borderId="9" xfId="1" applyNumberFormat="1" applyFont="1" applyFill="1" applyBorder="1" applyAlignment="1" applyProtection="1">
      <alignment horizontal="center" vertical="center" wrapText="1"/>
    </xf>
    <xf numFmtId="0" fontId="58" fillId="2" borderId="0" xfId="1" applyNumberFormat="1" applyFont="1" applyFill="1" applyBorder="1" applyAlignment="1" applyProtection="1">
      <alignment horizontal="center" vertical="center" wrapText="1"/>
    </xf>
    <xf numFmtId="0" fontId="58" fillId="2" borderId="10" xfId="1" applyNumberFormat="1" applyFont="1" applyFill="1" applyBorder="1" applyAlignment="1" applyProtection="1">
      <alignment horizontal="center" vertical="center" wrapText="1"/>
    </xf>
    <xf numFmtId="0" fontId="58" fillId="2" borderId="15" xfId="1" applyNumberFormat="1" applyFont="1" applyFill="1" applyBorder="1" applyAlignment="1" applyProtection="1">
      <alignment horizontal="center" vertical="center" wrapText="1"/>
    </xf>
    <xf numFmtId="0" fontId="58" fillId="2" borderId="1" xfId="1" applyNumberFormat="1" applyFont="1" applyFill="1" applyBorder="1" applyAlignment="1" applyProtection="1">
      <alignment horizontal="center" vertical="center" wrapText="1"/>
    </xf>
    <xf numFmtId="0" fontId="58" fillId="2" borderId="18" xfId="1" applyNumberFormat="1" applyFont="1" applyFill="1" applyBorder="1" applyAlignment="1" applyProtection="1">
      <alignment horizontal="center" vertical="center" wrapText="1"/>
    </xf>
    <xf numFmtId="0" fontId="28" fillId="2" borderId="5" xfId="1" applyNumberFormat="1" applyFont="1" applyFill="1" applyBorder="1" applyAlignment="1" applyProtection="1">
      <alignment horizontal="center" vertical="center" wrapText="1"/>
    </xf>
    <xf numFmtId="0" fontId="28" fillId="2" borderId="13" xfId="1" applyNumberFormat="1" applyFont="1" applyFill="1" applyBorder="1" applyAlignment="1" applyProtection="1">
      <alignment horizontal="center" vertical="center" wrapText="1"/>
    </xf>
    <xf numFmtId="0" fontId="28" fillId="2" borderId="28" xfId="1" applyNumberFormat="1" applyFont="1" applyFill="1" applyBorder="1" applyAlignment="1" applyProtection="1">
      <alignment horizontal="center" vertical="center" wrapText="1"/>
    </xf>
    <xf numFmtId="0" fontId="46" fillId="2" borderId="5" xfId="1" applyNumberFormat="1" applyFont="1" applyFill="1" applyBorder="1" applyAlignment="1" applyProtection="1">
      <alignment horizontal="center" vertical="center" wrapText="1"/>
    </xf>
    <xf numFmtId="0" fontId="46" fillId="2" borderId="13" xfId="1" applyNumberFormat="1" applyFont="1" applyFill="1" applyBorder="1" applyAlignment="1" applyProtection="1">
      <alignment horizontal="center" vertical="center" wrapText="1"/>
    </xf>
    <xf numFmtId="0" fontId="46" fillId="2" borderId="28" xfId="1" applyNumberFormat="1" applyFont="1" applyFill="1" applyBorder="1" applyAlignment="1" applyProtection="1">
      <alignment horizontal="center" vertical="center" wrapText="1"/>
    </xf>
    <xf numFmtId="0" fontId="18" fillId="2" borderId="11" xfId="1" applyNumberFormat="1" applyFont="1" applyFill="1" applyBorder="1" applyAlignment="1" applyProtection="1">
      <alignment horizontal="center" vertical="center"/>
    </xf>
    <xf numFmtId="0" fontId="18" fillId="2" borderId="20" xfId="1" applyNumberFormat="1" applyFont="1" applyFill="1" applyBorder="1" applyAlignment="1" applyProtection="1">
      <alignment horizontal="center" vertical="center"/>
    </xf>
    <xf numFmtId="0" fontId="18" fillId="2" borderId="12" xfId="1" applyNumberFormat="1" applyFont="1" applyFill="1" applyBorder="1" applyAlignment="1" applyProtection="1">
      <alignment horizontal="center" vertical="center"/>
    </xf>
    <xf numFmtId="0" fontId="28" fillId="2" borderId="51" xfId="1" applyNumberFormat="1" applyFont="1" applyFill="1" applyBorder="1" applyAlignment="1" applyProtection="1">
      <alignment horizontal="center" vertical="center" wrapText="1"/>
    </xf>
    <xf numFmtId="0" fontId="27" fillId="2" borderId="2" xfId="1" applyNumberFormat="1" applyFont="1" applyFill="1" applyBorder="1" applyAlignment="1" applyProtection="1">
      <alignment horizontal="center" vertical="center" wrapText="1"/>
    </xf>
    <xf numFmtId="0" fontId="27" fillId="2" borderId="15" xfId="1" applyNumberFormat="1" applyFont="1" applyFill="1" applyBorder="1" applyAlignment="1" applyProtection="1">
      <alignment horizontal="center" vertical="center" wrapText="1"/>
    </xf>
    <xf numFmtId="0" fontId="25" fillId="2" borderId="6" xfId="1" applyNumberFormat="1" applyFont="1" applyFill="1" applyBorder="1" applyAlignment="1" applyProtection="1">
      <alignment horizontal="center" vertical="center" wrapText="1"/>
    </xf>
  </cellXfs>
  <cellStyles count="12">
    <cellStyle name="Currency" xfId="8" builtinId="4"/>
    <cellStyle name="Normal" xfId="0" builtinId="0"/>
    <cellStyle name="Normal 2" xfId="5"/>
    <cellStyle name="Normal 3" xfId="10"/>
    <cellStyle name="Normal_01 ALBA" xfId="1"/>
    <cellStyle name="Normal_01 ALBA 2" xfId="4"/>
    <cellStyle name="Normal_01 ALBA_feb 2008" xfId="6"/>
    <cellStyle name="Normal_01 ALBA_Sheet1" xfId="7"/>
    <cellStyle name="Normal_1999-buget aprobat" xfId="9"/>
    <cellStyle name="Normal_AJUT SOC INCALZIRE 2006" xfId="2"/>
    <cellStyle name="Normal_Foaie1" xfId="11"/>
    <cellStyle name="Normal_pers Query" xfId="3"/>
  </cellStyles>
  <dxfs count="0"/>
  <tableStyles count="0" defaultTableStyle="TableStyleMedium2" defaultPivotStyle="PivotStyleLight16"/>
  <colors>
    <mruColors>
      <color rgb="FFCCFFFF"/>
      <color rgb="FFFF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AM65"/>
  <sheetViews>
    <sheetView tabSelected="1" zoomScaleSheetLayoutView="83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F20" sqref="F20"/>
    </sheetView>
  </sheetViews>
  <sheetFormatPr defaultRowHeight="12.75" x14ac:dyDescent="0.2"/>
  <cols>
    <col min="1" max="1" width="3.5703125" style="112" customWidth="1"/>
    <col min="2" max="2" width="13.85546875" style="112" customWidth="1"/>
    <col min="3" max="3" width="15.5703125" style="112" customWidth="1"/>
    <col min="4" max="4" width="15.7109375" style="112" customWidth="1"/>
    <col min="5" max="5" width="15.42578125" style="112" customWidth="1"/>
    <col min="6" max="6" width="14" style="112" customWidth="1"/>
    <col min="7" max="8" width="13.85546875" style="112" customWidth="1"/>
    <col min="9" max="9" width="12.42578125" style="112" customWidth="1"/>
    <col min="10" max="10" width="13.85546875" style="112" customWidth="1"/>
    <col min="11" max="11" width="16.7109375" style="112" customWidth="1"/>
    <col min="12" max="13" width="14.28515625" style="112" customWidth="1"/>
    <col min="14" max="14" width="14" style="112" customWidth="1"/>
    <col min="15" max="15" width="15.28515625" style="116" customWidth="1"/>
    <col min="16" max="16" width="15.5703125" style="112" customWidth="1"/>
    <col min="17" max="17" width="15.140625" style="112" customWidth="1"/>
    <col min="18" max="18" width="13.5703125" style="112" customWidth="1"/>
    <col min="19" max="20" width="14" style="112" customWidth="1"/>
    <col min="21" max="22" width="14.140625" style="112" customWidth="1"/>
    <col min="23" max="23" width="14.28515625" style="112" customWidth="1"/>
    <col min="24" max="24" width="12.140625" style="112" customWidth="1"/>
    <col min="25" max="25" width="14.5703125" style="112" customWidth="1"/>
    <col min="26" max="26" width="14.7109375" style="112" customWidth="1"/>
    <col min="27" max="27" width="13" style="112" customWidth="1"/>
    <col min="28" max="28" width="14.5703125" style="112" customWidth="1"/>
    <col min="29" max="29" width="12.28515625" style="112" customWidth="1"/>
    <col min="30" max="30" width="15.28515625" style="112" customWidth="1"/>
    <col min="31" max="31" width="12.85546875" style="112" customWidth="1"/>
    <col min="32" max="32" width="13.85546875" style="112" customWidth="1"/>
    <col min="33" max="33" width="14.5703125" style="112" customWidth="1"/>
    <col min="34" max="35" width="14.28515625" style="112" customWidth="1"/>
    <col min="36" max="36" width="14.5703125" style="112" customWidth="1"/>
    <col min="37" max="37" width="14.28515625" style="112" customWidth="1"/>
    <col min="38" max="38" width="12.5703125" style="112" customWidth="1"/>
    <col min="39" max="39" width="11" style="111" customWidth="1"/>
    <col min="40" max="256" width="9.140625" style="112"/>
    <col min="257" max="257" width="3.5703125" style="112" customWidth="1"/>
    <col min="258" max="258" width="13.85546875" style="112" customWidth="1"/>
    <col min="259" max="259" width="15.5703125" style="112" customWidth="1"/>
    <col min="260" max="260" width="15.7109375" style="112" customWidth="1"/>
    <col min="261" max="261" width="15.42578125" style="112" customWidth="1"/>
    <col min="262" max="262" width="14" style="112" customWidth="1"/>
    <col min="263" max="264" width="13.85546875" style="112" customWidth="1"/>
    <col min="265" max="265" width="12.42578125" style="112" customWidth="1"/>
    <col min="266" max="266" width="13.85546875" style="112" customWidth="1"/>
    <col min="267" max="267" width="16.7109375" style="112" customWidth="1"/>
    <col min="268" max="269" width="14.28515625" style="112" customWidth="1"/>
    <col min="270" max="270" width="14" style="112" customWidth="1"/>
    <col min="271" max="271" width="15.28515625" style="112" customWidth="1"/>
    <col min="272" max="272" width="15.5703125" style="112" customWidth="1"/>
    <col min="273" max="273" width="15.140625" style="112" customWidth="1"/>
    <col min="274" max="274" width="13.5703125" style="112" customWidth="1"/>
    <col min="275" max="276" width="14" style="112" customWidth="1"/>
    <col min="277" max="278" width="14.140625" style="112" customWidth="1"/>
    <col min="279" max="279" width="14.28515625" style="112" customWidth="1"/>
    <col min="280" max="280" width="12.140625" style="112" customWidth="1"/>
    <col min="281" max="281" width="14.5703125" style="112" customWidth="1"/>
    <col min="282" max="282" width="14.7109375" style="112" customWidth="1"/>
    <col min="283" max="283" width="13" style="112" customWidth="1"/>
    <col min="284" max="284" width="14.5703125" style="112" customWidth="1"/>
    <col min="285" max="285" width="12.28515625" style="112" customWidth="1"/>
    <col min="286" max="286" width="15.28515625" style="112" customWidth="1"/>
    <col min="287" max="287" width="12.85546875" style="112" customWidth="1"/>
    <col min="288" max="288" width="13.85546875" style="112" customWidth="1"/>
    <col min="289" max="289" width="14.5703125" style="112" customWidth="1"/>
    <col min="290" max="291" width="14.28515625" style="112" customWidth="1"/>
    <col min="292" max="292" width="14.5703125" style="112" customWidth="1"/>
    <col min="293" max="293" width="14.28515625" style="112" customWidth="1"/>
    <col min="294" max="294" width="12.5703125" style="112" customWidth="1"/>
    <col min="295" max="295" width="11" style="112" customWidth="1"/>
    <col min="296" max="512" width="9.140625" style="112"/>
    <col min="513" max="513" width="3.5703125" style="112" customWidth="1"/>
    <col min="514" max="514" width="13.85546875" style="112" customWidth="1"/>
    <col min="515" max="515" width="15.5703125" style="112" customWidth="1"/>
    <col min="516" max="516" width="15.7109375" style="112" customWidth="1"/>
    <col min="517" max="517" width="15.42578125" style="112" customWidth="1"/>
    <col min="518" max="518" width="14" style="112" customWidth="1"/>
    <col min="519" max="520" width="13.85546875" style="112" customWidth="1"/>
    <col min="521" max="521" width="12.42578125" style="112" customWidth="1"/>
    <col min="522" max="522" width="13.85546875" style="112" customWidth="1"/>
    <col min="523" max="523" width="16.7109375" style="112" customWidth="1"/>
    <col min="524" max="525" width="14.28515625" style="112" customWidth="1"/>
    <col min="526" max="526" width="14" style="112" customWidth="1"/>
    <col min="527" max="527" width="15.28515625" style="112" customWidth="1"/>
    <col min="528" max="528" width="15.5703125" style="112" customWidth="1"/>
    <col min="529" max="529" width="15.140625" style="112" customWidth="1"/>
    <col min="530" max="530" width="13.5703125" style="112" customWidth="1"/>
    <col min="531" max="532" width="14" style="112" customWidth="1"/>
    <col min="533" max="534" width="14.140625" style="112" customWidth="1"/>
    <col min="535" max="535" width="14.28515625" style="112" customWidth="1"/>
    <col min="536" max="536" width="12.140625" style="112" customWidth="1"/>
    <col min="537" max="537" width="14.5703125" style="112" customWidth="1"/>
    <col min="538" max="538" width="14.7109375" style="112" customWidth="1"/>
    <col min="539" max="539" width="13" style="112" customWidth="1"/>
    <col min="540" max="540" width="14.5703125" style="112" customWidth="1"/>
    <col min="541" max="541" width="12.28515625" style="112" customWidth="1"/>
    <col min="542" max="542" width="15.28515625" style="112" customWidth="1"/>
    <col min="543" max="543" width="12.85546875" style="112" customWidth="1"/>
    <col min="544" max="544" width="13.85546875" style="112" customWidth="1"/>
    <col min="545" max="545" width="14.5703125" style="112" customWidth="1"/>
    <col min="546" max="547" width="14.28515625" style="112" customWidth="1"/>
    <col min="548" max="548" width="14.5703125" style="112" customWidth="1"/>
    <col min="549" max="549" width="14.28515625" style="112" customWidth="1"/>
    <col min="550" max="550" width="12.5703125" style="112" customWidth="1"/>
    <col min="551" max="551" width="11" style="112" customWidth="1"/>
    <col min="552" max="768" width="9.140625" style="112"/>
    <col min="769" max="769" width="3.5703125" style="112" customWidth="1"/>
    <col min="770" max="770" width="13.85546875" style="112" customWidth="1"/>
    <col min="771" max="771" width="15.5703125" style="112" customWidth="1"/>
    <col min="772" max="772" width="15.7109375" style="112" customWidth="1"/>
    <col min="773" max="773" width="15.42578125" style="112" customWidth="1"/>
    <col min="774" max="774" width="14" style="112" customWidth="1"/>
    <col min="775" max="776" width="13.85546875" style="112" customWidth="1"/>
    <col min="777" max="777" width="12.42578125" style="112" customWidth="1"/>
    <col min="778" max="778" width="13.85546875" style="112" customWidth="1"/>
    <col min="779" max="779" width="16.7109375" style="112" customWidth="1"/>
    <col min="780" max="781" width="14.28515625" style="112" customWidth="1"/>
    <col min="782" max="782" width="14" style="112" customWidth="1"/>
    <col min="783" max="783" width="15.28515625" style="112" customWidth="1"/>
    <col min="784" max="784" width="15.5703125" style="112" customWidth="1"/>
    <col min="785" max="785" width="15.140625" style="112" customWidth="1"/>
    <col min="786" max="786" width="13.5703125" style="112" customWidth="1"/>
    <col min="787" max="788" width="14" style="112" customWidth="1"/>
    <col min="789" max="790" width="14.140625" style="112" customWidth="1"/>
    <col min="791" max="791" width="14.28515625" style="112" customWidth="1"/>
    <col min="792" max="792" width="12.140625" style="112" customWidth="1"/>
    <col min="793" max="793" width="14.5703125" style="112" customWidth="1"/>
    <col min="794" max="794" width="14.7109375" style="112" customWidth="1"/>
    <col min="795" max="795" width="13" style="112" customWidth="1"/>
    <col min="796" max="796" width="14.5703125" style="112" customWidth="1"/>
    <col min="797" max="797" width="12.28515625" style="112" customWidth="1"/>
    <col min="798" max="798" width="15.28515625" style="112" customWidth="1"/>
    <col min="799" max="799" width="12.85546875" style="112" customWidth="1"/>
    <col min="800" max="800" width="13.85546875" style="112" customWidth="1"/>
    <col min="801" max="801" width="14.5703125" style="112" customWidth="1"/>
    <col min="802" max="803" width="14.28515625" style="112" customWidth="1"/>
    <col min="804" max="804" width="14.5703125" style="112" customWidth="1"/>
    <col min="805" max="805" width="14.28515625" style="112" customWidth="1"/>
    <col min="806" max="806" width="12.5703125" style="112" customWidth="1"/>
    <col min="807" max="807" width="11" style="112" customWidth="1"/>
    <col min="808" max="1024" width="9.140625" style="112"/>
    <col min="1025" max="1025" width="3.5703125" style="112" customWidth="1"/>
    <col min="1026" max="1026" width="13.85546875" style="112" customWidth="1"/>
    <col min="1027" max="1027" width="15.5703125" style="112" customWidth="1"/>
    <col min="1028" max="1028" width="15.7109375" style="112" customWidth="1"/>
    <col min="1029" max="1029" width="15.42578125" style="112" customWidth="1"/>
    <col min="1030" max="1030" width="14" style="112" customWidth="1"/>
    <col min="1031" max="1032" width="13.85546875" style="112" customWidth="1"/>
    <col min="1033" max="1033" width="12.42578125" style="112" customWidth="1"/>
    <col min="1034" max="1034" width="13.85546875" style="112" customWidth="1"/>
    <col min="1035" max="1035" width="16.7109375" style="112" customWidth="1"/>
    <col min="1036" max="1037" width="14.28515625" style="112" customWidth="1"/>
    <col min="1038" max="1038" width="14" style="112" customWidth="1"/>
    <col min="1039" max="1039" width="15.28515625" style="112" customWidth="1"/>
    <col min="1040" max="1040" width="15.5703125" style="112" customWidth="1"/>
    <col min="1041" max="1041" width="15.140625" style="112" customWidth="1"/>
    <col min="1042" max="1042" width="13.5703125" style="112" customWidth="1"/>
    <col min="1043" max="1044" width="14" style="112" customWidth="1"/>
    <col min="1045" max="1046" width="14.140625" style="112" customWidth="1"/>
    <col min="1047" max="1047" width="14.28515625" style="112" customWidth="1"/>
    <col min="1048" max="1048" width="12.140625" style="112" customWidth="1"/>
    <col min="1049" max="1049" width="14.5703125" style="112" customWidth="1"/>
    <col min="1050" max="1050" width="14.7109375" style="112" customWidth="1"/>
    <col min="1051" max="1051" width="13" style="112" customWidth="1"/>
    <col min="1052" max="1052" width="14.5703125" style="112" customWidth="1"/>
    <col min="1053" max="1053" width="12.28515625" style="112" customWidth="1"/>
    <col min="1054" max="1054" width="15.28515625" style="112" customWidth="1"/>
    <col min="1055" max="1055" width="12.85546875" style="112" customWidth="1"/>
    <col min="1056" max="1056" width="13.85546875" style="112" customWidth="1"/>
    <col min="1057" max="1057" width="14.5703125" style="112" customWidth="1"/>
    <col min="1058" max="1059" width="14.28515625" style="112" customWidth="1"/>
    <col min="1060" max="1060" width="14.5703125" style="112" customWidth="1"/>
    <col min="1061" max="1061" width="14.28515625" style="112" customWidth="1"/>
    <col min="1062" max="1062" width="12.5703125" style="112" customWidth="1"/>
    <col min="1063" max="1063" width="11" style="112" customWidth="1"/>
    <col min="1064" max="1280" width="9.140625" style="112"/>
    <col min="1281" max="1281" width="3.5703125" style="112" customWidth="1"/>
    <col min="1282" max="1282" width="13.85546875" style="112" customWidth="1"/>
    <col min="1283" max="1283" width="15.5703125" style="112" customWidth="1"/>
    <col min="1284" max="1284" width="15.7109375" style="112" customWidth="1"/>
    <col min="1285" max="1285" width="15.42578125" style="112" customWidth="1"/>
    <col min="1286" max="1286" width="14" style="112" customWidth="1"/>
    <col min="1287" max="1288" width="13.85546875" style="112" customWidth="1"/>
    <col min="1289" max="1289" width="12.42578125" style="112" customWidth="1"/>
    <col min="1290" max="1290" width="13.85546875" style="112" customWidth="1"/>
    <col min="1291" max="1291" width="16.7109375" style="112" customWidth="1"/>
    <col min="1292" max="1293" width="14.28515625" style="112" customWidth="1"/>
    <col min="1294" max="1294" width="14" style="112" customWidth="1"/>
    <col min="1295" max="1295" width="15.28515625" style="112" customWidth="1"/>
    <col min="1296" max="1296" width="15.5703125" style="112" customWidth="1"/>
    <col min="1297" max="1297" width="15.140625" style="112" customWidth="1"/>
    <col min="1298" max="1298" width="13.5703125" style="112" customWidth="1"/>
    <col min="1299" max="1300" width="14" style="112" customWidth="1"/>
    <col min="1301" max="1302" width="14.140625" style="112" customWidth="1"/>
    <col min="1303" max="1303" width="14.28515625" style="112" customWidth="1"/>
    <col min="1304" max="1304" width="12.140625" style="112" customWidth="1"/>
    <col min="1305" max="1305" width="14.5703125" style="112" customWidth="1"/>
    <col min="1306" max="1306" width="14.7109375" style="112" customWidth="1"/>
    <col min="1307" max="1307" width="13" style="112" customWidth="1"/>
    <col min="1308" max="1308" width="14.5703125" style="112" customWidth="1"/>
    <col min="1309" max="1309" width="12.28515625" style="112" customWidth="1"/>
    <col min="1310" max="1310" width="15.28515625" style="112" customWidth="1"/>
    <col min="1311" max="1311" width="12.85546875" style="112" customWidth="1"/>
    <col min="1312" max="1312" width="13.85546875" style="112" customWidth="1"/>
    <col min="1313" max="1313" width="14.5703125" style="112" customWidth="1"/>
    <col min="1314" max="1315" width="14.28515625" style="112" customWidth="1"/>
    <col min="1316" max="1316" width="14.5703125" style="112" customWidth="1"/>
    <col min="1317" max="1317" width="14.28515625" style="112" customWidth="1"/>
    <col min="1318" max="1318" width="12.5703125" style="112" customWidth="1"/>
    <col min="1319" max="1319" width="11" style="112" customWidth="1"/>
    <col min="1320" max="1536" width="9.140625" style="112"/>
    <col min="1537" max="1537" width="3.5703125" style="112" customWidth="1"/>
    <col min="1538" max="1538" width="13.85546875" style="112" customWidth="1"/>
    <col min="1539" max="1539" width="15.5703125" style="112" customWidth="1"/>
    <col min="1540" max="1540" width="15.7109375" style="112" customWidth="1"/>
    <col min="1541" max="1541" width="15.42578125" style="112" customWidth="1"/>
    <col min="1542" max="1542" width="14" style="112" customWidth="1"/>
    <col min="1543" max="1544" width="13.85546875" style="112" customWidth="1"/>
    <col min="1545" max="1545" width="12.42578125" style="112" customWidth="1"/>
    <col min="1546" max="1546" width="13.85546875" style="112" customWidth="1"/>
    <col min="1547" max="1547" width="16.7109375" style="112" customWidth="1"/>
    <col min="1548" max="1549" width="14.28515625" style="112" customWidth="1"/>
    <col min="1550" max="1550" width="14" style="112" customWidth="1"/>
    <col min="1551" max="1551" width="15.28515625" style="112" customWidth="1"/>
    <col min="1552" max="1552" width="15.5703125" style="112" customWidth="1"/>
    <col min="1553" max="1553" width="15.140625" style="112" customWidth="1"/>
    <col min="1554" max="1554" width="13.5703125" style="112" customWidth="1"/>
    <col min="1555" max="1556" width="14" style="112" customWidth="1"/>
    <col min="1557" max="1558" width="14.140625" style="112" customWidth="1"/>
    <col min="1559" max="1559" width="14.28515625" style="112" customWidth="1"/>
    <col min="1560" max="1560" width="12.140625" style="112" customWidth="1"/>
    <col min="1561" max="1561" width="14.5703125" style="112" customWidth="1"/>
    <col min="1562" max="1562" width="14.7109375" style="112" customWidth="1"/>
    <col min="1563" max="1563" width="13" style="112" customWidth="1"/>
    <col min="1564" max="1564" width="14.5703125" style="112" customWidth="1"/>
    <col min="1565" max="1565" width="12.28515625" style="112" customWidth="1"/>
    <col min="1566" max="1566" width="15.28515625" style="112" customWidth="1"/>
    <col min="1567" max="1567" width="12.85546875" style="112" customWidth="1"/>
    <col min="1568" max="1568" width="13.85546875" style="112" customWidth="1"/>
    <col min="1569" max="1569" width="14.5703125" style="112" customWidth="1"/>
    <col min="1570" max="1571" width="14.28515625" style="112" customWidth="1"/>
    <col min="1572" max="1572" width="14.5703125" style="112" customWidth="1"/>
    <col min="1573" max="1573" width="14.28515625" style="112" customWidth="1"/>
    <col min="1574" max="1574" width="12.5703125" style="112" customWidth="1"/>
    <col min="1575" max="1575" width="11" style="112" customWidth="1"/>
    <col min="1576" max="1792" width="9.140625" style="112"/>
    <col min="1793" max="1793" width="3.5703125" style="112" customWidth="1"/>
    <col min="1794" max="1794" width="13.85546875" style="112" customWidth="1"/>
    <col min="1795" max="1795" width="15.5703125" style="112" customWidth="1"/>
    <col min="1796" max="1796" width="15.7109375" style="112" customWidth="1"/>
    <col min="1797" max="1797" width="15.42578125" style="112" customWidth="1"/>
    <col min="1798" max="1798" width="14" style="112" customWidth="1"/>
    <col min="1799" max="1800" width="13.85546875" style="112" customWidth="1"/>
    <col min="1801" max="1801" width="12.42578125" style="112" customWidth="1"/>
    <col min="1802" max="1802" width="13.85546875" style="112" customWidth="1"/>
    <col min="1803" max="1803" width="16.7109375" style="112" customWidth="1"/>
    <col min="1804" max="1805" width="14.28515625" style="112" customWidth="1"/>
    <col min="1806" max="1806" width="14" style="112" customWidth="1"/>
    <col min="1807" max="1807" width="15.28515625" style="112" customWidth="1"/>
    <col min="1808" max="1808" width="15.5703125" style="112" customWidth="1"/>
    <col min="1809" max="1809" width="15.140625" style="112" customWidth="1"/>
    <col min="1810" max="1810" width="13.5703125" style="112" customWidth="1"/>
    <col min="1811" max="1812" width="14" style="112" customWidth="1"/>
    <col min="1813" max="1814" width="14.140625" style="112" customWidth="1"/>
    <col min="1815" max="1815" width="14.28515625" style="112" customWidth="1"/>
    <col min="1816" max="1816" width="12.140625" style="112" customWidth="1"/>
    <col min="1817" max="1817" width="14.5703125" style="112" customWidth="1"/>
    <col min="1818" max="1818" width="14.7109375" style="112" customWidth="1"/>
    <col min="1819" max="1819" width="13" style="112" customWidth="1"/>
    <col min="1820" max="1820" width="14.5703125" style="112" customWidth="1"/>
    <col min="1821" max="1821" width="12.28515625" style="112" customWidth="1"/>
    <col min="1822" max="1822" width="15.28515625" style="112" customWidth="1"/>
    <col min="1823" max="1823" width="12.85546875" style="112" customWidth="1"/>
    <col min="1824" max="1824" width="13.85546875" style="112" customWidth="1"/>
    <col min="1825" max="1825" width="14.5703125" style="112" customWidth="1"/>
    <col min="1826" max="1827" width="14.28515625" style="112" customWidth="1"/>
    <col min="1828" max="1828" width="14.5703125" style="112" customWidth="1"/>
    <col min="1829" max="1829" width="14.28515625" style="112" customWidth="1"/>
    <col min="1830" max="1830" width="12.5703125" style="112" customWidth="1"/>
    <col min="1831" max="1831" width="11" style="112" customWidth="1"/>
    <col min="1832" max="2048" width="9.140625" style="112"/>
    <col min="2049" max="2049" width="3.5703125" style="112" customWidth="1"/>
    <col min="2050" max="2050" width="13.85546875" style="112" customWidth="1"/>
    <col min="2051" max="2051" width="15.5703125" style="112" customWidth="1"/>
    <col min="2052" max="2052" width="15.7109375" style="112" customWidth="1"/>
    <col min="2053" max="2053" width="15.42578125" style="112" customWidth="1"/>
    <col min="2054" max="2054" width="14" style="112" customWidth="1"/>
    <col min="2055" max="2056" width="13.85546875" style="112" customWidth="1"/>
    <col min="2057" max="2057" width="12.42578125" style="112" customWidth="1"/>
    <col min="2058" max="2058" width="13.85546875" style="112" customWidth="1"/>
    <col min="2059" max="2059" width="16.7109375" style="112" customWidth="1"/>
    <col min="2060" max="2061" width="14.28515625" style="112" customWidth="1"/>
    <col min="2062" max="2062" width="14" style="112" customWidth="1"/>
    <col min="2063" max="2063" width="15.28515625" style="112" customWidth="1"/>
    <col min="2064" max="2064" width="15.5703125" style="112" customWidth="1"/>
    <col min="2065" max="2065" width="15.140625" style="112" customWidth="1"/>
    <col min="2066" max="2066" width="13.5703125" style="112" customWidth="1"/>
    <col min="2067" max="2068" width="14" style="112" customWidth="1"/>
    <col min="2069" max="2070" width="14.140625" style="112" customWidth="1"/>
    <col min="2071" max="2071" width="14.28515625" style="112" customWidth="1"/>
    <col min="2072" max="2072" width="12.140625" style="112" customWidth="1"/>
    <col min="2073" max="2073" width="14.5703125" style="112" customWidth="1"/>
    <col min="2074" max="2074" width="14.7109375" style="112" customWidth="1"/>
    <col min="2075" max="2075" width="13" style="112" customWidth="1"/>
    <col min="2076" max="2076" width="14.5703125" style="112" customWidth="1"/>
    <col min="2077" max="2077" width="12.28515625" style="112" customWidth="1"/>
    <col min="2078" max="2078" width="15.28515625" style="112" customWidth="1"/>
    <col min="2079" max="2079" width="12.85546875" style="112" customWidth="1"/>
    <col min="2080" max="2080" width="13.85546875" style="112" customWidth="1"/>
    <col min="2081" max="2081" width="14.5703125" style="112" customWidth="1"/>
    <col min="2082" max="2083" width="14.28515625" style="112" customWidth="1"/>
    <col min="2084" max="2084" width="14.5703125" style="112" customWidth="1"/>
    <col min="2085" max="2085" width="14.28515625" style="112" customWidth="1"/>
    <col min="2086" max="2086" width="12.5703125" style="112" customWidth="1"/>
    <col min="2087" max="2087" width="11" style="112" customWidth="1"/>
    <col min="2088" max="2304" width="9.140625" style="112"/>
    <col min="2305" max="2305" width="3.5703125" style="112" customWidth="1"/>
    <col min="2306" max="2306" width="13.85546875" style="112" customWidth="1"/>
    <col min="2307" max="2307" width="15.5703125" style="112" customWidth="1"/>
    <col min="2308" max="2308" width="15.7109375" style="112" customWidth="1"/>
    <col min="2309" max="2309" width="15.42578125" style="112" customWidth="1"/>
    <col min="2310" max="2310" width="14" style="112" customWidth="1"/>
    <col min="2311" max="2312" width="13.85546875" style="112" customWidth="1"/>
    <col min="2313" max="2313" width="12.42578125" style="112" customWidth="1"/>
    <col min="2314" max="2314" width="13.85546875" style="112" customWidth="1"/>
    <col min="2315" max="2315" width="16.7109375" style="112" customWidth="1"/>
    <col min="2316" max="2317" width="14.28515625" style="112" customWidth="1"/>
    <col min="2318" max="2318" width="14" style="112" customWidth="1"/>
    <col min="2319" max="2319" width="15.28515625" style="112" customWidth="1"/>
    <col min="2320" max="2320" width="15.5703125" style="112" customWidth="1"/>
    <col min="2321" max="2321" width="15.140625" style="112" customWidth="1"/>
    <col min="2322" max="2322" width="13.5703125" style="112" customWidth="1"/>
    <col min="2323" max="2324" width="14" style="112" customWidth="1"/>
    <col min="2325" max="2326" width="14.140625" style="112" customWidth="1"/>
    <col min="2327" max="2327" width="14.28515625" style="112" customWidth="1"/>
    <col min="2328" max="2328" width="12.140625" style="112" customWidth="1"/>
    <col min="2329" max="2329" width="14.5703125" style="112" customWidth="1"/>
    <col min="2330" max="2330" width="14.7109375" style="112" customWidth="1"/>
    <col min="2331" max="2331" width="13" style="112" customWidth="1"/>
    <col min="2332" max="2332" width="14.5703125" style="112" customWidth="1"/>
    <col min="2333" max="2333" width="12.28515625" style="112" customWidth="1"/>
    <col min="2334" max="2334" width="15.28515625" style="112" customWidth="1"/>
    <col min="2335" max="2335" width="12.85546875" style="112" customWidth="1"/>
    <col min="2336" max="2336" width="13.85546875" style="112" customWidth="1"/>
    <col min="2337" max="2337" width="14.5703125" style="112" customWidth="1"/>
    <col min="2338" max="2339" width="14.28515625" style="112" customWidth="1"/>
    <col min="2340" max="2340" width="14.5703125" style="112" customWidth="1"/>
    <col min="2341" max="2341" width="14.28515625" style="112" customWidth="1"/>
    <col min="2342" max="2342" width="12.5703125" style="112" customWidth="1"/>
    <col min="2343" max="2343" width="11" style="112" customWidth="1"/>
    <col min="2344" max="2560" width="9.140625" style="112"/>
    <col min="2561" max="2561" width="3.5703125" style="112" customWidth="1"/>
    <col min="2562" max="2562" width="13.85546875" style="112" customWidth="1"/>
    <col min="2563" max="2563" width="15.5703125" style="112" customWidth="1"/>
    <col min="2564" max="2564" width="15.7109375" style="112" customWidth="1"/>
    <col min="2565" max="2565" width="15.42578125" style="112" customWidth="1"/>
    <col min="2566" max="2566" width="14" style="112" customWidth="1"/>
    <col min="2567" max="2568" width="13.85546875" style="112" customWidth="1"/>
    <col min="2569" max="2569" width="12.42578125" style="112" customWidth="1"/>
    <col min="2570" max="2570" width="13.85546875" style="112" customWidth="1"/>
    <col min="2571" max="2571" width="16.7109375" style="112" customWidth="1"/>
    <col min="2572" max="2573" width="14.28515625" style="112" customWidth="1"/>
    <col min="2574" max="2574" width="14" style="112" customWidth="1"/>
    <col min="2575" max="2575" width="15.28515625" style="112" customWidth="1"/>
    <col min="2576" max="2576" width="15.5703125" style="112" customWidth="1"/>
    <col min="2577" max="2577" width="15.140625" style="112" customWidth="1"/>
    <col min="2578" max="2578" width="13.5703125" style="112" customWidth="1"/>
    <col min="2579" max="2580" width="14" style="112" customWidth="1"/>
    <col min="2581" max="2582" width="14.140625" style="112" customWidth="1"/>
    <col min="2583" max="2583" width="14.28515625" style="112" customWidth="1"/>
    <col min="2584" max="2584" width="12.140625" style="112" customWidth="1"/>
    <col min="2585" max="2585" width="14.5703125" style="112" customWidth="1"/>
    <col min="2586" max="2586" width="14.7109375" style="112" customWidth="1"/>
    <col min="2587" max="2587" width="13" style="112" customWidth="1"/>
    <col min="2588" max="2588" width="14.5703125" style="112" customWidth="1"/>
    <col min="2589" max="2589" width="12.28515625" style="112" customWidth="1"/>
    <col min="2590" max="2590" width="15.28515625" style="112" customWidth="1"/>
    <col min="2591" max="2591" width="12.85546875" style="112" customWidth="1"/>
    <col min="2592" max="2592" width="13.85546875" style="112" customWidth="1"/>
    <col min="2593" max="2593" width="14.5703125" style="112" customWidth="1"/>
    <col min="2594" max="2595" width="14.28515625" style="112" customWidth="1"/>
    <col min="2596" max="2596" width="14.5703125" style="112" customWidth="1"/>
    <col min="2597" max="2597" width="14.28515625" style="112" customWidth="1"/>
    <col min="2598" max="2598" width="12.5703125" style="112" customWidth="1"/>
    <col min="2599" max="2599" width="11" style="112" customWidth="1"/>
    <col min="2600" max="2816" width="9.140625" style="112"/>
    <col min="2817" max="2817" width="3.5703125" style="112" customWidth="1"/>
    <col min="2818" max="2818" width="13.85546875" style="112" customWidth="1"/>
    <col min="2819" max="2819" width="15.5703125" style="112" customWidth="1"/>
    <col min="2820" max="2820" width="15.7109375" style="112" customWidth="1"/>
    <col min="2821" max="2821" width="15.42578125" style="112" customWidth="1"/>
    <col min="2822" max="2822" width="14" style="112" customWidth="1"/>
    <col min="2823" max="2824" width="13.85546875" style="112" customWidth="1"/>
    <col min="2825" max="2825" width="12.42578125" style="112" customWidth="1"/>
    <col min="2826" max="2826" width="13.85546875" style="112" customWidth="1"/>
    <col min="2827" max="2827" width="16.7109375" style="112" customWidth="1"/>
    <col min="2828" max="2829" width="14.28515625" style="112" customWidth="1"/>
    <col min="2830" max="2830" width="14" style="112" customWidth="1"/>
    <col min="2831" max="2831" width="15.28515625" style="112" customWidth="1"/>
    <col min="2832" max="2832" width="15.5703125" style="112" customWidth="1"/>
    <col min="2833" max="2833" width="15.140625" style="112" customWidth="1"/>
    <col min="2834" max="2834" width="13.5703125" style="112" customWidth="1"/>
    <col min="2835" max="2836" width="14" style="112" customWidth="1"/>
    <col min="2837" max="2838" width="14.140625" style="112" customWidth="1"/>
    <col min="2839" max="2839" width="14.28515625" style="112" customWidth="1"/>
    <col min="2840" max="2840" width="12.140625" style="112" customWidth="1"/>
    <col min="2841" max="2841" width="14.5703125" style="112" customWidth="1"/>
    <col min="2842" max="2842" width="14.7109375" style="112" customWidth="1"/>
    <col min="2843" max="2843" width="13" style="112" customWidth="1"/>
    <col min="2844" max="2844" width="14.5703125" style="112" customWidth="1"/>
    <col min="2845" max="2845" width="12.28515625" style="112" customWidth="1"/>
    <col min="2846" max="2846" width="15.28515625" style="112" customWidth="1"/>
    <col min="2847" max="2847" width="12.85546875" style="112" customWidth="1"/>
    <col min="2848" max="2848" width="13.85546875" style="112" customWidth="1"/>
    <col min="2849" max="2849" width="14.5703125" style="112" customWidth="1"/>
    <col min="2850" max="2851" width="14.28515625" style="112" customWidth="1"/>
    <col min="2852" max="2852" width="14.5703125" style="112" customWidth="1"/>
    <col min="2853" max="2853" width="14.28515625" style="112" customWidth="1"/>
    <col min="2854" max="2854" width="12.5703125" style="112" customWidth="1"/>
    <col min="2855" max="2855" width="11" style="112" customWidth="1"/>
    <col min="2856" max="3072" width="9.140625" style="112"/>
    <col min="3073" max="3073" width="3.5703125" style="112" customWidth="1"/>
    <col min="3074" max="3074" width="13.85546875" style="112" customWidth="1"/>
    <col min="3075" max="3075" width="15.5703125" style="112" customWidth="1"/>
    <col min="3076" max="3076" width="15.7109375" style="112" customWidth="1"/>
    <col min="3077" max="3077" width="15.42578125" style="112" customWidth="1"/>
    <col min="3078" max="3078" width="14" style="112" customWidth="1"/>
    <col min="3079" max="3080" width="13.85546875" style="112" customWidth="1"/>
    <col min="3081" max="3081" width="12.42578125" style="112" customWidth="1"/>
    <col min="3082" max="3082" width="13.85546875" style="112" customWidth="1"/>
    <col min="3083" max="3083" width="16.7109375" style="112" customWidth="1"/>
    <col min="3084" max="3085" width="14.28515625" style="112" customWidth="1"/>
    <col min="3086" max="3086" width="14" style="112" customWidth="1"/>
    <col min="3087" max="3087" width="15.28515625" style="112" customWidth="1"/>
    <col min="3088" max="3088" width="15.5703125" style="112" customWidth="1"/>
    <col min="3089" max="3089" width="15.140625" style="112" customWidth="1"/>
    <col min="3090" max="3090" width="13.5703125" style="112" customWidth="1"/>
    <col min="3091" max="3092" width="14" style="112" customWidth="1"/>
    <col min="3093" max="3094" width="14.140625" style="112" customWidth="1"/>
    <col min="3095" max="3095" width="14.28515625" style="112" customWidth="1"/>
    <col min="3096" max="3096" width="12.140625" style="112" customWidth="1"/>
    <col min="3097" max="3097" width="14.5703125" style="112" customWidth="1"/>
    <col min="3098" max="3098" width="14.7109375" style="112" customWidth="1"/>
    <col min="3099" max="3099" width="13" style="112" customWidth="1"/>
    <col min="3100" max="3100" width="14.5703125" style="112" customWidth="1"/>
    <col min="3101" max="3101" width="12.28515625" style="112" customWidth="1"/>
    <col min="3102" max="3102" width="15.28515625" style="112" customWidth="1"/>
    <col min="3103" max="3103" width="12.85546875" style="112" customWidth="1"/>
    <col min="3104" max="3104" width="13.85546875" style="112" customWidth="1"/>
    <col min="3105" max="3105" width="14.5703125" style="112" customWidth="1"/>
    <col min="3106" max="3107" width="14.28515625" style="112" customWidth="1"/>
    <col min="3108" max="3108" width="14.5703125" style="112" customWidth="1"/>
    <col min="3109" max="3109" width="14.28515625" style="112" customWidth="1"/>
    <col min="3110" max="3110" width="12.5703125" style="112" customWidth="1"/>
    <col min="3111" max="3111" width="11" style="112" customWidth="1"/>
    <col min="3112" max="3328" width="9.140625" style="112"/>
    <col min="3329" max="3329" width="3.5703125" style="112" customWidth="1"/>
    <col min="3330" max="3330" width="13.85546875" style="112" customWidth="1"/>
    <col min="3331" max="3331" width="15.5703125" style="112" customWidth="1"/>
    <col min="3332" max="3332" width="15.7109375" style="112" customWidth="1"/>
    <col min="3333" max="3333" width="15.42578125" style="112" customWidth="1"/>
    <col min="3334" max="3334" width="14" style="112" customWidth="1"/>
    <col min="3335" max="3336" width="13.85546875" style="112" customWidth="1"/>
    <col min="3337" max="3337" width="12.42578125" style="112" customWidth="1"/>
    <col min="3338" max="3338" width="13.85546875" style="112" customWidth="1"/>
    <col min="3339" max="3339" width="16.7109375" style="112" customWidth="1"/>
    <col min="3340" max="3341" width="14.28515625" style="112" customWidth="1"/>
    <col min="3342" max="3342" width="14" style="112" customWidth="1"/>
    <col min="3343" max="3343" width="15.28515625" style="112" customWidth="1"/>
    <col min="3344" max="3344" width="15.5703125" style="112" customWidth="1"/>
    <col min="3345" max="3345" width="15.140625" style="112" customWidth="1"/>
    <col min="3346" max="3346" width="13.5703125" style="112" customWidth="1"/>
    <col min="3347" max="3348" width="14" style="112" customWidth="1"/>
    <col min="3349" max="3350" width="14.140625" style="112" customWidth="1"/>
    <col min="3351" max="3351" width="14.28515625" style="112" customWidth="1"/>
    <col min="3352" max="3352" width="12.140625" style="112" customWidth="1"/>
    <col min="3353" max="3353" width="14.5703125" style="112" customWidth="1"/>
    <col min="3354" max="3354" width="14.7109375" style="112" customWidth="1"/>
    <col min="3355" max="3355" width="13" style="112" customWidth="1"/>
    <col min="3356" max="3356" width="14.5703125" style="112" customWidth="1"/>
    <col min="3357" max="3357" width="12.28515625" style="112" customWidth="1"/>
    <col min="3358" max="3358" width="15.28515625" style="112" customWidth="1"/>
    <col min="3359" max="3359" width="12.85546875" style="112" customWidth="1"/>
    <col min="3360" max="3360" width="13.85546875" style="112" customWidth="1"/>
    <col min="3361" max="3361" width="14.5703125" style="112" customWidth="1"/>
    <col min="3362" max="3363" width="14.28515625" style="112" customWidth="1"/>
    <col min="3364" max="3364" width="14.5703125" style="112" customWidth="1"/>
    <col min="3365" max="3365" width="14.28515625" style="112" customWidth="1"/>
    <col min="3366" max="3366" width="12.5703125" style="112" customWidth="1"/>
    <col min="3367" max="3367" width="11" style="112" customWidth="1"/>
    <col min="3368" max="3584" width="9.140625" style="112"/>
    <col min="3585" max="3585" width="3.5703125" style="112" customWidth="1"/>
    <col min="3586" max="3586" width="13.85546875" style="112" customWidth="1"/>
    <col min="3587" max="3587" width="15.5703125" style="112" customWidth="1"/>
    <col min="3588" max="3588" width="15.7109375" style="112" customWidth="1"/>
    <col min="3589" max="3589" width="15.42578125" style="112" customWidth="1"/>
    <col min="3590" max="3590" width="14" style="112" customWidth="1"/>
    <col min="3591" max="3592" width="13.85546875" style="112" customWidth="1"/>
    <col min="3593" max="3593" width="12.42578125" style="112" customWidth="1"/>
    <col min="3594" max="3594" width="13.85546875" style="112" customWidth="1"/>
    <col min="3595" max="3595" width="16.7109375" style="112" customWidth="1"/>
    <col min="3596" max="3597" width="14.28515625" style="112" customWidth="1"/>
    <col min="3598" max="3598" width="14" style="112" customWidth="1"/>
    <col min="3599" max="3599" width="15.28515625" style="112" customWidth="1"/>
    <col min="3600" max="3600" width="15.5703125" style="112" customWidth="1"/>
    <col min="3601" max="3601" width="15.140625" style="112" customWidth="1"/>
    <col min="3602" max="3602" width="13.5703125" style="112" customWidth="1"/>
    <col min="3603" max="3604" width="14" style="112" customWidth="1"/>
    <col min="3605" max="3606" width="14.140625" style="112" customWidth="1"/>
    <col min="3607" max="3607" width="14.28515625" style="112" customWidth="1"/>
    <col min="3608" max="3608" width="12.140625" style="112" customWidth="1"/>
    <col min="3609" max="3609" width="14.5703125" style="112" customWidth="1"/>
    <col min="3610" max="3610" width="14.7109375" style="112" customWidth="1"/>
    <col min="3611" max="3611" width="13" style="112" customWidth="1"/>
    <col min="3612" max="3612" width="14.5703125" style="112" customWidth="1"/>
    <col min="3613" max="3613" width="12.28515625" style="112" customWidth="1"/>
    <col min="3614" max="3614" width="15.28515625" style="112" customWidth="1"/>
    <col min="3615" max="3615" width="12.85546875" style="112" customWidth="1"/>
    <col min="3616" max="3616" width="13.85546875" style="112" customWidth="1"/>
    <col min="3617" max="3617" width="14.5703125" style="112" customWidth="1"/>
    <col min="3618" max="3619" width="14.28515625" style="112" customWidth="1"/>
    <col min="3620" max="3620" width="14.5703125" style="112" customWidth="1"/>
    <col min="3621" max="3621" width="14.28515625" style="112" customWidth="1"/>
    <col min="3622" max="3622" width="12.5703125" style="112" customWidth="1"/>
    <col min="3623" max="3623" width="11" style="112" customWidth="1"/>
    <col min="3624" max="3840" width="9.140625" style="112"/>
    <col min="3841" max="3841" width="3.5703125" style="112" customWidth="1"/>
    <col min="3842" max="3842" width="13.85546875" style="112" customWidth="1"/>
    <col min="3843" max="3843" width="15.5703125" style="112" customWidth="1"/>
    <col min="3844" max="3844" width="15.7109375" style="112" customWidth="1"/>
    <col min="3845" max="3845" width="15.42578125" style="112" customWidth="1"/>
    <col min="3846" max="3846" width="14" style="112" customWidth="1"/>
    <col min="3847" max="3848" width="13.85546875" style="112" customWidth="1"/>
    <col min="3849" max="3849" width="12.42578125" style="112" customWidth="1"/>
    <col min="3850" max="3850" width="13.85546875" style="112" customWidth="1"/>
    <col min="3851" max="3851" width="16.7109375" style="112" customWidth="1"/>
    <col min="3852" max="3853" width="14.28515625" style="112" customWidth="1"/>
    <col min="3854" max="3854" width="14" style="112" customWidth="1"/>
    <col min="3855" max="3855" width="15.28515625" style="112" customWidth="1"/>
    <col min="3856" max="3856" width="15.5703125" style="112" customWidth="1"/>
    <col min="3857" max="3857" width="15.140625" style="112" customWidth="1"/>
    <col min="3858" max="3858" width="13.5703125" style="112" customWidth="1"/>
    <col min="3859" max="3860" width="14" style="112" customWidth="1"/>
    <col min="3861" max="3862" width="14.140625" style="112" customWidth="1"/>
    <col min="3863" max="3863" width="14.28515625" style="112" customWidth="1"/>
    <col min="3864" max="3864" width="12.140625" style="112" customWidth="1"/>
    <col min="3865" max="3865" width="14.5703125" style="112" customWidth="1"/>
    <col min="3866" max="3866" width="14.7109375" style="112" customWidth="1"/>
    <col min="3867" max="3867" width="13" style="112" customWidth="1"/>
    <col min="3868" max="3868" width="14.5703125" style="112" customWidth="1"/>
    <col min="3869" max="3869" width="12.28515625" style="112" customWidth="1"/>
    <col min="3870" max="3870" width="15.28515625" style="112" customWidth="1"/>
    <col min="3871" max="3871" width="12.85546875" style="112" customWidth="1"/>
    <col min="3872" max="3872" width="13.85546875" style="112" customWidth="1"/>
    <col min="3873" max="3873" width="14.5703125" style="112" customWidth="1"/>
    <col min="3874" max="3875" width="14.28515625" style="112" customWidth="1"/>
    <col min="3876" max="3876" width="14.5703125" style="112" customWidth="1"/>
    <col min="3877" max="3877" width="14.28515625" style="112" customWidth="1"/>
    <col min="3878" max="3878" width="12.5703125" style="112" customWidth="1"/>
    <col min="3879" max="3879" width="11" style="112" customWidth="1"/>
    <col min="3880" max="4096" width="9.140625" style="112"/>
    <col min="4097" max="4097" width="3.5703125" style="112" customWidth="1"/>
    <col min="4098" max="4098" width="13.85546875" style="112" customWidth="1"/>
    <col min="4099" max="4099" width="15.5703125" style="112" customWidth="1"/>
    <col min="4100" max="4100" width="15.7109375" style="112" customWidth="1"/>
    <col min="4101" max="4101" width="15.42578125" style="112" customWidth="1"/>
    <col min="4102" max="4102" width="14" style="112" customWidth="1"/>
    <col min="4103" max="4104" width="13.85546875" style="112" customWidth="1"/>
    <col min="4105" max="4105" width="12.42578125" style="112" customWidth="1"/>
    <col min="4106" max="4106" width="13.85546875" style="112" customWidth="1"/>
    <col min="4107" max="4107" width="16.7109375" style="112" customWidth="1"/>
    <col min="4108" max="4109" width="14.28515625" style="112" customWidth="1"/>
    <col min="4110" max="4110" width="14" style="112" customWidth="1"/>
    <col min="4111" max="4111" width="15.28515625" style="112" customWidth="1"/>
    <col min="4112" max="4112" width="15.5703125" style="112" customWidth="1"/>
    <col min="4113" max="4113" width="15.140625" style="112" customWidth="1"/>
    <col min="4114" max="4114" width="13.5703125" style="112" customWidth="1"/>
    <col min="4115" max="4116" width="14" style="112" customWidth="1"/>
    <col min="4117" max="4118" width="14.140625" style="112" customWidth="1"/>
    <col min="4119" max="4119" width="14.28515625" style="112" customWidth="1"/>
    <col min="4120" max="4120" width="12.140625" style="112" customWidth="1"/>
    <col min="4121" max="4121" width="14.5703125" style="112" customWidth="1"/>
    <col min="4122" max="4122" width="14.7109375" style="112" customWidth="1"/>
    <col min="4123" max="4123" width="13" style="112" customWidth="1"/>
    <col min="4124" max="4124" width="14.5703125" style="112" customWidth="1"/>
    <col min="4125" max="4125" width="12.28515625" style="112" customWidth="1"/>
    <col min="4126" max="4126" width="15.28515625" style="112" customWidth="1"/>
    <col min="4127" max="4127" width="12.85546875" style="112" customWidth="1"/>
    <col min="4128" max="4128" width="13.85546875" style="112" customWidth="1"/>
    <col min="4129" max="4129" width="14.5703125" style="112" customWidth="1"/>
    <col min="4130" max="4131" width="14.28515625" style="112" customWidth="1"/>
    <col min="4132" max="4132" width="14.5703125" style="112" customWidth="1"/>
    <col min="4133" max="4133" width="14.28515625" style="112" customWidth="1"/>
    <col min="4134" max="4134" width="12.5703125" style="112" customWidth="1"/>
    <col min="4135" max="4135" width="11" style="112" customWidth="1"/>
    <col min="4136" max="4352" width="9.140625" style="112"/>
    <col min="4353" max="4353" width="3.5703125" style="112" customWidth="1"/>
    <col min="4354" max="4354" width="13.85546875" style="112" customWidth="1"/>
    <col min="4355" max="4355" width="15.5703125" style="112" customWidth="1"/>
    <col min="4356" max="4356" width="15.7109375" style="112" customWidth="1"/>
    <col min="4357" max="4357" width="15.42578125" style="112" customWidth="1"/>
    <col min="4358" max="4358" width="14" style="112" customWidth="1"/>
    <col min="4359" max="4360" width="13.85546875" style="112" customWidth="1"/>
    <col min="4361" max="4361" width="12.42578125" style="112" customWidth="1"/>
    <col min="4362" max="4362" width="13.85546875" style="112" customWidth="1"/>
    <col min="4363" max="4363" width="16.7109375" style="112" customWidth="1"/>
    <col min="4364" max="4365" width="14.28515625" style="112" customWidth="1"/>
    <col min="4366" max="4366" width="14" style="112" customWidth="1"/>
    <col min="4367" max="4367" width="15.28515625" style="112" customWidth="1"/>
    <col min="4368" max="4368" width="15.5703125" style="112" customWidth="1"/>
    <col min="4369" max="4369" width="15.140625" style="112" customWidth="1"/>
    <col min="4370" max="4370" width="13.5703125" style="112" customWidth="1"/>
    <col min="4371" max="4372" width="14" style="112" customWidth="1"/>
    <col min="4373" max="4374" width="14.140625" style="112" customWidth="1"/>
    <col min="4375" max="4375" width="14.28515625" style="112" customWidth="1"/>
    <col min="4376" max="4376" width="12.140625" style="112" customWidth="1"/>
    <col min="4377" max="4377" width="14.5703125" style="112" customWidth="1"/>
    <col min="4378" max="4378" width="14.7109375" style="112" customWidth="1"/>
    <col min="4379" max="4379" width="13" style="112" customWidth="1"/>
    <col min="4380" max="4380" width="14.5703125" style="112" customWidth="1"/>
    <col min="4381" max="4381" width="12.28515625" style="112" customWidth="1"/>
    <col min="4382" max="4382" width="15.28515625" style="112" customWidth="1"/>
    <col min="4383" max="4383" width="12.85546875" style="112" customWidth="1"/>
    <col min="4384" max="4384" width="13.85546875" style="112" customWidth="1"/>
    <col min="4385" max="4385" width="14.5703125" style="112" customWidth="1"/>
    <col min="4386" max="4387" width="14.28515625" style="112" customWidth="1"/>
    <col min="4388" max="4388" width="14.5703125" style="112" customWidth="1"/>
    <col min="4389" max="4389" width="14.28515625" style="112" customWidth="1"/>
    <col min="4390" max="4390" width="12.5703125" style="112" customWidth="1"/>
    <col min="4391" max="4391" width="11" style="112" customWidth="1"/>
    <col min="4392" max="4608" width="9.140625" style="112"/>
    <col min="4609" max="4609" width="3.5703125" style="112" customWidth="1"/>
    <col min="4610" max="4610" width="13.85546875" style="112" customWidth="1"/>
    <col min="4611" max="4611" width="15.5703125" style="112" customWidth="1"/>
    <col min="4612" max="4612" width="15.7109375" style="112" customWidth="1"/>
    <col min="4613" max="4613" width="15.42578125" style="112" customWidth="1"/>
    <col min="4614" max="4614" width="14" style="112" customWidth="1"/>
    <col min="4615" max="4616" width="13.85546875" style="112" customWidth="1"/>
    <col min="4617" max="4617" width="12.42578125" style="112" customWidth="1"/>
    <col min="4618" max="4618" width="13.85546875" style="112" customWidth="1"/>
    <col min="4619" max="4619" width="16.7109375" style="112" customWidth="1"/>
    <col min="4620" max="4621" width="14.28515625" style="112" customWidth="1"/>
    <col min="4622" max="4622" width="14" style="112" customWidth="1"/>
    <col min="4623" max="4623" width="15.28515625" style="112" customWidth="1"/>
    <col min="4624" max="4624" width="15.5703125" style="112" customWidth="1"/>
    <col min="4625" max="4625" width="15.140625" style="112" customWidth="1"/>
    <col min="4626" max="4626" width="13.5703125" style="112" customWidth="1"/>
    <col min="4627" max="4628" width="14" style="112" customWidth="1"/>
    <col min="4629" max="4630" width="14.140625" style="112" customWidth="1"/>
    <col min="4631" max="4631" width="14.28515625" style="112" customWidth="1"/>
    <col min="4632" max="4632" width="12.140625" style="112" customWidth="1"/>
    <col min="4633" max="4633" width="14.5703125" style="112" customWidth="1"/>
    <col min="4634" max="4634" width="14.7109375" style="112" customWidth="1"/>
    <col min="4635" max="4635" width="13" style="112" customWidth="1"/>
    <col min="4636" max="4636" width="14.5703125" style="112" customWidth="1"/>
    <col min="4637" max="4637" width="12.28515625" style="112" customWidth="1"/>
    <col min="4638" max="4638" width="15.28515625" style="112" customWidth="1"/>
    <col min="4639" max="4639" width="12.85546875" style="112" customWidth="1"/>
    <col min="4640" max="4640" width="13.85546875" style="112" customWidth="1"/>
    <col min="4641" max="4641" width="14.5703125" style="112" customWidth="1"/>
    <col min="4642" max="4643" width="14.28515625" style="112" customWidth="1"/>
    <col min="4644" max="4644" width="14.5703125" style="112" customWidth="1"/>
    <col min="4645" max="4645" width="14.28515625" style="112" customWidth="1"/>
    <col min="4646" max="4646" width="12.5703125" style="112" customWidth="1"/>
    <col min="4647" max="4647" width="11" style="112" customWidth="1"/>
    <col min="4648" max="4864" width="9.140625" style="112"/>
    <col min="4865" max="4865" width="3.5703125" style="112" customWidth="1"/>
    <col min="4866" max="4866" width="13.85546875" style="112" customWidth="1"/>
    <col min="4867" max="4867" width="15.5703125" style="112" customWidth="1"/>
    <col min="4868" max="4868" width="15.7109375" style="112" customWidth="1"/>
    <col min="4869" max="4869" width="15.42578125" style="112" customWidth="1"/>
    <col min="4870" max="4870" width="14" style="112" customWidth="1"/>
    <col min="4871" max="4872" width="13.85546875" style="112" customWidth="1"/>
    <col min="4873" max="4873" width="12.42578125" style="112" customWidth="1"/>
    <col min="4874" max="4874" width="13.85546875" style="112" customWidth="1"/>
    <col min="4875" max="4875" width="16.7109375" style="112" customWidth="1"/>
    <col min="4876" max="4877" width="14.28515625" style="112" customWidth="1"/>
    <col min="4878" max="4878" width="14" style="112" customWidth="1"/>
    <col min="4879" max="4879" width="15.28515625" style="112" customWidth="1"/>
    <col min="4880" max="4880" width="15.5703125" style="112" customWidth="1"/>
    <col min="4881" max="4881" width="15.140625" style="112" customWidth="1"/>
    <col min="4882" max="4882" width="13.5703125" style="112" customWidth="1"/>
    <col min="4883" max="4884" width="14" style="112" customWidth="1"/>
    <col min="4885" max="4886" width="14.140625" style="112" customWidth="1"/>
    <col min="4887" max="4887" width="14.28515625" style="112" customWidth="1"/>
    <col min="4888" max="4888" width="12.140625" style="112" customWidth="1"/>
    <col min="4889" max="4889" width="14.5703125" style="112" customWidth="1"/>
    <col min="4890" max="4890" width="14.7109375" style="112" customWidth="1"/>
    <col min="4891" max="4891" width="13" style="112" customWidth="1"/>
    <col min="4892" max="4892" width="14.5703125" style="112" customWidth="1"/>
    <col min="4893" max="4893" width="12.28515625" style="112" customWidth="1"/>
    <col min="4894" max="4894" width="15.28515625" style="112" customWidth="1"/>
    <col min="4895" max="4895" width="12.85546875" style="112" customWidth="1"/>
    <col min="4896" max="4896" width="13.85546875" style="112" customWidth="1"/>
    <col min="4897" max="4897" width="14.5703125" style="112" customWidth="1"/>
    <col min="4898" max="4899" width="14.28515625" style="112" customWidth="1"/>
    <col min="4900" max="4900" width="14.5703125" style="112" customWidth="1"/>
    <col min="4901" max="4901" width="14.28515625" style="112" customWidth="1"/>
    <col min="4902" max="4902" width="12.5703125" style="112" customWidth="1"/>
    <col min="4903" max="4903" width="11" style="112" customWidth="1"/>
    <col min="4904" max="5120" width="9.140625" style="112"/>
    <col min="5121" max="5121" width="3.5703125" style="112" customWidth="1"/>
    <col min="5122" max="5122" width="13.85546875" style="112" customWidth="1"/>
    <col min="5123" max="5123" width="15.5703125" style="112" customWidth="1"/>
    <col min="5124" max="5124" width="15.7109375" style="112" customWidth="1"/>
    <col min="5125" max="5125" width="15.42578125" style="112" customWidth="1"/>
    <col min="5126" max="5126" width="14" style="112" customWidth="1"/>
    <col min="5127" max="5128" width="13.85546875" style="112" customWidth="1"/>
    <col min="5129" max="5129" width="12.42578125" style="112" customWidth="1"/>
    <col min="5130" max="5130" width="13.85546875" style="112" customWidth="1"/>
    <col min="5131" max="5131" width="16.7109375" style="112" customWidth="1"/>
    <col min="5132" max="5133" width="14.28515625" style="112" customWidth="1"/>
    <col min="5134" max="5134" width="14" style="112" customWidth="1"/>
    <col min="5135" max="5135" width="15.28515625" style="112" customWidth="1"/>
    <col min="5136" max="5136" width="15.5703125" style="112" customWidth="1"/>
    <col min="5137" max="5137" width="15.140625" style="112" customWidth="1"/>
    <col min="5138" max="5138" width="13.5703125" style="112" customWidth="1"/>
    <col min="5139" max="5140" width="14" style="112" customWidth="1"/>
    <col min="5141" max="5142" width="14.140625" style="112" customWidth="1"/>
    <col min="5143" max="5143" width="14.28515625" style="112" customWidth="1"/>
    <col min="5144" max="5144" width="12.140625" style="112" customWidth="1"/>
    <col min="5145" max="5145" width="14.5703125" style="112" customWidth="1"/>
    <col min="5146" max="5146" width="14.7109375" style="112" customWidth="1"/>
    <col min="5147" max="5147" width="13" style="112" customWidth="1"/>
    <col min="5148" max="5148" width="14.5703125" style="112" customWidth="1"/>
    <col min="5149" max="5149" width="12.28515625" style="112" customWidth="1"/>
    <col min="5150" max="5150" width="15.28515625" style="112" customWidth="1"/>
    <col min="5151" max="5151" width="12.85546875" style="112" customWidth="1"/>
    <col min="5152" max="5152" width="13.85546875" style="112" customWidth="1"/>
    <col min="5153" max="5153" width="14.5703125" style="112" customWidth="1"/>
    <col min="5154" max="5155" width="14.28515625" style="112" customWidth="1"/>
    <col min="5156" max="5156" width="14.5703125" style="112" customWidth="1"/>
    <col min="5157" max="5157" width="14.28515625" style="112" customWidth="1"/>
    <col min="5158" max="5158" width="12.5703125" style="112" customWidth="1"/>
    <col min="5159" max="5159" width="11" style="112" customWidth="1"/>
    <col min="5160" max="5376" width="9.140625" style="112"/>
    <col min="5377" max="5377" width="3.5703125" style="112" customWidth="1"/>
    <col min="5378" max="5378" width="13.85546875" style="112" customWidth="1"/>
    <col min="5379" max="5379" width="15.5703125" style="112" customWidth="1"/>
    <col min="5380" max="5380" width="15.7109375" style="112" customWidth="1"/>
    <col min="5381" max="5381" width="15.42578125" style="112" customWidth="1"/>
    <col min="5382" max="5382" width="14" style="112" customWidth="1"/>
    <col min="5383" max="5384" width="13.85546875" style="112" customWidth="1"/>
    <col min="5385" max="5385" width="12.42578125" style="112" customWidth="1"/>
    <col min="5386" max="5386" width="13.85546875" style="112" customWidth="1"/>
    <col min="5387" max="5387" width="16.7109375" style="112" customWidth="1"/>
    <col min="5388" max="5389" width="14.28515625" style="112" customWidth="1"/>
    <col min="5390" max="5390" width="14" style="112" customWidth="1"/>
    <col min="5391" max="5391" width="15.28515625" style="112" customWidth="1"/>
    <col min="5392" max="5392" width="15.5703125" style="112" customWidth="1"/>
    <col min="5393" max="5393" width="15.140625" style="112" customWidth="1"/>
    <col min="5394" max="5394" width="13.5703125" style="112" customWidth="1"/>
    <col min="5395" max="5396" width="14" style="112" customWidth="1"/>
    <col min="5397" max="5398" width="14.140625" style="112" customWidth="1"/>
    <col min="5399" max="5399" width="14.28515625" style="112" customWidth="1"/>
    <col min="5400" max="5400" width="12.140625" style="112" customWidth="1"/>
    <col min="5401" max="5401" width="14.5703125" style="112" customWidth="1"/>
    <col min="5402" max="5402" width="14.7109375" style="112" customWidth="1"/>
    <col min="5403" max="5403" width="13" style="112" customWidth="1"/>
    <col min="5404" max="5404" width="14.5703125" style="112" customWidth="1"/>
    <col min="5405" max="5405" width="12.28515625" style="112" customWidth="1"/>
    <col min="5406" max="5406" width="15.28515625" style="112" customWidth="1"/>
    <col min="5407" max="5407" width="12.85546875" style="112" customWidth="1"/>
    <col min="5408" max="5408" width="13.85546875" style="112" customWidth="1"/>
    <col min="5409" max="5409" width="14.5703125" style="112" customWidth="1"/>
    <col min="5410" max="5411" width="14.28515625" style="112" customWidth="1"/>
    <col min="5412" max="5412" width="14.5703125" style="112" customWidth="1"/>
    <col min="5413" max="5413" width="14.28515625" style="112" customWidth="1"/>
    <col min="5414" max="5414" width="12.5703125" style="112" customWidth="1"/>
    <col min="5415" max="5415" width="11" style="112" customWidth="1"/>
    <col min="5416" max="5632" width="9.140625" style="112"/>
    <col min="5633" max="5633" width="3.5703125" style="112" customWidth="1"/>
    <col min="5634" max="5634" width="13.85546875" style="112" customWidth="1"/>
    <col min="5635" max="5635" width="15.5703125" style="112" customWidth="1"/>
    <col min="5636" max="5636" width="15.7109375" style="112" customWidth="1"/>
    <col min="5637" max="5637" width="15.42578125" style="112" customWidth="1"/>
    <col min="5638" max="5638" width="14" style="112" customWidth="1"/>
    <col min="5639" max="5640" width="13.85546875" style="112" customWidth="1"/>
    <col min="5641" max="5641" width="12.42578125" style="112" customWidth="1"/>
    <col min="5642" max="5642" width="13.85546875" style="112" customWidth="1"/>
    <col min="5643" max="5643" width="16.7109375" style="112" customWidth="1"/>
    <col min="5644" max="5645" width="14.28515625" style="112" customWidth="1"/>
    <col min="5646" max="5646" width="14" style="112" customWidth="1"/>
    <col min="5647" max="5647" width="15.28515625" style="112" customWidth="1"/>
    <col min="5648" max="5648" width="15.5703125" style="112" customWidth="1"/>
    <col min="5649" max="5649" width="15.140625" style="112" customWidth="1"/>
    <col min="5650" max="5650" width="13.5703125" style="112" customWidth="1"/>
    <col min="5651" max="5652" width="14" style="112" customWidth="1"/>
    <col min="5653" max="5654" width="14.140625" style="112" customWidth="1"/>
    <col min="5655" max="5655" width="14.28515625" style="112" customWidth="1"/>
    <col min="5656" max="5656" width="12.140625" style="112" customWidth="1"/>
    <col min="5657" max="5657" width="14.5703125" style="112" customWidth="1"/>
    <col min="5658" max="5658" width="14.7109375" style="112" customWidth="1"/>
    <col min="5659" max="5659" width="13" style="112" customWidth="1"/>
    <col min="5660" max="5660" width="14.5703125" style="112" customWidth="1"/>
    <col min="5661" max="5661" width="12.28515625" style="112" customWidth="1"/>
    <col min="5662" max="5662" width="15.28515625" style="112" customWidth="1"/>
    <col min="5663" max="5663" width="12.85546875" style="112" customWidth="1"/>
    <col min="5664" max="5664" width="13.85546875" style="112" customWidth="1"/>
    <col min="5665" max="5665" width="14.5703125" style="112" customWidth="1"/>
    <col min="5666" max="5667" width="14.28515625" style="112" customWidth="1"/>
    <col min="5668" max="5668" width="14.5703125" style="112" customWidth="1"/>
    <col min="5669" max="5669" width="14.28515625" style="112" customWidth="1"/>
    <col min="5670" max="5670" width="12.5703125" style="112" customWidth="1"/>
    <col min="5671" max="5671" width="11" style="112" customWidth="1"/>
    <col min="5672" max="5888" width="9.140625" style="112"/>
    <col min="5889" max="5889" width="3.5703125" style="112" customWidth="1"/>
    <col min="5890" max="5890" width="13.85546875" style="112" customWidth="1"/>
    <col min="5891" max="5891" width="15.5703125" style="112" customWidth="1"/>
    <col min="5892" max="5892" width="15.7109375" style="112" customWidth="1"/>
    <col min="5893" max="5893" width="15.42578125" style="112" customWidth="1"/>
    <col min="5894" max="5894" width="14" style="112" customWidth="1"/>
    <col min="5895" max="5896" width="13.85546875" style="112" customWidth="1"/>
    <col min="5897" max="5897" width="12.42578125" style="112" customWidth="1"/>
    <col min="5898" max="5898" width="13.85546875" style="112" customWidth="1"/>
    <col min="5899" max="5899" width="16.7109375" style="112" customWidth="1"/>
    <col min="5900" max="5901" width="14.28515625" style="112" customWidth="1"/>
    <col min="5902" max="5902" width="14" style="112" customWidth="1"/>
    <col min="5903" max="5903" width="15.28515625" style="112" customWidth="1"/>
    <col min="5904" max="5904" width="15.5703125" style="112" customWidth="1"/>
    <col min="5905" max="5905" width="15.140625" style="112" customWidth="1"/>
    <col min="5906" max="5906" width="13.5703125" style="112" customWidth="1"/>
    <col min="5907" max="5908" width="14" style="112" customWidth="1"/>
    <col min="5909" max="5910" width="14.140625" style="112" customWidth="1"/>
    <col min="5911" max="5911" width="14.28515625" style="112" customWidth="1"/>
    <col min="5912" max="5912" width="12.140625" style="112" customWidth="1"/>
    <col min="5913" max="5913" width="14.5703125" style="112" customWidth="1"/>
    <col min="5914" max="5914" width="14.7109375" style="112" customWidth="1"/>
    <col min="5915" max="5915" width="13" style="112" customWidth="1"/>
    <col min="5916" max="5916" width="14.5703125" style="112" customWidth="1"/>
    <col min="5917" max="5917" width="12.28515625" style="112" customWidth="1"/>
    <col min="5918" max="5918" width="15.28515625" style="112" customWidth="1"/>
    <col min="5919" max="5919" width="12.85546875" style="112" customWidth="1"/>
    <col min="5920" max="5920" width="13.85546875" style="112" customWidth="1"/>
    <col min="5921" max="5921" width="14.5703125" style="112" customWidth="1"/>
    <col min="5922" max="5923" width="14.28515625" style="112" customWidth="1"/>
    <col min="5924" max="5924" width="14.5703125" style="112" customWidth="1"/>
    <col min="5925" max="5925" width="14.28515625" style="112" customWidth="1"/>
    <col min="5926" max="5926" width="12.5703125" style="112" customWidth="1"/>
    <col min="5927" max="5927" width="11" style="112" customWidth="1"/>
    <col min="5928" max="6144" width="9.140625" style="112"/>
    <col min="6145" max="6145" width="3.5703125" style="112" customWidth="1"/>
    <col min="6146" max="6146" width="13.85546875" style="112" customWidth="1"/>
    <col min="6147" max="6147" width="15.5703125" style="112" customWidth="1"/>
    <col min="6148" max="6148" width="15.7109375" style="112" customWidth="1"/>
    <col min="6149" max="6149" width="15.42578125" style="112" customWidth="1"/>
    <col min="6150" max="6150" width="14" style="112" customWidth="1"/>
    <col min="6151" max="6152" width="13.85546875" style="112" customWidth="1"/>
    <col min="6153" max="6153" width="12.42578125" style="112" customWidth="1"/>
    <col min="6154" max="6154" width="13.85546875" style="112" customWidth="1"/>
    <col min="6155" max="6155" width="16.7109375" style="112" customWidth="1"/>
    <col min="6156" max="6157" width="14.28515625" style="112" customWidth="1"/>
    <col min="6158" max="6158" width="14" style="112" customWidth="1"/>
    <col min="6159" max="6159" width="15.28515625" style="112" customWidth="1"/>
    <col min="6160" max="6160" width="15.5703125" style="112" customWidth="1"/>
    <col min="6161" max="6161" width="15.140625" style="112" customWidth="1"/>
    <col min="6162" max="6162" width="13.5703125" style="112" customWidth="1"/>
    <col min="6163" max="6164" width="14" style="112" customWidth="1"/>
    <col min="6165" max="6166" width="14.140625" style="112" customWidth="1"/>
    <col min="6167" max="6167" width="14.28515625" style="112" customWidth="1"/>
    <col min="6168" max="6168" width="12.140625" style="112" customWidth="1"/>
    <col min="6169" max="6169" width="14.5703125" style="112" customWidth="1"/>
    <col min="6170" max="6170" width="14.7109375" style="112" customWidth="1"/>
    <col min="6171" max="6171" width="13" style="112" customWidth="1"/>
    <col min="6172" max="6172" width="14.5703125" style="112" customWidth="1"/>
    <col min="6173" max="6173" width="12.28515625" style="112" customWidth="1"/>
    <col min="6174" max="6174" width="15.28515625" style="112" customWidth="1"/>
    <col min="6175" max="6175" width="12.85546875" style="112" customWidth="1"/>
    <col min="6176" max="6176" width="13.85546875" style="112" customWidth="1"/>
    <col min="6177" max="6177" width="14.5703125" style="112" customWidth="1"/>
    <col min="6178" max="6179" width="14.28515625" style="112" customWidth="1"/>
    <col min="6180" max="6180" width="14.5703125" style="112" customWidth="1"/>
    <col min="6181" max="6181" width="14.28515625" style="112" customWidth="1"/>
    <col min="6182" max="6182" width="12.5703125" style="112" customWidth="1"/>
    <col min="6183" max="6183" width="11" style="112" customWidth="1"/>
    <col min="6184" max="6400" width="9.140625" style="112"/>
    <col min="6401" max="6401" width="3.5703125" style="112" customWidth="1"/>
    <col min="6402" max="6402" width="13.85546875" style="112" customWidth="1"/>
    <col min="6403" max="6403" width="15.5703125" style="112" customWidth="1"/>
    <col min="6404" max="6404" width="15.7109375" style="112" customWidth="1"/>
    <col min="6405" max="6405" width="15.42578125" style="112" customWidth="1"/>
    <col min="6406" max="6406" width="14" style="112" customWidth="1"/>
    <col min="6407" max="6408" width="13.85546875" style="112" customWidth="1"/>
    <col min="6409" max="6409" width="12.42578125" style="112" customWidth="1"/>
    <col min="6410" max="6410" width="13.85546875" style="112" customWidth="1"/>
    <col min="6411" max="6411" width="16.7109375" style="112" customWidth="1"/>
    <col min="6412" max="6413" width="14.28515625" style="112" customWidth="1"/>
    <col min="6414" max="6414" width="14" style="112" customWidth="1"/>
    <col min="6415" max="6415" width="15.28515625" style="112" customWidth="1"/>
    <col min="6416" max="6416" width="15.5703125" style="112" customWidth="1"/>
    <col min="6417" max="6417" width="15.140625" style="112" customWidth="1"/>
    <col min="6418" max="6418" width="13.5703125" style="112" customWidth="1"/>
    <col min="6419" max="6420" width="14" style="112" customWidth="1"/>
    <col min="6421" max="6422" width="14.140625" style="112" customWidth="1"/>
    <col min="6423" max="6423" width="14.28515625" style="112" customWidth="1"/>
    <col min="6424" max="6424" width="12.140625" style="112" customWidth="1"/>
    <col min="6425" max="6425" width="14.5703125" style="112" customWidth="1"/>
    <col min="6426" max="6426" width="14.7109375" style="112" customWidth="1"/>
    <col min="6427" max="6427" width="13" style="112" customWidth="1"/>
    <col min="6428" max="6428" width="14.5703125" style="112" customWidth="1"/>
    <col min="6429" max="6429" width="12.28515625" style="112" customWidth="1"/>
    <col min="6430" max="6430" width="15.28515625" style="112" customWidth="1"/>
    <col min="6431" max="6431" width="12.85546875" style="112" customWidth="1"/>
    <col min="6432" max="6432" width="13.85546875" style="112" customWidth="1"/>
    <col min="6433" max="6433" width="14.5703125" style="112" customWidth="1"/>
    <col min="6434" max="6435" width="14.28515625" style="112" customWidth="1"/>
    <col min="6436" max="6436" width="14.5703125" style="112" customWidth="1"/>
    <col min="6437" max="6437" width="14.28515625" style="112" customWidth="1"/>
    <col min="6438" max="6438" width="12.5703125" style="112" customWidth="1"/>
    <col min="6439" max="6439" width="11" style="112" customWidth="1"/>
    <col min="6440" max="6656" width="9.140625" style="112"/>
    <col min="6657" max="6657" width="3.5703125" style="112" customWidth="1"/>
    <col min="6658" max="6658" width="13.85546875" style="112" customWidth="1"/>
    <col min="6659" max="6659" width="15.5703125" style="112" customWidth="1"/>
    <col min="6660" max="6660" width="15.7109375" style="112" customWidth="1"/>
    <col min="6661" max="6661" width="15.42578125" style="112" customWidth="1"/>
    <col min="6662" max="6662" width="14" style="112" customWidth="1"/>
    <col min="6663" max="6664" width="13.85546875" style="112" customWidth="1"/>
    <col min="6665" max="6665" width="12.42578125" style="112" customWidth="1"/>
    <col min="6666" max="6666" width="13.85546875" style="112" customWidth="1"/>
    <col min="6667" max="6667" width="16.7109375" style="112" customWidth="1"/>
    <col min="6668" max="6669" width="14.28515625" style="112" customWidth="1"/>
    <col min="6670" max="6670" width="14" style="112" customWidth="1"/>
    <col min="6671" max="6671" width="15.28515625" style="112" customWidth="1"/>
    <col min="6672" max="6672" width="15.5703125" style="112" customWidth="1"/>
    <col min="6673" max="6673" width="15.140625" style="112" customWidth="1"/>
    <col min="6674" max="6674" width="13.5703125" style="112" customWidth="1"/>
    <col min="6675" max="6676" width="14" style="112" customWidth="1"/>
    <col min="6677" max="6678" width="14.140625" style="112" customWidth="1"/>
    <col min="6679" max="6679" width="14.28515625" style="112" customWidth="1"/>
    <col min="6680" max="6680" width="12.140625" style="112" customWidth="1"/>
    <col min="6681" max="6681" width="14.5703125" style="112" customWidth="1"/>
    <col min="6682" max="6682" width="14.7109375" style="112" customWidth="1"/>
    <col min="6683" max="6683" width="13" style="112" customWidth="1"/>
    <col min="6684" max="6684" width="14.5703125" style="112" customWidth="1"/>
    <col min="6685" max="6685" width="12.28515625" style="112" customWidth="1"/>
    <col min="6686" max="6686" width="15.28515625" style="112" customWidth="1"/>
    <col min="6687" max="6687" width="12.85546875" style="112" customWidth="1"/>
    <col min="6688" max="6688" width="13.85546875" style="112" customWidth="1"/>
    <col min="6689" max="6689" width="14.5703125" style="112" customWidth="1"/>
    <col min="6690" max="6691" width="14.28515625" style="112" customWidth="1"/>
    <col min="6692" max="6692" width="14.5703125" style="112" customWidth="1"/>
    <col min="6693" max="6693" width="14.28515625" style="112" customWidth="1"/>
    <col min="6694" max="6694" width="12.5703125" style="112" customWidth="1"/>
    <col min="6695" max="6695" width="11" style="112" customWidth="1"/>
    <col min="6696" max="6912" width="9.140625" style="112"/>
    <col min="6913" max="6913" width="3.5703125" style="112" customWidth="1"/>
    <col min="6914" max="6914" width="13.85546875" style="112" customWidth="1"/>
    <col min="6915" max="6915" width="15.5703125" style="112" customWidth="1"/>
    <col min="6916" max="6916" width="15.7109375" style="112" customWidth="1"/>
    <col min="6917" max="6917" width="15.42578125" style="112" customWidth="1"/>
    <col min="6918" max="6918" width="14" style="112" customWidth="1"/>
    <col min="6919" max="6920" width="13.85546875" style="112" customWidth="1"/>
    <col min="6921" max="6921" width="12.42578125" style="112" customWidth="1"/>
    <col min="6922" max="6922" width="13.85546875" style="112" customWidth="1"/>
    <col min="6923" max="6923" width="16.7109375" style="112" customWidth="1"/>
    <col min="6924" max="6925" width="14.28515625" style="112" customWidth="1"/>
    <col min="6926" max="6926" width="14" style="112" customWidth="1"/>
    <col min="6927" max="6927" width="15.28515625" style="112" customWidth="1"/>
    <col min="6928" max="6928" width="15.5703125" style="112" customWidth="1"/>
    <col min="6929" max="6929" width="15.140625" style="112" customWidth="1"/>
    <col min="6930" max="6930" width="13.5703125" style="112" customWidth="1"/>
    <col min="6931" max="6932" width="14" style="112" customWidth="1"/>
    <col min="6933" max="6934" width="14.140625" style="112" customWidth="1"/>
    <col min="6935" max="6935" width="14.28515625" style="112" customWidth="1"/>
    <col min="6936" max="6936" width="12.140625" style="112" customWidth="1"/>
    <col min="6937" max="6937" width="14.5703125" style="112" customWidth="1"/>
    <col min="6938" max="6938" width="14.7109375" style="112" customWidth="1"/>
    <col min="6939" max="6939" width="13" style="112" customWidth="1"/>
    <col min="6940" max="6940" width="14.5703125" style="112" customWidth="1"/>
    <col min="6941" max="6941" width="12.28515625" style="112" customWidth="1"/>
    <col min="6942" max="6942" width="15.28515625" style="112" customWidth="1"/>
    <col min="6943" max="6943" width="12.85546875" style="112" customWidth="1"/>
    <col min="6944" max="6944" width="13.85546875" style="112" customWidth="1"/>
    <col min="6945" max="6945" width="14.5703125" style="112" customWidth="1"/>
    <col min="6946" max="6947" width="14.28515625" style="112" customWidth="1"/>
    <col min="6948" max="6948" width="14.5703125" style="112" customWidth="1"/>
    <col min="6949" max="6949" width="14.28515625" style="112" customWidth="1"/>
    <col min="6950" max="6950" width="12.5703125" style="112" customWidth="1"/>
    <col min="6951" max="6951" width="11" style="112" customWidth="1"/>
    <col min="6952" max="7168" width="9.140625" style="112"/>
    <col min="7169" max="7169" width="3.5703125" style="112" customWidth="1"/>
    <col min="7170" max="7170" width="13.85546875" style="112" customWidth="1"/>
    <col min="7171" max="7171" width="15.5703125" style="112" customWidth="1"/>
    <col min="7172" max="7172" width="15.7109375" style="112" customWidth="1"/>
    <col min="7173" max="7173" width="15.42578125" style="112" customWidth="1"/>
    <col min="7174" max="7174" width="14" style="112" customWidth="1"/>
    <col min="7175" max="7176" width="13.85546875" style="112" customWidth="1"/>
    <col min="7177" max="7177" width="12.42578125" style="112" customWidth="1"/>
    <col min="7178" max="7178" width="13.85546875" style="112" customWidth="1"/>
    <col min="7179" max="7179" width="16.7109375" style="112" customWidth="1"/>
    <col min="7180" max="7181" width="14.28515625" style="112" customWidth="1"/>
    <col min="7182" max="7182" width="14" style="112" customWidth="1"/>
    <col min="7183" max="7183" width="15.28515625" style="112" customWidth="1"/>
    <col min="7184" max="7184" width="15.5703125" style="112" customWidth="1"/>
    <col min="7185" max="7185" width="15.140625" style="112" customWidth="1"/>
    <col min="7186" max="7186" width="13.5703125" style="112" customWidth="1"/>
    <col min="7187" max="7188" width="14" style="112" customWidth="1"/>
    <col min="7189" max="7190" width="14.140625" style="112" customWidth="1"/>
    <col min="7191" max="7191" width="14.28515625" style="112" customWidth="1"/>
    <col min="7192" max="7192" width="12.140625" style="112" customWidth="1"/>
    <col min="7193" max="7193" width="14.5703125" style="112" customWidth="1"/>
    <col min="7194" max="7194" width="14.7109375" style="112" customWidth="1"/>
    <col min="7195" max="7195" width="13" style="112" customWidth="1"/>
    <col min="7196" max="7196" width="14.5703125" style="112" customWidth="1"/>
    <col min="7197" max="7197" width="12.28515625" style="112" customWidth="1"/>
    <col min="7198" max="7198" width="15.28515625" style="112" customWidth="1"/>
    <col min="7199" max="7199" width="12.85546875" style="112" customWidth="1"/>
    <col min="7200" max="7200" width="13.85546875" style="112" customWidth="1"/>
    <col min="7201" max="7201" width="14.5703125" style="112" customWidth="1"/>
    <col min="7202" max="7203" width="14.28515625" style="112" customWidth="1"/>
    <col min="7204" max="7204" width="14.5703125" style="112" customWidth="1"/>
    <col min="7205" max="7205" width="14.28515625" style="112" customWidth="1"/>
    <col min="7206" max="7206" width="12.5703125" style="112" customWidth="1"/>
    <col min="7207" max="7207" width="11" style="112" customWidth="1"/>
    <col min="7208" max="7424" width="9.140625" style="112"/>
    <col min="7425" max="7425" width="3.5703125" style="112" customWidth="1"/>
    <col min="7426" max="7426" width="13.85546875" style="112" customWidth="1"/>
    <col min="7427" max="7427" width="15.5703125" style="112" customWidth="1"/>
    <col min="7428" max="7428" width="15.7109375" style="112" customWidth="1"/>
    <col min="7429" max="7429" width="15.42578125" style="112" customWidth="1"/>
    <col min="7430" max="7430" width="14" style="112" customWidth="1"/>
    <col min="7431" max="7432" width="13.85546875" style="112" customWidth="1"/>
    <col min="7433" max="7433" width="12.42578125" style="112" customWidth="1"/>
    <col min="7434" max="7434" width="13.85546875" style="112" customWidth="1"/>
    <col min="7435" max="7435" width="16.7109375" style="112" customWidth="1"/>
    <col min="7436" max="7437" width="14.28515625" style="112" customWidth="1"/>
    <col min="7438" max="7438" width="14" style="112" customWidth="1"/>
    <col min="7439" max="7439" width="15.28515625" style="112" customWidth="1"/>
    <col min="7440" max="7440" width="15.5703125" style="112" customWidth="1"/>
    <col min="7441" max="7441" width="15.140625" style="112" customWidth="1"/>
    <col min="7442" max="7442" width="13.5703125" style="112" customWidth="1"/>
    <col min="7443" max="7444" width="14" style="112" customWidth="1"/>
    <col min="7445" max="7446" width="14.140625" style="112" customWidth="1"/>
    <col min="7447" max="7447" width="14.28515625" style="112" customWidth="1"/>
    <col min="7448" max="7448" width="12.140625" style="112" customWidth="1"/>
    <col min="7449" max="7449" width="14.5703125" style="112" customWidth="1"/>
    <col min="7450" max="7450" width="14.7109375" style="112" customWidth="1"/>
    <col min="7451" max="7451" width="13" style="112" customWidth="1"/>
    <col min="7452" max="7452" width="14.5703125" style="112" customWidth="1"/>
    <col min="7453" max="7453" width="12.28515625" style="112" customWidth="1"/>
    <col min="7454" max="7454" width="15.28515625" style="112" customWidth="1"/>
    <col min="7455" max="7455" width="12.85546875" style="112" customWidth="1"/>
    <col min="7456" max="7456" width="13.85546875" style="112" customWidth="1"/>
    <col min="7457" max="7457" width="14.5703125" style="112" customWidth="1"/>
    <col min="7458" max="7459" width="14.28515625" style="112" customWidth="1"/>
    <col min="7460" max="7460" width="14.5703125" style="112" customWidth="1"/>
    <col min="7461" max="7461" width="14.28515625" style="112" customWidth="1"/>
    <col min="7462" max="7462" width="12.5703125" style="112" customWidth="1"/>
    <col min="7463" max="7463" width="11" style="112" customWidth="1"/>
    <col min="7464" max="7680" width="9.140625" style="112"/>
    <col min="7681" max="7681" width="3.5703125" style="112" customWidth="1"/>
    <col min="7682" max="7682" width="13.85546875" style="112" customWidth="1"/>
    <col min="7683" max="7683" width="15.5703125" style="112" customWidth="1"/>
    <col min="7684" max="7684" width="15.7109375" style="112" customWidth="1"/>
    <col min="7685" max="7685" width="15.42578125" style="112" customWidth="1"/>
    <col min="7686" max="7686" width="14" style="112" customWidth="1"/>
    <col min="7687" max="7688" width="13.85546875" style="112" customWidth="1"/>
    <col min="7689" max="7689" width="12.42578125" style="112" customWidth="1"/>
    <col min="7690" max="7690" width="13.85546875" style="112" customWidth="1"/>
    <col min="7691" max="7691" width="16.7109375" style="112" customWidth="1"/>
    <col min="7692" max="7693" width="14.28515625" style="112" customWidth="1"/>
    <col min="7694" max="7694" width="14" style="112" customWidth="1"/>
    <col min="7695" max="7695" width="15.28515625" style="112" customWidth="1"/>
    <col min="7696" max="7696" width="15.5703125" style="112" customWidth="1"/>
    <col min="7697" max="7697" width="15.140625" style="112" customWidth="1"/>
    <col min="7698" max="7698" width="13.5703125" style="112" customWidth="1"/>
    <col min="7699" max="7700" width="14" style="112" customWidth="1"/>
    <col min="7701" max="7702" width="14.140625" style="112" customWidth="1"/>
    <col min="7703" max="7703" width="14.28515625" style="112" customWidth="1"/>
    <col min="7704" max="7704" width="12.140625" style="112" customWidth="1"/>
    <col min="7705" max="7705" width="14.5703125" style="112" customWidth="1"/>
    <col min="7706" max="7706" width="14.7109375" style="112" customWidth="1"/>
    <col min="7707" max="7707" width="13" style="112" customWidth="1"/>
    <col min="7708" max="7708" width="14.5703125" style="112" customWidth="1"/>
    <col min="7709" max="7709" width="12.28515625" style="112" customWidth="1"/>
    <col min="7710" max="7710" width="15.28515625" style="112" customWidth="1"/>
    <col min="7711" max="7711" width="12.85546875" style="112" customWidth="1"/>
    <col min="7712" max="7712" width="13.85546875" style="112" customWidth="1"/>
    <col min="7713" max="7713" width="14.5703125" style="112" customWidth="1"/>
    <col min="7714" max="7715" width="14.28515625" style="112" customWidth="1"/>
    <col min="7716" max="7716" width="14.5703125" style="112" customWidth="1"/>
    <col min="7717" max="7717" width="14.28515625" style="112" customWidth="1"/>
    <col min="7718" max="7718" width="12.5703125" style="112" customWidth="1"/>
    <col min="7719" max="7719" width="11" style="112" customWidth="1"/>
    <col min="7720" max="7936" width="9.140625" style="112"/>
    <col min="7937" max="7937" width="3.5703125" style="112" customWidth="1"/>
    <col min="7938" max="7938" width="13.85546875" style="112" customWidth="1"/>
    <col min="7939" max="7939" width="15.5703125" style="112" customWidth="1"/>
    <col min="7940" max="7940" width="15.7109375" style="112" customWidth="1"/>
    <col min="7941" max="7941" width="15.42578125" style="112" customWidth="1"/>
    <col min="7942" max="7942" width="14" style="112" customWidth="1"/>
    <col min="7943" max="7944" width="13.85546875" style="112" customWidth="1"/>
    <col min="7945" max="7945" width="12.42578125" style="112" customWidth="1"/>
    <col min="7946" max="7946" width="13.85546875" style="112" customWidth="1"/>
    <col min="7947" max="7947" width="16.7109375" style="112" customWidth="1"/>
    <col min="7948" max="7949" width="14.28515625" style="112" customWidth="1"/>
    <col min="7950" max="7950" width="14" style="112" customWidth="1"/>
    <col min="7951" max="7951" width="15.28515625" style="112" customWidth="1"/>
    <col min="7952" max="7952" width="15.5703125" style="112" customWidth="1"/>
    <col min="7953" max="7953" width="15.140625" style="112" customWidth="1"/>
    <col min="7954" max="7954" width="13.5703125" style="112" customWidth="1"/>
    <col min="7955" max="7956" width="14" style="112" customWidth="1"/>
    <col min="7957" max="7958" width="14.140625" style="112" customWidth="1"/>
    <col min="7959" max="7959" width="14.28515625" style="112" customWidth="1"/>
    <col min="7960" max="7960" width="12.140625" style="112" customWidth="1"/>
    <col min="7961" max="7961" width="14.5703125" style="112" customWidth="1"/>
    <col min="7962" max="7962" width="14.7109375" style="112" customWidth="1"/>
    <col min="7963" max="7963" width="13" style="112" customWidth="1"/>
    <col min="7964" max="7964" width="14.5703125" style="112" customWidth="1"/>
    <col min="7965" max="7965" width="12.28515625" style="112" customWidth="1"/>
    <col min="7966" max="7966" width="15.28515625" style="112" customWidth="1"/>
    <col min="7967" max="7967" width="12.85546875" style="112" customWidth="1"/>
    <col min="7968" max="7968" width="13.85546875" style="112" customWidth="1"/>
    <col min="7969" max="7969" width="14.5703125" style="112" customWidth="1"/>
    <col min="7970" max="7971" width="14.28515625" style="112" customWidth="1"/>
    <col min="7972" max="7972" width="14.5703125" style="112" customWidth="1"/>
    <col min="7973" max="7973" width="14.28515625" style="112" customWidth="1"/>
    <col min="7974" max="7974" width="12.5703125" style="112" customWidth="1"/>
    <col min="7975" max="7975" width="11" style="112" customWidth="1"/>
    <col min="7976" max="8192" width="9.140625" style="112"/>
    <col min="8193" max="8193" width="3.5703125" style="112" customWidth="1"/>
    <col min="8194" max="8194" width="13.85546875" style="112" customWidth="1"/>
    <col min="8195" max="8195" width="15.5703125" style="112" customWidth="1"/>
    <col min="8196" max="8196" width="15.7109375" style="112" customWidth="1"/>
    <col min="8197" max="8197" width="15.42578125" style="112" customWidth="1"/>
    <col min="8198" max="8198" width="14" style="112" customWidth="1"/>
    <col min="8199" max="8200" width="13.85546875" style="112" customWidth="1"/>
    <col min="8201" max="8201" width="12.42578125" style="112" customWidth="1"/>
    <col min="8202" max="8202" width="13.85546875" style="112" customWidth="1"/>
    <col min="8203" max="8203" width="16.7109375" style="112" customWidth="1"/>
    <col min="8204" max="8205" width="14.28515625" style="112" customWidth="1"/>
    <col min="8206" max="8206" width="14" style="112" customWidth="1"/>
    <col min="8207" max="8207" width="15.28515625" style="112" customWidth="1"/>
    <col min="8208" max="8208" width="15.5703125" style="112" customWidth="1"/>
    <col min="8209" max="8209" width="15.140625" style="112" customWidth="1"/>
    <col min="8210" max="8210" width="13.5703125" style="112" customWidth="1"/>
    <col min="8211" max="8212" width="14" style="112" customWidth="1"/>
    <col min="8213" max="8214" width="14.140625" style="112" customWidth="1"/>
    <col min="8215" max="8215" width="14.28515625" style="112" customWidth="1"/>
    <col min="8216" max="8216" width="12.140625" style="112" customWidth="1"/>
    <col min="8217" max="8217" width="14.5703125" style="112" customWidth="1"/>
    <col min="8218" max="8218" width="14.7109375" style="112" customWidth="1"/>
    <col min="8219" max="8219" width="13" style="112" customWidth="1"/>
    <col min="8220" max="8220" width="14.5703125" style="112" customWidth="1"/>
    <col min="8221" max="8221" width="12.28515625" style="112" customWidth="1"/>
    <col min="8222" max="8222" width="15.28515625" style="112" customWidth="1"/>
    <col min="8223" max="8223" width="12.85546875" style="112" customWidth="1"/>
    <col min="8224" max="8224" width="13.85546875" style="112" customWidth="1"/>
    <col min="8225" max="8225" width="14.5703125" style="112" customWidth="1"/>
    <col min="8226" max="8227" width="14.28515625" style="112" customWidth="1"/>
    <col min="8228" max="8228" width="14.5703125" style="112" customWidth="1"/>
    <col min="8229" max="8229" width="14.28515625" style="112" customWidth="1"/>
    <col min="8230" max="8230" width="12.5703125" style="112" customWidth="1"/>
    <col min="8231" max="8231" width="11" style="112" customWidth="1"/>
    <col min="8232" max="8448" width="9.140625" style="112"/>
    <col min="8449" max="8449" width="3.5703125" style="112" customWidth="1"/>
    <col min="8450" max="8450" width="13.85546875" style="112" customWidth="1"/>
    <col min="8451" max="8451" width="15.5703125" style="112" customWidth="1"/>
    <col min="8452" max="8452" width="15.7109375" style="112" customWidth="1"/>
    <col min="8453" max="8453" width="15.42578125" style="112" customWidth="1"/>
    <col min="8454" max="8454" width="14" style="112" customWidth="1"/>
    <col min="8455" max="8456" width="13.85546875" style="112" customWidth="1"/>
    <col min="8457" max="8457" width="12.42578125" style="112" customWidth="1"/>
    <col min="8458" max="8458" width="13.85546875" style="112" customWidth="1"/>
    <col min="8459" max="8459" width="16.7109375" style="112" customWidth="1"/>
    <col min="8460" max="8461" width="14.28515625" style="112" customWidth="1"/>
    <col min="8462" max="8462" width="14" style="112" customWidth="1"/>
    <col min="8463" max="8463" width="15.28515625" style="112" customWidth="1"/>
    <col min="8464" max="8464" width="15.5703125" style="112" customWidth="1"/>
    <col min="8465" max="8465" width="15.140625" style="112" customWidth="1"/>
    <col min="8466" max="8466" width="13.5703125" style="112" customWidth="1"/>
    <col min="8467" max="8468" width="14" style="112" customWidth="1"/>
    <col min="8469" max="8470" width="14.140625" style="112" customWidth="1"/>
    <col min="8471" max="8471" width="14.28515625" style="112" customWidth="1"/>
    <col min="8472" max="8472" width="12.140625" style="112" customWidth="1"/>
    <col min="8473" max="8473" width="14.5703125" style="112" customWidth="1"/>
    <col min="8474" max="8474" width="14.7109375" style="112" customWidth="1"/>
    <col min="8475" max="8475" width="13" style="112" customWidth="1"/>
    <col min="8476" max="8476" width="14.5703125" style="112" customWidth="1"/>
    <col min="8477" max="8477" width="12.28515625" style="112" customWidth="1"/>
    <col min="8478" max="8478" width="15.28515625" style="112" customWidth="1"/>
    <col min="8479" max="8479" width="12.85546875" style="112" customWidth="1"/>
    <col min="8480" max="8480" width="13.85546875" style="112" customWidth="1"/>
    <col min="8481" max="8481" width="14.5703125" style="112" customWidth="1"/>
    <col min="8482" max="8483" width="14.28515625" style="112" customWidth="1"/>
    <col min="8484" max="8484" width="14.5703125" style="112" customWidth="1"/>
    <col min="8485" max="8485" width="14.28515625" style="112" customWidth="1"/>
    <col min="8486" max="8486" width="12.5703125" style="112" customWidth="1"/>
    <col min="8487" max="8487" width="11" style="112" customWidth="1"/>
    <col min="8488" max="8704" width="9.140625" style="112"/>
    <col min="8705" max="8705" width="3.5703125" style="112" customWidth="1"/>
    <col min="8706" max="8706" width="13.85546875" style="112" customWidth="1"/>
    <col min="8707" max="8707" width="15.5703125" style="112" customWidth="1"/>
    <col min="8708" max="8708" width="15.7109375" style="112" customWidth="1"/>
    <col min="8709" max="8709" width="15.42578125" style="112" customWidth="1"/>
    <col min="8710" max="8710" width="14" style="112" customWidth="1"/>
    <col min="8711" max="8712" width="13.85546875" style="112" customWidth="1"/>
    <col min="8713" max="8713" width="12.42578125" style="112" customWidth="1"/>
    <col min="8714" max="8714" width="13.85546875" style="112" customWidth="1"/>
    <col min="8715" max="8715" width="16.7109375" style="112" customWidth="1"/>
    <col min="8716" max="8717" width="14.28515625" style="112" customWidth="1"/>
    <col min="8718" max="8718" width="14" style="112" customWidth="1"/>
    <col min="8719" max="8719" width="15.28515625" style="112" customWidth="1"/>
    <col min="8720" max="8720" width="15.5703125" style="112" customWidth="1"/>
    <col min="8721" max="8721" width="15.140625" style="112" customWidth="1"/>
    <col min="8722" max="8722" width="13.5703125" style="112" customWidth="1"/>
    <col min="8723" max="8724" width="14" style="112" customWidth="1"/>
    <col min="8725" max="8726" width="14.140625" style="112" customWidth="1"/>
    <col min="8727" max="8727" width="14.28515625" style="112" customWidth="1"/>
    <col min="8728" max="8728" width="12.140625" style="112" customWidth="1"/>
    <col min="8729" max="8729" width="14.5703125" style="112" customWidth="1"/>
    <col min="8730" max="8730" width="14.7109375" style="112" customWidth="1"/>
    <col min="8731" max="8731" width="13" style="112" customWidth="1"/>
    <col min="8732" max="8732" width="14.5703125" style="112" customWidth="1"/>
    <col min="8733" max="8733" width="12.28515625" style="112" customWidth="1"/>
    <col min="8734" max="8734" width="15.28515625" style="112" customWidth="1"/>
    <col min="8735" max="8735" width="12.85546875" style="112" customWidth="1"/>
    <col min="8736" max="8736" width="13.85546875" style="112" customWidth="1"/>
    <col min="8737" max="8737" width="14.5703125" style="112" customWidth="1"/>
    <col min="8738" max="8739" width="14.28515625" style="112" customWidth="1"/>
    <col min="8740" max="8740" width="14.5703125" style="112" customWidth="1"/>
    <col min="8741" max="8741" width="14.28515625" style="112" customWidth="1"/>
    <col min="8742" max="8742" width="12.5703125" style="112" customWidth="1"/>
    <col min="8743" max="8743" width="11" style="112" customWidth="1"/>
    <col min="8744" max="8960" width="9.140625" style="112"/>
    <col min="8961" max="8961" width="3.5703125" style="112" customWidth="1"/>
    <col min="8962" max="8962" width="13.85546875" style="112" customWidth="1"/>
    <col min="8963" max="8963" width="15.5703125" style="112" customWidth="1"/>
    <col min="8964" max="8964" width="15.7109375" style="112" customWidth="1"/>
    <col min="8965" max="8965" width="15.42578125" style="112" customWidth="1"/>
    <col min="8966" max="8966" width="14" style="112" customWidth="1"/>
    <col min="8967" max="8968" width="13.85546875" style="112" customWidth="1"/>
    <col min="8969" max="8969" width="12.42578125" style="112" customWidth="1"/>
    <col min="8970" max="8970" width="13.85546875" style="112" customWidth="1"/>
    <col min="8971" max="8971" width="16.7109375" style="112" customWidth="1"/>
    <col min="8972" max="8973" width="14.28515625" style="112" customWidth="1"/>
    <col min="8974" max="8974" width="14" style="112" customWidth="1"/>
    <col min="8975" max="8975" width="15.28515625" style="112" customWidth="1"/>
    <col min="8976" max="8976" width="15.5703125" style="112" customWidth="1"/>
    <col min="8977" max="8977" width="15.140625" style="112" customWidth="1"/>
    <col min="8978" max="8978" width="13.5703125" style="112" customWidth="1"/>
    <col min="8979" max="8980" width="14" style="112" customWidth="1"/>
    <col min="8981" max="8982" width="14.140625" style="112" customWidth="1"/>
    <col min="8983" max="8983" width="14.28515625" style="112" customWidth="1"/>
    <col min="8984" max="8984" width="12.140625" style="112" customWidth="1"/>
    <col min="8985" max="8985" width="14.5703125" style="112" customWidth="1"/>
    <col min="8986" max="8986" width="14.7109375" style="112" customWidth="1"/>
    <col min="8987" max="8987" width="13" style="112" customWidth="1"/>
    <col min="8988" max="8988" width="14.5703125" style="112" customWidth="1"/>
    <col min="8989" max="8989" width="12.28515625" style="112" customWidth="1"/>
    <col min="8990" max="8990" width="15.28515625" style="112" customWidth="1"/>
    <col min="8991" max="8991" width="12.85546875" style="112" customWidth="1"/>
    <col min="8992" max="8992" width="13.85546875" style="112" customWidth="1"/>
    <col min="8993" max="8993" width="14.5703125" style="112" customWidth="1"/>
    <col min="8994" max="8995" width="14.28515625" style="112" customWidth="1"/>
    <col min="8996" max="8996" width="14.5703125" style="112" customWidth="1"/>
    <col min="8997" max="8997" width="14.28515625" style="112" customWidth="1"/>
    <col min="8998" max="8998" width="12.5703125" style="112" customWidth="1"/>
    <col min="8999" max="8999" width="11" style="112" customWidth="1"/>
    <col min="9000" max="9216" width="9.140625" style="112"/>
    <col min="9217" max="9217" width="3.5703125" style="112" customWidth="1"/>
    <col min="9218" max="9218" width="13.85546875" style="112" customWidth="1"/>
    <col min="9219" max="9219" width="15.5703125" style="112" customWidth="1"/>
    <col min="9220" max="9220" width="15.7109375" style="112" customWidth="1"/>
    <col min="9221" max="9221" width="15.42578125" style="112" customWidth="1"/>
    <col min="9222" max="9222" width="14" style="112" customWidth="1"/>
    <col min="9223" max="9224" width="13.85546875" style="112" customWidth="1"/>
    <col min="9225" max="9225" width="12.42578125" style="112" customWidth="1"/>
    <col min="9226" max="9226" width="13.85546875" style="112" customWidth="1"/>
    <col min="9227" max="9227" width="16.7109375" style="112" customWidth="1"/>
    <col min="9228" max="9229" width="14.28515625" style="112" customWidth="1"/>
    <col min="9230" max="9230" width="14" style="112" customWidth="1"/>
    <col min="9231" max="9231" width="15.28515625" style="112" customWidth="1"/>
    <col min="9232" max="9232" width="15.5703125" style="112" customWidth="1"/>
    <col min="9233" max="9233" width="15.140625" style="112" customWidth="1"/>
    <col min="9234" max="9234" width="13.5703125" style="112" customWidth="1"/>
    <col min="9235" max="9236" width="14" style="112" customWidth="1"/>
    <col min="9237" max="9238" width="14.140625" style="112" customWidth="1"/>
    <col min="9239" max="9239" width="14.28515625" style="112" customWidth="1"/>
    <col min="9240" max="9240" width="12.140625" style="112" customWidth="1"/>
    <col min="9241" max="9241" width="14.5703125" style="112" customWidth="1"/>
    <col min="9242" max="9242" width="14.7109375" style="112" customWidth="1"/>
    <col min="9243" max="9243" width="13" style="112" customWidth="1"/>
    <col min="9244" max="9244" width="14.5703125" style="112" customWidth="1"/>
    <col min="9245" max="9245" width="12.28515625" style="112" customWidth="1"/>
    <col min="9246" max="9246" width="15.28515625" style="112" customWidth="1"/>
    <col min="9247" max="9247" width="12.85546875" style="112" customWidth="1"/>
    <col min="9248" max="9248" width="13.85546875" style="112" customWidth="1"/>
    <col min="9249" max="9249" width="14.5703125" style="112" customWidth="1"/>
    <col min="9250" max="9251" width="14.28515625" style="112" customWidth="1"/>
    <col min="9252" max="9252" width="14.5703125" style="112" customWidth="1"/>
    <col min="9253" max="9253" width="14.28515625" style="112" customWidth="1"/>
    <col min="9254" max="9254" width="12.5703125" style="112" customWidth="1"/>
    <col min="9255" max="9255" width="11" style="112" customWidth="1"/>
    <col min="9256" max="9472" width="9.140625" style="112"/>
    <col min="9473" max="9473" width="3.5703125" style="112" customWidth="1"/>
    <col min="9474" max="9474" width="13.85546875" style="112" customWidth="1"/>
    <col min="9475" max="9475" width="15.5703125" style="112" customWidth="1"/>
    <col min="9476" max="9476" width="15.7109375" style="112" customWidth="1"/>
    <col min="9477" max="9477" width="15.42578125" style="112" customWidth="1"/>
    <col min="9478" max="9478" width="14" style="112" customWidth="1"/>
    <col min="9479" max="9480" width="13.85546875" style="112" customWidth="1"/>
    <col min="9481" max="9481" width="12.42578125" style="112" customWidth="1"/>
    <col min="9482" max="9482" width="13.85546875" style="112" customWidth="1"/>
    <col min="9483" max="9483" width="16.7109375" style="112" customWidth="1"/>
    <col min="9484" max="9485" width="14.28515625" style="112" customWidth="1"/>
    <col min="9486" max="9486" width="14" style="112" customWidth="1"/>
    <col min="9487" max="9487" width="15.28515625" style="112" customWidth="1"/>
    <col min="9488" max="9488" width="15.5703125" style="112" customWidth="1"/>
    <col min="9489" max="9489" width="15.140625" style="112" customWidth="1"/>
    <col min="9490" max="9490" width="13.5703125" style="112" customWidth="1"/>
    <col min="9491" max="9492" width="14" style="112" customWidth="1"/>
    <col min="9493" max="9494" width="14.140625" style="112" customWidth="1"/>
    <col min="9495" max="9495" width="14.28515625" style="112" customWidth="1"/>
    <col min="9496" max="9496" width="12.140625" style="112" customWidth="1"/>
    <col min="9497" max="9497" width="14.5703125" style="112" customWidth="1"/>
    <col min="9498" max="9498" width="14.7109375" style="112" customWidth="1"/>
    <col min="9499" max="9499" width="13" style="112" customWidth="1"/>
    <col min="9500" max="9500" width="14.5703125" style="112" customWidth="1"/>
    <col min="9501" max="9501" width="12.28515625" style="112" customWidth="1"/>
    <col min="9502" max="9502" width="15.28515625" style="112" customWidth="1"/>
    <col min="9503" max="9503" width="12.85546875" style="112" customWidth="1"/>
    <col min="9504" max="9504" width="13.85546875" style="112" customWidth="1"/>
    <col min="9505" max="9505" width="14.5703125" style="112" customWidth="1"/>
    <col min="9506" max="9507" width="14.28515625" style="112" customWidth="1"/>
    <col min="9508" max="9508" width="14.5703125" style="112" customWidth="1"/>
    <col min="9509" max="9509" width="14.28515625" style="112" customWidth="1"/>
    <col min="9510" max="9510" width="12.5703125" style="112" customWidth="1"/>
    <col min="9511" max="9511" width="11" style="112" customWidth="1"/>
    <col min="9512" max="9728" width="9.140625" style="112"/>
    <col min="9729" max="9729" width="3.5703125" style="112" customWidth="1"/>
    <col min="9730" max="9730" width="13.85546875" style="112" customWidth="1"/>
    <col min="9731" max="9731" width="15.5703125" style="112" customWidth="1"/>
    <col min="9732" max="9732" width="15.7109375" style="112" customWidth="1"/>
    <col min="9733" max="9733" width="15.42578125" style="112" customWidth="1"/>
    <col min="9734" max="9734" width="14" style="112" customWidth="1"/>
    <col min="9735" max="9736" width="13.85546875" style="112" customWidth="1"/>
    <col min="9737" max="9737" width="12.42578125" style="112" customWidth="1"/>
    <col min="9738" max="9738" width="13.85546875" style="112" customWidth="1"/>
    <col min="9739" max="9739" width="16.7109375" style="112" customWidth="1"/>
    <col min="9740" max="9741" width="14.28515625" style="112" customWidth="1"/>
    <col min="9742" max="9742" width="14" style="112" customWidth="1"/>
    <col min="9743" max="9743" width="15.28515625" style="112" customWidth="1"/>
    <col min="9744" max="9744" width="15.5703125" style="112" customWidth="1"/>
    <col min="9745" max="9745" width="15.140625" style="112" customWidth="1"/>
    <col min="9746" max="9746" width="13.5703125" style="112" customWidth="1"/>
    <col min="9747" max="9748" width="14" style="112" customWidth="1"/>
    <col min="9749" max="9750" width="14.140625" style="112" customWidth="1"/>
    <col min="9751" max="9751" width="14.28515625" style="112" customWidth="1"/>
    <col min="9752" max="9752" width="12.140625" style="112" customWidth="1"/>
    <col min="9753" max="9753" width="14.5703125" style="112" customWidth="1"/>
    <col min="9754" max="9754" width="14.7109375" style="112" customWidth="1"/>
    <col min="9755" max="9755" width="13" style="112" customWidth="1"/>
    <col min="9756" max="9756" width="14.5703125" style="112" customWidth="1"/>
    <col min="9757" max="9757" width="12.28515625" style="112" customWidth="1"/>
    <col min="9758" max="9758" width="15.28515625" style="112" customWidth="1"/>
    <col min="9759" max="9759" width="12.85546875" style="112" customWidth="1"/>
    <col min="9760" max="9760" width="13.85546875" style="112" customWidth="1"/>
    <col min="9761" max="9761" width="14.5703125" style="112" customWidth="1"/>
    <col min="9762" max="9763" width="14.28515625" style="112" customWidth="1"/>
    <col min="9764" max="9764" width="14.5703125" style="112" customWidth="1"/>
    <col min="9765" max="9765" width="14.28515625" style="112" customWidth="1"/>
    <col min="9766" max="9766" width="12.5703125" style="112" customWidth="1"/>
    <col min="9767" max="9767" width="11" style="112" customWidth="1"/>
    <col min="9768" max="9984" width="9.140625" style="112"/>
    <col min="9985" max="9985" width="3.5703125" style="112" customWidth="1"/>
    <col min="9986" max="9986" width="13.85546875" style="112" customWidth="1"/>
    <col min="9987" max="9987" width="15.5703125" style="112" customWidth="1"/>
    <col min="9988" max="9988" width="15.7109375" style="112" customWidth="1"/>
    <col min="9989" max="9989" width="15.42578125" style="112" customWidth="1"/>
    <col min="9990" max="9990" width="14" style="112" customWidth="1"/>
    <col min="9991" max="9992" width="13.85546875" style="112" customWidth="1"/>
    <col min="9993" max="9993" width="12.42578125" style="112" customWidth="1"/>
    <col min="9994" max="9994" width="13.85546875" style="112" customWidth="1"/>
    <col min="9995" max="9995" width="16.7109375" style="112" customWidth="1"/>
    <col min="9996" max="9997" width="14.28515625" style="112" customWidth="1"/>
    <col min="9998" max="9998" width="14" style="112" customWidth="1"/>
    <col min="9999" max="9999" width="15.28515625" style="112" customWidth="1"/>
    <col min="10000" max="10000" width="15.5703125" style="112" customWidth="1"/>
    <col min="10001" max="10001" width="15.140625" style="112" customWidth="1"/>
    <col min="10002" max="10002" width="13.5703125" style="112" customWidth="1"/>
    <col min="10003" max="10004" width="14" style="112" customWidth="1"/>
    <col min="10005" max="10006" width="14.140625" style="112" customWidth="1"/>
    <col min="10007" max="10007" width="14.28515625" style="112" customWidth="1"/>
    <col min="10008" max="10008" width="12.140625" style="112" customWidth="1"/>
    <col min="10009" max="10009" width="14.5703125" style="112" customWidth="1"/>
    <col min="10010" max="10010" width="14.7109375" style="112" customWidth="1"/>
    <col min="10011" max="10011" width="13" style="112" customWidth="1"/>
    <col min="10012" max="10012" width="14.5703125" style="112" customWidth="1"/>
    <col min="10013" max="10013" width="12.28515625" style="112" customWidth="1"/>
    <col min="10014" max="10014" width="15.28515625" style="112" customWidth="1"/>
    <col min="10015" max="10015" width="12.85546875" style="112" customWidth="1"/>
    <col min="10016" max="10016" width="13.85546875" style="112" customWidth="1"/>
    <col min="10017" max="10017" width="14.5703125" style="112" customWidth="1"/>
    <col min="10018" max="10019" width="14.28515625" style="112" customWidth="1"/>
    <col min="10020" max="10020" width="14.5703125" style="112" customWidth="1"/>
    <col min="10021" max="10021" width="14.28515625" style="112" customWidth="1"/>
    <col min="10022" max="10022" width="12.5703125" style="112" customWidth="1"/>
    <col min="10023" max="10023" width="11" style="112" customWidth="1"/>
    <col min="10024" max="10240" width="9.140625" style="112"/>
    <col min="10241" max="10241" width="3.5703125" style="112" customWidth="1"/>
    <col min="10242" max="10242" width="13.85546875" style="112" customWidth="1"/>
    <col min="10243" max="10243" width="15.5703125" style="112" customWidth="1"/>
    <col min="10244" max="10244" width="15.7109375" style="112" customWidth="1"/>
    <col min="10245" max="10245" width="15.42578125" style="112" customWidth="1"/>
    <col min="10246" max="10246" width="14" style="112" customWidth="1"/>
    <col min="10247" max="10248" width="13.85546875" style="112" customWidth="1"/>
    <col min="10249" max="10249" width="12.42578125" style="112" customWidth="1"/>
    <col min="10250" max="10250" width="13.85546875" style="112" customWidth="1"/>
    <col min="10251" max="10251" width="16.7109375" style="112" customWidth="1"/>
    <col min="10252" max="10253" width="14.28515625" style="112" customWidth="1"/>
    <col min="10254" max="10254" width="14" style="112" customWidth="1"/>
    <col min="10255" max="10255" width="15.28515625" style="112" customWidth="1"/>
    <col min="10256" max="10256" width="15.5703125" style="112" customWidth="1"/>
    <col min="10257" max="10257" width="15.140625" style="112" customWidth="1"/>
    <col min="10258" max="10258" width="13.5703125" style="112" customWidth="1"/>
    <col min="10259" max="10260" width="14" style="112" customWidth="1"/>
    <col min="10261" max="10262" width="14.140625" style="112" customWidth="1"/>
    <col min="10263" max="10263" width="14.28515625" style="112" customWidth="1"/>
    <col min="10264" max="10264" width="12.140625" style="112" customWidth="1"/>
    <col min="10265" max="10265" width="14.5703125" style="112" customWidth="1"/>
    <col min="10266" max="10266" width="14.7109375" style="112" customWidth="1"/>
    <col min="10267" max="10267" width="13" style="112" customWidth="1"/>
    <col min="10268" max="10268" width="14.5703125" style="112" customWidth="1"/>
    <col min="10269" max="10269" width="12.28515625" style="112" customWidth="1"/>
    <col min="10270" max="10270" width="15.28515625" style="112" customWidth="1"/>
    <col min="10271" max="10271" width="12.85546875" style="112" customWidth="1"/>
    <col min="10272" max="10272" width="13.85546875" style="112" customWidth="1"/>
    <col min="10273" max="10273" width="14.5703125" style="112" customWidth="1"/>
    <col min="10274" max="10275" width="14.28515625" style="112" customWidth="1"/>
    <col min="10276" max="10276" width="14.5703125" style="112" customWidth="1"/>
    <col min="10277" max="10277" width="14.28515625" style="112" customWidth="1"/>
    <col min="10278" max="10278" width="12.5703125" style="112" customWidth="1"/>
    <col min="10279" max="10279" width="11" style="112" customWidth="1"/>
    <col min="10280" max="10496" width="9.140625" style="112"/>
    <col min="10497" max="10497" width="3.5703125" style="112" customWidth="1"/>
    <col min="10498" max="10498" width="13.85546875" style="112" customWidth="1"/>
    <col min="10499" max="10499" width="15.5703125" style="112" customWidth="1"/>
    <col min="10500" max="10500" width="15.7109375" style="112" customWidth="1"/>
    <col min="10501" max="10501" width="15.42578125" style="112" customWidth="1"/>
    <col min="10502" max="10502" width="14" style="112" customWidth="1"/>
    <col min="10503" max="10504" width="13.85546875" style="112" customWidth="1"/>
    <col min="10505" max="10505" width="12.42578125" style="112" customWidth="1"/>
    <col min="10506" max="10506" width="13.85546875" style="112" customWidth="1"/>
    <col min="10507" max="10507" width="16.7109375" style="112" customWidth="1"/>
    <col min="10508" max="10509" width="14.28515625" style="112" customWidth="1"/>
    <col min="10510" max="10510" width="14" style="112" customWidth="1"/>
    <col min="10511" max="10511" width="15.28515625" style="112" customWidth="1"/>
    <col min="10512" max="10512" width="15.5703125" style="112" customWidth="1"/>
    <col min="10513" max="10513" width="15.140625" style="112" customWidth="1"/>
    <col min="10514" max="10514" width="13.5703125" style="112" customWidth="1"/>
    <col min="10515" max="10516" width="14" style="112" customWidth="1"/>
    <col min="10517" max="10518" width="14.140625" style="112" customWidth="1"/>
    <col min="10519" max="10519" width="14.28515625" style="112" customWidth="1"/>
    <col min="10520" max="10520" width="12.140625" style="112" customWidth="1"/>
    <col min="10521" max="10521" width="14.5703125" style="112" customWidth="1"/>
    <col min="10522" max="10522" width="14.7109375" style="112" customWidth="1"/>
    <col min="10523" max="10523" width="13" style="112" customWidth="1"/>
    <col min="10524" max="10524" width="14.5703125" style="112" customWidth="1"/>
    <col min="10525" max="10525" width="12.28515625" style="112" customWidth="1"/>
    <col min="10526" max="10526" width="15.28515625" style="112" customWidth="1"/>
    <col min="10527" max="10527" width="12.85546875" style="112" customWidth="1"/>
    <col min="10528" max="10528" width="13.85546875" style="112" customWidth="1"/>
    <col min="10529" max="10529" width="14.5703125" style="112" customWidth="1"/>
    <col min="10530" max="10531" width="14.28515625" style="112" customWidth="1"/>
    <col min="10532" max="10532" width="14.5703125" style="112" customWidth="1"/>
    <col min="10533" max="10533" width="14.28515625" style="112" customWidth="1"/>
    <col min="10534" max="10534" width="12.5703125" style="112" customWidth="1"/>
    <col min="10535" max="10535" width="11" style="112" customWidth="1"/>
    <col min="10536" max="10752" width="9.140625" style="112"/>
    <col min="10753" max="10753" width="3.5703125" style="112" customWidth="1"/>
    <col min="10754" max="10754" width="13.85546875" style="112" customWidth="1"/>
    <col min="10755" max="10755" width="15.5703125" style="112" customWidth="1"/>
    <col min="10756" max="10756" width="15.7109375" style="112" customWidth="1"/>
    <col min="10757" max="10757" width="15.42578125" style="112" customWidth="1"/>
    <col min="10758" max="10758" width="14" style="112" customWidth="1"/>
    <col min="10759" max="10760" width="13.85546875" style="112" customWidth="1"/>
    <col min="10761" max="10761" width="12.42578125" style="112" customWidth="1"/>
    <col min="10762" max="10762" width="13.85546875" style="112" customWidth="1"/>
    <col min="10763" max="10763" width="16.7109375" style="112" customWidth="1"/>
    <col min="10764" max="10765" width="14.28515625" style="112" customWidth="1"/>
    <col min="10766" max="10766" width="14" style="112" customWidth="1"/>
    <col min="10767" max="10767" width="15.28515625" style="112" customWidth="1"/>
    <col min="10768" max="10768" width="15.5703125" style="112" customWidth="1"/>
    <col min="10769" max="10769" width="15.140625" style="112" customWidth="1"/>
    <col min="10770" max="10770" width="13.5703125" style="112" customWidth="1"/>
    <col min="10771" max="10772" width="14" style="112" customWidth="1"/>
    <col min="10773" max="10774" width="14.140625" style="112" customWidth="1"/>
    <col min="10775" max="10775" width="14.28515625" style="112" customWidth="1"/>
    <col min="10776" max="10776" width="12.140625" style="112" customWidth="1"/>
    <col min="10777" max="10777" width="14.5703125" style="112" customWidth="1"/>
    <col min="10778" max="10778" width="14.7109375" style="112" customWidth="1"/>
    <col min="10779" max="10779" width="13" style="112" customWidth="1"/>
    <col min="10780" max="10780" width="14.5703125" style="112" customWidth="1"/>
    <col min="10781" max="10781" width="12.28515625" style="112" customWidth="1"/>
    <col min="10782" max="10782" width="15.28515625" style="112" customWidth="1"/>
    <col min="10783" max="10783" width="12.85546875" style="112" customWidth="1"/>
    <col min="10784" max="10784" width="13.85546875" style="112" customWidth="1"/>
    <col min="10785" max="10785" width="14.5703125" style="112" customWidth="1"/>
    <col min="10786" max="10787" width="14.28515625" style="112" customWidth="1"/>
    <col min="10788" max="10788" width="14.5703125" style="112" customWidth="1"/>
    <col min="10789" max="10789" width="14.28515625" style="112" customWidth="1"/>
    <col min="10790" max="10790" width="12.5703125" style="112" customWidth="1"/>
    <col min="10791" max="10791" width="11" style="112" customWidth="1"/>
    <col min="10792" max="11008" width="9.140625" style="112"/>
    <col min="11009" max="11009" width="3.5703125" style="112" customWidth="1"/>
    <col min="11010" max="11010" width="13.85546875" style="112" customWidth="1"/>
    <col min="11011" max="11011" width="15.5703125" style="112" customWidth="1"/>
    <col min="11012" max="11012" width="15.7109375" style="112" customWidth="1"/>
    <col min="11013" max="11013" width="15.42578125" style="112" customWidth="1"/>
    <col min="11014" max="11014" width="14" style="112" customWidth="1"/>
    <col min="11015" max="11016" width="13.85546875" style="112" customWidth="1"/>
    <col min="11017" max="11017" width="12.42578125" style="112" customWidth="1"/>
    <col min="11018" max="11018" width="13.85546875" style="112" customWidth="1"/>
    <col min="11019" max="11019" width="16.7109375" style="112" customWidth="1"/>
    <col min="11020" max="11021" width="14.28515625" style="112" customWidth="1"/>
    <col min="11022" max="11022" width="14" style="112" customWidth="1"/>
    <col min="11023" max="11023" width="15.28515625" style="112" customWidth="1"/>
    <col min="11024" max="11024" width="15.5703125" style="112" customWidth="1"/>
    <col min="11025" max="11025" width="15.140625" style="112" customWidth="1"/>
    <col min="11026" max="11026" width="13.5703125" style="112" customWidth="1"/>
    <col min="11027" max="11028" width="14" style="112" customWidth="1"/>
    <col min="11029" max="11030" width="14.140625" style="112" customWidth="1"/>
    <col min="11031" max="11031" width="14.28515625" style="112" customWidth="1"/>
    <col min="11032" max="11032" width="12.140625" style="112" customWidth="1"/>
    <col min="11033" max="11033" width="14.5703125" style="112" customWidth="1"/>
    <col min="11034" max="11034" width="14.7109375" style="112" customWidth="1"/>
    <col min="11035" max="11035" width="13" style="112" customWidth="1"/>
    <col min="11036" max="11036" width="14.5703125" style="112" customWidth="1"/>
    <col min="11037" max="11037" width="12.28515625" style="112" customWidth="1"/>
    <col min="11038" max="11038" width="15.28515625" style="112" customWidth="1"/>
    <col min="11039" max="11039" width="12.85546875" style="112" customWidth="1"/>
    <col min="11040" max="11040" width="13.85546875" style="112" customWidth="1"/>
    <col min="11041" max="11041" width="14.5703125" style="112" customWidth="1"/>
    <col min="11042" max="11043" width="14.28515625" style="112" customWidth="1"/>
    <col min="11044" max="11044" width="14.5703125" style="112" customWidth="1"/>
    <col min="11045" max="11045" width="14.28515625" style="112" customWidth="1"/>
    <col min="11046" max="11046" width="12.5703125" style="112" customWidth="1"/>
    <col min="11047" max="11047" width="11" style="112" customWidth="1"/>
    <col min="11048" max="11264" width="9.140625" style="112"/>
    <col min="11265" max="11265" width="3.5703125" style="112" customWidth="1"/>
    <col min="11266" max="11266" width="13.85546875" style="112" customWidth="1"/>
    <col min="11267" max="11267" width="15.5703125" style="112" customWidth="1"/>
    <col min="11268" max="11268" width="15.7109375" style="112" customWidth="1"/>
    <col min="11269" max="11269" width="15.42578125" style="112" customWidth="1"/>
    <col min="11270" max="11270" width="14" style="112" customWidth="1"/>
    <col min="11271" max="11272" width="13.85546875" style="112" customWidth="1"/>
    <col min="11273" max="11273" width="12.42578125" style="112" customWidth="1"/>
    <col min="11274" max="11274" width="13.85546875" style="112" customWidth="1"/>
    <col min="11275" max="11275" width="16.7109375" style="112" customWidth="1"/>
    <col min="11276" max="11277" width="14.28515625" style="112" customWidth="1"/>
    <col min="11278" max="11278" width="14" style="112" customWidth="1"/>
    <col min="11279" max="11279" width="15.28515625" style="112" customWidth="1"/>
    <col min="11280" max="11280" width="15.5703125" style="112" customWidth="1"/>
    <col min="11281" max="11281" width="15.140625" style="112" customWidth="1"/>
    <col min="11282" max="11282" width="13.5703125" style="112" customWidth="1"/>
    <col min="11283" max="11284" width="14" style="112" customWidth="1"/>
    <col min="11285" max="11286" width="14.140625" style="112" customWidth="1"/>
    <col min="11287" max="11287" width="14.28515625" style="112" customWidth="1"/>
    <col min="11288" max="11288" width="12.140625" style="112" customWidth="1"/>
    <col min="11289" max="11289" width="14.5703125" style="112" customWidth="1"/>
    <col min="11290" max="11290" width="14.7109375" style="112" customWidth="1"/>
    <col min="11291" max="11291" width="13" style="112" customWidth="1"/>
    <col min="11292" max="11292" width="14.5703125" style="112" customWidth="1"/>
    <col min="11293" max="11293" width="12.28515625" style="112" customWidth="1"/>
    <col min="11294" max="11294" width="15.28515625" style="112" customWidth="1"/>
    <col min="11295" max="11295" width="12.85546875" style="112" customWidth="1"/>
    <col min="11296" max="11296" width="13.85546875" style="112" customWidth="1"/>
    <col min="11297" max="11297" width="14.5703125" style="112" customWidth="1"/>
    <col min="11298" max="11299" width="14.28515625" style="112" customWidth="1"/>
    <col min="11300" max="11300" width="14.5703125" style="112" customWidth="1"/>
    <col min="11301" max="11301" width="14.28515625" style="112" customWidth="1"/>
    <col min="11302" max="11302" width="12.5703125" style="112" customWidth="1"/>
    <col min="11303" max="11303" width="11" style="112" customWidth="1"/>
    <col min="11304" max="11520" width="9.140625" style="112"/>
    <col min="11521" max="11521" width="3.5703125" style="112" customWidth="1"/>
    <col min="11522" max="11522" width="13.85546875" style="112" customWidth="1"/>
    <col min="11523" max="11523" width="15.5703125" style="112" customWidth="1"/>
    <col min="11524" max="11524" width="15.7109375" style="112" customWidth="1"/>
    <col min="11525" max="11525" width="15.42578125" style="112" customWidth="1"/>
    <col min="11526" max="11526" width="14" style="112" customWidth="1"/>
    <col min="11527" max="11528" width="13.85546875" style="112" customWidth="1"/>
    <col min="11529" max="11529" width="12.42578125" style="112" customWidth="1"/>
    <col min="11530" max="11530" width="13.85546875" style="112" customWidth="1"/>
    <col min="11531" max="11531" width="16.7109375" style="112" customWidth="1"/>
    <col min="11532" max="11533" width="14.28515625" style="112" customWidth="1"/>
    <col min="11534" max="11534" width="14" style="112" customWidth="1"/>
    <col min="11535" max="11535" width="15.28515625" style="112" customWidth="1"/>
    <col min="11536" max="11536" width="15.5703125" style="112" customWidth="1"/>
    <col min="11537" max="11537" width="15.140625" style="112" customWidth="1"/>
    <col min="11538" max="11538" width="13.5703125" style="112" customWidth="1"/>
    <col min="11539" max="11540" width="14" style="112" customWidth="1"/>
    <col min="11541" max="11542" width="14.140625" style="112" customWidth="1"/>
    <col min="11543" max="11543" width="14.28515625" style="112" customWidth="1"/>
    <col min="11544" max="11544" width="12.140625" style="112" customWidth="1"/>
    <col min="11545" max="11545" width="14.5703125" style="112" customWidth="1"/>
    <col min="11546" max="11546" width="14.7109375" style="112" customWidth="1"/>
    <col min="11547" max="11547" width="13" style="112" customWidth="1"/>
    <col min="11548" max="11548" width="14.5703125" style="112" customWidth="1"/>
    <col min="11549" max="11549" width="12.28515625" style="112" customWidth="1"/>
    <col min="11550" max="11550" width="15.28515625" style="112" customWidth="1"/>
    <col min="11551" max="11551" width="12.85546875" style="112" customWidth="1"/>
    <col min="11552" max="11552" width="13.85546875" style="112" customWidth="1"/>
    <col min="11553" max="11553" width="14.5703125" style="112" customWidth="1"/>
    <col min="11554" max="11555" width="14.28515625" style="112" customWidth="1"/>
    <col min="11556" max="11556" width="14.5703125" style="112" customWidth="1"/>
    <col min="11557" max="11557" width="14.28515625" style="112" customWidth="1"/>
    <col min="11558" max="11558" width="12.5703125" style="112" customWidth="1"/>
    <col min="11559" max="11559" width="11" style="112" customWidth="1"/>
    <col min="11560" max="11776" width="9.140625" style="112"/>
    <col min="11777" max="11777" width="3.5703125" style="112" customWidth="1"/>
    <col min="11778" max="11778" width="13.85546875" style="112" customWidth="1"/>
    <col min="11779" max="11779" width="15.5703125" style="112" customWidth="1"/>
    <col min="11780" max="11780" width="15.7109375" style="112" customWidth="1"/>
    <col min="11781" max="11781" width="15.42578125" style="112" customWidth="1"/>
    <col min="11782" max="11782" width="14" style="112" customWidth="1"/>
    <col min="11783" max="11784" width="13.85546875" style="112" customWidth="1"/>
    <col min="11785" max="11785" width="12.42578125" style="112" customWidth="1"/>
    <col min="11786" max="11786" width="13.85546875" style="112" customWidth="1"/>
    <col min="11787" max="11787" width="16.7109375" style="112" customWidth="1"/>
    <col min="11788" max="11789" width="14.28515625" style="112" customWidth="1"/>
    <col min="11790" max="11790" width="14" style="112" customWidth="1"/>
    <col min="11791" max="11791" width="15.28515625" style="112" customWidth="1"/>
    <col min="11792" max="11792" width="15.5703125" style="112" customWidth="1"/>
    <col min="11793" max="11793" width="15.140625" style="112" customWidth="1"/>
    <col min="11794" max="11794" width="13.5703125" style="112" customWidth="1"/>
    <col min="11795" max="11796" width="14" style="112" customWidth="1"/>
    <col min="11797" max="11798" width="14.140625" style="112" customWidth="1"/>
    <col min="11799" max="11799" width="14.28515625" style="112" customWidth="1"/>
    <col min="11800" max="11800" width="12.140625" style="112" customWidth="1"/>
    <col min="11801" max="11801" width="14.5703125" style="112" customWidth="1"/>
    <col min="11802" max="11802" width="14.7109375" style="112" customWidth="1"/>
    <col min="11803" max="11803" width="13" style="112" customWidth="1"/>
    <col min="11804" max="11804" width="14.5703125" style="112" customWidth="1"/>
    <col min="11805" max="11805" width="12.28515625" style="112" customWidth="1"/>
    <col min="11806" max="11806" width="15.28515625" style="112" customWidth="1"/>
    <col min="11807" max="11807" width="12.85546875" style="112" customWidth="1"/>
    <col min="11808" max="11808" width="13.85546875" style="112" customWidth="1"/>
    <col min="11809" max="11809" width="14.5703125" style="112" customWidth="1"/>
    <col min="11810" max="11811" width="14.28515625" style="112" customWidth="1"/>
    <col min="11812" max="11812" width="14.5703125" style="112" customWidth="1"/>
    <col min="11813" max="11813" width="14.28515625" style="112" customWidth="1"/>
    <col min="11814" max="11814" width="12.5703125" style="112" customWidth="1"/>
    <col min="11815" max="11815" width="11" style="112" customWidth="1"/>
    <col min="11816" max="12032" width="9.140625" style="112"/>
    <col min="12033" max="12033" width="3.5703125" style="112" customWidth="1"/>
    <col min="12034" max="12034" width="13.85546875" style="112" customWidth="1"/>
    <col min="12035" max="12035" width="15.5703125" style="112" customWidth="1"/>
    <col min="12036" max="12036" width="15.7109375" style="112" customWidth="1"/>
    <col min="12037" max="12037" width="15.42578125" style="112" customWidth="1"/>
    <col min="12038" max="12038" width="14" style="112" customWidth="1"/>
    <col min="12039" max="12040" width="13.85546875" style="112" customWidth="1"/>
    <col min="12041" max="12041" width="12.42578125" style="112" customWidth="1"/>
    <col min="12042" max="12042" width="13.85546875" style="112" customWidth="1"/>
    <col min="12043" max="12043" width="16.7109375" style="112" customWidth="1"/>
    <col min="12044" max="12045" width="14.28515625" style="112" customWidth="1"/>
    <col min="12046" max="12046" width="14" style="112" customWidth="1"/>
    <col min="12047" max="12047" width="15.28515625" style="112" customWidth="1"/>
    <col min="12048" max="12048" width="15.5703125" style="112" customWidth="1"/>
    <col min="12049" max="12049" width="15.140625" style="112" customWidth="1"/>
    <col min="12050" max="12050" width="13.5703125" style="112" customWidth="1"/>
    <col min="12051" max="12052" width="14" style="112" customWidth="1"/>
    <col min="12053" max="12054" width="14.140625" style="112" customWidth="1"/>
    <col min="12055" max="12055" width="14.28515625" style="112" customWidth="1"/>
    <col min="12056" max="12056" width="12.140625" style="112" customWidth="1"/>
    <col min="12057" max="12057" width="14.5703125" style="112" customWidth="1"/>
    <col min="12058" max="12058" width="14.7109375" style="112" customWidth="1"/>
    <col min="12059" max="12059" width="13" style="112" customWidth="1"/>
    <col min="12060" max="12060" width="14.5703125" style="112" customWidth="1"/>
    <col min="12061" max="12061" width="12.28515625" style="112" customWidth="1"/>
    <col min="12062" max="12062" width="15.28515625" style="112" customWidth="1"/>
    <col min="12063" max="12063" width="12.85546875" style="112" customWidth="1"/>
    <col min="12064" max="12064" width="13.85546875" style="112" customWidth="1"/>
    <col min="12065" max="12065" width="14.5703125" style="112" customWidth="1"/>
    <col min="12066" max="12067" width="14.28515625" style="112" customWidth="1"/>
    <col min="12068" max="12068" width="14.5703125" style="112" customWidth="1"/>
    <col min="12069" max="12069" width="14.28515625" style="112" customWidth="1"/>
    <col min="12070" max="12070" width="12.5703125" style="112" customWidth="1"/>
    <col min="12071" max="12071" width="11" style="112" customWidth="1"/>
    <col min="12072" max="12288" width="9.140625" style="112"/>
    <col min="12289" max="12289" width="3.5703125" style="112" customWidth="1"/>
    <col min="12290" max="12290" width="13.85546875" style="112" customWidth="1"/>
    <col min="12291" max="12291" width="15.5703125" style="112" customWidth="1"/>
    <col min="12292" max="12292" width="15.7109375" style="112" customWidth="1"/>
    <col min="12293" max="12293" width="15.42578125" style="112" customWidth="1"/>
    <col min="12294" max="12294" width="14" style="112" customWidth="1"/>
    <col min="12295" max="12296" width="13.85546875" style="112" customWidth="1"/>
    <col min="12297" max="12297" width="12.42578125" style="112" customWidth="1"/>
    <col min="12298" max="12298" width="13.85546875" style="112" customWidth="1"/>
    <col min="12299" max="12299" width="16.7109375" style="112" customWidth="1"/>
    <col min="12300" max="12301" width="14.28515625" style="112" customWidth="1"/>
    <col min="12302" max="12302" width="14" style="112" customWidth="1"/>
    <col min="12303" max="12303" width="15.28515625" style="112" customWidth="1"/>
    <col min="12304" max="12304" width="15.5703125" style="112" customWidth="1"/>
    <col min="12305" max="12305" width="15.140625" style="112" customWidth="1"/>
    <col min="12306" max="12306" width="13.5703125" style="112" customWidth="1"/>
    <col min="12307" max="12308" width="14" style="112" customWidth="1"/>
    <col min="12309" max="12310" width="14.140625" style="112" customWidth="1"/>
    <col min="12311" max="12311" width="14.28515625" style="112" customWidth="1"/>
    <col min="12312" max="12312" width="12.140625" style="112" customWidth="1"/>
    <col min="12313" max="12313" width="14.5703125" style="112" customWidth="1"/>
    <col min="12314" max="12314" width="14.7109375" style="112" customWidth="1"/>
    <col min="12315" max="12315" width="13" style="112" customWidth="1"/>
    <col min="12316" max="12316" width="14.5703125" style="112" customWidth="1"/>
    <col min="12317" max="12317" width="12.28515625" style="112" customWidth="1"/>
    <col min="12318" max="12318" width="15.28515625" style="112" customWidth="1"/>
    <col min="12319" max="12319" width="12.85546875" style="112" customWidth="1"/>
    <col min="12320" max="12320" width="13.85546875" style="112" customWidth="1"/>
    <col min="12321" max="12321" width="14.5703125" style="112" customWidth="1"/>
    <col min="12322" max="12323" width="14.28515625" style="112" customWidth="1"/>
    <col min="12324" max="12324" width="14.5703125" style="112" customWidth="1"/>
    <col min="12325" max="12325" width="14.28515625" style="112" customWidth="1"/>
    <col min="12326" max="12326" width="12.5703125" style="112" customWidth="1"/>
    <col min="12327" max="12327" width="11" style="112" customWidth="1"/>
    <col min="12328" max="12544" width="9.140625" style="112"/>
    <col min="12545" max="12545" width="3.5703125" style="112" customWidth="1"/>
    <col min="12546" max="12546" width="13.85546875" style="112" customWidth="1"/>
    <col min="12547" max="12547" width="15.5703125" style="112" customWidth="1"/>
    <col min="12548" max="12548" width="15.7109375" style="112" customWidth="1"/>
    <col min="12549" max="12549" width="15.42578125" style="112" customWidth="1"/>
    <col min="12550" max="12550" width="14" style="112" customWidth="1"/>
    <col min="12551" max="12552" width="13.85546875" style="112" customWidth="1"/>
    <col min="12553" max="12553" width="12.42578125" style="112" customWidth="1"/>
    <col min="12554" max="12554" width="13.85546875" style="112" customWidth="1"/>
    <col min="12555" max="12555" width="16.7109375" style="112" customWidth="1"/>
    <col min="12556" max="12557" width="14.28515625" style="112" customWidth="1"/>
    <col min="12558" max="12558" width="14" style="112" customWidth="1"/>
    <col min="12559" max="12559" width="15.28515625" style="112" customWidth="1"/>
    <col min="12560" max="12560" width="15.5703125" style="112" customWidth="1"/>
    <col min="12561" max="12561" width="15.140625" style="112" customWidth="1"/>
    <col min="12562" max="12562" width="13.5703125" style="112" customWidth="1"/>
    <col min="12563" max="12564" width="14" style="112" customWidth="1"/>
    <col min="12565" max="12566" width="14.140625" style="112" customWidth="1"/>
    <col min="12567" max="12567" width="14.28515625" style="112" customWidth="1"/>
    <col min="12568" max="12568" width="12.140625" style="112" customWidth="1"/>
    <col min="12569" max="12569" width="14.5703125" style="112" customWidth="1"/>
    <col min="12570" max="12570" width="14.7109375" style="112" customWidth="1"/>
    <col min="12571" max="12571" width="13" style="112" customWidth="1"/>
    <col min="12572" max="12572" width="14.5703125" style="112" customWidth="1"/>
    <col min="12573" max="12573" width="12.28515625" style="112" customWidth="1"/>
    <col min="12574" max="12574" width="15.28515625" style="112" customWidth="1"/>
    <col min="12575" max="12575" width="12.85546875" style="112" customWidth="1"/>
    <col min="12576" max="12576" width="13.85546875" style="112" customWidth="1"/>
    <col min="12577" max="12577" width="14.5703125" style="112" customWidth="1"/>
    <col min="12578" max="12579" width="14.28515625" style="112" customWidth="1"/>
    <col min="12580" max="12580" width="14.5703125" style="112" customWidth="1"/>
    <col min="12581" max="12581" width="14.28515625" style="112" customWidth="1"/>
    <col min="12582" max="12582" width="12.5703125" style="112" customWidth="1"/>
    <col min="12583" max="12583" width="11" style="112" customWidth="1"/>
    <col min="12584" max="12800" width="9.140625" style="112"/>
    <col min="12801" max="12801" width="3.5703125" style="112" customWidth="1"/>
    <col min="12802" max="12802" width="13.85546875" style="112" customWidth="1"/>
    <col min="12803" max="12803" width="15.5703125" style="112" customWidth="1"/>
    <col min="12804" max="12804" width="15.7109375" style="112" customWidth="1"/>
    <col min="12805" max="12805" width="15.42578125" style="112" customWidth="1"/>
    <col min="12806" max="12806" width="14" style="112" customWidth="1"/>
    <col min="12807" max="12808" width="13.85546875" style="112" customWidth="1"/>
    <col min="12809" max="12809" width="12.42578125" style="112" customWidth="1"/>
    <col min="12810" max="12810" width="13.85546875" style="112" customWidth="1"/>
    <col min="12811" max="12811" width="16.7109375" style="112" customWidth="1"/>
    <col min="12812" max="12813" width="14.28515625" style="112" customWidth="1"/>
    <col min="12814" max="12814" width="14" style="112" customWidth="1"/>
    <col min="12815" max="12815" width="15.28515625" style="112" customWidth="1"/>
    <col min="12816" max="12816" width="15.5703125" style="112" customWidth="1"/>
    <col min="12817" max="12817" width="15.140625" style="112" customWidth="1"/>
    <col min="12818" max="12818" width="13.5703125" style="112" customWidth="1"/>
    <col min="12819" max="12820" width="14" style="112" customWidth="1"/>
    <col min="12821" max="12822" width="14.140625" style="112" customWidth="1"/>
    <col min="12823" max="12823" width="14.28515625" style="112" customWidth="1"/>
    <col min="12824" max="12824" width="12.140625" style="112" customWidth="1"/>
    <col min="12825" max="12825" width="14.5703125" style="112" customWidth="1"/>
    <col min="12826" max="12826" width="14.7109375" style="112" customWidth="1"/>
    <col min="12827" max="12827" width="13" style="112" customWidth="1"/>
    <col min="12828" max="12828" width="14.5703125" style="112" customWidth="1"/>
    <col min="12829" max="12829" width="12.28515625" style="112" customWidth="1"/>
    <col min="12830" max="12830" width="15.28515625" style="112" customWidth="1"/>
    <col min="12831" max="12831" width="12.85546875" style="112" customWidth="1"/>
    <col min="12832" max="12832" width="13.85546875" style="112" customWidth="1"/>
    <col min="12833" max="12833" width="14.5703125" style="112" customWidth="1"/>
    <col min="12834" max="12835" width="14.28515625" style="112" customWidth="1"/>
    <col min="12836" max="12836" width="14.5703125" style="112" customWidth="1"/>
    <col min="12837" max="12837" width="14.28515625" style="112" customWidth="1"/>
    <col min="12838" max="12838" width="12.5703125" style="112" customWidth="1"/>
    <col min="12839" max="12839" width="11" style="112" customWidth="1"/>
    <col min="12840" max="13056" width="9.140625" style="112"/>
    <col min="13057" max="13057" width="3.5703125" style="112" customWidth="1"/>
    <col min="13058" max="13058" width="13.85546875" style="112" customWidth="1"/>
    <col min="13059" max="13059" width="15.5703125" style="112" customWidth="1"/>
    <col min="13060" max="13060" width="15.7109375" style="112" customWidth="1"/>
    <col min="13061" max="13061" width="15.42578125" style="112" customWidth="1"/>
    <col min="13062" max="13062" width="14" style="112" customWidth="1"/>
    <col min="13063" max="13064" width="13.85546875" style="112" customWidth="1"/>
    <col min="13065" max="13065" width="12.42578125" style="112" customWidth="1"/>
    <col min="13066" max="13066" width="13.85546875" style="112" customWidth="1"/>
    <col min="13067" max="13067" width="16.7109375" style="112" customWidth="1"/>
    <col min="13068" max="13069" width="14.28515625" style="112" customWidth="1"/>
    <col min="13070" max="13070" width="14" style="112" customWidth="1"/>
    <col min="13071" max="13071" width="15.28515625" style="112" customWidth="1"/>
    <col min="13072" max="13072" width="15.5703125" style="112" customWidth="1"/>
    <col min="13073" max="13073" width="15.140625" style="112" customWidth="1"/>
    <col min="13074" max="13074" width="13.5703125" style="112" customWidth="1"/>
    <col min="13075" max="13076" width="14" style="112" customWidth="1"/>
    <col min="13077" max="13078" width="14.140625" style="112" customWidth="1"/>
    <col min="13079" max="13079" width="14.28515625" style="112" customWidth="1"/>
    <col min="13080" max="13080" width="12.140625" style="112" customWidth="1"/>
    <col min="13081" max="13081" width="14.5703125" style="112" customWidth="1"/>
    <col min="13082" max="13082" width="14.7109375" style="112" customWidth="1"/>
    <col min="13083" max="13083" width="13" style="112" customWidth="1"/>
    <col min="13084" max="13084" width="14.5703125" style="112" customWidth="1"/>
    <col min="13085" max="13085" width="12.28515625" style="112" customWidth="1"/>
    <col min="13086" max="13086" width="15.28515625" style="112" customWidth="1"/>
    <col min="13087" max="13087" width="12.85546875" style="112" customWidth="1"/>
    <col min="13088" max="13088" width="13.85546875" style="112" customWidth="1"/>
    <col min="13089" max="13089" width="14.5703125" style="112" customWidth="1"/>
    <col min="13090" max="13091" width="14.28515625" style="112" customWidth="1"/>
    <col min="13092" max="13092" width="14.5703125" style="112" customWidth="1"/>
    <col min="13093" max="13093" width="14.28515625" style="112" customWidth="1"/>
    <col min="13094" max="13094" width="12.5703125" style="112" customWidth="1"/>
    <col min="13095" max="13095" width="11" style="112" customWidth="1"/>
    <col min="13096" max="13312" width="9.140625" style="112"/>
    <col min="13313" max="13313" width="3.5703125" style="112" customWidth="1"/>
    <col min="13314" max="13314" width="13.85546875" style="112" customWidth="1"/>
    <col min="13315" max="13315" width="15.5703125" style="112" customWidth="1"/>
    <col min="13316" max="13316" width="15.7109375" style="112" customWidth="1"/>
    <col min="13317" max="13317" width="15.42578125" style="112" customWidth="1"/>
    <col min="13318" max="13318" width="14" style="112" customWidth="1"/>
    <col min="13319" max="13320" width="13.85546875" style="112" customWidth="1"/>
    <col min="13321" max="13321" width="12.42578125" style="112" customWidth="1"/>
    <col min="13322" max="13322" width="13.85546875" style="112" customWidth="1"/>
    <col min="13323" max="13323" width="16.7109375" style="112" customWidth="1"/>
    <col min="13324" max="13325" width="14.28515625" style="112" customWidth="1"/>
    <col min="13326" max="13326" width="14" style="112" customWidth="1"/>
    <col min="13327" max="13327" width="15.28515625" style="112" customWidth="1"/>
    <col min="13328" max="13328" width="15.5703125" style="112" customWidth="1"/>
    <col min="13329" max="13329" width="15.140625" style="112" customWidth="1"/>
    <col min="13330" max="13330" width="13.5703125" style="112" customWidth="1"/>
    <col min="13331" max="13332" width="14" style="112" customWidth="1"/>
    <col min="13333" max="13334" width="14.140625" style="112" customWidth="1"/>
    <col min="13335" max="13335" width="14.28515625" style="112" customWidth="1"/>
    <col min="13336" max="13336" width="12.140625" style="112" customWidth="1"/>
    <col min="13337" max="13337" width="14.5703125" style="112" customWidth="1"/>
    <col min="13338" max="13338" width="14.7109375" style="112" customWidth="1"/>
    <col min="13339" max="13339" width="13" style="112" customWidth="1"/>
    <col min="13340" max="13340" width="14.5703125" style="112" customWidth="1"/>
    <col min="13341" max="13341" width="12.28515625" style="112" customWidth="1"/>
    <col min="13342" max="13342" width="15.28515625" style="112" customWidth="1"/>
    <col min="13343" max="13343" width="12.85546875" style="112" customWidth="1"/>
    <col min="13344" max="13344" width="13.85546875" style="112" customWidth="1"/>
    <col min="13345" max="13345" width="14.5703125" style="112" customWidth="1"/>
    <col min="13346" max="13347" width="14.28515625" style="112" customWidth="1"/>
    <col min="13348" max="13348" width="14.5703125" style="112" customWidth="1"/>
    <col min="13349" max="13349" width="14.28515625" style="112" customWidth="1"/>
    <col min="13350" max="13350" width="12.5703125" style="112" customWidth="1"/>
    <col min="13351" max="13351" width="11" style="112" customWidth="1"/>
    <col min="13352" max="13568" width="9.140625" style="112"/>
    <col min="13569" max="13569" width="3.5703125" style="112" customWidth="1"/>
    <col min="13570" max="13570" width="13.85546875" style="112" customWidth="1"/>
    <col min="13571" max="13571" width="15.5703125" style="112" customWidth="1"/>
    <col min="13572" max="13572" width="15.7109375" style="112" customWidth="1"/>
    <col min="13573" max="13573" width="15.42578125" style="112" customWidth="1"/>
    <col min="13574" max="13574" width="14" style="112" customWidth="1"/>
    <col min="13575" max="13576" width="13.85546875" style="112" customWidth="1"/>
    <col min="13577" max="13577" width="12.42578125" style="112" customWidth="1"/>
    <col min="13578" max="13578" width="13.85546875" style="112" customWidth="1"/>
    <col min="13579" max="13579" width="16.7109375" style="112" customWidth="1"/>
    <col min="13580" max="13581" width="14.28515625" style="112" customWidth="1"/>
    <col min="13582" max="13582" width="14" style="112" customWidth="1"/>
    <col min="13583" max="13583" width="15.28515625" style="112" customWidth="1"/>
    <col min="13584" max="13584" width="15.5703125" style="112" customWidth="1"/>
    <col min="13585" max="13585" width="15.140625" style="112" customWidth="1"/>
    <col min="13586" max="13586" width="13.5703125" style="112" customWidth="1"/>
    <col min="13587" max="13588" width="14" style="112" customWidth="1"/>
    <col min="13589" max="13590" width="14.140625" style="112" customWidth="1"/>
    <col min="13591" max="13591" width="14.28515625" style="112" customWidth="1"/>
    <col min="13592" max="13592" width="12.140625" style="112" customWidth="1"/>
    <col min="13593" max="13593" width="14.5703125" style="112" customWidth="1"/>
    <col min="13594" max="13594" width="14.7109375" style="112" customWidth="1"/>
    <col min="13595" max="13595" width="13" style="112" customWidth="1"/>
    <col min="13596" max="13596" width="14.5703125" style="112" customWidth="1"/>
    <col min="13597" max="13597" width="12.28515625" style="112" customWidth="1"/>
    <col min="13598" max="13598" width="15.28515625" style="112" customWidth="1"/>
    <col min="13599" max="13599" width="12.85546875" style="112" customWidth="1"/>
    <col min="13600" max="13600" width="13.85546875" style="112" customWidth="1"/>
    <col min="13601" max="13601" width="14.5703125" style="112" customWidth="1"/>
    <col min="13602" max="13603" width="14.28515625" style="112" customWidth="1"/>
    <col min="13604" max="13604" width="14.5703125" style="112" customWidth="1"/>
    <col min="13605" max="13605" width="14.28515625" style="112" customWidth="1"/>
    <col min="13606" max="13606" width="12.5703125" style="112" customWidth="1"/>
    <col min="13607" max="13607" width="11" style="112" customWidth="1"/>
    <col min="13608" max="13824" width="9.140625" style="112"/>
    <col min="13825" max="13825" width="3.5703125" style="112" customWidth="1"/>
    <col min="13826" max="13826" width="13.85546875" style="112" customWidth="1"/>
    <col min="13827" max="13827" width="15.5703125" style="112" customWidth="1"/>
    <col min="13828" max="13828" width="15.7109375" style="112" customWidth="1"/>
    <col min="13829" max="13829" width="15.42578125" style="112" customWidth="1"/>
    <col min="13830" max="13830" width="14" style="112" customWidth="1"/>
    <col min="13831" max="13832" width="13.85546875" style="112" customWidth="1"/>
    <col min="13833" max="13833" width="12.42578125" style="112" customWidth="1"/>
    <col min="13834" max="13834" width="13.85546875" style="112" customWidth="1"/>
    <col min="13835" max="13835" width="16.7109375" style="112" customWidth="1"/>
    <col min="13836" max="13837" width="14.28515625" style="112" customWidth="1"/>
    <col min="13838" max="13838" width="14" style="112" customWidth="1"/>
    <col min="13839" max="13839" width="15.28515625" style="112" customWidth="1"/>
    <col min="13840" max="13840" width="15.5703125" style="112" customWidth="1"/>
    <col min="13841" max="13841" width="15.140625" style="112" customWidth="1"/>
    <col min="13842" max="13842" width="13.5703125" style="112" customWidth="1"/>
    <col min="13843" max="13844" width="14" style="112" customWidth="1"/>
    <col min="13845" max="13846" width="14.140625" style="112" customWidth="1"/>
    <col min="13847" max="13847" width="14.28515625" style="112" customWidth="1"/>
    <col min="13848" max="13848" width="12.140625" style="112" customWidth="1"/>
    <col min="13849" max="13849" width="14.5703125" style="112" customWidth="1"/>
    <col min="13850" max="13850" width="14.7109375" style="112" customWidth="1"/>
    <col min="13851" max="13851" width="13" style="112" customWidth="1"/>
    <col min="13852" max="13852" width="14.5703125" style="112" customWidth="1"/>
    <col min="13853" max="13853" width="12.28515625" style="112" customWidth="1"/>
    <col min="13854" max="13854" width="15.28515625" style="112" customWidth="1"/>
    <col min="13855" max="13855" width="12.85546875" style="112" customWidth="1"/>
    <col min="13856" max="13856" width="13.85546875" style="112" customWidth="1"/>
    <col min="13857" max="13857" width="14.5703125" style="112" customWidth="1"/>
    <col min="13858" max="13859" width="14.28515625" style="112" customWidth="1"/>
    <col min="13860" max="13860" width="14.5703125" style="112" customWidth="1"/>
    <col min="13861" max="13861" width="14.28515625" style="112" customWidth="1"/>
    <col min="13862" max="13862" width="12.5703125" style="112" customWidth="1"/>
    <col min="13863" max="13863" width="11" style="112" customWidth="1"/>
    <col min="13864" max="14080" width="9.140625" style="112"/>
    <col min="14081" max="14081" width="3.5703125" style="112" customWidth="1"/>
    <col min="14082" max="14082" width="13.85546875" style="112" customWidth="1"/>
    <col min="14083" max="14083" width="15.5703125" style="112" customWidth="1"/>
    <col min="14084" max="14084" width="15.7109375" style="112" customWidth="1"/>
    <col min="14085" max="14085" width="15.42578125" style="112" customWidth="1"/>
    <col min="14086" max="14086" width="14" style="112" customWidth="1"/>
    <col min="14087" max="14088" width="13.85546875" style="112" customWidth="1"/>
    <col min="14089" max="14089" width="12.42578125" style="112" customWidth="1"/>
    <col min="14090" max="14090" width="13.85546875" style="112" customWidth="1"/>
    <col min="14091" max="14091" width="16.7109375" style="112" customWidth="1"/>
    <col min="14092" max="14093" width="14.28515625" style="112" customWidth="1"/>
    <col min="14094" max="14094" width="14" style="112" customWidth="1"/>
    <col min="14095" max="14095" width="15.28515625" style="112" customWidth="1"/>
    <col min="14096" max="14096" width="15.5703125" style="112" customWidth="1"/>
    <col min="14097" max="14097" width="15.140625" style="112" customWidth="1"/>
    <col min="14098" max="14098" width="13.5703125" style="112" customWidth="1"/>
    <col min="14099" max="14100" width="14" style="112" customWidth="1"/>
    <col min="14101" max="14102" width="14.140625" style="112" customWidth="1"/>
    <col min="14103" max="14103" width="14.28515625" style="112" customWidth="1"/>
    <col min="14104" max="14104" width="12.140625" style="112" customWidth="1"/>
    <col min="14105" max="14105" width="14.5703125" style="112" customWidth="1"/>
    <col min="14106" max="14106" width="14.7109375" style="112" customWidth="1"/>
    <col min="14107" max="14107" width="13" style="112" customWidth="1"/>
    <col min="14108" max="14108" width="14.5703125" style="112" customWidth="1"/>
    <col min="14109" max="14109" width="12.28515625" style="112" customWidth="1"/>
    <col min="14110" max="14110" width="15.28515625" style="112" customWidth="1"/>
    <col min="14111" max="14111" width="12.85546875" style="112" customWidth="1"/>
    <col min="14112" max="14112" width="13.85546875" style="112" customWidth="1"/>
    <col min="14113" max="14113" width="14.5703125" style="112" customWidth="1"/>
    <col min="14114" max="14115" width="14.28515625" style="112" customWidth="1"/>
    <col min="14116" max="14116" width="14.5703125" style="112" customWidth="1"/>
    <col min="14117" max="14117" width="14.28515625" style="112" customWidth="1"/>
    <col min="14118" max="14118" width="12.5703125" style="112" customWidth="1"/>
    <col min="14119" max="14119" width="11" style="112" customWidth="1"/>
    <col min="14120" max="14336" width="9.140625" style="112"/>
    <col min="14337" max="14337" width="3.5703125" style="112" customWidth="1"/>
    <col min="14338" max="14338" width="13.85546875" style="112" customWidth="1"/>
    <col min="14339" max="14339" width="15.5703125" style="112" customWidth="1"/>
    <col min="14340" max="14340" width="15.7109375" style="112" customWidth="1"/>
    <col min="14341" max="14341" width="15.42578125" style="112" customWidth="1"/>
    <col min="14342" max="14342" width="14" style="112" customWidth="1"/>
    <col min="14343" max="14344" width="13.85546875" style="112" customWidth="1"/>
    <col min="14345" max="14345" width="12.42578125" style="112" customWidth="1"/>
    <col min="14346" max="14346" width="13.85546875" style="112" customWidth="1"/>
    <col min="14347" max="14347" width="16.7109375" style="112" customWidth="1"/>
    <col min="14348" max="14349" width="14.28515625" style="112" customWidth="1"/>
    <col min="14350" max="14350" width="14" style="112" customWidth="1"/>
    <col min="14351" max="14351" width="15.28515625" style="112" customWidth="1"/>
    <col min="14352" max="14352" width="15.5703125" style="112" customWidth="1"/>
    <col min="14353" max="14353" width="15.140625" style="112" customWidth="1"/>
    <col min="14354" max="14354" width="13.5703125" style="112" customWidth="1"/>
    <col min="14355" max="14356" width="14" style="112" customWidth="1"/>
    <col min="14357" max="14358" width="14.140625" style="112" customWidth="1"/>
    <col min="14359" max="14359" width="14.28515625" style="112" customWidth="1"/>
    <col min="14360" max="14360" width="12.140625" style="112" customWidth="1"/>
    <col min="14361" max="14361" width="14.5703125" style="112" customWidth="1"/>
    <col min="14362" max="14362" width="14.7109375" style="112" customWidth="1"/>
    <col min="14363" max="14363" width="13" style="112" customWidth="1"/>
    <col min="14364" max="14364" width="14.5703125" style="112" customWidth="1"/>
    <col min="14365" max="14365" width="12.28515625" style="112" customWidth="1"/>
    <col min="14366" max="14366" width="15.28515625" style="112" customWidth="1"/>
    <col min="14367" max="14367" width="12.85546875" style="112" customWidth="1"/>
    <col min="14368" max="14368" width="13.85546875" style="112" customWidth="1"/>
    <col min="14369" max="14369" width="14.5703125" style="112" customWidth="1"/>
    <col min="14370" max="14371" width="14.28515625" style="112" customWidth="1"/>
    <col min="14372" max="14372" width="14.5703125" style="112" customWidth="1"/>
    <col min="14373" max="14373" width="14.28515625" style="112" customWidth="1"/>
    <col min="14374" max="14374" width="12.5703125" style="112" customWidth="1"/>
    <col min="14375" max="14375" width="11" style="112" customWidth="1"/>
    <col min="14376" max="14592" width="9.140625" style="112"/>
    <col min="14593" max="14593" width="3.5703125" style="112" customWidth="1"/>
    <col min="14594" max="14594" width="13.85546875" style="112" customWidth="1"/>
    <col min="14595" max="14595" width="15.5703125" style="112" customWidth="1"/>
    <col min="14596" max="14596" width="15.7109375" style="112" customWidth="1"/>
    <col min="14597" max="14597" width="15.42578125" style="112" customWidth="1"/>
    <col min="14598" max="14598" width="14" style="112" customWidth="1"/>
    <col min="14599" max="14600" width="13.85546875" style="112" customWidth="1"/>
    <col min="14601" max="14601" width="12.42578125" style="112" customWidth="1"/>
    <col min="14602" max="14602" width="13.85546875" style="112" customWidth="1"/>
    <col min="14603" max="14603" width="16.7109375" style="112" customWidth="1"/>
    <col min="14604" max="14605" width="14.28515625" style="112" customWidth="1"/>
    <col min="14606" max="14606" width="14" style="112" customWidth="1"/>
    <col min="14607" max="14607" width="15.28515625" style="112" customWidth="1"/>
    <col min="14608" max="14608" width="15.5703125" style="112" customWidth="1"/>
    <col min="14609" max="14609" width="15.140625" style="112" customWidth="1"/>
    <col min="14610" max="14610" width="13.5703125" style="112" customWidth="1"/>
    <col min="14611" max="14612" width="14" style="112" customWidth="1"/>
    <col min="14613" max="14614" width="14.140625" style="112" customWidth="1"/>
    <col min="14615" max="14615" width="14.28515625" style="112" customWidth="1"/>
    <col min="14616" max="14616" width="12.140625" style="112" customWidth="1"/>
    <col min="14617" max="14617" width="14.5703125" style="112" customWidth="1"/>
    <col min="14618" max="14618" width="14.7109375" style="112" customWidth="1"/>
    <col min="14619" max="14619" width="13" style="112" customWidth="1"/>
    <col min="14620" max="14620" width="14.5703125" style="112" customWidth="1"/>
    <col min="14621" max="14621" width="12.28515625" style="112" customWidth="1"/>
    <col min="14622" max="14622" width="15.28515625" style="112" customWidth="1"/>
    <col min="14623" max="14623" width="12.85546875" style="112" customWidth="1"/>
    <col min="14624" max="14624" width="13.85546875" style="112" customWidth="1"/>
    <col min="14625" max="14625" width="14.5703125" style="112" customWidth="1"/>
    <col min="14626" max="14627" width="14.28515625" style="112" customWidth="1"/>
    <col min="14628" max="14628" width="14.5703125" style="112" customWidth="1"/>
    <col min="14629" max="14629" width="14.28515625" style="112" customWidth="1"/>
    <col min="14630" max="14630" width="12.5703125" style="112" customWidth="1"/>
    <col min="14631" max="14631" width="11" style="112" customWidth="1"/>
    <col min="14632" max="14848" width="9.140625" style="112"/>
    <col min="14849" max="14849" width="3.5703125" style="112" customWidth="1"/>
    <col min="14850" max="14850" width="13.85546875" style="112" customWidth="1"/>
    <col min="14851" max="14851" width="15.5703125" style="112" customWidth="1"/>
    <col min="14852" max="14852" width="15.7109375" style="112" customWidth="1"/>
    <col min="14853" max="14853" width="15.42578125" style="112" customWidth="1"/>
    <col min="14854" max="14854" width="14" style="112" customWidth="1"/>
    <col min="14855" max="14856" width="13.85546875" style="112" customWidth="1"/>
    <col min="14857" max="14857" width="12.42578125" style="112" customWidth="1"/>
    <col min="14858" max="14858" width="13.85546875" style="112" customWidth="1"/>
    <col min="14859" max="14859" width="16.7109375" style="112" customWidth="1"/>
    <col min="14860" max="14861" width="14.28515625" style="112" customWidth="1"/>
    <col min="14862" max="14862" width="14" style="112" customWidth="1"/>
    <col min="14863" max="14863" width="15.28515625" style="112" customWidth="1"/>
    <col min="14864" max="14864" width="15.5703125" style="112" customWidth="1"/>
    <col min="14865" max="14865" width="15.140625" style="112" customWidth="1"/>
    <col min="14866" max="14866" width="13.5703125" style="112" customWidth="1"/>
    <col min="14867" max="14868" width="14" style="112" customWidth="1"/>
    <col min="14869" max="14870" width="14.140625" style="112" customWidth="1"/>
    <col min="14871" max="14871" width="14.28515625" style="112" customWidth="1"/>
    <col min="14872" max="14872" width="12.140625" style="112" customWidth="1"/>
    <col min="14873" max="14873" width="14.5703125" style="112" customWidth="1"/>
    <col min="14874" max="14874" width="14.7109375" style="112" customWidth="1"/>
    <col min="14875" max="14875" width="13" style="112" customWidth="1"/>
    <col min="14876" max="14876" width="14.5703125" style="112" customWidth="1"/>
    <col min="14877" max="14877" width="12.28515625" style="112" customWidth="1"/>
    <col min="14878" max="14878" width="15.28515625" style="112" customWidth="1"/>
    <col min="14879" max="14879" width="12.85546875" style="112" customWidth="1"/>
    <col min="14880" max="14880" width="13.85546875" style="112" customWidth="1"/>
    <col min="14881" max="14881" width="14.5703125" style="112" customWidth="1"/>
    <col min="14882" max="14883" width="14.28515625" style="112" customWidth="1"/>
    <col min="14884" max="14884" width="14.5703125" style="112" customWidth="1"/>
    <col min="14885" max="14885" width="14.28515625" style="112" customWidth="1"/>
    <col min="14886" max="14886" width="12.5703125" style="112" customWidth="1"/>
    <col min="14887" max="14887" width="11" style="112" customWidth="1"/>
    <col min="14888" max="15104" width="9.140625" style="112"/>
    <col min="15105" max="15105" width="3.5703125" style="112" customWidth="1"/>
    <col min="15106" max="15106" width="13.85546875" style="112" customWidth="1"/>
    <col min="15107" max="15107" width="15.5703125" style="112" customWidth="1"/>
    <col min="15108" max="15108" width="15.7109375" style="112" customWidth="1"/>
    <col min="15109" max="15109" width="15.42578125" style="112" customWidth="1"/>
    <col min="15110" max="15110" width="14" style="112" customWidth="1"/>
    <col min="15111" max="15112" width="13.85546875" style="112" customWidth="1"/>
    <col min="15113" max="15113" width="12.42578125" style="112" customWidth="1"/>
    <col min="15114" max="15114" width="13.85546875" style="112" customWidth="1"/>
    <col min="15115" max="15115" width="16.7109375" style="112" customWidth="1"/>
    <col min="15116" max="15117" width="14.28515625" style="112" customWidth="1"/>
    <col min="15118" max="15118" width="14" style="112" customWidth="1"/>
    <col min="15119" max="15119" width="15.28515625" style="112" customWidth="1"/>
    <col min="15120" max="15120" width="15.5703125" style="112" customWidth="1"/>
    <col min="15121" max="15121" width="15.140625" style="112" customWidth="1"/>
    <col min="15122" max="15122" width="13.5703125" style="112" customWidth="1"/>
    <col min="15123" max="15124" width="14" style="112" customWidth="1"/>
    <col min="15125" max="15126" width="14.140625" style="112" customWidth="1"/>
    <col min="15127" max="15127" width="14.28515625" style="112" customWidth="1"/>
    <col min="15128" max="15128" width="12.140625" style="112" customWidth="1"/>
    <col min="15129" max="15129" width="14.5703125" style="112" customWidth="1"/>
    <col min="15130" max="15130" width="14.7109375" style="112" customWidth="1"/>
    <col min="15131" max="15131" width="13" style="112" customWidth="1"/>
    <col min="15132" max="15132" width="14.5703125" style="112" customWidth="1"/>
    <col min="15133" max="15133" width="12.28515625" style="112" customWidth="1"/>
    <col min="15134" max="15134" width="15.28515625" style="112" customWidth="1"/>
    <col min="15135" max="15135" width="12.85546875" style="112" customWidth="1"/>
    <col min="15136" max="15136" width="13.85546875" style="112" customWidth="1"/>
    <col min="15137" max="15137" width="14.5703125" style="112" customWidth="1"/>
    <col min="15138" max="15139" width="14.28515625" style="112" customWidth="1"/>
    <col min="15140" max="15140" width="14.5703125" style="112" customWidth="1"/>
    <col min="15141" max="15141" width="14.28515625" style="112" customWidth="1"/>
    <col min="15142" max="15142" width="12.5703125" style="112" customWidth="1"/>
    <col min="15143" max="15143" width="11" style="112" customWidth="1"/>
    <col min="15144" max="15360" width="9.140625" style="112"/>
    <col min="15361" max="15361" width="3.5703125" style="112" customWidth="1"/>
    <col min="15362" max="15362" width="13.85546875" style="112" customWidth="1"/>
    <col min="15363" max="15363" width="15.5703125" style="112" customWidth="1"/>
    <col min="15364" max="15364" width="15.7109375" style="112" customWidth="1"/>
    <col min="15365" max="15365" width="15.42578125" style="112" customWidth="1"/>
    <col min="15366" max="15366" width="14" style="112" customWidth="1"/>
    <col min="15367" max="15368" width="13.85546875" style="112" customWidth="1"/>
    <col min="15369" max="15369" width="12.42578125" style="112" customWidth="1"/>
    <col min="15370" max="15370" width="13.85546875" style="112" customWidth="1"/>
    <col min="15371" max="15371" width="16.7109375" style="112" customWidth="1"/>
    <col min="15372" max="15373" width="14.28515625" style="112" customWidth="1"/>
    <col min="15374" max="15374" width="14" style="112" customWidth="1"/>
    <col min="15375" max="15375" width="15.28515625" style="112" customWidth="1"/>
    <col min="15376" max="15376" width="15.5703125" style="112" customWidth="1"/>
    <col min="15377" max="15377" width="15.140625" style="112" customWidth="1"/>
    <col min="15378" max="15378" width="13.5703125" style="112" customWidth="1"/>
    <col min="15379" max="15380" width="14" style="112" customWidth="1"/>
    <col min="15381" max="15382" width="14.140625" style="112" customWidth="1"/>
    <col min="15383" max="15383" width="14.28515625" style="112" customWidth="1"/>
    <col min="15384" max="15384" width="12.140625" style="112" customWidth="1"/>
    <col min="15385" max="15385" width="14.5703125" style="112" customWidth="1"/>
    <col min="15386" max="15386" width="14.7109375" style="112" customWidth="1"/>
    <col min="15387" max="15387" width="13" style="112" customWidth="1"/>
    <col min="15388" max="15388" width="14.5703125" style="112" customWidth="1"/>
    <col min="15389" max="15389" width="12.28515625" style="112" customWidth="1"/>
    <col min="15390" max="15390" width="15.28515625" style="112" customWidth="1"/>
    <col min="15391" max="15391" width="12.85546875" style="112" customWidth="1"/>
    <col min="15392" max="15392" width="13.85546875" style="112" customWidth="1"/>
    <col min="15393" max="15393" width="14.5703125" style="112" customWidth="1"/>
    <col min="15394" max="15395" width="14.28515625" style="112" customWidth="1"/>
    <col min="15396" max="15396" width="14.5703125" style="112" customWidth="1"/>
    <col min="15397" max="15397" width="14.28515625" style="112" customWidth="1"/>
    <col min="15398" max="15398" width="12.5703125" style="112" customWidth="1"/>
    <col min="15399" max="15399" width="11" style="112" customWidth="1"/>
    <col min="15400" max="15616" width="9.140625" style="112"/>
    <col min="15617" max="15617" width="3.5703125" style="112" customWidth="1"/>
    <col min="15618" max="15618" width="13.85546875" style="112" customWidth="1"/>
    <col min="15619" max="15619" width="15.5703125" style="112" customWidth="1"/>
    <col min="15620" max="15620" width="15.7109375" style="112" customWidth="1"/>
    <col min="15621" max="15621" width="15.42578125" style="112" customWidth="1"/>
    <col min="15622" max="15622" width="14" style="112" customWidth="1"/>
    <col min="15623" max="15624" width="13.85546875" style="112" customWidth="1"/>
    <col min="15625" max="15625" width="12.42578125" style="112" customWidth="1"/>
    <col min="15626" max="15626" width="13.85546875" style="112" customWidth="1"/>
    <col min="15627" max="15627" width="16.7109375" style="112" customWidth="1"/>
    <col min="15628" max="15629" width="14.28515625" style="112" customWidth="1"/>
    <col min="15630" max="15630" width="14" style="112" customWidth="1"/>
    <col min="15631" max="15631" width="15.28515625" style="112" customWidth="1"/>
    <col min="15632" max="15632" width="15.5703125" style="112" customWidth="1"/>
    <col min="15633" max="15633" width="15.140625" style="112" customWidth="1"/>
    <col min="15634" max="15634" width="13.5703125" style="112" customWidth="1"/>
    <col min="15635" max="15636" width="14" style="112" customWidth="1"/>
    <col min="15637" max="15638" width="14.140625" style="112" customWidth="1"/>
    <col min="15639" max="15639" width="14.28515625" style="112" customWidth="1"/>
    <col min="15640" max="15640" width="12.140625" style="112" customWidth="1"/>
    <col min="15641" max="15641" width="14.5703125" style="112" customWidth="1"/>
    <col min="15642" max="15642" width="14.7109375" style="112" customWidth="1"/>
    <col min="15643" max="15643" width="13" style="112" customWidth="1"/>
    <col min="15644" max="15644" width="14.5703125" style="112" customWidth="1"/>
    <col min="15645" max="15645" width="12.28515625" style="112" customWidth="1"/>
    <col min="15646" max="15646" width="15.28515625" style="112" customWidth="1"/>
    <col min="15647" max="15647" width="12.85546875" style="112" customWidth="1"/>
    <col min="15648" max="15648" width="13.85546875" style="112" customWidth="1"/>
    <col min="15649" max="15649" width="14.5703125" style="112" customWidth="1"/>
    <col min="15650" max="15651" width="14.28515625" style="112" customWidth="1"/>
    <col min="15652" max="15652" width="14.5703125" style="112" customWidth="1"/>
    <col min="15653" max="15653" width="14.28515625" style="112" customWidth="1"/>
    <col min="15654" max="15654" width="12.5703125" style="112" customWidth="1"/>
    <col min="15655" max="15655" width="11" style="112" customWidth="1"/>
    <col min="15656" max="15872" width="9.140625" style="112"/>
    <col min="15873" max="15873" width="3.5703125" style="112" customWidth="1"/>
    <col min="15874" max="15874" width="13.85546875" style="112" customWidth="1"/>
    <col min="15875" max="15875" width="15.5703125" style="112" customWidth="1"/>
    <col min="15876" max="15876" width="15.7109375" style="112" customWidth="1"/>
    <col min="15877" max="15877" width="15.42578125" style="112" customWidth="1"/>
    <col min="15878" max="15878" width="14" style="112" customWidth="1"/>
    <col min="15879" max="15880" width="13.85546875" style="112" customWidth="1"/>
    <col min="15881" max="15881" width="12.42578125" style="112" customWidth="1"/>
    <col min="15882" max="15882" width="13.85546875" style="112" customWidth="1"/>
    <col min="15883" max="15883" width="16.7109375" style="112" customWidth="1"/>
    <col min="15884" max="15885" width="14.28515625" style="112" customWidth="1"/>
    <col min="15886" max="15886" width="14" style="112" customWidth="1"/>
    <col min="15887" max="15887" width="15.28515625" style="112" customWidth="1"/>
    <col min="15888" max="15888" width="15.5703125" style="112" customWidth="1"/>
    <col min="15889" max="15889" width="15.140625" style="112" customWidth="1"/>
    <col min="15890" max="15890" width="13.5703125" style="112" customWidth="1"/>
    <col min="15891" max="15892" width="14" style="112" customWidth="1"/>
    <col min="15893" max="15894" width="14.140625" style="112" customWidth="1"/>
    <col min="15895" max="15895" width="14.28515625" style="112" customWidth="1"/>
    <col min="15896" max="15896" width="12.140625" style="112" customWidth="1"/>
    <col min="15897" max="15897" width="14.5703125" style="112" customWidth="1"/>
    <col min="15898" max="15898" width="14.7109375" style="112" customWidth="1"/>
    <col min="15899" max="15899" width="13" style="112" customWidth="1"/>
    <col min="15900" max="15900" width="14.5703125" style="112" customWidth="1"/>
    <col min="15901" max="15901" width="12.28515625" style="112" customWidth="1"/>
    <col min="15902" max="15902" width="15.28515625" style="112" customWidth="1"/>
    <col min="15903" max="15903" width="12.85546875" style="112" customWidth="1"/>
    <col min="15904" max="15904" width="13.85546875" style="112" customWidth="1"/>
    <col min="15905" max="15905" width="14.5703125" style="112" customWidth="1"/>
    <col min="15906" max="15907" width="14.28515625" style="112" customWidth="1"/>
    <col min="15908" max="15908" width="14.5703125" style="112" customWidth="1"/>
    <col min="15909" max="15909" width="14.28515625" style="112" customWidth="1"/>
    <col min="15910" max="15910" width="12.5703125" style="112" customWidth="1"/>
    <col min="15911" max="15911" width="11" style="112" customWidth="1"/>
    <col min="15912" max="16128" width="9.140625" style="112"/>
    <col min="16129" max="16129" width="3.5703125" style="112" customWidth="1"/>
    <col min="16130" max="16130" width="13.85546875" style="112" customWidth="1"/>
    <col min="16131" max="16131" width="15.5703125" style="112" customWidth="1"/>
    <col min="16132" max="16132" width="15.7109375" style="112" customWidth="1"/>
    <col min="16133" max="16133" width="15.42578125" style="112" customWidth="1"/>
    <col min="16134" max="16134" width="14" style="112" customWidth="1"/>
    <col min="16135" max="16136" width="13.85546875" style="112" customWidth="1"/>
    <col min="16137" max="16137" width="12.42578125" style="112" customWidth="1"/>
    <col min="16138" max="16138" width="13.85546875" style="112" customWidth="1"/>
    <col min="16139" max="16139" width="16.7109375" style="112" customWidth="1"/>
    <col min="16140" max="16141" width="14.28515625" style="112" customWidth="1"/>
    <col min="16142" max="16142" width="14" style="112" customWidth="1"/>
    <col min="16143" max="16143" width="15.28515625" style="112" customWidth="1"/>
    <col min="16144" max="16144" width="15.5703125" style="112" customWidth="1"/>
    <col min="16145" max="16145" width="15.140625" style="112" customWidth="1"/>
    <col min="16146" max="16146" width="13.5703125" style="112" customWidth="1"/>
    <col min="16147" max="16148" width="14" style="112" customWidth="1"/>
    <col min="16149" max="16150" width="14.140625" style="112" customWidth="1"/>
    <col min="16151" max="16151" width="14.28515625" style="112" customWidth="1"/>
    <col min="16152" max="16152" width="12.140625" style="112" customWidth="1"/>
    <col min="16153" max="16153" width="14.5703125" style="112" customWidth="1"/>
    <col min="16154" max="16154" width="14.7109375" style="112" customWidth="1"/>
    <col min="16155" max="16155" width="13" style="112" customWidth="1"/>
    <col min="16156" max="16156" width="14.5703125" style="112" customWidth="1"/>
    <col min="16157" max="16157" width="12.28515625" style="112" customWidth="1"/>
    <col min="16158" max="16158" width="15.28515625" style="112" customWidth="1"/>
    <col min="16159" max="16159" width="12.85546875" style="112" customWidth="1"/>
    <col min="16160" max="16160" width="13.85546875" style="112" customWidth="1"/>
    <col min="16161" max="16161" width="14.5703125" style="112" customWidth="1"/>
    <col min="16162" max="16163" width="14.28515625" style="112" customWidth="1"/>
    <col min="16164" max="16164" width="14.5703125" style="112" customWidth="1"/>
    <col min="16165" max="16165" width="14.28515625" style="112" customWidth="1"/>
    <col min="16166" max="16166" width="12.5703125" style="112" customWidth="1"/>
    <col min="16167" max="16167" width="11" style="112" customWidth="1"/>
    <col min="16168" max="16384" width="9.140625" style="112"/>
  </cols>
  <sheetData>
    <row r="1" spans="1:39" s="95" customFormat="1" ht="15" x14ac:dyDescent="0.25">
      <c r="A1" s="91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3" t="s">
        <v>0</v>
      </c>
      <c r="AK1" s="93"/>
      <c r="AL1" s="91"/>
      <c r="AM1" s="94"/>
    </row>
    <row r="2" spans="1:39" s="95" customFormat="1" ht="15" x14ac:dyDescent="0.25">
      <c r="A2" s="91"/>
      <c r="B2" s="92" t="s">
        <v>894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4"/>
    </row>
    <row r="3" spans="1:39" s="95" customFormat="1" ht="15" x14ac:dyDescent="0.25">
      <c r="A3" s="91"/>
      <c r="B3" s="92" t="s">
        <v>941</v>
      </c>
      <c r="C3" s="96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7"/>
      <c r="R3" s="91"/>
      <c r="S3" s="91"/>
      <c r="T3" s="91"/>
      <c r="U3" s="91"/>
      <c r="V3" s="91"/>
      <c r="W3" s="91"/>
      <c r="X3" s="91"/>
      <c r="Y3" s="91"/>
      <c r="Z3" s="91"/>
      <c r="AA3" s="97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4"/>
    </row>
    <row r="4" spans="1:39" s="95" customFormat="1" ht="15" x14ac:dyDescent="0.25">
      <c r="A4" s="91"/>
      <c r="B4" s="91"/>
      <c r="C4" s="96"/>
      <c r="D4" s="97"/>
      <c r="E4" s="97"/>
      <c r="F4" s="97"/>
      <c r="G4" s="97"/>
      <c r="H4" s="97"/>
      <c r="I4" s="97"/>
      <c r="J4" s="97"/>
      <c r="K4" s="91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4"/>
    </row>
    <row r="5" spans="1:39" s="95" customFormat="1" ht="15" x14ac:dyDescent="0.25">
      <c r="A5" s="98"/>
      <c r="B5" s="98"/>
      <c r="C5" s="92"/>
      <c r="D5" s="99"/>
      <c r="H5" s="100" t="s">
        <v>2</v>
      </c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4"/>
    </row>
    <row r="6" spans="1:39" s="104" customFormat="1" x14ac:dyDescent="0.2">
      <c r="A6" s="101"/>
      <c r="B6" s="101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7"/>
      <c r="AL6" s="137"/>
      <c r="AM6" s="103"/>
    </row>
    <row r="7" spans="1:39" s="111" customFormat="1" ht="11.25" x14ac:dyDescent="0.2">
      <c r="A7" s="136"/>
      <c r="B7" s="136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137"/>
      <c r="AK7" s="137"/>
      <c r="AL7" s="137"/>
    </row>
    <row r="8" spans="1:39" x14ac:dyDescent="0.2">
      <c r="A8" s="106"/>
      <c r="B8" s="138"/>
      <c r="C8" s="139">
        <f>'1'!D14+'2'!D14+'3'!D14+'4'!D14+'5'!D14+'6'!D14+'7'!D14+'8'!D14+'9'!D14+'10'!D14+'11'!D14+'12'!D14+'13'!D14+'14'!D14+'15'!D14+'16'!D14+'17'!D14+'18'!D14+'19'!D14+'20'!D14+'21'!D14+'22'!D14+'23'!D14+'24'!D14+'25'!D14+'26'!D14+'27'!D14+'28'!D14+'29'!D14+'30'!D14+'31'!D14+'32'!D14+'33'!D14+'34'!D14+'35'!D14+'36'!D14+'37'!D14+'38'!D14+'39'!D14+'40'!D14+'41'!D14+'42'!D14</f>
        <v>61462942941</v>
      </c>
      <c r="D8" s="139">
        <f>'1'!E14+'2'!E14+'3'!E14+'4'!E14+'5'!E14+'6'!E14+'7'!E14+'8'!E14+'9'!E14+'10'!E14+'11'!E14+'12'!E14+'13'!E14+'14'!E14+'15'!E14+'16'!E14+'17'!E14+'18'!E14+'19'!E14+'20'!E14+'21'!E14+'22'!E14+'23'!E14+'24'!E14+'25'!E14+'26'!E14+'27'!E14+'28'!E14+'29'!E14+'30'!E14+'31'!E14+'32'!E14+'33'!E14+'34'!E14+'35'!E14+'36'!E14+'37'!E14+'38'!E14+'39'!E14+'40'!E14+'41'!E14+'42'!E14</f>
        <v>26582371600</v>
      </c>
      <c r="E8" s="139">
        <f>'1'!F14+'2'!F14+'3'!F14+'4'!F14+'5'!F14+'6'!F14+'7'!F14+'8'!F14+'9'!F14+'10'!F14+'11'!F14+'12'!F14+'13'!F14+'14'!F14+'15'!F14+'16'!F14+'17'!F14+'18'!F14+'19'!F14+'20'!F14+'21'!F14+'22'!F14+'23'!F14+'24'!F14+'25'!F14+'26'!F14+'27'!F14+'28'!F14+'29'!F14+'30'!F14+'31'!F14+'32'!F14+'33'!F14+'34'!F14+'35'!F14+'36'!F14+'37'!F14+'38'!F14+'39'!F14+'40'!F14+'41'!F14+'42'!F14</f>
        <v>13502178535</v>
      </c>
      <c r="F8" s="139">
        <f>'1'!G14+'2'!G14+'3'!G14+'4'!G14+'5'!G14+'6'!G14+'7'!G14+'8'!G14+'9'!G14+'10'!G14+'11'!G14+'12'!G14+'13'!G14+'14'!G14+'15'!G14+'16'!G14+'17'!G14+'18'!G14+'19'!G14+'20'!G14+'21'!G14+'22'!G14+'23'!G14+'24'!G14+'25'!G14+'26'!G14+'27'!G14+'28'!G14+'29'!G14+'30'!G14+'31'!G14+'32'!G14+'33'!G14+'34'!G14+'35'!G14+'36'!G14+'37'!G14+'38'!G14+'39'!G14+'40'!G14+'41'!G14+'42'!G14</f>
        <v>3611249859</v>
      </c>
      <c r="G8" s="139">
        <f>'1'!H14+'2'!H14+'3'!H14+'4'!H14+'5'!H14+'6'!H14+'7'!H14+'8'!H14+'9'!H14+'10'!H14+'11'!H14+'12'!H14+'13'!H14+'14'!H14+'15'!H14+'16'!H14+'17'!H14+'18'!H14+'19'!H14+'20'!H14+'21'!H14+'22'!H14+'23'!H14+'24'!H14+'25'!H14+'26'!H14+'27'!H14+'28'!H14+'29'!H14+'30'!H14+'31'!H14+'32'!H14+'33'!H14+'34'!H14+'35'!H14+'36'!H14+'37'!H14+'38'!H14+'39'!H14+'40'!H14+'41'!H14+'42'!H14</f>
        <v>2315038722</v>
      </c>
      <c r="H8" s="139">
        <f>'1'!I14+'2'!I14+'3'!I14+'4'!I14+'5'!I14+'6'!I14+'7'!I14+'8'!I14+'9'!I14+'10'!I14+'11'!I14+'12'!I14+'13'!I14+'14'!I14+'15'!I14+'16'!I14+'17'!I14+'18'!I14+'19'!I14+'20'!I14+'21'!I14+'22'!I14+'23'!I14+'24'!I14+'25'!I14+'26'!I14+'27'!I14+'28'!I14+'29'!I14+'30'!I14+'31'!I14+'32'!I14+'33'!I14+'34'!I14+'35'!I14+'36'!I14+'37'!I14+'38'!I14+'39'!I14+'40'!I14+'41'!I14+'42'!I14</f>
        <v>13547800716</v>
      </c>
      <c r="I8" s="139">
        <f>'1'!J14+'2'!J14+'3'!J14+'4'!J14+'5'!J14+'6'!J14+'7'!J14+'8'!J14+'9'!J14+'10'!J14+'11'!J14+'12'!J14+'13'!J14+'14'!J14+'15'!J14+'16'!J14+'17'!J14+'18'!J14+'19'!J14+'20'!J14+'21'!J14+'22'!J14+'23'!J14+'24'!J14+'25'!J14+'26'!J14+'27'!J14+'28'!J14+'29'!J14+'30'!J14+'31'!J14+'32'!J14+'33'!J14+'34'!J14+'35'!J14+'36'!J14+'37'!J14+'38'!J14+'39'!J14+'40'!J14+'41'!J14+'42'!J14</f>
        <v>787374414</v>
      </c>
      <c r="J8" s="139">
        <f>'1'!K14+'2'!K14+'3'!K14+'4'!K14+'5'!K14+'6'!K14+'7'!K14+'8'!K14+'9'!K14+'10'!K14+'11'!K14+'12'!K14+'13'!K14+'14'!K14+'15'!K14+'16'!K14+'17'!K14+'18'!K14+'19'!K14+'20'!K14+'21'!K14+'22'!K14+'23'!K14+'24'!K14+'25'!K14+'26'!K14+'27'!K14+'28'!K14+'29'!K14+'30'!K14+'31'!K14+'32'!K14+'33'!K14+'34'!K14+'35'!K14+'36'!K14+'37'!K14+'38'!K14+'39'!K14+'40'!K14+'41'!K14+'42'!K14</f>
        <v>4575819330</v>
      </c>
      <c r="K8" s="139">
        <f>'1'!L14+'2'!L14+'3'!L14+'4'!L14+'5'!L14+'6'!L14+'7'!L14+'8'!L14+'9'!L14+'10'!L14+'11'!L14+'12'!L14+'13'!L14+'14'!L14+'15'!L14+'16'!L14+'17'!L14+'18'!L14+'19'!L14+'20'!L14+'21'!L14+'22'!L14+'23'!L14+'24'!L14+'25'!L14+'26'!L14+'27'!L14+'28'!L14+'29'!L14+'30'!L14+'31'!L14+'32'!L14+'33'!L14+'34'!L14+'35'!L14+'36'!L14+'37'!L14+'38'!L14+'39'!L14+'40'!L14+'41'!L14+'42'!L14</f>
        <v>0</v>
      </c>
      <c r="L8" s="139">
        <f>'1'!M14+'2'!M14+'3'!M14+'4'!M14+'5'!M14+'6'!M14+'7'!M14+'8'!M14+'9'!M14+'10'!M14+'11'!M14+'12'!M14+'13'!M14+'14'!M14+'15'!M14+'16'!M14+'17'!M14+'18'!M14+'19'!M14+'20'!M14+'21'!M14+'22'!M14+'23'!M14+'24'!M14+'25'!M14+'26'!M14+'27'!M14+'28'!M14+'29'!M14+'30'!M14+'31'!M14+'32'!M14+'33'!M14+'34'!M14+'35'!M14+'36'!M14+'37'!M14+'38'!M14+'39'!M14+'40'!M14+'41'!M14+'42'!M14</f>
        <v>7883591656</v>
      </c>
      <c r="M8" s="139">
        <f>'1'!N14+'2'!N14+'3'!N14+'4'!N14+'5'!N14+'6'!N14+'7'!N14+'8'!N14+'9'!N14+'10'!N14+'11'!N14+'12'!N14+'13'!N14+'14'!N14+'15'!N14+'16'!N14+'17'!N14+'18'!N14+'19'!N14+'20'!N14+'21'!N14+'22'!N14+'23'!N14+'24'!N14+'25'!N14+'26'!N14+'27'!N14+'28'!N14+'29'!N14+'30'!N14+'31'!N14+'32'!N14+'33'!N14+'34'!N14+'35'!N14+'36'!N14+'37'!N14+'38'!N14+'39'!N14+'40'!N14+'41'!N14+'42'!N14</f>
        <v>5345375027</v>
      </c>
      <c r="N8" s="139">
        <f>'1'!O14+'2'!O14+'3'!O14+'4'!O14+'5'!O14+'6'!O14+'7'!O14+'8'!O14+'9'!O14+'10'!O14+'11'!O14+'12'!O14+'13'!O14+'14'!O14+'15'!O14+'16'!O14+'17'!O14+'18'!O14+'19'!O14+'20'!O14+'21'!O14+'22'!O14+'23'!O14+'24'!O14+'25'!O14+'26'!O14+'27'!O14+'28'!O14+'29'!O14+'30'!O14+'31'!O14+'32'!O14+'33'!O14+'34'!O14+'35'!O14+'36'!O14+'37'!O14+'38'!O14+'39'!O14+'40'!O14+'41'!O14+'42'!O14</f>
        <v>425571476</v>
      </c>
      <c r="O8" s="139">
        <f>'1'!P14+'2'!P14+'3'!P14+'4'!P14+'5'!P14+'6'!P14+'7'!P14+'8'!P14+'9'!P14+'10'!P14+'11'!P14+'12'!P14+'13'!P14+'14'!P14+'15'!P14+'16'!P14+'17'!P14+'18'!P14+'19'!P14+'20'!P14+'21'!P14+'22'!P14+'23'!P14+'24'!P14+'25'!P14+'26'!P14+'27'!P14+'28'!P14+'29'!P14+'30'!P14+'31'!P14+'32'!P14+'33'!P14+'34'!P14+'35'!P14+'36'!P14+'37'!P14+'38'!P14+'39'!P14+'40'!P14+'41'!P14+'42'!P14</f>
        <v>59048519124</v>
      </c>
      <c r="P8" s="139">
        <f>'1'!Q14+'2'!Q14+'3'!Q14+'4'!Q14+'5'!Q14+'6'!Q14+'7'!Q14+'8'!Q14+'9'!Q14+'10'!Q14+'11'!Q14+'12'!Q14+'13'!Q14+'14'!Q14+'15'!Q14+'16'!Q14+'17'!Q14+'18'!Q14+'19'!Q14+'20'!Q14+'21'!Q14+'22'!Q14+'23'!Q14+'24'!Q14+'25'!Q14+'26'!Q14+'27'!Q14+'28'!Q14+'29'!Q14+'30'!Q14+'31'!Q14+'32'!Q14+'33'!Q14+'34'!Q14+'35'!Q14+'36'!Q14+'37'!Q14+'38'!Q14+'39'!Q14+'40'!Q14+'41'!Q14+'42'!Q14</f>
        <v>16893371543</v>
      </c>
      <c r="Q8" s="139">
        <f>'1'!R14+'2'!R14+'3'!R14+'4'!R14+'5'!R14+'6'!R14+'7'!R14+'8'!R14+'9'!R14+'10'!R14+'11'!R14+'12'!R14+'13'!R14+'14'!R14+'15'!R14+'16'!R14+'17'!R14+'18'!R14+'19'!R14+'20'!R14+'21'!R14+'22'!R14+'23'!R14+'24'!R14+'25'!R14+'26'!R14+'27'!R14+'28'!R14+'29'!R14+'30'!R14+'31'!R14+'32'!R14+'33'!R14+'34'!R14+'35'!R14+'36'!R14+'37'!R14+'38'!R14+'39'!R14+'40'!R14+'41'!R14+'42'!R14</f>
        <v>12003723096</v>
      </c>
      <c r="R8" s="139">
        <f>'1'!S14+'2'!S14+'3'!S14+'4'!S14+'5'!S14+'6'!S14+'7'!S14+'8'!S14+'9'!S14+'10'!S14+'11'!S14+'12'!S14+'13'!S14+'14'!S14+'15'!S14+'16'!S14+'17'!S14+'18'!S14+'19'!S14+'20'!S14+'21'!S14+'22'!S14+'23'!S14+'24'!S14+'25'!S14+'26'!S14+'27'!S14+'28'!S14+'29'!S14+'30'!S14+'31'!S14+'32'!S14+'33'!S14+'34'!S14+'35'!S14+'36'!S14+'37'!S14+'38'!S14+'39'!S14+'40'!S14+'41'!S14+'42'!S14</f>
        <v>544819110</v>
      </c>
      <c r="S8" s="139">
        <f>'1'!T14+'2'!T14+'3'!T14+'4'!T14+'5'!T14+'6'!T14+'7'!T14+'8'!T14+'9'!T14+'10'!T14+'11'!T14+'12'!T14+'13'!T14+'14'!T14+'15'!T14+'16'!T14+'17'!T14+'18'!T14+'19'!T14+'20'!T14+'21'!T14+'22'!T14+'23'!T14+'24'!T14+'25'!T14+'26'!T14+'27'!T14+'28'!T14+'29'!T14+'30'!T14+'31'!T14+'32'!T14+'33'!T14+'34'!T14+'35'!T14+'36'!T14+'37'!T14+'38'!T14+'39'!T14+'40'!T14+'41'!T14+'42'!T14</f>
        <v>2087806033</v>
      </c>
      <c r="T8" s="139">
        <f>'1'!U14+'2'!U14+'3'!U14+'4'!U14+'5'!U14+'6'!U14+'7'!U14+'8'!U14+'9'!U14+'10'!U14+'11'!U14+'12'!U14+'13'!U14+'14'!U14+'15'!U14+'16'!U14+'17'!U14+'18'!U14+'19'!U14+'20'!U14+'21'!U14+'22'!U14+'23'!U14+'24'!U14+'25'!U14+'26'!U14+'27'!U14+'28'!U14+'29'!U14+'30'!U14+'31'!U14+'32'!U14+'33'!U14+'34'!U14+'35'!U14+'36'!U14+'37'!U14+'38'!U14+'39'!U14+'40'!U14+'41'!U14+'42'!U14</f>
        <v>3295926196</v>
      </c>
      <c r="U8" s="139">
        <f>'1'!V14+'2'!V14+'3'!V14+'4'!V14+'5'!V14+'6'!V14+'7'!V14+'8'!V14+'9'!V14+'10'!V14+'11'!V14+'12'!V14+'13'!V14+'14'!V14+'15'!V14+'16'!V14+'17'!V14+'18'!V14+'19'!V14+'20'!V14+'21'!V14+'22'!V14+'23'!V14+'24'!V14+'25'!V14+'26'!V14+'27'!V14+'28'!V14+'29'!V14+'30'!V14+'31'!V14+'32'!V14+'33'!V14+'34'!V14+'35'!V14+'36'!V14+'37'!V14+'38'!V14+'39'!V14+'40'!V14+'41'!V14+'42'!V14</f>
        <v>600243152</v>
      </c>
      <c r="V8" s="139">
        <f>'1'!W14+'2'!W14+'3'!W14+'4'!W14+'5'!W14+'6'!W14+'7'!W14+'8'!W14+'9'!W14+'10'!W14+'11'!W14+'12'!W14+'13'!W14+'14'!W14+'15'!W14+'16'!W14+'17'!W14+'18'!W14+'19'!W14+'20'!W14+'21'!W14+'22'!W14+'23'!W14+'24'!W14+'25'!W14+'26'!W14+'27'!W14+'28'!W14+'29'!W14+'30'!W14+'31'!W14+'32'!W14+'33'!W14+'34'!W14+'35'!W14+'36'!W14+'37'!W14+'38'!W14+'39'!W14+'40'!W14+'41'!W14+'42'!W14</f>
        <v>9376755494</v>
      </c>
      <c r="W8" s="139">
        <f>'1'!X14+'2'!X14+'3'!X14+'4'!X14+'5'!X14+'6'!X14+'7'!X14+'8'!X14+'9'!X14+'10'!X14+'11'!X14+'12'!X14+'13'!X14+'14'!X14+'15'!X14+'16'!X14+'17'!X14+'18'!X14+'19'!X14+'20'!X14+'21'!X14+'22'!X14+'23'!X14+'24'!X14+'25'!X14+'26'!X14+'27'!X14+'28'!X14+'29'!X14+'30'!X14+'31'!X14+'32'!X14+'33'!X14+'34'!X14+'35'!X14+'36'!X14+'37'!X14+'38'!X14+'39'!X14+'40'!X14+'41'!X14+'42'!X14</f>
        <v>3830254277</v>
      </c>
      <c r="X8" s="139">
        <f>'1'!Y14+'2'!Y14+'3'!Y14+'4'!Y14+'5'!Y14+'6'!Y14+'7'!Y14+'8'!Y14+'9'!Y14+'10'!Y14+'11'!Y14+'12'!Y14+'13'!Y14+'14'!Y14+'15'!Y14+'16'!Y14+'17'!Y14+'18'!Y14+'19'!Y14+'20'!Y14+'21'!Y14+'22'!Y14+'23'!Y14+'24'!Y14+'25'!Y14+'26'!Y14+'27'!Y14+'28'!Y14+'29'!Y14+'30'!Y14+'31'!Y14+'32'!Y14+'33'!Y14+'34'!Y14+'35'!Y14+'36'!Y14+'37'!Y14+'38'!Y14+'39'!Y14+'40'!Y14+'41'!Y14+'42'!Y14</f>
        <v>836229455</v>
      </c>
      <c r="Y8" s="139">
        <f>'1'!Z14+'2'!Z14+'3'!Z14+'4'!Z14+'5'!Z14+'6'!Z14+'7'!Z14+'8'!Z14+'9'!Z14+'10'!Z14+'11'!Z14+'12'!Z14+'13'!Z14+'14'!Z14+'15'!Z14+'16'!Z14+'17'!Z14+'18'!Z14+'19'!Z14+'20'!Z14+'21'!Z14+'22'!Z14+'23'!Z14+'24'!Z14+'25'!Z14+'26'!Z14+'27'!Z14+'28'!Z14+'29'!Z14+'30'!Z14+'31'!Z14+'32'!Z14+'33'!Z14+'34'!Z14+'35'!Z14+'36'!Z14+'37'!Z14+'38'!Z14+'39'!Z14+'40'!Z14+'41'!Z14+'42'!Z14</f>
        <v>8293928542</v>
      </c>
      <c r="Z8" s="139">
        <f>'1'!AA14+'2'!AA14+'3'!AA14+'4'!AA14+'5'!AA14+'6'!AA14+'7'!AA14+'8'!AA14+'9'!AA14+'10'!AA14+'11'!AA14+'12'!AA14+'13'!AA14+'14'!AA14+'15'!AA14+'16'!AA14+'17'!AA14+'18'!AA14+'19'!AA14+'20'!AA14+'21'!AA14+'22'!AA14+'23'!AA14+'24'!AA14+'25'!AA14+'26'!AA14+'27'!AA14+'28'!AA14+'29'!AA14+'30'!AA14+'31'!AA14+'32'!AA14+'33'!AA14+'34'!AA14+'35'!AA14+'36'!AA14+'37'!AA14+'38'!AA14+'39'!AA14+'40'!AA14+'41'!AA14+'42'!AA14</f>
        <v>1496633756</v>
      </c>
      <c r="AA8" s="139">
        <f>'1'!AB14+'2'!AB14+'3'!AB14+'4'!AB14+'5'!AB14+'6'!AB14+'7'!AB14+'8'!AB14+'9'!AB14+'10'!AB14+'11'!AB14+'12'!AB14+'13'!AB14+'14'!AB14+'15'!AB14+'16'!AB14+'17'!AB14+'18'!AB14+'19'!AB14+'20'!AB14+'21'!AB14+'22'!AB14+'23'!AB14+'24'!AB14+'25'!AB14+'26'!AB14+'27'!AB14+'28'!AB14+'29'!AB14+'30'!AB14+'31'!AB14+'32'!AB14+'33'!AB14+'34'!AB14+'35'!AB14+'36'!AB14+'37'!AB14+'38'!AB14+'39'!AB14+'40'!AB14+'41'!AB14+'42'!AB14</f>
        <v>-211171530</v>
      </c>
      <c r="AB8" s="139">
        <f>'1'!AC14+'2'!AC14+'3'!AC14+'4'!AC14+'5'!AC14+'6'!AC14+'7'!AC14+'8'!AC14+'9'!AC14+'10'!AC14+'11'!AC14+'12'!AC14+'13'!AC14+'14'!AC14+'15'!AC14+'16'!AC14+'17'!AC14+'18'!AC14+'19'!AC14+'20'!AC14+'21'!AC14+'22'!AC14+'23'!AC14+'24'!AC14+'25'!AC14+'26'!AC14+'27'!AC14+'28'!AC14+'29'!AC14+'30'!AC14+'31'!AC14+'32'!AC14+'33'!AC14+'34'!AC14+'35'!AC14+'36'!AC14+'37'!AC14+'38'!AC14+'39'!AC14+'40'!AC14+'41'!AC14+'42'!AC14</f>
        <v>6719889552</v>
      </c>
      <c r="AC8" s="139">
        <f>'1'!AD14+'2'!AD14+'3'!AD14+'4'!AD14+'5'!AD14+'6'!AD14+'7'!AD14+'8'!AD14+'9'!AD14+'10'!AD14+'11'!AD14+'12'!AD14+'13'!AD14+'14'!AD14+'15'!AD14+'16'!AD14+'17'!AD14+'18'!AD14+'19'!AD14+'20'!AD14+'21'!AD14+'22'!AD14+'23'!AD14+'24'!AD14+'25'!AD14+'26'!AD14+'27'!AD14+'28'!AD14+'29'!AD14+'30'!AD14+'31'!AD14+'32'!AD14+'33'!AD14+'34'!AD14+'35'!AD14+'36'!AD14+'37'!AD14+'38'!AD14+'39'!AD14+'40'!AD14+'41'!AD14+'42'!AD14</f>
        <v>784655392</v>
      </c>
      <c r="AD8" s="139">
        <f>'1'!AE14+'2'!AE14+'3'!AE14+'4'!AE14+'5'!AE14+'6'!AE14+'7'!AE14+'8'!AE14+'9'!AE14+'10'!AE14+'11'!AE14+'12'!AE14+'13'!AE14+'14'!AE14+'15'!AE14+'16'!AE14+'17'!AE14+'18'!AE14+'19'!AE14+'20'!AE14+'21'!AE14+'22'!AE14+'23'!AE14+'24'!AE14+'25'!AE14+'26'!AE14+'27'!AE14+'28'!AE14+'29'!AE14+'30'!AE14+'31'!AE14+'32'!AE14+'33'!AE14+'34'!AE14+'35'!AE14+'36'!AE14+'37'!AE14+'38'!AE14+'39'!AE14+'40'!AE14+'41'!AE14+'42'!AE14</f>
        <v>15265427605</v>
      </c>
      <c r="AE8" s="139">
        <f>'1'!AF14+'2'!AF14+'3'!AF14+'4'!AF14+'5'!AF14+'6'!AF14+'7'!AF14+'8'!AF14+'9'!AF14+'10'!AF14+'11'!AF14+'12'!AF14+'13'!AF14+'14'!AF14+'15'!AF14+'16'!AF14+'17'!AF14+'18'!AF14+'19'!AF14+'20'!AF14+'21'!AF14+'22'!AF14+'23'!AF14+'24'!AF14+'25'!AF14+'26'!AF14+'27'!AF14+'28'!AF14+'29'!AF14+'30'!AF14+'31'!AF14+'32'!AF14+'33'!AF14+'34'!AF14+'35'!AF14+'36'!AF14+'37'!AF14+'38'!AF14+'39'!AF14+'40'!AF14+'41'!AF14+'42'!AF14</f>
        <v>1514794622</v>
      </c>
      <c r="AF8" s="139">
        <f>'1'!AG14+'2'!AG14+'3'!AG14+'4'!AG14+'5'!AG14+'6'!AG14+'7'!AG14+'8'!AG14+'9'!AG14+'10'!AG14+'11'!AG14+'12'!AG14+'13'!AG14+'14'!AG14+'15'!AG14+'16'!AG14+'17'!AG14+'18'!AG14+'19'!AG14+'20'!AG14+'21'!AG14+'22'!AG14+'23'!AG14+'24'!AG14+'25'!AG14+'26'!AG14+'27'!AG14+'28'!AG14+'29'!AG14+'30'!AG14+'31'!AG14+'32'!AG14+'33'!AG14+'34'!AG14+'35'!AG14+'36'!AG14+'37'!AG14+'38'!AG14+'39'!AG14+'40'!AG14+'41'!AG14+'42'!AG14</f>
        <v>4374284672</v>
      </c>
      <c r="AG8" s="139">
        <f>'1'!AH14+'2'!AH14+'3'!AH14+'4'!AH14+'5'!AH14+'6'!AH14+'7'!AH14+'8'!AH14+'9'!AH14+'10'!AH14+'11'!AH14+'12'!AH14+'13'!AH14+'14'!AH14+'15'!AH14+'16'!AH14+'17'!AH14+'18'!AH14+'19'!AH14+'20'!AH14+'21'!AH14+'22'!AH14+'23'!AH14+'24'!AH14+'25'!AH14+'26'!AH14+'27'!AH14+'28'!AH14+'29'!AH14+'30'!AH14+'31'!AH14+'32'!AH14+'33'!AH14+'34'!AH14+'35'!AH14+'36'!AH14+'37'!AH14+'38'!AH14+'39'!AH14+'40'!AH14+'41'!AH14+'42'!AH14</f>
        <v>7530525040</v>
      </c>
      <c r="AH8" s="139">
        <f>'1'!AI14+'2'!AI14+'3'!AI14+'4'!AI14+'5'!AI14+'6'!AI14+'7'!AI14+'8'!AI14+'9'!AI14+'10'!AI14+'11'!AI14+'12'!AI14+'13'!AI14+'14'!AI14+'15'!AI14+'16'!AI14+'17'!AI14+'18'!AI14+'19'!AI14+'20'!AI14+'21'!AI14+'22'!AI14+'23'!AI14+'24'!AI14+'25'!AI14+'26'!AI14+'27'!AI14+'28'!AI14+'29'!AI14+'30'!AI14+'31'!AI14+'32'!AI14+'33'!AI14+'34'!AI14+'35'!AI14+'36'!AI14+'37'!AI14+'38'!AI14+'39'!AI14+'40'!AI14+'41'!AI14+'42'!AI14</f>
        <v>5261299778</v>
      </c>
      <c r="AI8" s="139">
        <f>'1'!AJ14+'2'!AJ14+'3'!AJ14+'4'!AJ14+'5'!AJ14+'6'!AJ14+'7'!AJ14+'8'!AJ14+'9'!AJ14+'10'!AJ14+'11'!AJ14+'12'!AJ14+'13'!AJ14+'14'!AJ14+'15'!AJ14+'16'!AJ14+'17'!AJ14+'18'!AJ14+'19'!AJ14+'20'!AJ14+'21'!AJ14+'22'!AJ14+'23'!AJ14+'24'!AJ14+'25'!AJ14+'26'!AJ14+'27'!AJ14+'28'!AJ14+'29'!AJ14+'30'!AJ14+'31'!AJ14+'32'!AJ14+'33'!AJ14+'34'!AJ14+'35'!AJ14+'36'!AJ14+'37'!AJ14+'38'!AJ14+'39'!AJ14+'40'!AJ14+'41'!AJ14+'42'!AJ14</f>
        <v>4286866700</v>
      </c>
      <c r="AJ8" s="139">
        <f>'1'!AK14+'2'!AK14+'3'!AK14+'4'!AK14+'5'!AK14+'6'!AK14+'7'!AK14+'8'!AK14+'9'!AK14+'10'!AK14+'11'!AK14+'12'!AK14+'13'!AK14+'14'!AK14+'15'!AK14+'16'!AK14+'17'!AK14+'18'!AK14+'19'!AK14+'20'!AK14+'21'!AK14+'22'!AK14+'23'!AK14+'24'!AK14+'25'!AK14+'26'!AK14+'27'!AK14+'28'!AK14+'29'!AK14+'30'!AK14+'31'!AK14+'32'!AK14+'33'!AK14+'34'!AK14+'35'!AK14+'36'!AK14+'37'!AK14+'38'!AK14+'39'!AK14+'40'!AK14+'41'!AK14+'42'!AK14</f>
        <v>1786585903</v>
      </c>
      <c r="AK8" s="139">
        <f>'1'!AL14+'2'!AL14+'3'!AL14+'4'!AL14+'5'!AL14+'6'!AL14+'7'!AL14+'8'!AL14+'9'!AL14+'10'!AL14+'11'!AL14+'12'!AL14+'13'!AL14+'14'!AL14+'15'!AL14+'16'!AL14+'17'!AL14+'18'!AL14+'19'!AL14+'20'!AL14+'21'!AL14+'22'!AL14+'23'!AL14+'24'!AL14+'25'!AL14+'26'!AL14+'27'!AL14+'28'!AL14+'29'!AL14+'30'!AL14+'31'!AL14+'32'!AL14+'33'!AL14+'34'!AL14+'35'!AL14+'36'!AL14+'37'!AL14+'38'!AL14+'39'!AL14+'40'!AL14+'41'!AL14+'42'!AL14</f>
        <v>10527951899</v>
      </c>
      <c r="AL8" s="110" t="s">
        <v>3</v>
      </c>
    </row>
    <row r="9" spans="1:39" s="116" customFormat="1" ht="16.5" customHeight="1" x14ac:dyDescent="0.2">
      <c r="A9" s="648" t="s">
        <v>4</v>
      </c>
      <c r="B9" s="648"/>
      <c r="C9" s="113" t="s">
        <v>5</v>
      </c>
      <c r="D9" s="650" t="s">
        <v>6</v>
      </c>
      <c r="E9" s="650"/>
      <c r="F9" s="650"/>
      <c r="G9" s="647" t="s">
        <v>7</v>
      </c>
      <c r="H9" s="647" t="s">
        <v>8</v>
      </c>
      <c r="I9" s="647" t="s">
        <v>9</v>
      </c>
      <c r="J9" s="647" t="s">
        <v>10</v>
      </c>
      <c r="K9" s="647" t="s">
        <v>11</v>
      </c>
      <c r="L9" s="647" t="s">
        <v>12</v>
      </c>
      <c r="M9" s="647" t="s">
        <v>895</v>
      </c>
      <c r="N9" s="647" t="s">
        <v>14</v>
      </c>
      <c r="O9" s="113" t="s">
        <v>15</v>
      </c>
      <c r="P9" s="648" t="s">
        <v>16</v>
      </c>
      <c r="Q9" s="648"/>
      <c r="R9" s="648"/>
      <c r="S9" s="648"/>
      <c r="T9" s="648"/>
      <c r="U9" s="648"/>
      <c r="V9" s="648"/>
      <c r="W9" s="648"/>
      <c r="X9" s="648"/>
      <c r="Y9" s="648"/>
      <c r="Z9" s="114"/>
      <c r="AA9" s="114"/>
      <c r="AB9" s="649" t="s">
        <v>17</v>
      </c>
      <c r="AC9" s="649"/>
      <c r="AD9" s="649"/>
      <c r="AE9" s="649"/>
      <c r="AF9" s="649"/>
      <c r="AG9" s="649"/>
      <c r="AH9" s="649"/>
      <c r="AI9" s="649"/>
      <c r="AJ9" s="649"/>
      <c r="AK9" s="649"/>
      <c r="AL9" s="649"/>
      <c r="AM9" s="115"/>
    </row>
    <row r="10" spans="1:39" s="116" customFormat="1" ht="21" customHeight="1" x14ac:dyDescent="0.2">
      <c r="A10" s="648"/>
      <c r="B10" s="648"/>
      <c r="C10" s="117" t="s">
        <v>18</v>
      </c>
      <c r="D10" s="118"/>
      <c r="E10" s="649" t="s">
        <v>19</v>
      </c>
      <c r="F10" s="649"/>
      <c r="G10" s="647"/>
      <c r="H10" s="647"/>
      <c r="I10" s="647"/>
      <c r="J10" s="647"/>
      <c r="K10" s="647"/>
      <c r="L10" s="647"/>
      <c r="M10" s="647"/>
      <c r="N10" s="647"/>
      <c r="O10" s="117" t="s">
        <v>18</v>
      </c>
      <c r="P10" s="648"/>
      <c r="Q10" s="648"/>
      <c r="R10" s="648"/>
      <c r="S10" s="648"/>
      <c r="T10" s="648"/>
      <c r="U10" s="648"/>
      <c r="V10" s="648"/>
      <c r="W10" s="648"/>
      <c r="X10" s="648"/>
      <c r="Y10" s="648"/>
      <c r="Z10" s="119"/>
      <c r="AA10" s="119"/>
      <c r="AB10" s="649"/>
      <c r="AC10" s="649"/>
      <c r="AD10" s="649"/>
      <c r="AE10" s="649"/>
      <c r="AF10" s="649"/>
      <c r="AG10" s="649"/>
      <c r="AH10" s="649"/>
      <c r="AI10" s="649"/>
      <c r="AJ10" s="649"/>
      <c r="AK10" s="649"/>
      <c r="AL10" s="649"/>
      <c r="AM10" s="115"/>
    </row>
    <row r="11" spans="1:39" s="116" customFormat="1" ht="103.5" customHeight="1" x14ac:dyDescent="0.2">
      <c r="A11" s="648"/>
      <c r="B11" s="648"/>
      <c r="C11" s="120" t="s">
        <v>20</v>
      </c>
      <c r="D11" s="121" t="s">
        <v>21</v>
      </c>
      <c r="E11" s="122" t="s">
        <v>22</v>
      </c>
      <c r="F11" s="122" t="s">
        <v>23</v>
      </c>
      <c r="G11" s="647"/>
      <c r="H11" s="647"/>
      <c r="I11" s="647"/>
      <c r="J11" s="647"/>
      <c r="K11" s="647"/>
      <c r="L11" s="647"/>
      <c r="M11" s="647"/>
      <c r="N11" s="647"/>
      <c r="O11" s="120" t="s">
        <v>24</v>
      </c>
      <c r="P11" s="122" t="s">
        <v>25</v>
      </c>
      <c r="Q11" s="122" t="s">
        <v>26</v>
      </c>
      <c r="R11" s="122" t="s">
        <v>27</v>
      </c>
      <c r="S11" s="122" t="s">
        <v>12</v>
      </c>
      <c r="T11" s="122" t="s">
        <v>28</v>
      </c>
      <c r="U11" s="122" t="s">
        <v>29</v>
      </c>
      <c r="V11" s="122" t="s">
        <v>30</v>
      </c>
      <c r="W11" s="122" t="s">
        <v>31</v>
      </c>
      <c r="X11" s="122" t="s">
        <v>32</v>
      </c>
      <c r="Y11" s="122" t="s">
        <v>33</v>
      </c>
      <c r="Z11" s="121" t="s">
        <v>34</v>
      </c>
      <c r="AA11" s="121" t="s">
        <v>35</v>
      </c>
      <c r="AB11" s="122" t="s">
        <v>36</v>
      </c>
      <c r="AC11" s="122" t="s">
        <v>37</v>
      </c>
      <c r="AD11" s="122" t="s">
        <v>38</v>
      </c>
      <c r="AE11" s="122" t="s">
        <v>39</v>
      </c>
      <c r="AF11" s="122" t="s">
        <v>40</v>
      </c>
      <c r="AG11" s="122" t="s">
        <v>41</v>
      </c>
      <c r="AH11" s="122" t="s">
        <v>896</v>
      </c>
      <c r="AI11" s="122" t="s">
        <v>43</v>
      </c>
      <c r="AJ11" s="122" t="s">
        <v>44</v>
      </c>
      <c r="AK11" s="122" t="s">
        <v>45</v>
      </c>
      <c r="AL11" s="123" t="s">
        <v>32</v>
      </c>
      <c r="AM11" s="115"/>
    </row>
    <row r="12" spans="1:39" s="116" customFormat="1" x14ac:dyDescent="0.2">
      <c r="A12" s="648"/>
      <c r="B12" s="648"/>
      <c r="C12" s="124" t="s">
        <v>46</v>
      </c>
      <c r="D12" s="124" t="s">
        <v>47</v>
      </c>
      <c r="E12" s="124" t="s">
        <v>48</v>
      </c>
      <c r="F12" s="124" t="s">
        <v>49</v>
      </c>
      <c r="G12" s="124" t="s">
        <v>50</v>
      </c>
      <c r="H12" s="124" t="s">
        <v>51</v>
      </c>
      <c r="I12" s="124" t="s">
        <v>52</v>
      </c>
      <c r="J12" s="124" t="s">
        <v>53</v>
      </c>
      <c r="K12" s="124" t="s">
        <v>54</v>
      </c>
      <c r="L12" s="124" t="s">
        <v>55</v>
      </c>
      <c r="M12" s="124" t="s">
        <v>897</v>
      </c>
      <c r="N12" s="124"/>
      <c r="O12" s="124" t="s">
        <v>56</v>
      </c>
      <c r="P12" s="124" t="s">
        <v>57</v>
      </c>
      <c r="Q12" s="124">
        <v>20</v>
      </c>
      <c r="R12" s="124">
        <v>30</v>
      </c>
      <c r="S12" s="124" t="s">
        <v>58</v>
      </c>
      <c r="T12" s="124">
        <v>51</v>
      </c>
      <c r="U12" s="124" t="s">
        <v>59</v>
      </c>
      <c r="V12" s="124">
        <v>56</v>
      </c>
      <c r="W12" s="124" t="s">
        <v>60</v>
      </c>
      <c r="X12" s="124">
        <v>59</v>
      </c>
      <c r="Y12" s="124">
        <v>70</v>
      </c>
      <c r="Z12" s="124">
        <v>79</v>
      </c>
      <c r="AA12" s="124">
        <v>84</v>
      </c>
      <c r="AB12" s="124" t="s">
        <v>56</v>
      </c>
      <c r="AC12" s="124" t="s">
        <v>61</v>
      </c>
      <c r="AD12" s="124" t="s">
        <v>62</v>
      </c>
      <c r="AE12" s="124" t="s">
        <v>63</v>
      </c>
      <c r="AF12" s="124" t="s">
        <v>64</v>
      </c>
      <c r="AG12" s="124" t="s">
        <v>65</v>
      </c>
      <c r="AH12" s="124" t="s">
        <v>898</v>
      </c>
      <c r="AI12" s="124" t="s">
        <v>78</v>
      </c>
      <c r="AJ12" s="124" t="s">
        <v>67</v>
      </c>
      <c r="AK12" s="124" t="s">
        <v>68</v>
      </c>
      <c r="AL12" s="125"/>
      <c r="AM12" s="115"/>
    </row>
    <row r="13" spans="1:39" s="116" customFormat="1" x14ac:dyDescent="0.2">
      <c r="A13" s="651" t="s">
        <v>69</v>
      </c>
      <c r="B13" s="651"/>
      <c r="C13" s="126">
        <v>1</v>
      </c>
      <c r="D13" s="126">
        <v>2</v>
      </c>
      <c r="E13" s="126">
        <v>3</v>
      </c>
      <c r="F13" s="126">
        <v>4</v>
      </c>
      <c r="G13" s="126">
        <v>5</v>
      </c>
      <c r="H13" s="126">
        <v>6</v>
      </c>
      <c r="I13" s="126">
        <v>7</v>
      </c>
      <c r="J13" s="126">
        <v>8</v>
      </c>
      <c r="K13" s="126">
        <v>9</v>
      </c>
      <c r="L13" s="126">
        <v>10</v>
      </c>
      <c r="M13" s="126">
        <v>11</v>
      </c>
      <c r="N13" s="126">
        <v>12</v>
      </c>
      <c r="O13" s="126">
        <v>13</v>
      </c>
      <c r="P13" s="126">
        <v>14</v>
      </c>
      <c r="Q13" s="126">
        <v>15</v>
      </c>
      <c r="R13" s="126">
        <v>16</v>
      </c>
      <c r="S13" s="126">
        <v>17</v>
      </c>
      <c r="T13" s="126">
        <v>18</v>
      </c>
      <c r="U13" s="126">
        <v>19</v>
      </c>
      <c r="V13" s="126">
        <v>20</v>
      </c>
      <c r="W13" s="126">
        <v>21</v>
      </c>
      <c r="X13" s="126">
        <v>22</v>
      </c>
      <c r="Y13" s="126">
        <v>23</v>
      </c>
      <c r="Z13" s="126">
        <v>24</v>
      </c>
      <c r="AA13" s="126">
        <v>25</v>
      </c>
      <c r="AB13" s="126">
        <v>26</v>
      </c>
      <c r="AC13" s="126">
        <v>27</v>
      </c>
      <c r="AD13" s="126">
        <v>28</v>
      </c>
      <c r="AE13" s="126">
        <v>29</v>
      </c>
      <c r="AF13" s="126">
        <v>30</v>
      </c>
      <c r="AG13" s="126">
        <v>31</v>
      </c>
      <c r="AH13" s="126">
        <v>32</v>
      </c>
      <c r="AI13" s="126">
        <v>33</v>
      </c>
      <c r="AJ13" s="126">
        <v>34</v>
      </c>
      <c r="AK13" s="126">
        <v>35</v>
      </c>
      <c r="AL13" s="127">
        <v>36</v>
      </c>
      <c r="AM13" s="115"/>
    </row>
    <row r="14" spans="1:39" s="130" customFormat="1" ht="25.5" customHeight="1" x14ac:dyDescent="0.2">
      <c r="A14" s="652" t="s">
        <v>21</v>
      </c>
      <c r="B14" s="652"/>
      <c r="C14" s="128">
        <f>SUM(C15:C56)</f>
        <v>61462942941</v>
      </c>
      <c r="D14" s="128">
        <f t="shared" ref="D14:AL14" si="0">SUM(D15:D56)</f>
        <v>26582371600</v>
      </c>
      <c r="E14" s="128">
        <f t="shared" si="0"/>
        <v>13502178535</v>
      </c>
      <c r="F14" s="128">
        <f t="shared" si="0"/>
        <v>3611249859</v>
      </c>
      <c r="G14" s="128">
        <f t="shared" si="0"/>
        <v>2315038722</v>
      </c>
      <c r="H14" s="128">
        <f t="shared" si="0"/>
        <v>13547800716</v>
      </c>
      <c r="I14" s="128">
        <f t="shared" si="0"/>
        <v>787374414</v>
      </c>
      <c r="J14" s="128">
        <f t="shared" si="0"/>
        <v>4575819330</v>
      </c>
      <c r="K14" s="128">
        <f t="shared" si="0"/>
        <v>0</v>
      </c>
      <c r="L14" s="128">
        <f t="shared" si="0"/>
        <v>7883591656</v>
      </c>
      <c r="M14" s="128">
        <f t="shared" si="0"/>
        <v>5345375027</v>
      </c>
      <c r="N14" s="128">
        <f t="shared" si="0"/>
        <v>425571476</v>
      </c>
      <c r="O14" s="128">
        <f t="shared" si="0"/>
        <v>59048519124</v>
      </c>
      <c r="P14" s="128">
        <f t="shared" si="0"/>
        <v>16893371543</v>
      </c>
      <c r="Q14" s="128">
        <f t="shared" si="0"/>
        <v>12003723096</v>
      </c>
      <c r="R14" s="128">
        <f t="shared" si="0"/>
        <v>544819110</v>
      </c>
      <c r="S14" s="128">
        <f t="shared" si="0"/>
        <v>2087806033</v>
      </c>
      <c r="T14" s="128">
        <f t="shared" si="0"/>
        <v>3295926196</v>
      </c>
      <c r="U14" s="128">
        <f t="shared" si="0"/>
        <v>600243152</v>
      </c>
      <c r="V14" s="128">
        <f t="shared" si="0"/>
        <v>9376755494</v>
      </c>
      <c r="W14" s="128">
        <f t="shared" si="0"/>
        <v>3830254277</v>
      </c>
      <c r="X14" s="128">
        <f t="shared" si="0"/>
        <v>836229455</v>
      </c>
      <c r="Y14" s="128">
        <f t="shared" si="0"/>
        <v>8293928542</v>
      </c>
      <c r="Z14" s="128">
        <f t="shared" si="0"/>
        <v>1496633756</v>
      </c>
      <c r="AA14" s="128">
        <f t="shared" si="0"/>
        <v>-211171530</v>
      </c>
      <c r="AB14" s="128">
        <f t="shared" si="0"/>
        <v>6719889552</v>
      </c>
      <c r="AC14" s="128">
        <f t="shared" si="0"/>
        <v>784655392</v>
      </c>
      <c r="AD14" s="128">
        <f t="shared" si="0"/>
        <v>15265427605</v>
      </c>
      <c r="AE14" s="128">
        <f t="shared" si="0"/>
        <v>1514794622</v>
      </c>
      <c r="AF14" s="128">
        <f t="shared" si="0"/>
        <v>4374284672</v>
      </c>
      <c r="AG14" s="128">
        <f t="shared" si="0"/>
        <v>7530525040</v>
      </c>
      <c r="AH14" s="128">
        <f t="shared" si="0"/>
        <v>5261299778</v>
      </c>
      <c r="AI14" s="128">
        <f t="shared" si="0"/>
        <v>4286866700</v>
      </c>
      <c r="AJ14" s="128">
        <f t="shared" si="0"/>
        <v>1786585903</v>
      </c>
      <c r="AK14" s="128">
        <f t="shared" si="0"/>
        <v>10527951899</v>
      </c>
      <c r="AL14" s="128">
        <f t="shared" si="0"/>
        <v>996237961</v>
      </c>
      <c r="AM14" s="129"/>
    </row>
    <row r="15" spans="1:39" s="130" customFormat="1" ht="25.5" customHeight="1" x14ac:dyDescent="0.2">
      <c r="A15" s="131">
        <v>1</v>
      </c>
      <c r="B15" s="132" t="s">
        <v>899</v>
      </c>
      <c r="C15" s="128">
        <f>'total COMUNE'!C15+totalORASE!C15+'total MUNICIPII'!C15+totalCJ!C15</f>
        <v>1102402336</v>
      </c>
      <c r="D15" s="128">
        <f>'total COMUNE'!D15+totalORASE!D15+'total MUNICIPII'!D15+totalCJ!D15</f>
        <v>375405646</v>
      </c>
      <c r="E15" s="128">
        <f>'total COMUNE'!E15+totalORASE!E15+'total MUNICIPII'!E15+totalCJ!E15</f>
        <v>177401610</v>
      </c>
      <c r="F15" s="128">
        <f>'total COMUNE'!F15+totalORASE!F15+'total MUNICIPII'!F15+totalCJ!F15</f>
        <v>61923211</v>
      </c>
      <c r="G15" s="128">
        <f>'total COMUNE'!G15+totalORASE!G15+'total MUNICIPII'!G15+totalCJ!G15</f>
        <v>52542986</v>
      </c>
      <c r="H15" s="128">
        <f>'total COMUNE'!H15+totalORASE!H15+'total MUNICIPII'!H15+totalCJ!H15</f>
        <v>243100169</v>
      </c>
      <c r="I15" s="128">
        <f>'total COMUNE'!I15+totalORASE!I15+'total MUNICIPII'!I15+totalCJ!I15</f>
        <v>19539351</v>
      </c>
      <c r="J15" s="128">
        <f>'total COMUNE'!J15+totalORASE!J15+'total MUNICIPII'!J15+totalCJ!J15</f>
        <v>107805550</v>
      </c>
      <c r="K15" s="128">
        <f>'total COMUNE'!K15+totalORASE!K15+'total MUNICIPII'!K15+totalCJ!K15</f>
        <v>0</v>
      </c>
      <c r="L15" s="128">
        <f>'total COMUNE'!L15+totalORASE!L15+'total MUNICIPII'!L15+totalCJ!L15</f>
        <v>173833035</v>
      </c>
      <c r="M15" s="128">
        <f>'total COMUNE'!M15+totalORASE!M15+'total MUNICIPII'!M15+totalCJ!M15</f>
        <v>121063084</v>
      </c>
      <c r="N15" s="128">
        <f>'total COMUNE'!N15+totalORASE!N15+'total MUNICIPII'!N15+totalCJ!N15</f>
        <v>9112515</v>
      </c>
      <c r="O15" s="128">
        <f>'total COMUNE'!O15+totalORASE!O15+'total MUNICIPII'!O15+totalCJ!O15</f>
        <v>1047200019</v>
      </c>
      <c r="P15" s="128">
        <f>'total COMUNE'!P15+totalORASE!P15+'total MUNICIPII'!P15+totalCJ!P15</f>
        <v>309025028</v>
      </c>
      <c r="Q15" s="128">
        <f>'total COMUNE'!Q15+totalORASE!Q15+'total MUNICIPII'!Q15+totalCJ!Q15</f>
        <v>175842708</v>
      </c>
      <c r="R15" s="128">
        <f>'total COMUNE'!R15+totalORASE!R15+'total MUNICIPII'!R15+totalCJ!R15</f>
        <v>7190413</v>
      </c>
      <c r="S15" s="128">
        <f>'total COMUNE'!S15+totalORASE!S15+'total MUNICIPII'!S15+totalCJ!S15</f>
        <v>478550</v>
      </c>
      <c r="T15" s="128">
        <f>'total COMUNE'!T15+totalORASE!T15+'total MUNICIPII'!T15+totalCJ!T15</f>
        <v>52822886</v>
      </c>
      <c r="U15" s="128">
        <f>'total COMUNE'!U15+totalORASE!U15+'total MUNICIPII'!U15+totalCJ!U15</f>
        <v>19399987</v>
      </c>
      <c r="V15" s="128">
        <f>'total COMUNE'!V15+totalORASE!V15+'total MUNICIPII'!V15+totalCJ!V15</f>
        <v>198852118</v>
      </c>
      <c r="W15" s="128">
        <f>'total COMUNE'!W15+totalORASE!W15+'total MUNICIPII'!W15+totalCJ!W15</f>
        <v>84229455</v>
      </c>
      <c r="X15" s="128">
        <f>'total COMUNE'!X15+totalORASE!X15+'total MUNICIPII'!X15+totalCJ!X15</f>
        <v>23773978</v>
      </c>
      <c r="Y15" s="128">
        <f>'total COMUNE'!Y15+totalORASE!Y15+'total MUNICIPII'!Y15+totalCJ!Y15</f>
        <v>148028510</v>
      </c>
      <c r="Z15" s="128">
        <f>'total COMUNE'!Z15+totalORASE!Z15+'total MUNICIPII'!Z15+totalCJ!Z15</f>
        <v>29372805</v>
      </c>
      <c r="AA15" s="128">
        <f>'total COMUNE'!AA15+totalORASE!AA15+'total MUNICIPII'!AA15+totalCJ!AA15</f>
        <v>-1816419</v>
      </c>
      <c r="AB15" s="128">
        <f>'total COMUNE'!AB15+totalORASE!AB15+'total MUNICIPII'!AB15+totalCJ!AB15</f>
        <v>118937628</v>
      </c>
      <c r="AC15" s="128">
        <f>'total COMUNE'!AC15+totalORASE!AC15+'total MUNICIPII'!AC15+totalCJ!AC15</f>
        <v>16572838</v>
      </c>
      <c r="AD15" s="128">
        <f>'total COMUNE'!AD15+totalORASE!AD15+'total MUNICIPII'!AD15+totalCJ!AD15</f>
        <v>278068679</v>
      </c>
      <c r="AE15" s="128">
        <f>'total COMUNE'!AE15+totalORASE!AE15+'total MUNICIPII'!AE15+totalCJ!AE15</f>
        <v>23433813</v>
      </c>
      <c r="AF15" s="128">
        <f>'total COMUNE'!AF15+totalORASE!AF15+'total MUNICIPII'!AF15+totalCJ!AF15</f>
        <v>75042131</v>
      </c>
      <c r="AG15" s="128">
        <f>'total COMUNE'!AG15+totalORASE!AG15+'total MUNICIPII'!AG15+totalCJ!AG15</f>
        <v>150160113</v>
      </c>
      <c r="AH15" s="128">
        <f>'total COMUNE'!AH15+totalORASE!AH15+'total MUNICIPII'!AH15+totalCJ!AH15</f>
        <v>91083851</v>
      </c>
      <c r="AI15" s="128">
        <f>'total COMUNE'!AI15+totalORASE!AI15+'total MUNICIPII'!AI15+totalCJ!AI15</f>
        <v>104968882</v>
      </c>
      <c r="AJ15" s="128">
        <f>'total COMUNE'!AJ15+totalORASE!AJ15+'total MUNICIPII'!AJ15+totalCJ!AJ15</f>
        <v>0</v>
      </c>
      <c r="AK15" s="128">
        <f>'total COMUNE'!AK15+totalORASE!AK15+'total MUNICIPII'!AK15+totalCJ!AK15</f>
        <v>180200552</v>
      </c>
      <c r="AL15" s="128">
        <f>'total COMUNE'!AL15+totalORASE!AL15+'total MUNICIPII'!AL15+totalCJ!AL15</f>
        <v>8731532</v>
      </c>
      <c r="AM15" s="129"/>
    </row>
    <row r="16" spans="1:39" s="130" customFormat="1" ht="25.5" customHeight="1" x14ac:dyDescent="0.2">
      <c r="A16" s="131">
        <v>2</v>
      </c>
      <c r="B16" s="132" t="s">
        <v>900</v>
      </c>
      <c r="C16" s="128">
        <f>'total COMUNE'!C16+totalORASE!C16+'total MUNICIPII'!C16+totalCJ!C16</f>
        <v>1241554023</v>
      </c>
      <c r="D16" s="128">
        <f>'total COMUNE'!D16+totalORASE!D16+'total MUNICIPII'!D16+totalCJ!D16</f>
        <v>619259913</v>
      </c>
      <c r="E16" s="128">
        <f>'total COMUNE'!E16+totalORASE!E16+'total MUNICIPII'!E16+totalCJ!E16</f>
        <v>267332363</v>
      </c>
      <c r="F16" s="128">
        <f>'total COMUNE'!F16+totalORASE!F16+'total MUNICIPII'!F16+totalCJ!F16</f>
        <v>93314118</v>
      </c>
      <c r="G16" s="128">
        <f>'total COMUNE'!G16+totalORASE!G16+'total MUNICIPII'!G16+totalCJ!G16</f>
        <v>50529390</v>
      </c>
      <c r="H16" s="128">
        <f>'total COMUNE'!H16+totalORASE!H16+'total MUNICIPII'!H16+totalCJ!H16</f>
        <v>260826959</v>
      </c>
      <c r="I16" s="128">
        <f>'total COMUNE'!I16+totalORASE!I16+'total MUNICIPII'!I16+totalCJ!I16</f>
        <v>18190479</v>
      </c>
      <c r="J16" s="128">
        <f>'total COMUNE'!J16+totalORASE!J16+'total MUNICIPII'!J16+totalCJ!J16</f>
        <v>64882860</v>
      </c>
      <c r="K16" s="128">
        <f>'total COMUNE'!K16+totalORASE!K16+'total MUNICIPII'!K16+totalCJ!K16</f>
        <v>0</v>
      </c>
      <c r="L16" s="128">
        <f>'total COMUNE'!L16+totalORASE!L16+'total MUNICIPII'!L16+totalCJ!L16</f>
        <v>134349206</v>
      </c>
      <c r="M16" s="128">
        <f>'total COMUNE'!M16+totalORASE!M16+'total MUNICIPII'!M16+totalCJ!M16</f>
        <v>83405539</v>
      </c>
      <c r="N16" s="128">
        <f>'total COMUNE'!N16+totalORASE!N16+'total MUNICIPII'!N16+totalCJ!N16</f>
        <v>10109677</v>
      </c>
      <c r="O16" s="128">
        <f>'total COMUNE'!O16+totalORASE!O16+'total MUNICIPII'!O16+totalCJ!O16</f>
        <v>1206240392</v>
      </c>
      <c r="P16" s="128">
        <f>'total COMUNE'!P16+totalORASE!P16+'total MUNICIPII'!P16+totalCJ!P16</f>
        <v>343785823</v>
      </c>
      <c r="Q16" s="128">
        <f>'total COMUNE'!Q16+totalORASE!Q16+'total MUNICIPII'!Q16+totalCJ!Q16</f>
        <v>272796164</v>
      </c>
      <c r="R16" s="128">
        <f>'total COMUNE'!R16+totalORASE!R16+'total MUNICIPII'!R16+totalCJ!R16</f>
        <v>6365936</v>
      </c>
      <c r="S16" s="128">
        <f>'total COMUNE'!S16+totalORASE!S16+'total MUNICIPII'!S16+totalCJ!S16</f>
        <v>37603059</v>
      </c>
      <c r="T16" s="128">
        <f>'total COMUNE'!T16+totalORASE!T16+'total MUNICIPII'!T16+totalCJ!T16</f>
        <v>107185671</v>
      </c>
      <c r="U16" s="128">
        <f>'total COMUNE'!U16+totalORASE!U16+'total MUNICIPII'!U16+totalCJ!U16</f>
        <v>21396934</v>
      </c>
      <c r="V16" s="128">
        <f>'total COMUNE'!V16+totalORASE!V16+'total MUNICIPII'!V16+totalCJ!V16</f>
        <v>136314992</v>
      </c>
      <c r="W16" s="128">
        <f>'total COMUNE'!W16+totalORASE!W16+'total MUNICIPII'!W16+totalCJ!W16</f>
        <v>30350441</v>
      </c>
      <c r="X16" s="128">
        <f>'total COMUNE'!X16+totalORASE!X16+'total MUNICIPII'!X16+totalCJ!X16</f>
        <v>17694792</v>
      </c>
      <c r="Y16" s="128">
        <f>'total COMUNE'!Y16+totalORASE!Y16+'total MUNICIPII'!Y16+totalCJ!Y16</f>
        <v>195785412</v>
      </c>
      <c r="Z16" s="128">
        <f>'total COMUNE'!Z16+totalORASE!Z16+'total MUNICIPII'!Z16+totalCJ!Z16</f>
        <v>40477611</v>
      </c>
      <c r="AA16" s="128">
        <f>'total COMUNE'!AA16+totalORASE!AA16+'total MUNICIPII'!AA16+totalCJ!AA16</f>
        <v>-3516443</v>
      </c>
      <c r="AB16" s="128">
        <f>'total COMUNE'!AB16+totalORASE!AB16+'total MUNICIPII'!AB16+totalCJ!AB16</f>
        <v>211561755</v>
      </c>
      <c r="AC16" s="128">
        <f>'total COMUNE'!AC16+totalORASE!AC16+'total MUNICIPII'!AC16+totalCJ!AC16</f>
        <v>13905526</v>
      </c>
      <c r="AD16" s="128">
        <f>'total COMUNE'!AD16+totalORASE!AD16+'total MUNICIPII'!AD16+totalCJ!AD16</f>
        <v>292627067</v>
      </c>
      <c r="AE16" s="128">
        <f>'total COMUNE'!AE16+totalORASE!AE16+'total MUNICIPII'!AE16+totalCJ!AE16</f>
        <v>15528690</v>
      </c>
      <c r="AF16" s="128">
        <f>'total COMUNE'!AF16+totalORASE!AF16+'total MUNICIPII'!AF16+totalCJ!AF16</f>
        <v>96131039</v>
      </c>
      <c r="AG16" s="128">
        <f>'total COMUNE'!AG16+totalORASE!AG16+'total MUNICIPII'!AG16+totalCJ!AG16</f>
        <v>144412123</v>
      </c>
      <c r="AH16" s="128">
        <f>'total COMUNE'!AH16+totalORASE!AH16+'total MUNICIPII'!AH16+totalCJ!AH16</f>
        <v>87368199</v>
      </c>
      <c r="AI16" s="128">
        <f>'total COMUNE'!AI16+totalORASE!AI16+'total MUNICIPII'!AI16+totalCJ!AI16</f>
        <v>58372163</v>
      </c>
      <c r="AJ16" s="128">
        <f>'total COMUNE'!AJ16+totalORASE!AJ16+'total MUNICIPII'!AJ16+totalCJ!AJ16</f>
        <v>33647415</v>
      </c>
      <c r="AK16" s="128">
        <f>'total COMUNE'!AK16+totalORASE!AK16+'total MUNICIPII'!AK16+totalCJ!AK16</f>
        <v>247102883</v>
      </c>
      <c r="AL16" s="128">
        <f>'total COMUNE'!AL16+totalORASE!AL16+'total MUNICIPII'!AL16+totalCJ!AL16</f>
        <v>5583532</v>
      </c>
      <c r="AM16" s="129"/>
    </row>
    <row r="17" spans="1:39" s="130" customFormat="1" ht="25.5" customHeight="1" x14ac:dyDescent="0.2">
      <c r="A17" s="131">
        <v>3</v>
      </c>
      <c r="B17" s="132" t="s">
        <v>901</v>
      </c>
      <c r="C17" s="128">
        <f>'total COMUNE'!C17+totalORASE!C17+'total MUNICIPII'!C17+totalCJ!C17</f>
        <v>1751840131</v>
      </c>
      <c r="D17" s="128">
        <f>'total COMUNE'!D17+totalORASE!D17+'total MUNICIPII'!D17+totalCJ!D17</f>
        <v>757702615</v>
      </c>
      <c r="E17" s="128">
        <f>'total COMUNE'!E17+totalORASE!E17+'total MUNICIPII'!E17+totalCJ!E17</f>
        <v>377996666</v>
      </c>
      <c r="F17" s="128">
        <f>'total COMUNE'!F17+totalORASE!F17+'total MUNICIPII'!F17+totalCJ!F17</f>
        <v>131942244</v>
      </c>
      <c r="G17" s="128">
        <f>'total COMUNE'!G17+totalORASE!G17+'total MUNICIPII'!G17+totalCJ!G17</f>
        <v>71929898</v>
      </c>
      <c r="H17" s="128">
        <f>'total COMUNE'!H17+totalORASE!H17+'total MUNICIPII'!H17+totalCJ!H17</f>
        <v>512264612</v>
      </c>
      <c r="I17" s="128">
        <f>'total COMUNE'!I17+totalORASE!I17+'total MUNICIPII'!I17+totalCJ!I17</f>
        <v>20105655</v>
      </c>
      <c r="J17" s="128">
        <f>'total COMUNE'!J17+totalORASE!J17+'total MUNICIPII'!J17+totalCJ!J17</f>
        <v>70033300</v>
      </c>
      <c r="K17" s="128">
        <f>'total COMUNE'!K17+totalORASE!K17+'total MUNICIPII'!K17+totalCJ!K17</f>
        <v>0</v>
      </c>
      <c r="L17" s="128">
        <f>'total COMUNE'!L17+totalORASE!L17+'total MUNICIPII'!L17+totalCJ!L17</f>
        <v>208983402</v>
      </c>
      <c r="M17" s="128">
        <f>'total COMUNE'!M17+totalORASE!M17+'total MUNICIPII'!M17+totalCJ!M17</f>
        <v>99377684</v>
      </c>
      <c r="N17" s="128">
        <f>'total COMUNE'!N17+totalORASE!N17+'total MUNICIPII'!N17+totalCJ!N17</f>
        <v>11442965</v>
      </c>
      <c r="O17" s="128">
        <f>'total COMUNE'!O17+totalORASE!O17+'total MUNICIPII'!O17+totalCJ!O17</f>
        <v>1687518160</v>
      </c>
      <c r="P17" s="128">
        <f>'total COMUNE'!P17+totalORASE!P17+'total MUNICIPII'!P17+totalCJ!P17</f>
        <v>620947653</v>
      </c>
      <c r="Q17" s="128">
        <f>'total COMUNE'!Q17+totalORASE!Q17+'total MUNICIPII'!Q17+totalCJ!Q17</f>
        <v>299152244</v>
      </c>
      <c r="R17" s="128">
        <f>'total COMUNE'!R17+totalORASE!R17+'total MUNICIPII'!R17+totalCJ!R17</f>
        <v>2693485</v>
      </c>
      <c r="S17" s="128">
        <f>'total COMUNE'!S17+totalORASE!S17+'total MUNICIPII'!S17+totalCJ!S17</f>
        <v>41614616</v>
      </c>
      <c r="T17" s="128">
        <f>'total COMUNE'!T17+totalORASE!T17+'total MUNICIPII'!T17+totalCJ!T17</f>
        <v>68753585</v>
      </c>
      <c r="U17" s="128">
        <f>'total COMUNE'!U17+totalORASE!U17+'total MUNICIPII'!U17+totalCJ!U17</f>
        <v>5282593</v>
      </c>
      <c r="V17" s="128">
        <f>'total COMUNE'!V17+totalORASE!V17+'total MUNICIPII'!V17+totalCJ!V17</f>
        <v>223772308</v>
      </c>
      <c r="W17" s="128">
        <f>'total COMUNE'!W17+totalORASE!W17+'total MUNICIPII'!W17+totalCJ!W17</f>
        <v>140666502</v>
      </c>
      <c r="X17" s="128">
        <f>'total COMUNE'!X17+totalORASE!X17+'total MUNICIPII'!X17+totalCJ!X17</f>
        <v>20028181</v>
      </c>
      <c r="Y17" s="128">
        <f>'total COMUNE'!Y17+totalORASE!Y17+'total MUNICIPII'!Y17+totalCJ!Y17</f>
        <v>251146199</v>
      </c>
      <c r="Z17" s="128">
        <f>'total COMUNE'!Z17+totalORASE!Z17+'total MUNICIPII'!Z17+totalCJ!Z17</f>
        <v>16525783</v>
      </c>
      <c r="AA17" s="128">
        <f>'total COMUNE'!AA17+totalORASE!AA17+'total MUNICIPII'!AA17+totalCJ!AA17</f>
        <v>-3064989</v>
      </c>
      <c r="AB17" s="128">
        <f>'total COMUNE'!AB17+totalORASE!AB17+'total MUNICIPII'!AB17+totalCJ!AB17</f>
        <v>162970559</v>
      </c>
      <c r="AC17" s="128">
        <f>'total COMUNE'!AC17+totalORASE!AC17+'total MUNICIPII'!AC17+totalCJ!AC17</f>
        <v>18289285</v>
      </c>
      <c r="AD17" s="128">
        <f>'total COMUNE'!AD17+totalORASE!AD17+'total MUNICIPII'!AD17+totalCJ!AD17</f>
        <v>563836086</v>
      </c>
      <c r="AE17" s="128">
        <f>'total COMUNE'!AE17+totalORASE!AE17+'total MUNICIPII'!AE17+totalCJ!AE17</f>
        <v>29946902</v>
      </c>
      <c r="AF17" s="128">
        <f>'total COMUNE'!AF17+totalORASE!AF17+'total MUNICIPII'!AF17+totalCJ!AF17</f>
        <v>121477651</v>
      </c>
      <c r="AG17" s="128">
        <f>'total COMUNE'!AG17+totalORASE!AG17+'total MUNICIPII'!AG17+totalCJ!AG17</f>
        <v>222754226</v>
      </c>
      <c r="AH17" s="128">
        <f>'total COMUNE'!AH17+totalORASE!AH17+'total MUNICIPII'!AH17+totalCJ!AH17</f>
        <v>190425684</v>
      </c>
      <c r="AI17" s="128">
        <f>'total COMUNE'!AI17+totalORASE!AI17+'total MUNICIPII'!AI17+totalCJ!AI17</f>
        <v>113477332</v>
      </c>
      <c r="AJ17" s="128">
        <f>'total COMUNE'!AJ17+totalORASE!AJ17+'total MUNICIPII'!AJ17+totalCJ!AJ17</f>
        <v>34853391</v>
      </c>
      <c r="AK17" s="128">
        <f>'total COMUNE'!AK17+totalORASE!AK17+'total MUNICIPII'!AK17+totalCJ!AK17</f>
        <v>215542493</v>
      </c>
      <c r="AL17" s="128">
        <f>'total COMUNE'!AL17+totalORASE!AL17+'total MUNICIPII'!AL17+totalCJ!AL17</f>
        <v>13944551</v>
      </c>
      <c r="AM17" s="129"/>
    </row>
    <row r="18" spans="1:39" s="130" customFormat="1" ht="25.5" customHeight="1" x14ac:dyDescent="0.2">
      <c r="A18" s="131">
        <v>4</v>
      </c>
      <c r="B18" s="132" t="s">
        <v>902</v>
      </c>
      <c r="C18" s="128">
        <f>'total COMUNE'!C18+totalORASE!C18+'total MUNICIPII'!C18+totalCJ!C18</f>
        <v>1543215676</v>
      </c>
      <c r="D18" s="128">
        <f>'total COMUNE'!D18+totalORASE!D18+'total MUNICIPII'!D18+totalCJ!D18</f>
        <v>491187174</v>
      </c>
      <c r="E18" s="128">
        <f>'total COMUNE'!E18+totalORASE!E18+'total MUNICIPII'!E18+totalCJ!E18</f>
        <v>212119132</v>
      </c>
      <c r="F18" s="128">
        <f>'total COMUNE'!F18+totalORASE!F18+'total MUNICIPII'!F18+totalCJ!F18</f>
        <v>74295097</v>
      </c>
      <c r="G18" s="128">
        <f>'total COMUNE'!G18+totalORASE!G18+'total MUNICIPII'!G18+totalCJ!G18</f>
        <v>77844748</v>
      </c>
      <c r="H18" s="128">
        <f>'total COMUNE'!H18+totalORASE!H18+'total MUNICIPII'!H18+totalCJ!H18</f>
        <v>427331412</v>
      </c>
      <c r="I18" s="128">
        <f>'total COMUNE'!I18+totalORASE!I18+'total MUNICIPII'!I18+totalCJ!I18</f>
        <v>21041276</v>
      </c>
      <c r="J18" s="128">
        <f>'total COMUNE'!J18+totalORASE!J18+'total MUNICIPII'!J18+totalCJ!J18</f>
        <v>114487990</v>
      </c>
      <c r="K18" s="128">
        <f>'total COMUNE'!K18+totalORASE!K18+'total MUNICIPII'!K18+totalCJ!K18</f>
        <v>0</v>
      </c>
      <c r="L18" s="128">
        <f>'total COMUNE'!L18+totalORASE!L18+'total MUNICIPII'!L18+totalCJ!L18</f>
        <v>245438973</v>
      </c>
      <c r="M18" s="128">
        <f>'total COMUNE'!M18+totalORASE!M18+'total MUNICIPII'!M18+totalCJ!M18</f>
        <v>149736972</v>
      </c>
      <c r="N18" s="128">
        <f>'total COMUNE'!N18+totalORASE!N18+'total MUNICIPII'!N18+totalCJ!N18</f>
        <v>16147131</v>
      </c>
      <c r="O18" s="128">
        <f>'total COMUNE'!O18+totalORASE!O18+'total MUNICIPII'!O18+totalCJ!O18</f>
        <v>1509276382</v>
      </c>
      <c r="P18" s="128">
        <f>'total COMUNE'!P18+totalORASE!P18+'total MUNICIPII'!P18+totalCJ!P18</f>
        <v>528215217</v>
      </c>
      <c r="Q18" s="128">
        <f>'total COMUNE'!Q18+totalORASE!Q18+'total MUNICIPII'!Q18+totalCJ!Q18</f>
        <v>285332056</v>
      </c>
      <c r="R18" s="128">
        <f>'total COMUNE'!R18+totalORASE!R18+'total MUNICIPII'!R18+totalCJ!R18</f>
        <v>9193795</v>
      </c>
      <c r="S18" s="128">
        <f>'total COMUNE'!S18+totalORASE!S18+'total MUNICIPII'!S18+totalCJ!S18</f>
        <v>12026161</v>
      </c>
      <c r="T18" s="128">
        <f>'total COMUNE'!T18+totalORASE!T18+'total MUNICIPII'!T18+totalCJ!T18</f>
        <v>50869777</v>
      </c>
      <c r="U18" s="128">
        <f>'total COMUNE'!U18+totalORASE!U18+'total MUNICIPII'!U18+totalCJ!U18</f>
        <v>8080177</v>
      </c>
      <c r="V18" s="128">
        <f>'total COMUNE'!V18+totalORASE!V18+'total MUNICIPII'!V18+totalCJ!V18</f>
        <v>252069483</v>
      </c>
      <c r="W18" s="128">
        <f>'total COMUNE'!W18+totalORASE!W18+'total MUNICIPII'!W18+totalCJ!W18</f>
        <v>121068129</v>
      </c>
      <c r="X18" s="128">
        <f>'total COMUNE'!X18+totalORASE!X18+'total MUNICIPII'!X18+totalCJ!X18</f>
        <v>26439252</v>
      </c>
      <c r="Y18" s="128">
        <f>'total COMUNE'!Y18+totalORASE!Y18+'total MUNICIPII'!Y18+totalCJ!Y18</f>
        <v>170294154</v>
      </c>
      <c r="Z18" s="128">
        <f>'total COMUNE'!Z18+totalORASE!Z18+'total MUNICIPII'!Z18+totalCJ!Z18</f>
        <v>48182534</v>
      </c>
      <c r="AA18" s="128">
        <f>'total COMUNE'!AA18+totalORASE!AA18+'total MUNICIPII'!AA18+totalCJ!AA18</f>
        <v>-2494353</v>
      </c>
      <c r="AB18" s="128">
        <f>'total COMUNE'!AB18+totalORASE!AB18+'total MUNICIPII'!AB18+totalCJ!AB18</f>
        <v>183751271</v>
      </c>
      <c r="AC18" s="128">
        <f>'total COMUNE'!AC18+totalORASE!AC18+'total MUNICIPII'!AC18+totalCJ!AC18</f>
        <v>19738530</v>
      </c>
      <c r="AD18" s="128">
        <f>'total COMUNE'!AD18+totalORASE!AD18+'total MUNICIPII'!AD18+totalCJ!AD18</f>
        <v>458551685</v>
      </c>
      <c r="AE18" s="128">
        <f>'total COMUNE'!AE18+totalORASE!AE18+'total MUNICIPII'!AE18+totalCJ!AE18</f>
        <v>33512357</v>
      </c>
      <c r="AF18" s="128">
        <f>'total COMUNE'!AF18+totalORASE!AF18+'total MUNICIPII'!AF18+totalCJ!AF18</f>
        <v>81466510</v>
      </c>
      <c r="AG18" s="128">
        <f>'total COMUNE'!AG18+totalORASE!AG18+'total MUNICIPII'!AG18+totalCJ!AG18</f>
        <v>216722126</v>
      </c>
      <c r="AH18" s="128">
        <f>'total COMUNE'!AH18+totalORASE!AH18+'total MUNICIPII'!AH18+totalCJ!AH18</f>
        <v>99142543</v>
      </c>
      <c r="AI18" s="128">
        <f>'total COMUNE'!AI18+totalORASE!AI18+'total MUNICIPII'!AI18+totalCJ!AI18</f>
        <v>55163848</v>
      </c>
      <c r="AJ18" s="128">
        <f>'total COMUNE'!AJ18+totalORASE!AJ18+'total MUNICIPII'!AJ18+totalCJ!AJ18</f>
        <v>102571416</v>
      </c>
      <c r="AK18" s="128">
        <f>'total COMUNE'!AK18+totalORASE!AK18+'total MUNICIPII'!AK18+totalCJ!AK18</f>
        <v>238044161</v>
      </c>
      <c r="AL18" s="128">
        <f>'total COMUNE'!AL18+totalORASE!AL18+'total MUNICIPII'!AL18+totalCJ!AL18</f>
        <v>20611935</v>
      </c>
      <c r="AM18" s="129"/>
    </row>
    <row r="19" spans="1:39" s="130" customFormat="1" ht="25.5" customHeight="1" x14ac:dyDescent="0.2">
      <c r="A19" s="131">
        <v>5</v>
      </c>
      <c r="B19" s="132" t="s">
        <v>903</v>
      </c>
      <c r="C19" s="128">
        <f>'total COMUNE'!C19+totalORASE!C19+'total MUNICIPII'!C19+totalCJ!C19</f>
        <v>2014900419</v>
      </c>
      <c r="D19" s="128">
        <f>'total COMUNE'!D19+totalORASE!D19+'total MUNICIPII'!D19+totalCJ!D19</f>
        <v>643135317</v>
      </c>
      <c r="E19" s="128">
        <f>'total COMUNE'!E19+totalORASE!E19+'total MUNICIPII'!E19+totalCJ!E19</f>
        <v>287158823</v>
      </c>
      <c r="F19" s="128">
        <f>'total COMUNE'!F19+totalORASE!F19+'total MUNICIPII'!F19+totalCJ!F19</f>
        <v>100232000</v>
      </c>
      <c r="G19" s="128">
        <f>'total COMUNE'!G19+totalORASE!G19+'total MUNICIPII'!G19+totalCJ!G19</f>
        <v>86730000</v>
      </c>
      <c r="H19" s="128">
        <f>'total COMUNE'!H19+totalORASE!H19+'total MUNICIPII'!H19+totalCJ!H19</f>
        <v>417978620</v>
      </c>
      <c r="I19" s="128">
        <f>'total COMUNE'!I19+totalORASE!I19+'total MUNICIPII'!I19+totalCJ!I19</f>
        <v>20088725</v>
      </c>
      <c r="J19" s="128">
        <f>'total COMUNE'!J19+totalORASE!J19+'total MUNICIPII'!J19+totalCJ!J19</f>
        <v>116833437</v>
      </c>
      <c r="K19" s="128">
        <f>'total COMUNE'!K19+totalORASE!K19+'total MUNICIPII'!K19+totalCJ!K19</f>
        <v>0</v>
      </c>
      <c r="L19" s="128">
        <f>'total COMUNE'!L19+totalORASE!L19+'total MUNICIPII'!L19+totalCJ!L19</f>
        <v>352215408</v>
      </c>
      <c r="M19" s="128">
        <f>'total COMUNE'!M19+totalORASE!M19+'total MUNICIPII'!M19+totalCJ!M19</f>
        <v>361661759</v>
      </c>
      <c r="N19" s="128">
        <f>'total COMUNE'!N19+totalORASE!N19+'total MUNICIPII'!N19+totalCJ!N19</f>
        <v>16257153</v>
      </c>
      <c r="O19" s="128">
        <f>'total COMUNE'!O19+totalORASE!O19+'total MUNICIPII'!O19+totalCJ!O19</f>
        <v>1953977986</v>
      </c>
      <c r="P19" s="128">
        <f>'total COMUNE'!P19+totalORASE!P19+'total MUNICIPII'!P19+totalCJ!P19</f>
        <v>496351879</v>
      </c>
      <c r="Q19" s="128">
        <f>'total COMUNE'!Q19+totalORASE!Q19+'total MUNICIPII'!Q19+totalCJ!Q19</f>
        <v>314471565</v>
      </c>
      <c r="R19" s="128">
        <f>'total COMUNE'!R19+totalORASE!R19+'total MUNICIPII'!R19+totalCJ!R19</f>
        <v>11566358</v>
      </c>
      <c r="S19" s="128">
        <f>'total COMUNE'!S19+totalORASE!S19+'total MUNICIPII'!S19+totalCJ!S19</f>
        <v>43556819</v>
      </c>
      <c r="T19" s="128">
        <f>'total COMUNE'!T19+totalORASE!T19+'total MUNICIPII'!T19+totalCJ!T19</f>
        <v>138809183</v>
      </c>
      <c r="U19" s="128">
        <f>'total COMUNE'!U19+totalORASE!U19+'total MUNICIPII'!U19+totalCJ!U19</f>
        <v>20710175</v>
      </c>
      <c r="V19" s="128">
        <f>'total COMUNE'!V19+totalORASE!V19+'total MUNICIPII'!V19+totalCJ!V19</f>
        <v>623780717</v>
      </c>
      <c r="W19" s="128">
        <f>'total COMUNE'!W19+totalORASE!W19+'total MUNICIPII'!W19+totalCJ!W19</f>
        <v>45368417</v>
      </c>
      <c r="X19" s="128">
        <f>'total COMUNE'!X19+totalORASE!X19+'total MUNICIPII'!X19+totalCJ!X19</f>
        <v>20727039</v>
      </c>
      <c r="Y19" s="128">
        <f>'total COMUNE'!Y19+totalORASE!Y19+'total MUNICIPII'!Y19+totalCJ!Y19</f>
        <v>172508188</v>
      </c>
      <c r="Z19" s="128">
        <f>'total COMUNE'!Z19+totalORASE!Z19+'total MUNICIPII'!Z19+totalCJ!Z19</f>
        <v>73006133</v>
      </c>
      <c r="AA19" s="128">
        <f>'total COMUNE'!AA19+totalORASE!AA19+'total MUNICIPII'!AA19+totalCJ!AA19</f>
        <v>-6878487</v>
      </c>
      <c r="AB19" s="128">
        <f>'total COMUNE'!AB19+totalORASE!AB19+'total MUNICIPII'!AB19+totalCJ!AB19</f>
        <v>142030709</v>
      </c>
      <c r="AC19" s="128">
        <f>'total COMUNE'!AC19+totalORASE!AC19+'total MUNICIPII'!AC19+totalCJ!AC19</f>
        <v>9648673</v>
      </c>
      <c r="AD19" s="128">
        <f>'total COMUNE'!AD19+totalORASE!AD19+'total MUNICIPII'!AD19+totalCJ!AD19</f>
        <v>469545902</v>
      </c>
      <c r="AE19" s="128">
        <f>'total COMUNE'!AE19+totalORASE!AE19+'total MUNICIPII'!AE19+totalCJ!AE19</f>
        <v>22312584</v>
      </c>
      <c r="AF19" s="128">
        <f>'total COMUNE'!AF19+totalORASE!AF19+'total MUNICIPII'!AF19+totalCJ!AF19</f>
        <v>143022125</v>
      </c>
      <c r="AG19" s="128">
        <f>'total COMUNE'!AG19+totalORASE!AG19+'total MUNICIPII'!AG19+totalCJ!AG19</f>
        <v>202880256</v>
      </c>
      <c r="AH19" s="128">
        <f>'total COMUNE'!AH19+totalORASE!AH19+'total MUNICIPII'!AH19+totalCJ!AH19</f>
        <v>186222758</v>
      </c>
      <c r="AI19" s="128">
        <f>'total COMUNE'!AI19+totalORASE!AI19+'total MUNICIPII'!AI19+totalCJ!AI19</f>
        <v>106766026</v>
      </c>
      <c r="AJ19" s="128">
        <f>'total COMUNE'!AJ19+totalORASE!AJ19+'total MUNICIPII'!AJ19+totalCJ!AJ19</f>
        <v>268537854</v>
      </c>
      <c r="AK19" s="128">
        <f>'total COMUNE'!AK19+totalORASE!AK19+'total MUNICIPII'!AK19+totalCJ!AK19</f>
        <v>346005302</v>
      </c>
      <c r="AL19" s="128">
        <f>'total COMUNE'!AL19+totalORASE!AL19+'total MUNICIPII'!AL19+totalCJ!AL19</f>
        <v>57005797</v>
      </c>
      <c r="AM19" s="129"/>
    </row>
    <row r="20" spans="1:39" s="130" customFormat="1" ht="25.5" customHeight="1" x14ac:dyDescent="0.2">
      <c r="A20" s="131">
        <v>6</v>
      </c>
      <c r="B20" s="132" t="s">
        <v>904</v>
      </c>
      <c r="C20" s="128">
        <f>'total COMUNE'!C20+totalORASE!C20+'total MUNICIPII'!C20+totalCJ!C20</f>
        <v>1035216123</v>
      </c>
      <c r="D20" s="128">
        <f>'total COMUNE'!D20+totalORASE!D20+'total MUNICIPII'!D20+totalCJ!D20</f>
        <v>280576276</v>
      </c>
      <c r="E20" s="128">
        <f>'total COMUNE'!E20+totalORASE!E20+'total MUNICIPII'!E20+totalCJ!E20</f>
        <v>112432450</v>
      </c>
      <c r="F20" s="128">
        <f>'total COMUNE'!F20+totalORASE!F20+'total MUNICIPII'!F20+totalCJ!F20</f>
        <v>38982819</v>
      </c>
      <c r="G20" s="128">
        <f>'total COMUNE'!G20+totalORASE!G20+'total MUNICIPII'!G20+totalCJ!G20</f>
        <v>47609419</v>
      </c>
      <c r="H20" s="128">
        <f>'total COMUNE'!H20+totalORASE!H20+'total MUNICIPII'!H20+totalCJ!H20</f>
        <v>228741572</v>
      </c>
      <c r="I20" s="128">
        <f>'total COMUNE'!I20+totalORASE!I20+'total MUNICIPII'!I20+totalCJ!I20</f>
        <v>18791957</v>
      </c>
      <c r="J20" s="128">
        <f>'total COMUNE'!J20+totalORASE!J20+'total MUNICIPII'!J20+totalCJ!J20</f>
        <v>97921630</v>
      </c>
      <c r="K20" s="128">
        <f>'total COMUNE'!K20+totalORASE!K20+'total MUNICIPII'!K20+totalCJ!K20</f>
        <v>0</v>
      </c>
      <c r="L20" s="128">
        <f>'total COMUNE'!L20+totalORASE!L20+'total MUNICIPII'!L20+totalCJ!L20</f>
        <v>228987964</v>
      </c>
      <c r="M20" s="128">
        <f>'total COMUNE'!M20+totalORASE!M20+'total MUNICIPII'!M20+totalCJ!M20</f>
        <v>130738225</v>
      </c>
      <c r="N20" s="128">
        <f>'total COMUNE'!N20+totalORASE!N20+'total MUNICIPII'!N20+totalCJ!N20</f>
        <v>1849080</v>
      </c>
      <c r="O20" s="128">
        <f>'total COMUNE'!O20+totalORASE!O20+'total MUNICIPII'!O20+totalCJ!O20</f>
        <v>1020234906</v>
      </c>
      <c r="P20" s="128">
        <f>'total COMUNE'!P20+totalORASE!P20+'total MUNICIPII'!P20+totalCJ!P20</f>
        <v>282812036</v>
      </c>
      <c r="Q20" s="128">
        <f>'total COMUNE'!Q20+totalORASE!Q20+'total MUNICIPII'!Q20+totalCJ!Q20</f>
        <v>152902865</v>
      </c>
      <c r="R20" s="128">
        <f>'total COMUNE'!R20+totalORASE!R20+'total MUNICIPII'!R20+totalCJ!R20</f>
        <v>1570301</v>
      </c>
      <c r="S20" s="128">
        <f>'total COMUNE'!S20+totalORASE!S20+'total MUNICIPII'!S20+totalCJ!S20</f>
        <v>2141632</v>
      </c>
      <c r="T20" s="128">
        <f>'total COMUNE'!T20+totalORASE!T20+'total MUNICIPII'!T20+totalCJ!T20</f>
        <v>33869126</v>
      </c>
      <c r="U20" s="128">
        <f>'total COMUNE'!U20+totalORASE!U20+'total MUNICIPII'!U20+totalCJ!U20</f>
        <v>1482024</v>
      </c>
      <c r="V20" s="128">
        <f>'total COMUNE'!V20+totalORASE!V20+'total MUNICIPII'!V20+totalCJ!V20</f>
        <v>240503432</v>
      </c>
      <c r="W20" s="128">
        <f>'total COMUNE'!W20+totalORASE!W20+'total MUNICIPII'!W20+totalCJ!W20</f>
        <v>83848656</v>
      </c>
      <c r="X20" s="128">
        <f>'total COMUNE'!X20+totalORASE!X20+'total MUNICIPII'!X20+totalCJ!X20</f>
        <v>10492892</v>
      </c>
      <c r="Y20" s="128">
        <f>'total COMUNE'!Y20+totalORASE!Y20+'total MUNICIPII'!Y20+totalCJ!Y20</f>
        <v>203468811</v>
      </c>
      <c r="Z20" s="128">
        <f>'total COMUNE'!Z20+totalORASE!Z20+'total MUNICIPII'!Z20+totalCJ!Z20</f>
        <v>7759370</v>
      </c>
      <c r="AA20" s="128">
        <f>'total COMUNE'!AA20+totalORASE!AA20+'total MUNICIPII'!AA20+totalCJ!AA20</f>
        <v>-616239</v>
      </c>
      <c r="AB20" s="128">
        <f>'total COMUNE'!AB20+totalORASE!AB20+'total MUNICIPII'!AB20+totalCJ!AB20</f>
        <v>98442330</v>
      </c>
      <c r="AC20" s="128">
        <f>'total COMUNE'!AC20+totalORASE!AC20+'total MUNICIPII'!AC20+totalCJ!AC20</f>
        <v>8917986</v>
      </c>
      <c r="AD20" s="128">
        <f>'total COMUNE'!AD20+totalORASE!AD20+'total MUNICIPII'!AD20+totalCJ!AD20</f>
        <v>278588148</v>
      </c>
      <c r="AE20" s="128">
        <f>'total COMUNE'!AE20+totalORASE!AE20+'total MUNICIPII'!AE20+totalCJ!AE20</f>
        <v>43038777</v>
      </c>
      <c r="AF20" s="128">
        <f>'total COMUNE'!AF20+totalORASE!AF20+'total MUNICIPII'!AF20+totalCJ!AF20</f>
        <v>63133674</v>
      </c>
      <c r="AG20" s="128">
        <f>'total COMUNE'!AG20+totalORASE!AG20+'total MUNICIPII'!AG20+totalCJ!AG20</f>
        <v>117794055</v>
      </c>
      <c r="AH20" s="128">
        <f>'total COMUNE'!AH20+totalORASE!AH20+'total MUNICIPII'!AH20+totalCJ!AH20</f>
        <v>91743686</v>
      </c>
      <c r="AI20" s="128">
        <f>'total COMUNE'!AI20+totalORASE!AI20+'total MUNICIPII'!AI20+totalCJ!AI20</f>
        <v>19000816</v>
      </c>
      <c r="AJ20" s="128">
        <f>'total COMUNE'!AJ20+totalORASE!AJ20+'total MUNICIPII'!AJ20+totalCJ!AJ20</f>
        <v>0</v>
      </c>
      <c r="AK20" s="128">
        <f>'total COMUNE'!AK20+totalORASE!AK20+'total MUNICIPII'!AK20+totalCJ!AK20</f>
        <v>213330928</v>
      </c>
      <c r="AL20" s="128">
        <f>'total COMUNE'!AL20+totalORASE!AL20+'total MUNICIPII'!AL20+totalCJ!AL20</f>
        <v>86244506</v>
      </c>
      <c r="AM20" s="129"/>
    </row>
    <row r="21" spans="1:39" s="130" customFormat="1" ht="25.5" customHeight="1" x14ac:dyDescent="0.2">
      <c r="A21" s="131">
        <v>7</v>
      </c>
      <c r="B21" s="132" t="s">
        <v>905</v>
      </c>
      <c r="C21" s="128">
        <f>'total COMUNE'!C21+totalORASE!C21+'total MUNICIPII'!C21+totalCJ!C21</f>
        <v>1019440341</v>
      </c>
      <c r="D21" s="128">
        <f>'total COMUNE'!D21+totalORASE!D21+'total MUNICIPII'!D21+totalCJ!D21</f>
        <v>239703885</v>
      </c>
      <c r="E21" s="128">
        <f>'total COMUNE'!E21+totalORASE!E21+'total MUNICIPII'!E21+totalCJ!E21</f>
        <v>99189444</v>
      </c>
      <c r="F21" s="128">
        <f>'total COMUNE'!F21+totalORASE!F21+'total MUNICIPII'!F21+totalCJ!F21</f>
        <v>34865671</v>
      </c>
      <c r="G21" s="128">
        <f>'total COMUNE'!G21+totalORASE!G21+'total MUNICIPII'!G21+totalCJ!G21</f>
        <v>50674778</v>
      </c>
      <c r="H21" s="128">
        <f>'total COMUNE'!H21+totalORASE!H21+'total MUNICIPII'!H21+totalCJ!H21</f>
        <v>287337687</v>
      </c>
      <c r="I21" s="128">
        <f>'total COMUNE'!I21+totalORASE!I21+'total MUNICIPII'!I21+totalCJ!I21</f>
        <v>22032212</v>
      </c>
      <c r="J21" s="128">
        <f>'total COMUNE'!J21+totalORASE!J21+'total MUNICIPII'!J21+totalCJ!J21</f>
        <v>155256890</v>
      </c>
      <c r="K21" s="128">
        <f>'total COMUNE'!K21+totalORASE!K21+'total MUNICIPII'!K21+totalCJ!K21</f>
        <v>0</v>
      </c>
      <c r="L21" s="128">
        <f>'total COMUNE'!L21+totalORASE!L21+'total MUNICIPII'!L21+totalCJ!L21</f>
        <v>170684371</v>
      </c>
      <c r="M21" s="128">
        <f>'total COMUNE'!M21+totalORASE!M21+'total MUNICIPII'!M21+totalCJ!M21</f>
        <v>85922648</v>
      </c>
      <c r="N21" s="128">
        <f>'total COMUNE'!N21+totalORASE!N21+'total MUNICIPII'!N21+totalCJ!N21</f>
        <v>7827870</v>
      </c>
      <c r="O21" s="128">
        <f>'total COMUNE'!O21+totalORASE!O21+'total MUNICIPII'!O21+totalCJ!O21</f>
        <v>980432312</v>
      </c>
      <c r="P21" s="128">
        <f>'total COMUNE'!P21+totalORASE!P21+'total MUNICIPII'!P21+totalCJ!P21</f>
        <v>357811605</v>
      </c>
      <c r="Q21" s="128">
        <f>'total COMUNE'!Q21+totalORASE!Q21+'total MUNICIPII'!Q21+totalCJ!Q21</f>
        <v>169087429</v>
      </c>
      <c r="R21" s="128">
        <f>'total COMUNE'!R21+totalORASE!R21+'total MUNICIPII'!R21+totalCJ!R21</f>
        <v>4633194</v>
      </c>
      <c r="S21" s="128">
        <f>'total COMUNE'!S21+totalORASE!S21+'total MUNICIPII'!S21+totalCJ!S21</f>
        <v>12451691</v>
      </c>
      <c r="T21" s="128">
        <f>'total COMUNE'!T21+totalORASE!T21+'total MUNICIPII'!T21+totalCJ!T21</f>
        <v>43634179</v>
      </c>
      <c r="U21" s="128">
        <f>'total COMUNE'!U21+totalORASE!U21+'total MUNICIPII'!U21+totalCJ!U21</f>
        <v>4301275</v>
      </c>
      <c r="V21" s="128">
        <f>'total COMUNE'!V21+totalORASE!V21+'total MUNICIPII'!V21+totalCJ!V21</f>
        <v>118708664</v>
      </c>
      <c r="W21" s="128">
        <f>'total COMUNE'!W21+totalORASE!W21+'total MUNICIPII'!W21+totalCJ!W21</f>
        <v>75985789</v>
      </c>
      <c r="X21" s="128">
        <f>'total COMUNE'!X21+totalORASE!X21+'total MUNICIPII'!X21+totalCJ!X21</f>
        <v>9981338</v>
      </c>
      <c r="Y21" s="128">
        <f>'total COMUNE'!Y21+totalORASE!Y21+'total MUNICIPII'!Y21+totalCJ!Y21</f>
        <v>159126720</v>
      </c>
      <c r="Z21" s="128">
        <f>'total COMUNE'!Z21+totalORASE!Z21+'total MUNICIPII'!Z21+totalCJ!Z21</f>
        <v>26657568</v>
      </c>
      <c r="AA21" s="128">
        <f>'total COMUNE'!AA21+totalORASE!AA21+'total MUNICIPII'!AA21+totalCJ!AA21</f>
        <v>-1947140</v>
      </c>
      <c r="AB21" s="128">
        <f>'total COMUNE'!AB21+totalORASE!AB21+'total MUNICIPII'!AB21+totalCJ!AB21</f>
        <v>97741089</v>
      </c>
      <c r="AC21" s="128">
        <f>'total COMUNE'!AC21+totalORASE!AC21+'total MUNICIPII'!AC21+totalCJ!AC21</f>
        <v>10663997</v>
      </c>
      <c r="AD21" s="128">
        <f>'total COMUNE'!AD21+totalORASE!AD21+'total MUNICIPII'!AD21+totalCJ!AD21</f>
        <v>314046858</v>
      </c>
      <c r="AE21" s="128">
        <f>'total COMUNE'!AE21+totalORASE!AE21+'total MUNICIPII'!AE21+totalCJ!AE21</f>
        <v>23010175</v>
      </c>
      <c r="AF21" s="128">
        <f>'total COMUNE'!AF21+totalORASE!AF21+'total MUNICIPII'!AF21+totalCJ!AF21</f>
        <v>65997459</v>
      </c>
      <c r="AG21" s="128">
        <f>'total COMUNE'!AG21+totalORASE!AG21+'total MUNICIPII'!AG21+totalCJ!AG21</f>
        <v>131022450</v>
      </c>
      <c r="AH21" s="128">
        <f>'total COMUNE'!AH21+totalORASE!AH21+'total MUNICIPII'!AH21+totalCJ!AH21</f>
        <v>66174849</v>
      </c>
      <c r="AI21" s="128">
        <f>'total COMUNE'!AI21+totalORASE!AI21+'total MUNICIPII'!AI21+totalCJ!AI21</f>
        <v>53673000</v>
      </c>
      <c r="AJ21" s="128">
        <f>'total COMUNE'!AJ21+totalORASE!AJ21+'total MUNICIPII'!AJ21+totalCJ!AJ21</f>
        <v>14753060</v>
      </c>
      <c r="AK21" s="128">
        <f>'total COMUNE'!AK21+totalORASE!AK21+'total MUNICIPII'!AK21+totalCJ!AK21</f>
        <v>196776875</v>
      </c>
      <c r="AL21" s="128">
        <f>'total COMUNE'!AL21+totalORASE!AL21+'total MUNICIPII'!AL21+totalCJ!AL21</f>
        <v>6572500</v>
      </c>
      <c r="AM21" s="129"/>
    </row>
    <row r="22" spans="1:39" s="130" customFormat="1" ht="25.5" customHeight="1" x14ac:dyDescent="0.2">
      <c r="A22" s="131">
        <v>8</v>
      </c>
      <c r="B22" s="132" t="s">
        <v>906</v>
      </c>
      <c r="C22" s="128">
        <f>'total COMUNE'!C22+totalORASE!C22+'total MUNICIPII'!C22+totalCJ!C22</f>
        <v>1616622775</v>
      </c>
      <c r="D22" s="128">
        <f>'total COMUNE'!D22+totalORASE!D22+'total MUNICIPII'!D22+totalCJ!D22</f>
        <v>906583763</v>
      </c>
      <c r="E22" s="128">
        <f>'total COMUNE'!E22+totalORASE!E22+'total MUNICIPII'!E22+totalCJ!E22</f>
        <v>403340078</v>
      </c>
      <c r="F22" s="128">
        <f>'total COMUNE'!F22+totalORASE!F22+'total MUNICIPII'!F22+totalCJ!F22</f>
        <v>141002168</v>
      </c>
      <c r="G22" s="128">
        <f>'total COMUNE'!G22+totalORASE!G22+'total MUNICIPII'!G22+totalCJ!G22</f>
        <v>60319094</v>
      </c>
      <c r="H22" s="128">
        <f>'total COMUNE'!H22+totalORASE!H22+'total MUNICIPII'!H22+totalCJ!H22</f>
        <v>323910686</v>
      </c>
      <c r="I22" s="128">
        <f>'total COMUNE'!I22+totalORASE!I22+'total MUNICIPII'!I22+totalCJ!I22</f>
        <v>16971300</v>
      </c>
      <c r="J22" s="128">
        <f>'total COMUNE'!J22+totalORASE!J22+'total MUNICIPII'!J22+totalCJ!J22</f>
        <v>74741700</v>
      </c>
      <c r="K22" s="128">
        <f>'total COMUNE'!K22+totalORASE!K22+'total MUNICIPII'!K22+totalCJ!K22</f>
        <v>0</v>
      </c>
      <c r="L22" s="128">
        <f>'total COMUNE'!L22+totalORASE!L22+'total MUNICIPII'!L22+totalCJ!L22</f>
        <v>124271433</v>
      </c>
      <c r="M22" s="128">
        <f>'total COMUNE'!M22+totalORASE!M22+'total MUNICIPII'!M22+totalCJ!M22</f>
        <v>94685849</v>
      </c>
      <c r="N22" s="128">
        <f>'total COMUNE'!N22+totalORASE!N22+'total MUNICIPII'!N22+totalCJ!N22</f>
        <v>15138950</v>
      </c>
      <c r="O22" s="128">
        <f>'total COMUNE'!O22+totalORASE!O22+'total MUNICIPII'!O22+totalCJ!O22</f>
        <v>1477208111</v>
      </c>
      <c r="P22" s="128">
        <f>'total COMUNE'!P22+totalORASE!P22+'total MUNICIPII'!P22+totalCJ!P22</f>
        <v>410073190</v>
      </c>
      <c r="Q22" s="128">
        <f>'total COMUNE'!Q22+totalORASE!Q22+'total MUNICIPII'!Q22+totalCJ!Q22</f>
        <v>365141209</v>
      </c>
      <c r="R22" s="128">
        <f>'total COMUNE'!R22+totalORASE!R22+'total MUNICIPII'!R22+totalCJ!R22</f>
        <v>10415357</v>
      </c>
      <c r="S22" s="128">
        <f>'total COMUNE'!S22+totalORASE!S22+'total MUNICIPII'!S22+totalCJ!S22</f>
        <v>48265447</v>
      </c>
      <c r="T22" s="128">
        <f>'total COMUNE'!T22+totalORASE!T22+'total MUNICIPII'!T22+totalCJ!T22</f>
        <v>56775960</v>
      </c>
      <c r="U22" s="128">
        <f>'total COMUNE'!U22+totalORASE!U22+'total MUNICIPII'!U22+totalCJ!U22</f>
        <v>20846006</v>
      </c>
      <c r="V22" s="128">
        <f>'total COMUNE'!V22+totalORASE!V22+'total MUNICIPII'!V22+totalCJ!V22</f>
        <v>200451784</v>
      </c>
      <c r="W22" s="128">
        <f>'total COMUNE'!W22+totalORASE!W22+'total MUNICIPII'!W22+totalCJ!W22</f>
        <v>95034180</v>
      </c>
      <c r="X22" s="128">
        <f>'total COMUNE'!X22+totalORASE!X22+'total MUNICIPII'!X22+totalCJ!X22</f>
        <v>30490842</v>
      </c>
      <c r="Y22" s="128">
        <f>'total COMUNE'!Y22+totalORASE!Y22+'total MUNICIPII'!Y22+totalCJ!Y22</f>
        <v>205459740</v>
      </c>
      <c r="Z22" s="128">
        <f>'total COMUNE'!Z22+totalORASE!Z22+'total MUNICIPII'!Z22+totalCJ!Z22</f>
        <v>39279158</v>
      </c>
      <c r="AA22" s="128">
        <f>'total COMUNE'!AA22+totalORASE!AA22+'total MUNICIPII'!AA22+totalCJ!AA22</f>
        <v>-5024762</v>
      </c>
      <c r="AB22" s="128">
        <f>'total COMUNE'!AB22+totalORASE!AB22+'total MUNICIPII'!AB22+totalCJ!AB22</f>
        <v>167401618</v>
      </c>
      <c r="AC22" s="128">
        <f>'total COMUNE'!AC22+totalORASE!AC22+'total MUNICIPII'!AC22+totalCJ!AC22</f>
        <v>21051517</v>
      </c>
      <c r="AD22" s="128">
        <f>'total COMUNE'!AD22+totalORASE!AD22+'total MUNICIPII'!AD22+totalCJ!AD22</f>
        <v>360702970</v>
      </c>
      <c r="AE22" s="128">
        <f>'total COMUNE'!AE22+totalORASE!AE22+'total MUNICIPII'!AE22+totalCJ!AE22</f>
        <v>17284099</v>
      </c>
      <c r="AF22" s="128">
        <f>'total COMUNE'!AF22+totalORASE!AF22+'total MUNICIPII'!AF22+totalCJ!AF22</f>
        <v>131003897</v>
      </c>
      <c r="AG22" s="128">
        <f>'total COMUNE'!AG22+totalORASE!AG22+'total MUNICIPII'!AG22+totalCJ!AG22</f>
        <v>163107641</v>
      </c>
      <c r="AH22" s="128">
        <f>'total COMUNE'!AH22+totalORASE!AH22+'total MUNICIPII'!AH22+totalCJ!AH22</f>
        <v>125653699</v>
      </c>
      <c r="AI22" s="128">
        <f>'total COMUNE'!AI22+totalORASE!AI22+'total MUNICIPII'!AI22+totalCJ!AI22</f>
        <v>71321502</v>
      </c>
      <c r="AJ22" s="128">
        <f>'total COMUNE'!AJ22+totalORASE!AJ22+'total MUNICIPII'!AJ22+totalCJ!AJ22</f>
        <v>32978244</v>
      </c>
      <c r="AK22" s="128">
        <f>'total COMUNE'!AK22+totalORASE!AK22+'total MUNICIPII'!AK22+totalCJ!AK22</f>
        <v>323619994</v>
      </c>
      <c r="AL22" s="128">
        <f>'total COMUNE'!AL22+totalORASE!AL22+'total MUNICIPII'!AL22+totalCJ!AL22</f>
        <v>63082930</v>
      </c>
      <c r="AM22" s="129"/>
    </row>
    <row r="23" spans="1:39" s="130" customFormat="1" ht="25.5" customHeight="1" x14ac:dyDescent="0.2">
      <c r="A23" s="131">
        <v>9</v>
      </c>
      <c r="B23" s="132" t="s">
        <v>907</v>
      </c>
      <c r="C23" s="128">
        <f>'total COMUNE'!C23+totalORASE!C23+'total MUNICIPII'!C23+totalCJ!C23</f>
        <v>849534277</v>
      </c>
      <c r="D23" s="128">
        <f>'total COMUNE'!D23+totalORASE!D23+'total MUNICIPII'!D23+totalCJ!D23</f>
        <v>316339546</v>
      </c>
      <c r="E23" s="128">
        <f>'total COMUNE'!E23+totalORASE!E23+'total MUNICIPII'!E23+totalCJ!E23</f>
        <v>130602536</v>
      </c>
      <c r="F23" s="128">
        <f>'total COMUNE'!F23+totalORASE!F23+'total MUNICIPII'!F23+totalCJ!F23</f>
        <v>45587671</v>
      </c>
      <c r="G23" s="128">
        <f>'total COMUNE'!G23+totalORASE!G23+'total MUNICIPII'!G23+totalCJ!G23</f>
        <v>29212614</v>
      </c>
      <c r="H23" s="128">
        <f>'total COMUNE'!H23+totalORASE!H23+'total MUNICIPII'!H23+totalCJ!H23</f>
        <v>216322233</v>
      </c>
      <c r="I23" s="128">
        <f>'total COMUNE'!I23+totalORASE!I23+'total MUNICIPII'!I23+totalCJ!I23</f>
        <v>16273140</v>
      </c>
      <c r="J23" s="128">
        <f>'total COMUNE'!J23+totalORASE!J23+'total MUNICIPII'!J23+totalCJ!J23</f>
        <v>75395600</v>
      </c>
      <c r="K23" s="128">
        <f>'total COMUNE'!K23+totalORASE!K23+'total MUNICIPII'!K23+totalCJ!K23</f>
        <v>0</v>
      </c>
      <c r="L23" s="128">
        <f>'total COMUNE'!L23+totalORASE!L23+'total MUNICIPII'!L23+totalCJ!L23</f>
        <v>120016709</v>
      </c>
      <c r="M23" s="128">
        <f>'total COMUNE'!M23+totalORASE!M23+'total MUNICIPII'!M23+totalCJ!M23</f>
        <v>66604464</v>
      </c>
      <c r="N23" s="128">
        <f>'total COMUNE'!N23+totalORASE!N23+'total MUNICIPII'!N23+totalCJ!N23</f>
        <v>9369971</v>
      </c>
      <c r="O23" s="128">
        <f>'total COMUNE'!O23+totalORASE!O23+'total MUNICIPII'!O23+totalCJ!O23</f>
        <v>770870084</v>
      </c>
      <c r="P23" s="128">
        <f>'total COMUNE'!P23+totalORASE!P23+'total MUNICIPII'!P23+totalCJ!P23</f>
        <v>249553336</v>
      </c>
      <c r="Q23" s="128">
        <f>'total COMUNE'!Q23+totalORASE!Q23+'total MUNICIPII'!Q23+totalCJ!Q23</f>
        <v>112877577</v>
      </c>
      <c r="R23" s="128">
        <f>'total COMUNE'!R23+totalORASE!R23+'total MUNICIPII'!R23+totalCJ!R23</f>
        <v>2122085</v>
      </c>
      <c r="S23" s="128">
        <f>'total COMUNE'!S23+totalORASE!S23+'total MUNICIPII'!S23+totalCJ!S23</f>
        <v>10273358</v>
      </c>
      <c r="T23" s="128">
        <f>'total COMUNE'!T23+totalORASE!T23+'total MUNICIPII'!T23+totalCJ!T23</f>
        <v>61236972</v>
      </c>
      <c r="U23" s="128">
        <f>'total COMUNE'!U23+totalORASE!U23+'total MUNICIPII'!U23+totalCJ!U23</f>
        <v>9246062</v>
      </c>
      <c r="V23" s="128">
        <f>'total COMUNE'!V23+totalORASE!V23+'total MUNICIPII'!V23+totalCJ!V23</f>
        <v>107694655</v>
      </c>
      <c r="W23" s="128">
        <f>'total COMUNE'!W23+totalORASE!W23+'total MUNICIPII'!W23+totalCJ!W23</f>
        <v>77049564</v>
      </c>
      <c r="X23" s="128">
        <f>'total COMUNE'!X23+totalORASE!X23+'total MUNICIPII'!X23+totalCJ!X23</f>
        <v>11718166</v>
      </c>
      <c r="Y23" s="128">
        <f>'total COMUNE'!Y23+totalORASE!Y23+'total MUNICIPII'!Y23+totalCJ!Y23</f>
        <v>125050449</v>
      </c>
      <c r="Z23" s="128">
        <f>'total COMUNE'!Z23+totalORASE!Z23+'total MUNICIPII'!Z23+totalCJ!Z23</f>
        <v>5031613</v>
      </c>
      <c r="AA23" s="128">
        <f>'total COMUNE'!AA23+totalORASE!AA23+'total MUNICIPII'!AA23+totalCJ!AA23</f>
        <v>-983753</v>
      </c>
      <c r="AB23" s="128">
        <f>'total COMUNE'!AB23+totalORASE!AB23+'total MUNICIPII'!AB23+totalCJ!AB23</f>
        <v>84898804</v>
      </c>
      <c r="AC23" s="128">
        <f>'total COMUNE'!AC23+totalORASE!AC23+'total MUNICIPII'!AC23+totalCJ!AC23</f>
        <v>10807039</v>
      </c>
      <c r="AD23" s="128">
        <f>'total COMUNE'!AD23+totalORASE!AD23+'total MUNICIPII'!AD23+totalCJ!AD23</f>
        <v>222443434</v>
      </c>
      <c r="AE23" s="128">
        <f>'total COMUNE'!AE23+totalORASE!AE23+'total MUNICIPII'!AE23+totalCJ!AE23</f>
        <v>19628537</v>
      </c>
      <c r="AF23" s="128">
        <f>'total COMUNE'!AF23+totalORASE!AF23+'total MUNICIPII'!AF23+totalCJ!AF23</f>
        <v>45429697</v>
      </c>
      <c r="AG23" s="128">
        <f>'total COMUNE'!AG23+totalORASE!AG23+'total MUNICIPII'!AG23+totalCJ!AG23</f>
        <v>109685455</v>
      </c>
      <c r="AH23" s="128">
        <f>'total COMUNE'!AH23+totalORASE!AH23+'total MUNICIPII'!AH23+totalCJ!AH23</f>
        <v>67345048</v>
      </c>
      <c r="AI23" s="128">
        <f>'total COMUNE'!AI23+totalORASE!AI23+'total MUNICIPII'!AI23+totalCJ!AI23</f>
        <v>85301711</v>
      </c>
      <c r="AJ23" s="128">
        <f>'total COMUNE'!AJ23+totalORASE!AJ23+'total MUNICIPII'!AJ23+totalCJ!AJ23</f>
        <v>0</v>
      </c>
      <c r="AK23" s="128">
        <f>'total COMUNE'!AK23+totalORASE!AK23+'total MUNICIPII'!AK23+totalCJ!AK23</f>
        <v>117477176</v>
      </c>
      <c r="AL23" s="128">
        <f>'total COMUNE'!AL23+totalORASE!AL23+'total MUNICIPII'!AL23+totalCJ!AL23</f>
        <v>7853183</v>
      </c>
      <c r="AM23" s="129"/>
    </row>
    <row r="24" spans="1:39" s="130" customFormat="1" ht="25.5" customHeight="1" x14ac:dyDescent="0.2">
      <c r="A24" s="131">
        <v>10</v>
      </c>
      <c r="B24" s="132" t="s">
        <v>908</v>
      </c>
      <c r="C24" s="128">
        <f>'total COMUNE'!C24+totalORASE!C24+'total MUNICIPII'!C24+totalCJ!C24</f>
        <v>1093429758</v>
      </c>
      <c r="D24" s="128">
        <f>'total COMUNE'!D24+totalORASE!D24+'total MUNICIPII'!D24+totalCJ!D24</f>
        <v>351193680</v>
      </c>
      <c r="E24" s="128">
        <f>'total COMUNE'!E24+totalORASE!E24+'total MUNICIPII'!E24+totalCJ!E24</f>
        <v>167421003</v>
      </c>
      <c r="F24" s="128">
        <f>'total COMUNE'!F24+totalORASE!F24+'total MUNICIPII'!F24+totalCJ!F24</f>
        <v>58439418</v>
      </c>
      <c r="G24" s="128">
        <f>'total COMUNE'!G24+totalORASE!G24+'total MUNICIPII'!G24+totalCJ!G24</f>
        <v>55499368</v>
      </c>
      <c r="H24" s="128">
        <f>'total COMUNE'!H24+totalORASE!H24+'total MUNICIPII'!H24+totalCJ!H24</f>
        <v>286642783</v>
      </c>
      <c r="I24" s="128">
        <f>'total COMUNE'!I24+totalORASE!I24+'total MUNICIPII'!I24+totalCJ!I24</f>
        <v>21437734</v>
      </c>
      <c r="J24" s="128">
        <f>'total COMUNE'!J24+totalORASE!J24+'total MUNICIPII'!J24+totalCJ!J24</f>
        <v>117599610</v>
      </c>
      <c r="K24" s="128">
        <f>'total COMUNE'!K24+totalORASE!K24+'total MUNICIPII'!K24+totalCJ!K24</f>
        <v>0</v>
      </c>
      <c r="L24" s="128">
        <f>'total COMUNE'!L24+totalORASE!L24+'total MUNICIPII'!L24+totalCJ!L24</f>
        <v>181828055</v>
      </c>
      <c r="M24" s="128">
        <f>'total COMUNE'!M24+totalORASE!M24+'total MUNICIPII'!M24+totalCJ!M24</f>
        <v>76631930</v>
      </c>
      <c r="N24" s="128">
        <f>'total COMUNE'!N24+totalORASE!N24+'total MUNICIPII'!N24+totalCJ!N24</f>
        <v>2596598</v>
      </c>
      <c r="O24" s="128">
        <f>'total COMUNE'!O24+totalORASE!O24+'total MUNICIPII'!O24+totalCJ!O24</f>
        <v>1067514874</v>
      </c>
      <c r="P24" s="128">
        <f>'total COMUNE'!P24+totalORASE!P24+'total MUNICIPII'!P24+totalCJ!P24</f>
        <v>374482040</v>
      </c>
      <c r="Q24" s="128">
        <f>'total COMUNE'!Q24+totalORASE!Q24+'total MUNICIPII'!Q24+totalCJ!Q24</f>
        <v>243075417</v>
      </c>
      <c r="R24" s="128">
        <f>'total COMUNE'!R24+totalORASE!R24+'total MUNICIPII'!R24+totalCJ!R24</f>
        <v>1082335</v>
      </c>
      <c r="S24" s="128">
        <f>'total COMUNE'!S24+totalORASE!S24+'total MUNICIPII'!S24+totalCJ!S24</f>
        <v>16375365</v>
      </c>
      <c r="T24" s="128">
        <f>'total COMUNE'!T24+totalORASE!T24+'total MUNICIPII'!T24+totalCJ!T24</f>
        <v>25991694</v>
      </c>
      <c r="U24" s="128">
        <f>'total COMUNE'!U24+totalORASE!U24+'total MUNICIPII'!U24+totalCJ!U24</f>
        <v>8591836</v>
      </c>
      <c r="V24" s="128">
        <f>'total COMUNE'!V24+totalORASE!V24+'total MUNICIPII'!V24+totalCJ!V24</f>
        <v>123335723</v>
      </c>
      <c r="W24" s="128">
        <f>'total COMUNE'!W24+totalORASE!W24+'total MUNICIPII'!W24+totalCJ!W24</f>
        <v>101624560</v>
      </c>
      <c r="X24" s="128">
        <f>'total COMUNE'!X24+totalORASE!X24+'total MUNICIPII'!X24+totalCJ!X24</f>
        <v>15212752</v>
      </c>
      <c r="Y24" s="128">
        <f>'total COMUNE'!Y24+totalORASE!Y24+'total MUNICIPII'!Y24+totalCJ!Y24</f>
        <v>150945242</v>
      </c>
      <c r="Z24" s="128">
        <f>'total COMUNE'!Z24+totalORASE!Z24+'total MUNICIPII'!Z24+totalCJ!Z24</f>
        <v>8474638</v>
      </c>
      <c r="AA24" s="128">
        <f>'total COMUNE'!AA24+totalORASE!AA24+'total MUNICIPII'!AA24+totalCJ!AA24</f>
        <v>-1676728</v>
      </c>
      <c r="AB24" s="128">
        <f>'total COMUNE'!AB24+totalORASE!AB24+'total MUNICIPII'!AB24+totalCJ!AB24</f>
        <v>127362089</v>
      </c>
      <c r="AC24" s="128">
        <f>'total COMUNE'!AC24+totalORASE!AC24+'total MUNICIPII'!AC24+totalCJ!AC24</f>
        <v>25690405</v>
      </c>
      <c r="AD24" s="128">
        <f>'total COMUNE'!AD24+totalORASE!AD24+'total MUNICIPII'!AD24+totalCJ!AD24</f>
        <v>313065109</v>
      </c>
      <c r="AE24" s="128">
        <f>'total COMUNE'!AE24+totalORASE!AE24+'total MUNICIPII'!AE24+totalCJ!AE24</f>
        <v>24616372</v>
      </c>
      <c r="AF24" s="128">
        <f>'total COMUNE'!AF24+totalORASE!AF24+'total MUNICIPII'!AF24+totalCJ!AF24</f>
        <v>52916942</v>
      </c>
      <c r="AG24" s="128">
        <f>'total COMUNE'!AG24+totalORASE!AG24+'total MUNICIPII'!AG24+totalCJ!AG24</f>
        <v>159733093</v>
      </c>
      <c r="AH24" s="128">
        <f>'total COMUNE'!AH24+totalORASE!AH24+'total MUNICIPII'!AH24+totalCJ!AH24</f>
        <v>68764205</v>
      </c>
      <c r="AI24" s="128">
        <f>'total COMUNE'!AI24+totalORASE!AI24+'total MUNICIPII'!AI24+totalCJ!AI24</f>
        <v>45096002</v>
      </c>
      <c r="AJ24" s="128">
        <f>'total COMUNE'!AJ24+totalORASE!AJ24+'total MUNICIPII'!AJ24+totalCJ!AJ24</f>
        <v>8603270</v>
      </c>
      <c r="AK24" s="128">
        <f>'total COMUNE'!AK24+totalORASE!AK24+'total MUNICIPII'!AK24+totalCJ!AK24</f>
        <v>233863784</v>
      </c>
      <c r="AL24" s="128">
        <f>'total COMUNE'!AL24+totalORASE!AL24+'total MUNICIPII'!AL24+totalCJ!AL24</f>
        <v>7803603</v>
      </c>
      <c r="AM24" s="129"/>
    </row>
    <row r="25" spans="1:39" s="130" customFormat="1" ht="25.5" customHeight="1" x14ac:dyDescent="0.2">
      <c r="A25" s="131">
        <v>11</v>
      </c>
      <c r="B25" s="133" t="s">
        <v>909</v>
      </c>
      <c r="C25" s="128">
        <f>'total COMUNE'!C25+totalORASE!C25+'total MUNICIPII'!C25+totalCJ!C25</f>
        <v>904161945</v>
      </c>
      <c r="D25" s="128">
        <f>'total COMUNE'!D25+totalORASE!D25+'total MUNICIPII'!D25+totalCJ!D25</f>
        <v>246982766</v>
      </c>
      <c r="E25" s="128">
        <f>'total COMUNE'!E25+totalORASE!E25+'total MUNICIPII'!E25+totalCJ!E25</f>
        <v>101335116</v>
      </c>
      <c r="F25" s="128">
        <f>'total COMUNE'!F25+totalORASE!F25+'total MUNICIPII'!F25+totalCJ!F25</f>
        <v>35371850</v>
      </c>
      <c r="G25" s="128">
        <f>'total COMUNE'!G25+totalORASE!G25+'total MUNICIPII'!G25+totalCJ!G25</f>
        <v>46062946</v>
      </c>
      <c r="H25" s="128">
        <f>'total COMUNE'!H25+totalORASE!H25+'total MUNICIPII'!H25+totalCJ!H25</f>
        <v>214204686</v>
      </c>
      <c r="I25" s="128">
        <f>'total COMUNE'!I25+totalORASE!I25+'total MUNICIPII'!I25+totalCJ!I25</f>
        <v>19698000</v>
      </c>
      <c r="J25" s="128">
        <f>'total COMUNE'!J25+totalORASE!J25+'total MUNICIPII'!J25+totalCJ!J25</f>
        <v>138845140</v>
      </c>
      <c r="K25" s="128">
        <f>'total COMUNE'!K25+totalORASE!K25+'total MUNICIPII'!K25+totalCJ!K25</f>
        <v>0</v>
      </c>
      <c r="L25" s="128">
        <f>'total COMUNE'!L25+totalORASE!L25+'total MUNICIPII'!L25+totalCJ!L25</f>
        <v>135474642</v>
      </c>
      <c r="M25" s="128">
        <f>'total COMUNE'!M25+totalORASE!M25+'total MUNICIPII'!M25+totalCJ!M25</f>
        <v>101774998</v>
      </c>
      <c r="N25" s="128">
        <f>'total COMUNE'!N25+totalORASE!N25+'total MUNICIPII'!N25+totalCJ!N25</f>
        <v>1118767</v>
      </c>
      <c r="O25" s="128">
        <f>'total COMUNE'!O25+totalORASE!O25+'total MUNICIPII'!O25+totalCJ!O25</f>
        <v>881966931</v>
      </c>
      <c r="P25" s="128">
        <f>'total COMUNE'!P25+totalORASE!P25+'total MUNICIPII'!P25+totalCJ!P25</f>
        <v>289780383</v>
      </c>
      <c r="Q25" s="128">
        <f>'total COMUNE'!Q25+totalORASE!Q25+'total MUNICIPII'!Q25+totalCJ!Q25</f>
        <v>175944908</v>
      </c>
      <c r="R25" s="128">
        <f>'total COMUNE'!R25+totalORASE!R25+'total MUNICIPII'!R25+totalCJ!R25</f>
        <v>10166394</v>
      </c>
      <c r="S25" s="128">
        <f>'total COMUNE'!S25+totalORASE!S25+'total MUNICIPII'!S25+totalCJ!S25</f>
        <v>1973297</v>
      </c>
      <c r="T25" s="128">
        <f>'total COMUNE'!T25+totalORASE!T25+'total MUNICIPII'!T25+totalCJ!T25</f>
        <v>17530801</v>
      </c>
      <c r="U25" s="128">
        <f>'total COMUNE'!U25+totalORASE!U25+'total MUNICIPII'!U25+totalCJ!U25</f>
        <v>2556014</v>
      </c>
      <c r="V25" s="128">
        <f>'total COMUNE'!V25+totalORASE!V25+'total MUNICIPII'!V25+totalCJ!V25</f>
        <v>165250144</v>
      </c>
      <c r="W25" s="128">
        <f>'total COMUNE'!W25+totalORASE!W25+'total MUNICIPII'!W25+totalCJ!W25</f>
        <v>68199489</v>
      </c>
      <c r="X25" s="128">
        <f>'total COMUNE'!X25+totalORASE!X25+'total MUNICIPII'!X25+totalCJ!X25</f>
        <v>6730037</v>
      </c>
      <c r="Y25" s="128">
        <f>'total COMUNE'!Y25+totalORASE!Y25+'total MUNICIPII'!Y25+totalCJ!Y25</f>
        <v>106692686</v>
      </c>
      <c r="Z25" s="128">
        <f>'total COMUNE'!Z25+totalORASE!Z25+'total MUNICIPII'!Z25+totalCJ!Z25</f>
        <v>42618788</v>
      </c>
      <c r="AA25" s="128">
        <f>'total COMUNE'!AA25+totalORASE!AA25+'total MUNICIPII'!AA25+totalCJ!AA25</f>
        <v>-5476010</v>
      </c>
      <c r="AB25" s="128">
        <f>'total COMUNE'!AB25+totalORASE!AB25+'total MUNICIPII'!AB25+totalCJ!AB25</f>
        <v>125417457</v>
      </c>
      <c r="AC25" s="128">
        <f>'total COMUNE'!AC25+totalORASE!AC25+'total MUNICIPII'!AC25+totalCJ!AC25</f>
        <v>9280744</v>
      </c>
      <c r="AD25" s="128">
        <f>'total COMUNE'!AD25+totalORASE!AD25+'total MUNICIPII'!AD25+totalCJ!AD25</f>
        <v>226953448</v>
      </c>
      <c r="AE25" s="128">
        <f>'total COMUNE'!AE25+totalORASE!AE25+'total MUNICIPII'!AE25+totalCJ!AE25</f>
        <v>16257492</v>
      </c>
      <c r="AF25" s="128">
        <f>'total COMUNE'!AF25+totalORASE!AF25+'total MUNICIPII'!AF25+totalCJ!AF25</f>
        <v>51850236</v>
      </c>
      <c r="AG25" s="128">
        <f>'total COMUNE'!AG25+totalORASE!AG25+'total MUNICIPII'!AG25+totalCJ!AG25</f>
        <v>121319082</v>
      </c>
      <c r="AH25" s="128">
        <f>'total COMUNE'!AH25+totalORASE!AH25+'total MUNICIPII'!AH25+totalCJ!AH25</f>
        <v>133046659</v>
      </c>
      <c r="AI25" s="128">
        <f>'total COMUNE'!AI25+totalORASE!AI25+'total MUNICIPII'!AI25+totalCJ!AI25</f>
        <v>83827558</v>
      </c>
      <c r="AJ25" s="128">
        <f>'total COMUNE'!AJ25+totalORASE!AJ25+'total MUNICIPII'!AJ25+totalCJ!AJ25</f>
        <v>24033</v>
      </c>
      <c r="AK25" s="128">
        <f>'total COMUNE'!AK25+totalORASE!AK25+'total MUNICIPII'!AK25+totalCJ!AK25</f>
        <v>79702443</v>
      </c>
      <c r="AL25" s="128">
        <f>'total COMUNE'!AL25+totalORASE!AL25+'total MUNICIPII'!AL25+totalCJ!AL25</f>
        <v>34287779</v>
      </c>
      <c r="AM25" s="129"/>
    </row>
    <row r="26" spans="1:39" s="130" customFormat="1" ht="25.5" customHeight="1" x14ac:dyDescent="0.2">
      <c r="A26" s="131">
        <v>12</v>
      </c>
      <c r="B26" s="132" t="s">
        <v>910</v>
      </c>
      <c r="C26" s="128">
        <f>'total COMUNE'!C26+totalORASE!C26+'total MUNICIPII'!C26+totalCJ!C26</f>
        <v>832733181</v>
      </c>
      <c r="D26" s="128">
        <f>'total COMUNE'!D26+totalORASE!D26+'total MUNICIPII'!D26+totalCJ!D26</f>
        <v>239852053</v>
      </c>
      <c r="E26" s="128">
        <f>'total COMUNE'!E26+totalORASE!E26+'total MUNICIPII'!E26+totalCJ!E26</f>
        <v>99795265</v>
      </c>
      <c r="F26" s="128">
        <f>'total COMUNE'!F26+totalORASE!F26+'total MUNICIPII'!F26+totalCJ!F26</f>
        <v>35498230</v>
      </c>
      <c r="G26" s="128">
        <f>'total COMUNE'!G26+totalORASE!G26+'total MUNICIPII'!G26+totalCJ!G26</f>
        <v>32847347</v>
      </c>
      <c r="H26" s="128">
        <f>'total COMUNE'!H26+totalORASE!H26+'total MUNICIPII'!H26+totalCJ!H26</f>
        <v>193760408</v>
      </c>
      <c r="I26" s="128">
        <f>'total COMUNE'!I26+totalORASE!I26+'total MUNICIPII'!I26+totalCJ!I26</f>
        <v>17063400</v>
      </c>
      <c r="J26" s="128">
        <f>'total COMUNE'!J26+totalORASE!J26+'total MUNICIPII'!J26+totalCJ!J26</f>
        <v>108528410</v>
      </c>
      <c r="K26" s="128">
        <f>'total COMUNE'!K26+totalORASE!K26+'total MUNICIPII'!K26+totalCJ!K26</f>
        <v>0</v>
      </c>
      <c r="L26" s="128">
        <f>'total COMUNE'!L26+totalORASE!L26+'total MUNICIPII'!L26+totalCJ!L26</f>
        <v>156570197</v>
      </c>
      <c r="M26" s="128">
        <f>'total COMUNE'!M26+totalORASE!M26+'total MUNICIPII'!M26+totalCJ!M26</f>
        <v>72144871</v>
      </c>
      <c r="N26" s="128">
        <f>'total COMUNE'!N26+totalORASE!N26+'total MUNICIPII'!N26+totalCJ!N26</f>
        <v>11966495</v>
      </c>
      <c r="O26" s="128">
        <f>'total COMUNE'!O26+totalORASE!O26+'total MUNICIPII'!O26+totalCJ!O26</f>
        <v>797401784</v>
      </c>
      <c r="P26" s="128">
        <f>'total COMUNE'!P26+totalORASE!P26+'total MUNICIPII'!P26+totalCJ!P26</f>
        <v>234822299</v>
      </c>
      <c r="Q26" s="128">
        <f>'total COMUNE'!Q26+totalORASE!Q26+'total MUNICIPII'!Q26+totalCJ!Q26</f>
        <v>165880393</v>
      </c>
      <c r="R26" s="128">
        <f>'total COMUNE'!R26+totalORASE!R26+'total MUNICIPII'!R26+totalCJ!R26</f>
        <v>935003</v>
      </c>
      <c r="S26" s="128">
        <f>'total COMUNE'!S26+totalORASE!S26+'total MUNICIPII'!S26+totalCJ!S26</f>
        <v>951557</v>
      </c>
      <c r="T26" s="128">
        <f>'total COMUNE'!T26+totalORASE!T26+'total MUNICIPII'!T26+totalCJ!T26</f>
        <v>29736393</v>
      </c>
      <c r="U26" s="128">
        <f>'total COMUNE'!U26+totalORASE!U26+'total MUNICIPII'!U26+totalCJ!U26</f>
        <v>3808178</v>
      </c>
      <c r="V26" s="128">
        <f>'total COMUNE'!V26+totalORASE!V26+'total MUNICIPII'!V26+totalCJ!V26</f>
        <v>135138287</v>
      </c>
      <c r="W26" s="128">
        <f>'total COMUNE'!W26+totalORASE!W26+'total MUNICIPII'!W26+totalCJ!W26</f>
        <v>94274043</v>
      </c>
      <c r="X26" s="128">
        <f>'total COMUNE'!X26+totalORASE!X26+'total MUNICIPII'!X26+totalCJ!X26</f>
        <v>11342340</v>
      </c>
      <c r="Y26" s="128">
        <f>'total COMUNE'!Y26+totalORASE!Y26+'total MUNICIPII'!Y26+totalCJ!Y26</f>
        <v>116363615</v>
      </c>
      <c r="Z26" s="128">
        <f>'total COMUNE'!Z26+totalORASE!Z26+'total MUNICIPII'!Z26+totalCJ!Z26</f>
        <v>5764519</v>
      </c>
      <c r="AA26" s="128">
        <f>'total COMUNE'!AA26+totalORASE!AA26+'total MUNICIPII'!AA26+totalCJ!AA26</f>
        <v>-1614843</v>
      </c>
      <c r="AB26" s="128">
        <f>'total COMUNE'!AB26+totalORASE!AB26+'total MUNICIPII'!AB26+totalCJ!AB26</f>
        <v>100023347</v>
      </c>
      <c r="AC26" s="128">
        <f>'total COMUNE'!AC26+totalORASE!AC26+'total MUNICIPII'!AC26+totalCJ!AC26</f>
        <v>7879962</v>
      </c>
      <c r="AD26" s="128">
        <f>'total COMUNE'!AD26+totalORASE!AD26+'total MUNICIPII'!AD26+totalCJ!AD26</f>
        <v>231691038</v>
      </c>
      <c r="AE26" s="128">
        <f>'total COMUNE'!AE26+totalORASE!AE26+'total MUNICIPII'!AE26+totalCJ!AE26</f>
        <v>17252355</v>
      </c>
      <c r="AF26" s="128">
        <f>'total COMUNE'!AF26+totalORASE!AF26+'total MUNICIPII'!AF26+totalCJ!AF26</f>
        <v>48876563</v>
      </c>
      <c r="AG26" s="128">
        <f>'total COMUNE'!AG26+totalORASE!AG26+'total MUNICIPII'!AG26+totalCJ!AG26</f>
        <v>137913963</v>
      </c>
      <c r="AH26" s="128">
        <f>'total COMUNE'!AH26+totalORASE!AH26+'total MUNICIPII'!AH26+totalCJ!AH26</f>
        <v>56675545</v>
      </c>
      <c r="AI26" s="128">
        <f>'total COMUNE'!AI26+totalORASE!AI26+'total MUNICIPII'!AI26+totalCJ!AI26</f>
        <v>73513686</v>
      </c>
      <c r="AJ26" s="128">
        <f>'total COMUNE'!AJ26+totalORASE!AJ26+'total MUNICIPII'!AJ26+totalCJ!AJ26</f>
        <v>259793</v>
      </c>
      <c r="AK26" s="128">
        <f>'total COMUNE'!AK26+totalORASE!AK26+'total MUNICIPII'!AK26+totalCJ!AK26</f>
        <v>110212787</v>
      </c>
      <c r="AL26" s="128">
        <f>'total COMUNE'!AL26+totalORASE!AL26+'total MUNICIPII'!AL26+totalCJ!AL26</f>
        <v>13102745</v>
      </c>
      <c r="AM26" s="129"/>
    </row>
    <row r="27" spans="1:39" s="130" customFormat="1" ht="25.5" customHeight="1" x14ac:dyDescent="0.2">
      <c r="A27" s="131">
        <v>13</v>
      </c>
      <c r="B27" s="132" t="s">
        <v>911</v>
      </c>
      <c r="C27" s="128">
        <f>'total COMUNE'!C27+totalORASE!C27+'total MUNICIPII'!C27+totalCJ!C27</f>
        <v>2120656580</v>
      </c>
      <c r="D27" s="128">
        <f>'total COMUNE'!D27+totalORASE!D27+'total MUNICIPII'!D27+totalCJ!D27</f>
        <v>1190243829</v>
      </c>
      <c r="E27" s="128">
        <f>'total COMUNE'!E27+totalORASE!E27+'total MUNICIPII'!E27+totalCJ!E27</f>
        <v>592376961</v>
      </c>
      <c r="F27" s="128">
        <f>'total COMUNE'!F27+totalORASE!F27+'total MUNICIPII'!F27+totalCJ!F27</f>
        <v>207580669</v>
      </c>
      <c r="G27" s="128">
        <f>'total COMUNE'!G27+totalORASE!G27+'total MUNICIPII'!G27+totalCJ!G27</f>
        <v>86810937</v>
      </c>
      <c r="H27" s="128">
        <f>'total COMUNE'!H27+totalORASE!H27+'total MUNICIPII'!H27+totalCJ!H27</f>
        <v>405436602</v>
      </c>
      <c r="I27" s="128">
        <f>'total COMUNE'!I27+totalORASE!I27+'total MUNICIPII'!I27+totalCJ!I27</f>
        <v>19099725</v>
      </c>
      <c r="J27" s="128">
        <f>'total COMUNE'!J27+totalORASE!J27+'total MUNICIPII'!J27+totalCJ!J27</f>
        <v>89905894</v>
      </c>
      <c r="K27" s="128">
        <f>'total COMUNE'!K27+totalORASE!K27+'total MUNICIPII'!K27+totalCJ!K27</f>
        <v>0</v>
      </c>
      <c r="L27" s="128">
        <f>'total COMUNE'!L27+totalORASE!L27+'total MUNICIPII'!L27+totalCJ!L27</f>
        <v>184357205</v>
      </c>
      <c r="M27" s="128">
        <f>'total COMUNE'!M27+totalORASE!M27+'total MUNICIPII'!M27+totalCJ!M27</f>
        <v>136860998</v>
      </c>
      <c r="N27" s="128">
        <f>'total COMUNE'!N27+totalORASE!N27+'total MUNICIPII'!N27+totalCJ!N27</f>
        <v>7941390</v>
      </c>
      <c r="O27" s="128">
        <f>'total COMUNE'!O27+totalORASE!O27+'total MUNICIPII'!O27+totalCJ!O27</f>
        <v>2053502759</v>
      </c>
      <c r="P27" s="128">
        <f>'total COMUNE'!P27+totalORASE!P27+'total MUNICIPII'!P27+totalCJ!P27</f>
        <v>540400970</v>
      </c>
      <c r="Q27" s="128">
        <f>'total COMUNE'!Q27+totalORASE!Q27+'total MUNICIPII'!Q27+totalCJ!Q27</f>
        <v>434114508</v>
      </c>
      <c r="R27" s="128">
        <f>'total COMUNE'!R27+totalORASE!R27+'total MUNICIPII'!R27+totalCJ!R27</f>
        <v>17609913</v>
      </c>
      <c r="S27" s="128">
        <f>'total COMUNE'!S27+totalORASE!S27+'total MUNICIPII'!S27+totalCJ!S27</f>
        <v>41150071</v>
      </c>
      <c r="T27" s="128">
        <f>'total COMUNE'!T27+totalORASE!T27+'total MUNICIPII'!T27+totalCJ!T27</f>
        <v>157810701</v>
      </c>
      <c r="U27" s="128">
        <f>'total COMUNE'!U27+totalORASE!U27+'total MUNICIPII'!U27+totalCJ!U27</f>
        <v>110419628</v>
      </c>
      <c r="V27" s="128">
        <f>'total COMUNE'!V27+totalORASE!V27+'total MUNICIPII'!V27+totalCJ!V27</f>
        <v>363640680</v>
      </c>
      <c r="W27" s="128">
        <f>'total COMUNE'!W27+totalORASE!W27+'total MUNICIPII'!W27+totalCJ!W27</f>
        <v>102728637</v>
      </c>
      <c r="X27" s="128">
        <f>'total COMUNE'!X27+totalORASE!X27+'total MUNICIPII'!X27+totalCJ!X27</f>
        <v>30253698</v>
      </c>
      <c r="Y27" s="128">
        <f>'total COMUNE'!Y27+totalORASE!Y27+'total MUNICIPII'!Y27+totalCJ!Y27</f>
        <v>233407392</v>
      </c>
      <c r="Z27" s="128">
        <f>'total COMUNE'!Z27+totalORASE!Z27+'total MUNICIPII'!Z27+totalCJ!Z27</f>
        <v>25124487</v>
      </c>
      <c r="AA27" s="128">
        <f>'total COMUNE'!AA27+totalORASE!AA27+'total MUNICIPII'!AA27+totalCJ!AA27</f>
        <v>-3157926</v>
      </c>
      <c r="AB27" s="128">
        <f>'total COMUNE'!AB27+totalORASE!AB27+'total MUNICIPII'!AB27+totalCJ!AB27</f>
        <v>228083073</v>
      </c>
      <c r="AC27" s="128">
        <f>'total COMUNE'!AC27+totalORASE!AC27+'total MUNICIPII'!AC27+totalCJ!AC27</f>
        <v>21655221</v>
      </c>
      <c r="AD27" s="128">
        <f>'total COMUNE'!AD27+totalORASE!AD27+'total MUNICIPII'!AD27+totalCJ!AD27</f>
        <v>501407383</v>
      </c>
      <c r="AE27" s="128">
        <f>'total COMUNE'!AE27+totalORASE!AE27+'total MUNICIPII'!AE27+totalCJ!AE27</f>
        <v>59101248</v>
      </c>
      <c r="AF27" s="128">
        <f>'total COMUNE'!AF27+totalORASE!AF27+'total MUNICIPII'!AF27+totalCJ!AF27</f>
        <v>115915556</v>
      </c>
      <c r="AG27" s="128">
        <f>'total COMUNE'!AG27+totalORASE!AG27+'total MUNICIPII'!AG27+totalCJ!AG27</f>
        <v>258033716</v>
      </c>
      <c r="AH27" s="128">
        <f>'total COMUNE'!AH27+totalORASE!AH27+'total MUNICIPII'!AH27+totalCJ!AH27</f>
        <v>178964999</v>
      </c>
      <c r="AI27" s="128">
        <f>'total COMUNE'!AI27+totalORASE!AI27+'total MUNICIPII'!AI27+totalCJ!AI27</f>
        <v>78366112</v>
      </c>
      <c r="AJ27" s="128">
        <f>'total COMUNE'!AJ27+totalORASE!AJ27+'total MUNICIPII'!AJ27+totalCJ!AJ27</f>
        <v>40805835</v>
      </c>
      <c r="AK27" s="128">
        <f>'total COMUNE'!AK27+totalORASE!AK27+'total MUNICIPII'!AK27+totalCJ!AK27</f>
        <v>515678326</v>
      </c>
      <c r="AL27" s="128">
        <f>'total COMUNE'!AL27+totalORASE!AL27+'total MUNICIPII'!AL27+totalCJ!AL27</f>
        <v>55491290</v>
      </c>
      <c r="AM27" s="129"/>
    </row>
    <row r="28" spans="1:39" s="130" customFormat="1" ht="25.5" customHeight="1" x14ac:dyDescent="0.2">
      <c r="A28" s="131">
        <v>14</v>
      </c>
      <c r="B28" s="132" t="s">
        <v>912</v>
      </c>
      <c r="C28" s="128">
        <f>'total COMUNE'!C28+totalORASE!C28+'total MUNICIPII'!C28+totalCJ!C28</f>
        <v>2305630399</v>
      </c>
      <c r="D28" s="128">
        <f>'total COMUNE'!D28+totalORASE!D28+'total MUNICIPII'!D28+totalCJ!D28</f>
        <v>1265097097</v>
      </c>
      <c r="E28" s="128">
        <f>'total COMUNE'!E28+totalORASE!E28+'total MUNICIPII'!E28+totalCJ!E28</f>
        <v>558281758</v>
      </c>
      <c r="F28" s="128">
        <f>'total COMUNE'!F28+totalORASE!F28+'total MUNICIPII'!F28+totalCJ!F28</f>
        <v>181134717</v>
      </c>
      <c r="G28" s="128">
        <f>'total COMUNE'!G28+totalORASE!G28+'total MUNICIPII'!G28+totalCJ!G28</f>
        <v>72941014</v>
      </c>
      <c r="H28" s="128">
        <f>'total COMUNE'!H28+totalORASE!H28+'total MUNICIPII'!H28+totalCJ!H28</f>
        <v>391496714</v>
      </c>
      <c r="I28" s="128">
        <f>'total COMUNE'!I28+totalORASE!I28+'total MUNICIPII'!I28+totalCJ!I28</f>
        <v>17760269</v>
      </c>
      <c r="J28" s="128">
        <f>'total COMUNE'!J28+totalORASE!J28+'total MUNICIPII'!J28+totalCJ!J28</f>
        <v>53227738</v>
      </c>
      <c r="K28" s="128">
        <f>'total COMUNE'!K28+totalORASE!K28+'total MUNICIPII'!K28+totalCJ!K28</f>
        <v>0</v>
      </c>
      <c r="L28" s="128">
        <f>'total COMUNE'!L28+totalORASE!L28+'total MUNICIPII'!L28+totalCJ!L28</f>
        <v>237770978</v>
      </c>
      <c r="M28" s="128">
        <f>'total COMUNE'!M28+totalORASE!M28+'total MUNICIPII'!M28+totalCJ!M28</f>
        <v>254502724</v>
      </c>
      <c r="N28" s="128">
        <f>'total COMUNE'!N28+totalORASE!N28+'total MUNICIPII'!N28+totalCJ!N28</f>
        <v>12833865</v>
      </c>
      <c r="O28" s="128">
        <f>'total COMUNE'!O28+totalORASE!O28+'total MUNICIPII'!O28+totalCJ!O28</f>
        <v>2102228081</v>
      </c>
      <c r="P28" s="128">
        <f>'total COMUNE'!P28+totalORASE!P28+'total MUNICIPII'!P28+totalCJ!P28</f>
        <v>528792187</v>
      </c>
      <c r="Q28" s="128">
        <f>'total COMUNE'!Q28+totalORASE!Q28+'total MUNICIPII'!Q28+totalCJ!Q28</f>
        <v>520356444</v>
      </c>
      <c r="R28" s="128">
        <f>'total COMUNE'!R28+totalORASE!R28+'total MUNICIPII'!R28+totalCJ!R28</f>
        <v>6707672</v>
      </c>
      <c r="S28" s="128">
        <f>'total COMUNE'!S28+totalORASE!S28+'total MUNICIPII'!S28+totalCJ!S28</f>
        <v>71157789</v>
      </c>
      <c r="T28" s="128">
        <f>'total COMUNE'!T28+totalORASE!T28+'total MUNICIPII'!T28+totalCJ!T28</f>
        <v>147317987</v>
      </c>
      <c r="U28" s="128">
        <f>'total COMUNE'!U28+totalORASE!U28+'total MUNICIPII'!U28+totalCJ!U28</f>
        <v>36984281</v>
      </c>
      <c r="V28" s="128">
        <f>'total COMUNE'!V28+totalORASE!V28+'total MUNICIPII'!V28+totalCJ!V28</f>
        <v>419093270</v>
      </c>
      <c r="W28" s="128">
        <f>'total COMUNE'!W28+totalORASE!W28+'total MUNICIPII'!W28+totalCJ!W28</f>
        <v>63963858</v>
      </c>
      <c r="X28" s="128">
        <f>'total COMUNE'!X28+totalORASE!X28+'total MUNICIPII'!X28+totalCJ!X28</f>
        <v>21187519</v>
      </c>
      <c r="Y28" s="128">
        <f>'total COMUNE'!Y28+totalORASE!Y28+'total MUNICIPII'!Y28+totalCJ!Y28</f>
        <v>251560419</v>
      </c>
      <c r="Z28" s="128">
        <f>'total COMUNE'!Z28+totalORASE!Z28+'total MUNICIPII'!Z28+totalCJ!Z28</f>
        <v>36713166</v>
      </c>
      <c r="AA28" s="128">
        <f>'total COMUNE'!AA28+totalORASE!AA28+'total MUNICIPII'!AA28+totalCJ!AA28</f>
        <v>-1606511</v>
      </c>
      <c r="AB28" s="128">
        <f>'total COMUNE'!AB28+totalORASE!AB28+'total MUNICIPII'!AB28+totalCJ!AB28</f>
        <v>215481933</v>
      </c>
      <c r="AC28" s="128">
        <f>'total COMUNE'!AC28+totalORASE!AC28+'total MUNICIPII'!AC28+totalCJ!AC28</f>
        <v>33769440</v>
      </c>
      <c r="AD28" s="128">
        <f>'total COMUNE'!AD28+totalORASE!AD28+'total MUNICIPII'!AD28+totalCJ!AD28</f>
        <v>441244146</v>
      </c>
      <c r="AE28" s="128">
        <f>'total COMUNE'!AE28+totalORASE!AE28+'total MUNICIPII'!AE28+totalCJ!AE28</f>
        <v>50053130</v>
      </c>
      <c r="AF28" s="128">
        <f>'total COMUNE'!AF28+totalORASE!AF28+'total MUNICIPII'!AF28+totalCJ!AF28</f>
        <v>156313754</v>
      </c>
      <c r="AG28" s="128">
        <f>'total COMUNE'!AG28+totalORASE!AG28+'total MUNICIPII'!AG28+totalCJ!AG28</f>
        <v>227641643</v>
      </c>
      <c r="AH28" s="128">
        <f>'total COMUNE'!AH28+totalORASE!AH28+'total MUNICIPII'!AH28+totalCJ!AH28</f>
        <v>421196365</v>
      </c>
      <c r="AI28" s="128">
        <f>'total COMUNE'!AI28+totalORASE!AI28+'total MUNICIPII'!AI28+totalCJ!AI28</f>
        <v>229604805</v>
      </c>
      <c r="AJ28" s="128">
        <f>'total COMUNE'!AJ28+totalORASE!AJ28+'total MUNICIPII'!AJ28+totalCJ!AJ28</f>
        <v>63798504</v>
      </c>
      <c r="AK28" s="128">
        <f>'total COMUNE'!AK28+totalORASE!AK28+'total MUNICIPII'!AK28+totalCJ!AK28</f>
        <v>239795091</v>
      </c>
      <c r="AL28" s="128">
        <f>'total COMUNE'!AL28+totalORASE!AL28+'total MUNICIPII'!AL28+totalCJ!AL28</f>
        <v>23329270</v>
      </c>
      <c r="AM28" s="129"/>
    </row>
    <row r="29" spans="1:39" s="130" customFormat="1" ht="25.5" customHeight="1" x14ac:dyDescent="0.2">
      <c r="A29" s="134">
        <v>15</v>
      </c>
      <c r="B29" s="132" t="s">
        <v>913</v>
      </c>
      <c r="C29" s="128">
        <f>'total COMUNE'!C29+totalORASE!C29+'total MUNICIPII'!C29+totalCJ!C29</f>
        <v>715996685</v>
      </c>
      <c r="D29" s="128">
        <f>'total COMUNE'!D29+totalORASE!D29+'total MUNICIPII'!D29+totalCJ!D29</f>
        <v>202726145</v>
      </c>
      <c r="E29" s="128">
        <f>'total COMUNE'!E29+totalORASE!E29+'total MUNICIPII'!E29+totalCJ!E29</f>
        <v>88168886</v>
      </c>
      <c r="F29" s="128">
        <f>'total COMUNE'!F29+totalORASE!F29+'total MUNICIPII'!F29+totalCJ!F29</f>
        <v>30775937</v>
      </c>
      <c r="G29" s="128">
        <f>'total COMUNE'!G29+totalORASE!G29+'total MUNICIPII'!G29+totalCJ!G29</f>
        <v>27658722</v>
      </c>
      <c r="H29" s="128">
        <f>'total COMUNE'!H29+totalORASE!H29+'total MUNICIPII'!H29+totalCJ!H29</f>
        <v>166209690</v>
      </c>
      <c r="I29" s="128">
        <f>'total COMUNE'!I29+totalORASE!I29+'total MUNICIPII'!I29+totalCJ!I29</f>
        <v>17433426</v>
      </c>
      <c r="J29" s="128">
        <f>'total COMUNE'!J29+totalORASE!J29+'total MUNICIPII'!J29+totalCJ!J29</f>
        <v>88150000</v>
      </c>
      <c r="K29" s="128">
        <f>'total COMUNE'!K29+totalORASE!K29+'total MUNICIPII'!K29+totalCJ!K29</f>
        <v>0</v>
      </c>
      <c r="L29" s="128">
        <f>'total COMUNE'!L29+totalORASE!L29+'total MUNICIPII'!L29+totalCJ!L29</f>
        <v>94335052</v>
      </c>
      <c r="M29" s="128">
        <f>'total COMUNE'!M29+totalORASE!M29+'total MUNICIPII'!M29+totalCJ!M29</f>
        <v>113069790</v>
      </c>
      <c r="N29" s="128">
        <f>'total COMUNE'!N29+totalORASE!N29+'total MUNICIPII'!N29+totalCJ!N29</f>
        <v>6413860</v>
      </c>
      <c r="O29" s="128">
        <f>'total COMUNE'!O29+totalORASE!O29+'total MUNICIPII'!O29+totalCJ!O29</f>
        <v>711940442</v>
      </c>
      <c r="P29" s="128">
        <f>'total COMUNE'!P29+totalORASE!P29+'total MUNICIPII'!P29+totalCJ!P29</f>
        <v>206338536</v>
      </c>
      <c r="Q29" s="128">
        <f>'total COMUNE'!Q29+totalORASE!Q29+'total MUNICIPII'!Q29+totalCJ!Q29</f>
        <v>128102330</v>
      </c>
      <c r="R29" s="128">
        <f>'total COMUNE'!R29+totalORASE!R29+'total MUNICIPII'!R29+totalCJ!R29</f>
        <v>1458803</v>
      </c>
      <c r="S29" s="128">
        <f>'total COMUNE'!S29+totalORASE!S29+'total MUNICIPII'!S29+totalCJ!S29</f>
        <v>2631191</v>
      </c>
      <c r="T29" s="128">
        <f>'total COMUNE'!T29+totalORASE!T29+'total MUNICIPII'!T29+totalCJ!T29</f>
        <v>19232281</v>
      </c>
      <c r="U29" s="128">
        <f>'total COMUNE'!U29+totalORASE!U29+'total MUNICIPII'!U29+totalCJ!U29</f>
        <v>6655997</v>
      </c>
      <c r="V29" s="128">
        <f>'total COMUNE'!V29+totalORASE!V29+'total MUNICIPII'!V29+totalCJ!V29</f>
        <v>228206403</v>
      </c>
      <c r="W29" s="128">
        <f>'total COMUNE'!W29+totalORASE!W29+'total MUNICIPII'!W29+totalCJ!W29</f>
        <v>31689470</v>
      </c>
      <c r="X29" s="128">
        <f>'total COMUNE'!X29+totalORASE!X29+'total MUNICIPII'!X29+totalCJ!X29</f>
        <v>8835385</v>
      </c>
      <c r="Y29" s="128">
        <f>'total COMUNE'!Y29+totalORASE!Y29+'total MUNICIPII'!Y29+totalCJ!Y29</f>
        <v>76984990</v>
      </c>
      <c r="Z29" s="128">
        <f>'total COMUNE'!Z29+totalORASE!Z29+'total MUNICIPII'!Z29+totalCJ!Z29</f>
        <v>4914418</v>
      </c>
      <c r="AA29" s="128">
        <f>'total COMUNE'!AA29+totalORASE!AA29+'total MUNICIPII'!AA29+totalCJ!AA29</f>
        <v>-3109362</v>
      </c>
      <c r="AB29" s="128">
        <f>'total COMUNE'!AB29+totalORASE!AB29+'total MUNICIPII'!AB29+totalCJ!AB29</f>
        <v>66050516</v>
      </c>
      <c r="AC29" s="128">
        <f>'total COMUNE'!AC29+totalORASE!AC29+'total MUNICIPII'!AC29+totalCJ!AC29</f>
        <v>7902467</v>
      </c>
      <c r="AD29" s="128">
        <f>'total COMUNE'!AD29+totalORASE!AD29+'total MUNICIPII'!AD29+totalCJ!AD29</f>
        <v>193365144</v>
      </c>
      <c r="AE29" s="128">
        <f>'total COMUNE'!AE29+totalORASE!AE29+'total MUNICIPII'!AE29+totalCJ!AE29</f>
        <v>52140159</v>
      </c>
      <c r="AF29" s="128">
        <f>'total COMUNE'!AF29+totalORASE!AF29+'total MUNICIPII'!AF29+totalCJ!AF29</f>
        <v>50993219</v>
      </c>
      <c r="AG29" s="128">
        <f>'total COMUNE'!AG29+totalORASE!AG29+'total MUNICIPII'!AG29+totalCJ!AG29</f>
        <v>62399664</v>
      </c>
      <c r="AH29" s="128">
        <f>'total COMUNE'!AH29+totalORASE!AH29+'total MUNICIPII'!AH29+totalCJ!AH29</f>
        <v>65711560</v>
      </c>
      <c r="AI29" s="128">
        <f>'total COMUNE'!AI29+totalORASE!AI29+'total MUNICIPII'!AI29+totalCJ!AI29</f>
        <v>81028071</v>
      </c>
      <c r="AJ29" s="128">
        <f>'total COMUNE'!AJ29+totalORASE!AJ29+'total MUNICIPII'!AJ29+totalCJ!AJ29</f>
        <v>2205404</v>
      </c>
      <c r="AK29" s="128">
        <f>'total COMUNE'!AK29+totalORASE!AK29+'total MUNICIPII'!AK29+totalCJ!AK29</f>
        <v>119490706</v>
      </c>
      <c r="AL29" s="128">
        <f>'total COMUNE'!AL29+totalORASE!AL29+'total MUNICIPII'!AL29+totalCJ!AL29</f>
        <v>10653532</v>
      </c>
      <c r="AM29" s="129"/>
    </row>
    <row r="30" spans="1:39" s="130" customFormat="1" ht="25.5" customHeight="1" x14ac:dyDescent="0.2">
      <c r="A30" s="134">
        <v>16</v>
      </c>
      <c r="B30" s="132" t="s">
        <v>914</v>
      </c>
      <c r="C30" s="128">
        <f>'total COMUNE'!C30+totalORASE!C30+'total MUNICIPII'!C30+totalCJ!C30</f>
        <v>1253325315</v>
      </c>
      <c r="D30" s="128">
        <f>'total COMUNE'!D30+totalORASE!D30+'total MUNICIPII'!D30+totalCJ!D30</f>
        <v>383634462</v>
      </c>
      <c r="E30" s="128">
        <f>'total COMUNE'!E30+totalORASE!E30+'total MUNICIPII'!E30+totalCJ!E30</f>
        <v>164214823</v>
      </c>
      <c r="F30" s="128">
        <f>'total COMUNE'!F30+totalORASE!F30+'total MUNICIPII'!F30+totalCJ!F30</f>
        <v>57317741</v>
      </c>
      <c r="G30" s="128">
        <f>'total COMUNE'!G30+totalORASE!G30+'total MUNICIPII'!G30+totalCJ!G30</f>
        <v>45049000</v>
      </c>
      <c r="H30" s="128">
        <f>'total COMUNE'!H30+totalORASE!H30+'total MUNICIPII'!H30+totalCJ!H30</f>
        <v>321557007</v>
      </c>
      <c r="I30" s="128">
        <f>'total COMUNE'!I30+totalORASE!I30+'total MUNICIPII'!I30+totalCJ!I30</f>
        <v>19408872</v>
      </c>
      <c r="J30" s="128">
        <f>'total COMUNE'!J30+totalORASE!J30+'total MUNICIPII'!J30+totalCJ!J30</f>
        <v>114521076</v>
      </c>
      <c r="K30" s="128">
        <f>'total COMUNE'!K30+totalORASE!K30+'total MUNICIPII'!K30+totalCJ!K30</f>
        <v>0</v>
      </c>
      <c r="L30" s="128">
        <f>'total COMUNE'!L30+totalORASE!L30+'total MUNICIPII'!L30+totalCJ!L30</f>
        <v>213389466</v>
      </c>
      <c r="M30" s="128">
        <f>'total COMUNE'!M30+totalORASE!M30+'total MUNICIPII'!M30+totalCJ!M30</f>
        <v>134973914</v>
      </c>
      <c r="N30" s="128">
        <f>'total COMUNE'!N30+totalORASE!N30+'total MUNICIPII'!N30+totalCJ!N30</f>
        <v>20791518</v>
      </c>
      <c r="O30" s="128">
        <f>'total COMUNE'!O30+totalORASE!O30+'total MUNICIPII'!O30+totalCJ!O30</f>
        <v>1227286170</v>
      </c>
      <c r="P30" s="128">
        <f>'total COMUNE'!P30+totalORASE!P30+'total MUNICIPII'!P30+totalCJ!P30</f>
        <v>386377273</v>
      </c>
      <c r="Q30" s="128">
        <f>'total COMUNE'!Q30+totalORASE!Q30+'total MUNICIPII'!Q30+totalCJ!Q30</f>
        <v>214469450</v>
      </c>
      <c r="R30" s="128">
        <f>'total COMUNE'!R30+totalORASE!R30+'total MUNICIPII'!R30+totalCJ!R30</f>
        <v>7544291</v>
      </c>
      <c r="S30" s="128">
        <f>'total COMUNE'!S30+totalORASE!S30+'total MUNICIPII'!S30+totalCJ!S30</f>
        <v>532765</v>
      </c>
      <c r="T30" s="128">
        <f>'total COMUNE'!T30+totalORASE!T30+'total MUNICIPII'!T30+totalCJ!T30</f>
        <v>17941483</v>
      </c>
      <c r="U30" s="128">
        <f>'total COMUNE'!U30+totalORASE!U30+'total MUNICIPII'!U30+totalCJ!U30</f>
        <v>3094458</v>
      </c>
      <c r="V30" s="128">
        <f>'total COMUNE'!V30+totalORASE!V30+'total MUNICIPII'!V30+totalCJ!V30</f>
        <v>226950155</v>
      </c>
      <c r="W30" s="128">
        <f>'total COMUNE'!W30+totalORASE!W30+'total MUNICIPII'!W30+totalCJ!W30</f>
        <v>119754732</v>
      </c>
      <c r="X30" s="128">
        <f>'total COMUNE'!X30+totalORASE!X30+'total MUNICIPII'!X30+totalCJ!X30</f>
        <v>23716135</v>
      </c>
      <c r="Y30" s="128">
        <f>'total COMUNE'!Y30+totalORASE!Y30+'total MUNICIPII'!Y30+totalCJ!Y30</f>
        <v>201371031</v>
      </c>
      <c r="Z30" s="128">
        <f>'total COMUNE'!Z30+totalORASE!Z30+'total MUNICIPII'!Z30+totalCJ!Z30</f>
        <v>28031369</v>
      </c>
      <c r="AA30" s="128">
        <f>'total COMUNE'!AA30+totalORASE!AA30+'total MUNICIPII'!AA30+totalCJ!AA30</f>
        <v>-2496972</v>
      </c>
      <c r="AB30" s="128">
        <f>'total COMUNE'!AB30+totalORASE!AB30+'total MUNICIPII'!AB30+totalCJ!AB30</f>
        <v>151786561</v>
      </c>
      <c r="AC30" s="128">
        <f>'total COMUNE'!AC30+totalORASE!AC30+'total MUNICIPII'!AC30+totalCJ!AC30</f>
        <v>15310968</v>
      </c>
      <c r="AD30" s="128">
        <f>'total COMUNE'!AD30+totalORASE!AD30+'total MUNICIPII'!AD30+totalCJ!AD30</f>
        <v>339369138</v>
      </c>
      <c r="AE30" s="128">
        <f>'total COMUNE'!AE30+totalORASE!AE30+'total MUNICIPII'!AE30+totalCJ!AE30</f>
        <v>9961508</v>
      </c>
      <c r="AF30" s="128">
        <f>'total COMUNE'!AF30+totalORASE!AF30+'total MUNICIPII'!AF30+totalCJ!AF30</f>
        <v>94685435</v>
      </c>
      <c r="AG30" s="128">
        <f>'total COMUNE'!AG30+totalORASE!AG30+'total MUNICIPII'!AG30+totalCJ!AG30</f>
        <v>188026538</v>
      </c>
      <c r="AH30" s="128">
        <f>'total COMUNE'!AH30+totalORASE!AH30+'total MUNICIPII'!AH30+totalCJ!AH30</f>
        <v>147000997</v>
      </c>
      <c r="AI30" s="128">
        <f>'total COMUNE'!AI30+totalORASE!AI30+'total MUNICIPII'!AI30+totalCJ!AI30</f>
        <v>50029553</v>
      </c>
      <c r="AJ30" s="128">
        <f>'total COMUNE'!AJ30+totalORASE!AJ30+'total MUNICIPII'!AJ30+totalCJ!AJ30</f>
        <v>0</v>
      </c>
      <c r="AK30" s="128">
        <f>'total COMUNE'!AK30+totalORASE!AK30+'total MUNICIPII'!AK30+totalCJ!AK30</f>
        <v>219007328</v>
      </c>
      <c r="AL30" s="128">
        <f>'total COMUNE'!AL30+totalORASE!AL30+'total MUNICIPII'!AL30+totalCJ!AL30</f>
        <v>12108144</v>
      </c>
      <c r="AM30" s="129"/>
    </row>
    <row r="31" spans="1:39" s="130" customFormat="1" ht="25.5" customHeight="1" x14ac:dyDescent="0.2">
      <c r="A31" s="134">
        <v>17</v>
      </c>
      <c r="B31" s="132" t="s">
        <v>915</v>
      </c>
      <c r="C31" s="128">
        <f>'total COMUNE'!C31+totalORASE!C31+'total MUNICIPII'!C31+totalCJ!C31</f>
        <v>1702544014</v>
      </c>
      <c r="D31" s="128">
        <f>'total COMUNE'!D31+totalORASE!D31+'total MUNICIPII'!D31+totalCJ!D31</f>
        <v>637006503</v>
      </c>
      <c r="E31" s="128">
        <f>'total COMUNE'!E31+totalORASE!E31+'total MUNICIPII'!E31+totalCJ!E31</f>
        <v>298160288</v>
      </c>
      <c r="F31" s="128">
        <f>'total COMUNE'!F31+totalORASE!F31+'total MUNICIPII'!F31+totalCJ!F31</f>
        <v>104074200</v>
      </c>
      <c r="G31" s="128">
        <f>'total COMUNE'!G31+totalORASE!G31+'total MUNICIPII'!G31+totalCJ!G31</f>
        <v>63302589</v>
      </c>
      <c r="H31" s="128">
        <f>'total COMUNE'!H31+totalORASE!H31+'total MUNICIPII'!H31+totalCJ!H31</f>
        <v>416809350</v>
      </c>
      <c r="I31" s="128">
        <f>'total COMUNE'!I31+totalORASE!I31+'total MUNICIPII'!I31+totalCJ!I31</f>
        <v>19588637</v>
      </c>
      <c r="J31" s="128">
        <f>'total COMUNE'!J31+totalORASE!J31+'total MUNICIPII'!J31+totalCJ!J31</f>
        <v>110928820</v>
      </c>
      <c r="K31" s="128">
        <f>'total COMUNE'!K31+totalORASE!K31+'total MUNICIPII'!K31+totalCJ!K31</f>
        <v>0</v>
      </c>
      <c r="L31" s="128">
        <f>'total COMUNE'!L31+totalORASE!L31+'total MUNICIPII'!L31+totalCJ!L31</f>
        <v>189182077</v>
      </c>
      <c r="M31" s="128">
        <f>'total COMUNE'!M31+totalORASE!M31+'total MUNICIPII'!M31+totalCJ!M31</f>
        <v>257836896</v>
      </c>
      <c r="N31" s="128">
        <f>'total COMUNE'!N31+totalORASE!N31+'total MUNICIPII'!N31+totalCJ!N31</f>
        <v>7889142</v>
      </c>
      <c r="O31" s="128">
        <f>'total COMUNE'!O31+totalORASE!O31+'total MUNICIPII'!O31+totalCJ!O31</f>
        <v>1713283952</v>
      </c>
      <c r="P31" s="128">
        <f>'total COMUNE'!P31+totalORASE!P31+'total MUNICIPII'!P31+totalCJ!P31</f>
        <v>517241885</v>
      </c>
      <c r="Q31" s="128">
        <f>'total COMUNE'!Q31+totalORASE!Q31+'total MUNICIPII'!Q31+totalCJ!Q31</f>
        <v>307961162</v>
      </c>
      <c r="R31" s="128">
        <f>'total COMUNE'!R31+totalORASE!R31+'total MUNICIPII'!R31+totalCJ!R31</f>
        <v>7900141</v>
      </c>
      <c r="S31" s="128">
        <f>'total COMUNE'!S31+totalORASE!S31+'total MUNICIPII'!S31+totalCJ!S31</f>
        <v>28871260</v>
      </c>
      <c r="T31" s="128">
        <f>'total COMUNE'!T31+totalORASE!T31+'total MUNICIPII'!T31+totalCJ!T31</f>
        <v>103182880</v>
      </c>
      <c r="U31" s="128">
        <f>'total COMUNE'!U31+totalORASE!U31+'total MUNICIPII'!U31+totalCJ!U31</f>
        <v>24504383</v>
      </c>
      <c r="V31" s="128">
        <f>'total COMUNE'!V31+totalORASE!V31+'total MUNICIPII'!V31+totalCJ!V31</f>
        <v>409879896</v>
      </c>
      <c r="W31" s="128">
        <f>'total COMUNE'!W31+totalORASE!W31+'total MUNICIPII'!W31+totalCJ!W31</f>
        <v>101834160</v>
      </c>
      <c r="X31" s="128">
        <f>'total COMUNE'!X31+totalORASE!X31+'total MUNICIPII'!X31+totalCJ!X31</f>
        <v>11849293</v>
      </c>
      <c r="Y31" s="128">
        <f>'total COMUNE'!Y31+totalORASE!Y31+'total MUNICIPII'!Y31+totalCJ!Y31</f>
        <v>184578804</v>
      </c>
      <c r="Z31" s="128">
        <f>'total COMUNE'!Z31+totalORASE!Z31+'total MUNICIPII'!Z31+totalCJ!Z31</f>
        <v>18843174</v>
      </c>
      <c r="AA31" s="128">
        <f>'total COMUNE'!AA31+totalORASE!AA31+'total MUNICIPII'!AA31+totalCJ!AA31</f>
        <v>-3363086</v>
      </c>
      <c r="AB31" s="128">
        <f>'total COMUNE'!AB31+totalORASE!AB31+'total MUNICIPII'!AB31+totalCJ!AB31</f>
        <v>278526430</v>
      </c>
      <c r="AC31" s="128">
        <f>'total COMUNE'!AC31+totalORASE!AC31+'total MUNICIPII'!AC31+totalCJ!AC31</f>
        <v>22417026</v>
      </c>
      <c r="AD31" s="128">
        <f>'total COMUNE'!AD31+totalORASE!AD31+'total MUNICIPII'!AD31+totalCJ!AD31</f>
        <v>456341853</v>
      </c>
      <c r="AE31" s="128">
        <f>'total COMUNE'!AE31+totalORASE!AE31+'total MUNICIPII'!AE31+totalCJ!AE31</f>
        <v>51485323</v>
      </c>
      <c r="AF31" s="128">
        <f>'total COMUNE'!AF31+totalORASE!AF31+'total MUNICIPII'!AF31+totalCJ!AF31</f>
        <v>129928106</v>
      </c>
      <c r="AG31" s="128">
        <f>'total COMUNE'!AG31+totalORASE!AG31+'total MUNICIPII'!AG31+totalCJ!AG31</f>
        <v>168219262</v>
      </c>
      <c r="AH31" s="128">
        <f>'total COMUNE'!AH31+totalORASE!AH31+'total MUNICIPII'!AH31+totalCJ!AH31</f>
        <v>122829253</v>
      </c>
      <c r="AI31" s="128">
        <f>'total COMUNE'!AI31+totalORASE!AI31+'total MUNICIPII'!AI31+totalCJ!AI31</f>
        <v>146874407</v>
      </c>
      <c r="AJ31" s="128">
        <f>'total COMUNE'!AJ31+totalORASE!AJ31+'total MUNICIPII'!AJ31+totalCJ!AJ31</f>
        <v>14500000</v>
      </c>
      <c r="AK31" s="128">
        <f>'total COMUNE'!AK31+totalORASE!AK31+'total MUNICIPII'!AK31+totalCJ!AK31</f>
        <v>311687237</v>
      </c>
      <c r="AL31" s="128">
        <f>'total COMUNE'!AL31+totalORASE!AL31+'total MUNICIPII'!AL31+totalCJ!AL31</f>
        <v>10475055</v>
      </c>
      <c r="AM31" s="129"/>
    </row>
    <row r="32" spans="1:39" s="130" customFormat="1" ht="25.5" customHeight="1" x14ac:dyDescent="0.2">
      <c r="A32" s="134">
        <v>18</v>
      </c>
      <c r="B32" s="132" t="s">
        <v>916</v>
      </c>
      <c r="C32" s="128">
        <f>'total COMUNE'!C32+totalORASE!C32+'total MUNICIPII'!C32+totalCJ!C32</f>
        <v>1252448460</v>
      </c>
      <c r="D32" s="128">
        <f>'total COMUNE'!D32+totalORASE!D32+'total MUNICIPII'!D32+totalCJ!D32</f>
        <v>543472753</v>
      </c>
      <c r="E32" s="128">
        <f>'total COMUNE'!E32+totalORASE!E32+'total MUNICIPII'!E32+totalCJ!E32</f>
        <v>236974442</v>
      </c>
      <c r="F32" s="128">
        <f>'total COMUNE'!F32+totalORASE!F32+'total MUNICIPII'!F32+totalCJ!F32</f>
        <v>82717498</v>
      </c>
      <c r="G32" s="128">
        <f>'total COMUNE'!G32+totalORASE!G32+'total MUNICIPII'!G32+totalCJ!G32</f>
        <v>55655852</v>
      </c>
      <c r="H32" s="128">
        <f>'total COMUNE'!H32+totalORASE!H32+'total MUNICIPII'!H32+totalCJ!H32</f>
        <v>349367054</v>
      </c>
      <c r="I32" s="128">
        <f>'total COMUNE'!I32+totalORASE!I32+'total MUNICIPII'!I32+totalCJ!I32</f>
        <v>18553508</v>
      </c>
      <c r="J32" s="128">
        <f>'total COMUNE'!J32+totalORASE!J32+'total MUNICIPII'!J32+totalCJ!J32</f>
        <v>73407800</v>
      </c>
      <c r="K32" s="128">
        <f>'total COMUNE'!K32+totalORASE!K32+'total MUNICIPII'!K32+totalCJ!K32</f>
        <v>0</v>
      </c>
      <c r="L32" s="128">
        <f>'total COMUNE'!L32+totalORASE!L32+'total MUNICIPII'!L32+totalCJ!L32</f>
        <v>146961733</v>
      </c>
      <c r="M32" s="128">
        <f>'total COMUNE'!M32+totalORASE!M32+'total MUNICIPII'!M32+totalCJ!M32</f>
        <v>58776861</v>
      </c>
      <c r="N32" s="128">
        <f>'total COMUNE'!N32+totalORASE!N32+'total MUNICIPII'!N32+totalCJ!N32</f>
        <v>6252899</v>
      </c>
      <c r="O32" s="128">
        <f>'total COMUNE'!O32+totalORASE!O32+'total MUNICIPII'!O32+totalCJ!O32</f>
        <v>1257955644</v>
      </c>
      <c r="P32" s="128">
        <f>'total COMUNE'!P32+totalORASE!P32+'total MUNICIPII'!P32+totalCJ!P32</f>
        <v>429504817</v>
      </c>
      <c r="Q32" s="128">
        <f>'total COMUNE'!Q32+totalORASE!Q32+'total MUNICIPII'!Q32+totalCJ!Q32</f>
        <v>228298465</v>
      </c>
      <c r="R32" s="128">
        <f>'total COMUNE'!R32+totalORASE!R32+'total MUNICIPII'!R32+totalCJ!R32</f>
        <v>5261185</v>
      </c>
      <c r="S32" s="128">
        <f>'total COMUNE'!S32+totalORASE!S32+'total MUNICIPII'!S32+totalCJ!S32</f>
        <v>43288225</v>
      </c>
      <c r="T32" s="128">
        <f>'total COMUNE'!T32+totalORASE!T32+'total MUNICIPII'!T32+totalCJ!T32</f>
        <v>82344438</v>
      </c>
      <c r="U32" s="128">
        <f>'total COMUNE'!U32+totalORASE!U32+'total MUNICIPII'!U32+totalCJ!U32</f>
        <v>15147936</v>
      </c>
      <c r="V32" s="128">
        <f>'total COMUNE'!V32+totalORASE!V32+'total MUNICIPII'!V32+totalCJ!V32</f>
        <v>87704929</v>
      </c>
      <c r="W32" s="128">
        <f>'total COMUNE'!W32+totalORASE!W32+'total MUNICIPII'!W32+totalCJ!W32</f>
        <v>90580951</v>
      </c>
      <c r="X32" s="128">
        <f>'total COMUNE'!X32+totalORASE!X32+'total MUNICIPII'!X32+totalCJ!X32</f>
        <v>22362257</v>
      </c>
      <c r="Y32" s="128">
        <f>'total COMUNE'!Y32+totalORASE!Y32+'total MUNICIPII'!Y32+totalCJ!Y32</f>
        <v>239330694</v>
      </c>
      <c r="Z32" s="128">
        <f>'total COMUNE'!Z32+totalORASE!Z32+'total MUNICIPII'!Z32+totalCJ!Z32</f>
        <v>16057581</v>
      </c>
      <c r="AA32" s="128">
        <f>'total COMUNE'!AA32+totalORASE!AA32+'total MUNICIPII'!AA32+totalCJ!AA32</f>
        <v>-1925834</v>
      </c>
      <c r="AB32" s="128">
        <f>'total COMUNE'!AB32+totalORASE!AB32+'total MUNICIPII'!AB32+totalCJ!AB32</f>
        <v>137174597</v>
      </c>
      <c r="AC32" s="128">
        <f>'total COMUNE'!AC32+totalORASE!AC32+'total MUNICIPII'!AC32+totalCJ!AC32</f>
        <v>23580705</v>
      </c>
      <c r="AD32" s="128">
        <f>'total COMUNE'!AD32+totalORASE!AD32+'total MUNICIPII'!AD32+totalCJ!AD32</f>
        <v>395549723</v>
      </c>
      <c r="AE32" s="128">
        <f>'total COMUNE'!AE32+totalORASE!AE32+'total MUNICIPII'!AE32+totalCJ!AE32</f>
        <v>31563867</v>
      </c>
      <c r="AF32" s="128">
        <f>'total COMUNE'!AF32+totalORASE!AF32+'total MUNICIPII'!AF32+totalCJ!AF32</f>
        <v>95368135</v>
      </c>
      <c r="AG32" s="128">
        <f>'total COMUNE'!AG32+totalORASE!AG32+'total MUNICIPII'!AG32+totalCJ!AG32</f>
        <v>163495966</v>
      </c>
      <c r="AH32" s="128">
        <f>'total COMUNE'!AH32+totalORASE!AH32+'total MUNICIPII'!AH32+totalCJ!AH32</f>
        <v>86462430</v>
      </c>
      <c r="AI32" s="128">
        <f>'total COMUNE'!AI32+totalORASE!AI32+'total MUNICIPII'!AI32+totalCJ!AI32</f>
        <v>77078890</v>
      </c>
      <c r="AJ32" s="128">
        <f>'total COMUNE'!AJ32+totalORASE!AJ32+'total MUNICIPII'!AJ32+totalCJ!AJ32</f>
        <v>22415095</v>
      </c>
      <c r="AK32" s="128">
        <f>'total COMUNE'!AK32+totalORASE!AK32+'total MUNICIPII'!AK32+totalCJ!AK32</f>
        <v>220182804</v>
      </c>
      <c r="AL32" s="128">
        <f>'total COMUNE'!AL32+totalORASE!AL32+'total MUNICIPII'!AL32+totalCJ!AL32</f>
        <v>5083432</v>
      </c>
      <c r="AM32" s="129"/>
    </row>
    <row r="33" spans="1:39" s="130" customFormat="1" ht="25.5" customHeight="1" x14ac:dyDescent="0.2">
      <c r="A33" s="134">
        <v>19</v>
      </c>
      <c r="B33" s="132" t="s">
        <v>917</v>
      </c>
      <c r="C33" s="128">
        <f>'total COMUNE'!C33+totalORASE!C33+'total MUNICIPII'!C33+totalCJ!C33</f>
        <v>736601094</v>
      </c>
      <c r="D33" s="128">
        <f>'total COMUNE'!D33+totalORASE!D33+'total MUNICIPII'!D33+totalCJ!D33</f>
        <v>191768732</v>
      </c>
      <c r="E33" s="128">
        <f>'total COMUNE'!E33+totalORASE!E33+'total MUNICIPII'!E33+totalCJ!E33</f>
        <v>79229025</v>
      </c>
      <c r="F33" s="128">
        <f>'total COMUNE'!F33+totalORASE!F33+'total MUNICIPII'!F33+totalCJ!F33</f>
        <v>27655421</v>
      </c>
      <c r="G33" s="128">
        <f>'total COMUNE'!G33+totalORASE!G33+'total MUNICIPII'!G33+totalCJ!G33</f>
        <v>20792599</v>
      </c>
      <c r="H33" s="128">
        <f>'total COMUNE'!H33+totalORASE!H33+'total MUNICIPII'!H33+totalCJ!H33</f>
        <v>146373819</v>
      </c>
      <c r="I33" s="128">
        <f>'total COMUNE'!I33+totalORASE!I33+'total MUNICIPII'!I33+totalCJ!I33</f>
        <v>18700306</v>
      </c>
      <c r="J33" s="128">
        <f>'total COMUNE'!J33+totalORASE!J33+'total MUNICIPII'!J33+totalCJ!J33</f>
        <v>116975582</v>
      </c>
      <c r="K33" s="128">
        <f>'total COMUNE'!K33+totalORASE!K33+'total MUNICIPII'!K33+totalCJ!K33</f>
        <v>0</v>
      </c>
      <c r="L33" s="128">
        <f>'total COMUNE'!L33+totalORASE!L33+'total MUNICIPII'!L33+totalCJ!L33</f>
        <v>167297301</v>
      </c>
      <c r="M33" s="128">
        <f>'total COMUNE'!M33+totalORASE!M33+'total MUNICIPII'!M33+totalCJ!M33</f>
        <v>69266932</v>
      </c>
      <c r="N33" s="128">
        <f>'total COMUNE'!N33+totalORASE!N33+'total MUNICIPII'!N33+totalCJ!N33</f>
        <v>5425823</v>
      </c>
      <c r="O33" s="128">
        <f>'total COMUNE'!O33+totalORASE!O33+'total MUNICIPII'!O33+totalCJ!O33</f>
        <v>716137937</v>
      </c>
      <c r="P33" s="128">
        <f>'total COMUNE'!P33+totalORASE!P33+'total MUNICIPII'!P33+totalCJ!P33</f>
        <v>186225452</v>
      </c>
      <c r="Q33" s="128">
        <f>'total COMUNE'!Q33+totalORASE!Q33+'total MUNICIPII'!Q33+totalCJ!Q33</f>
        <v>125006630</v>
      </c>
      <c r="R33" s="128">
        <f>'total COMUNE'!R33+totalORASE!R33+'total MUNICIPII'!R33+totalCJ!R33</f>
        <v>5814398</v>
      </c>
      <c r="S33" s="128">
        <f>'total COMUNE'!S33+totalORASE!S33+'total MUNICIPII'!S33+totalCJ!S33</f>
        <v>1220058</v>
      </c>
      <c r="T33" s="128">
        <f>'total COMUNE'!T33+totalORASE!T33+'total MUNICIPII'!T33+totalCJ!T33</f>
        <v>60849700</v>
      </c>
      <c r="U33" s="128">
        <f>'total COMUNE'!U33+totalORASE!U33+'total MUNICIPII'!U33+totalCJ!U33</f>
        <v>148965</v>
      </c>
      <c r="V33" s="128">
        <f>'total COMUNE'!V33+totalORASE!V33+'total MUNICIPII'!V33+totalCJ!V33</f>
        <v>100997859</v>
      </c>
      <c r="W33" s="128">
        <f>'total COMUNE'!W33+totalORASE!W33+'total MUNICIPII'!W33+totalCJ!W33</f>
        <v>24587914</v>
      </c>
      <c r="X33" s="128">
        <f>'total COMUNE'!X33+totalORASE!X33+'total MUNICIPII'!X33+totalCJ!X33</f>
        <v>10422980</v>
      </c>
      <c r="Y33" s="128">
        <f>'total COMUNE'!Y33+totalORASE!Y33+'total MUNICIPII'!Y33+totalCJ!Y33</f>
        <v>192433495</v>
      </c>
      <c r="Z33" s="128">
        <f>'total COMUNE'!Z33+totalORASE!Z33+'total MUNICIPII'!Z33+totalCJ!Z33</f>
        <v>9238121</v>
      </c>
      <c r="AA33" s="128">
        <f>'total COMUNE'!AA33+totalORASE!AA33+'total MUNICIPII'!AA33+totalCJ!AA33</f>
        <v>-807635</v>
      </c>
      <c r="AB33" s="128">
        <f>'total COMUNE'!AB33+totalORASE!AB33+'total MUNICIPII'!AB33+totalCJ!AB33</f>
        <v>79723084</v>
      </c>
      <c r="AC33" s="128">
        <f>'total COMUNE'!AC33+totalORASE!AC33+'total MUNICIPII'!AC33+totalCJ!AC33</f>
        <v>6763151</v>
      </c>
      <c r="AD33" s="128">
        <f>'total COMUNE'!AD33+totalORASE!AD33+'total MUNICIPII'!AD33+totalCJ!AD33</f>
        <v>146536094</v>
      </c>
      <c r="AE33" s="128">
        <f>'total COMUNE'!AE33+totalORASE!AE33+'total MUNICIPII'!AE33+totalCJ!AE33</f>
        <v>12975284</v>
      </c>
      <c r="AF33" s="128">
        <f>'total COMUNE'!AF33+totalORASE!AF33+'total MUNICIPII'!AF33+totalCJ!AF33</f>
        <v>32957891</v>
      </c>
      <c r="AG33" s="128">
        <f>'total COMUNE'!AG33+totalORASE!AG33+'total MUNICIPII'!AG33+totalCJ!AG33</f>
        <v>106958884</v>
      </c>
      <c r="AH33" s="128">
        <f>'total COMUNE'!AH33+totalORASE!AH33+'total MUNICIPII'!AH33+totalCJ!AH33</f>
        <v>107299719</v>
      </c>
      <c r="AI33" s="128">
        <f>'total COMUNE'!AI33+totalORASE!AI33+'total MUNICIPII'!AI33+totalCJ!AI33</f>
        <v>30768161</v>
      </c>
      <c r="AJ33" s="128">
        <f>'total COMUNE'!AJ33+totalORASE!AJ33+'total MUNICIPII'!AJ33+totalCJ!AJ33</f>
        <v>5912037</v>
      </c>
      <c r="AK33" s="128">
        <f>'total COMUNE'!AK33+totalORASE!AK33+'total MUNICIPII'!AK33+totalCJ!AK33</f>
        <v>180941940</v>
      </c>
      <c r="AL33" s="128">
        <f>'total COMUNE'!AL33+totalORASE!AL33+'total MUNICIPII'!AL33+totalCJ!AL33</f>
        <v>5301692</v>
      </c>
      <c r="AM33" s="129"/>
    </row>
    <row r="34" spans="1:39" s="130" customFormat="1" ht="25.5" customHeight="1" x14ac:dyDescent="0.2">
      <c r="A34" s="134">
        <v>20</v>
      </c>
      <c r="B34" s="132" t="s">
        <v>918</v>
      </c>
      <c r="C34" s="128">
        <f>'total COMUNE'!C34+totalORASE!C34+'total MUNICIPII'!C34+totalCJ!C34</f>
        <v>937188659</v>
      </c>
      <c r="D34" s="128">
        <f>'total COMUNE'!D34+totalORASE!D34+'total MUNICIPII'!D34+totalCJ!D34</f>
        <v>330755342</v>
      </c>
      <c r="E34" s="128">
        <f>'total COMUNE'!E34+totalORASE!E34+'total MUNICIPII'!E34+totalCJ!E34</f>
        <v>160976904</v>
      </c>
      <c r="F34" s="128">
        <f>'total COMUNE'!F34+totalORASE!F34+'total MUNICIPII'!F34+totalCJ!F34</f>
        <v>56190058</v>
      </c>
      <c r="G34" s="128">
        <f>'total COMUNE'!G34+totalORASE!G34+'total MUNICIPII'!G34+totalCJ!G34</f>
        <v>37902121</v>
      </c>
      <c r="H34" s="128">
        <f>'total COMUNE'!H34+totalORASE!H34+'total MUNICIPII'!H34+totalCJ!H34</f>
        <v>257093840</v>
      </c>
      <c r="I34" s="128">
        <f>'total COMUNE'!I34+totalORASE!I34+'total MUNICIPII'!I34+totalCJ!I34</f>
        <v>19360998</v>
      </c>
      <c r="J34" s="128">
        <f>'total COMUNE'!J34+totalORASE!J34+'total MUNICIPII'!J34+totalCJ!J34</f>
        <v>93192450</v>
      </c>
      <c r="K34" s="128">
        <f>'total COMUNE'!K34+totalORASE!K34+'total MUNICIPII'!K34+totalCJ!K34</f>
        <v>0</v>
      </c>
      <c r="L34" s="128">
        <f>'total COMUNE'!L34+totalORASE!L34+'total MUNICIPII'!L34+totalCJ!L34</f>
        <v>144841827</v>
      </c>
      <c r="M34" s="128">
        <f>'total COMUNE'!M34+totalORASE!M34+'total MUNICIPII'!M34+totalCJ!M34</f>
        <v>49315195</v>
      </c>
      <c r="N34" s="128">
        <f>'total COMUNE'!N34+totalORASE!N34+'total MUNICIPII'!N34+totalCJ!N34</f>
        <v>4726886</v>
      </c>
      <c r="O34" s="128">
        <f>'total COMUNE'!O34+totalORASE!O34+'total MUNICIPII'!O34+totalCJ!O34</f>
        <v>923922229</v>
      </c>
      <c r="P34" s="128">
        <f>'total COMUNE'!P34+totalORASE!P34+'total MUNICIPII'!P34+totalCJ!P34</f>
        <v>366205861</v>
      </c>
      <c r="Q34" s="128">
        <f>'total COMUNE'!Q34+totalORASE!Q34+'total MUNICIPII'!Q34+totalCJ!Q34</f>
        <v>177817524</v>
      </c>
      <c r="R34" s="128">
        <f>'total COMUNE'!R34+totalORASE!R34+'total MUNICIPII'!R34+totalCJ!R34</f>
        <v>1583157</v>
      </c>
      <c r="S34" s="128">
        <f>'total COMUNE'!S34+totalORASE!S34+'total MUNICIPII'!S34+totalCJ!S34</f>
        <v>9834850</v>
      </c>
      <c r="T34" s="128">
        <f>'total COMUNE'!T34+totalORASE!T34+'total MUNICIPII'!T34+totalCJ!T34</f>
        <v>27556437</v>
      </c>
      <c r="U34" s="128">
        <f>'total COMUNE'!U34+totalORASE!U34+'total MUNICIPII'!U34+totalCJ!U34</f>
        <v>1583842</v>
      </c>
      <c r="V34" s="128">
        <f>'total COMUNE'!V34+totalORASE!V34+'total MUNICIPII'!V34+totalCJ!V34</f>
        <v>86461752</v>
      </c>
      <c r="W34" s="128">
        <f>'total COMUNE'!W34+totalORASE!W34+'total MUNICIPII'!W34+totalCJ!W34</f>
        <v>69017754</v>
      </c>
      <c r="X34" s="128">
        <f>'total COMUNE'!X34+totalORASE!X34+'total MUNICIPII'!X34+totalCJ!X34</f>
        <v>12314682</v>
      </c>
      <c r="Y34" s="128">
        <f>'total COMUNE'!Y34+totalORASE!Y34+'total MUNICIPII'!Y34+totalCJ!Y34</f>
        <v>158956479</v>
      </c>
      <c r="Z34" s="128">
        <f>'total COMUNE'!Z34+totalORASE!Z34+'total MUNICIPII'!Z34+totalCJ!Z34</f>
        <v>13855974</v>
      </c>
      <c r="AA34" s="128">
        <f>'total COMUNE'!AA34+totalORASE!AA34+'total MUNICIPII'!AA34+totalCJ!AA34</f>
        <v>-1266083</v>
      </c>
      <c r="AB34" s="128">
        <f>'total COMUNE'!AB34+totalORASE!AB34+'total MUNICIPII'!AB34+totalCJ!AB34</f>
        <v>134434498</v>
      </c>
      <c r="AC34" s="128">
        <f>'total COMUNE'!AC34+totalORASE!AC34+'total MUNICIPII'!AC34+totalCJ!AC34</f>
        <v>8649156</v>
      </c>
      <c r="AD34" s="128">
        <f>'total COMUNE'!AD34+totalORASE!AD34+'total MUNICIPII'!AD34+totalCJ!AD34</f>
        <v>272832453</v>
      </c>
      <c r="AE34" s="128">
        <f>'total COMUNE'!AE34+totalORASE!AE34+'total MUNICIPII'!AE34+totalCJ!AE34</f>
        <v>34952136</v>
      </c>
      <c r="AF34" s="128">
        <f>'total COMUNE'!AF34+totalORASE!AF34+'total MUNICIPII'!AF34+totalCJ!AF34</f>
        <v>43704888</v>
      </c>
      <c r="AG34" s="128">
        <f>'total COMUNE'!AG34+totalORASE!AG34+'total MUNICIPII'!AG34+totalCJ!AG34</f>
        <v>127921972</v>
      </c>
      <c r="AH34" s="128">
        <f>'total COMUNE'!AH34+totalORASE!AH34+'total MUNICIPII'!AH34+totalCJ!AH34</f>
        <v>82473810</v>
      </c>
      <c r="AI34" s="128">
        <f>'total COMUNE'!AI34+totalORASE!AI34+'total MUNICIPII'!AI34+totalCJ!AI34</f>
        <v>32568214</v>
      </c>
      <c r="AJ34" s="128">
        <f>'total COMUNE'!AJ34+totalORASE!AJ34+'total MUNICIPII'!AJ34+totalCJ!AJ34</f>
        <v>3481927</v>
      </c>
      <c r="AK34" s="128">
        <f>'total COMUNE'!AK34+totalORASE!AK34+'total MUNICIPII'!AK34+totalCJ!AK34</f>
        <v>178558802</v>
      </c>
      <c r="AL34" s="128">
        <f>'total COMUNE'!AL34+totalORASE!AL34+'total MUNICIPII'!AL34+totalCJ!AL34</f>
        <v>4344373</v>
      </c>
      <c r="AM34" s="129"/>
    </row>
    <row r="35" spans="1:39" s="130" customFormat="1" ht="25.5" customHeight="1" x14ac:dyDescent="0.2">
      <c r="A35" s="134">
        <v>21</v>
      </c>
      <c r="B35" s="132" t="s">
        <v>919</v>
      </c>
      <c r="C35" s="128">
        <f>'total COMUNE'!C35+totalORASE!C35+'total MUNICIPII'!C35+totalCJ!C35</f>
        <v>992831501</v>
      </c>
      <c r="D35" s="128">
        <f>'total COMUNE'!D35+totalORASE!D35+'total MUNICIPII'!D35+totalCJ!D35</f>
        <v>277473341</v>
      </c>
      <c r="E35" s="128">
        <f>'total COMUNE'!E35+totalORASE!E35+'total MUNICIPII'!E35+totalCJ!E35</f>
        <v>120687401</v>
      </c>
      <c r="F35" s="128">
        <f>'total COMUNE'!F35+totalORASE!F35+'total MUNICIPII'!F35+totalCJ!F35</f>
        <v>42126745</v>
      </c>
      <c r="G35" s="128">
        <f>'total COMUNE'!G35+totalORASE!G35+'total MUNICIPII'!G35+totalCJ!G35</f>
        <v>40464926</v>
      </c>
      <c r="H35" s="128">
        <f>'total COMUNE'!H35+totalORASE!H35+'total MUNICIPII'!H35+totalCJ!H35</f>
        <v>271419269</v>
      </c>
      <c r="I35" s="128">
        <f>'total COMUNE'!I35+totalORASE!I35+'total MUNICIPII'!I35+totalCJ!I35</f>
        <v>18826755</v>
      </c>
      <c r="J35" s="128">
        <f>'total COMUNE'!J35+totalORASE!J35+'total MUNICIPII'!J35+totalCJ!J35</f>
        <v>121573722</v>
      </c>
      <c r="K35" s="128">
        <f>'total COMUNE'!K35+totalORASE!K35+'total MUNICIPII'!K35+totalCJ!K35</f>
        <v>0</v>
      </c>
      <c r="L35" s="128">
        <f>'total COMUNE'!L35+totalORASE!L35+'total MUNICIPII'!L35+totalCJ!L35</f>
        <v>119011474</v>
      </c>
      <c r="M35" s="128">
        <f>'total COMUNE'!M35+totalORASE!M35+'total MUNICIPII'!M35+totalCJ!M35</f>
        <v>129300062</v>
      </c>
      <c r="N35" s="128">
        <f>'total COMUNE'!N35+totalORASE!N35+'total MUNICIPII'!N35+totalCJ!N35</f>
        <v>14761952</v>
      </c>
      <c r="O35" s="128">
        <f>'total COMUNE'!O35+totalORASE!O35+'total MUNICIPII'!O35+totalCJ!O35</f>
        <v>997562758</v>
      </c>
      <c r="P35" s="128">
        <f>'total COMUNE'!P35+totalORASE!P35+'total MUNICIPII'!P35+totalCJ!P35</f>
        <v>325470018</v>
      </c>
      <c r="Q35" s="128">
        <f>'total COMUNE'!Q35+totalORASE!Q35+'total MUNICIPII'!Q35+totalCJ!Q35</f>
        <v>157281436</v>
      </c>
      <c r="R35" s="128">
        <f>'total COMUNE'!R35+totalORASE!R35+'total MUNICIPII'!R35+totalCJ!R35</f>
        <v>1984204</v>
      </c>
      <c r="S35" s="128">
        <f>'total COMUNE'!S35+totalORASE!S35+'total MUNICIPII'!S35+totalCJ!S35</f>
        <v>6811085</v>
      </c>
      <c r="T35" s="128">
        <f>'total COMUNE'!T35+totalORASE!T35+'total MUNICIPII'!T35+totalCJ!T35</f>
        <v>35596274</v>
      </c>
      <c r="U35" s="128">
        <f>'total COMUNE'!U35+totalORASE!U35+'total MUNICIPII'!U35+totalCJ!U35</f>
        <v>3267405</v>
      </c>
      <c r="V35" s="128">
        <f>'total COMUNE'!V35+totalORASE!V35+'total MUNICIPII'!V35+totalCJ!V35</f>
        <v>279058156</v>
      </c>
      <c r="W35" s="128">
        <f>'total COMUNE'!W35+totalORASE!W35+'total MUNICIPII'!W35+totalCJ!W35</f>
        <v>44817253</v>
      </c>
      <c r="X35" s="128">
        <f>'total COMUNE'!X35+totalORASE!X35+'total MUNICIPII'!X35+totalCJ!X35</f>
        <v>17354780</v>
      </c>
      <c r="Y35" s="128">
        <f>'total COMUNE'!Y35+totalORASE!Y35+'total MUNICIPII'!Y35+totalCJ!Y35</f>
        <v>120854994</v>
      </c>
      <c r="Z35" s="128">
        <f>'total COMUNE'!Z35+totalORASE!Z35+'total MUNICIPII'!Z35+totalCJ!Z35</f>
        <v>7858918</v>
      </c>
      <c r="AA35" s="128">
        <f>'total COMUNE'!AA35+totalORASE!AA35+'total MUNICIPII'!AA35+totalCJ!AA35</f>
        <v>-2791765</v>
      </c>
      <c r="AB35" s="128">
        <f>'total COMUNE'!AB35+totalORASE!AB35+'total MUNICIPII'!AB35+totalCJ!AB35</f>
        <v>109560872</v>
      </c>
      <c r="AC35" s="128">
        <f>'total COMUNE'!AC35+totalORASE!AC35+'total MUNICIPII'!AC35+totalCJ!AC35</f>
        <v>10547287</v>
      </c>
      <c r="AD35" s="128">
        <f>'total COMUNE'!AD35+totalORASE!AD35+'total MUNICIPII'!AD35+totalCJ!AD35</f>
        <v>292393323</v>
      </c>
      <c r="AE35" s="128">
        <f>'total COMUNE'!AE35+totalORASE!AE35+'total MUNICIPII'!AE35+totalCJ!AE35</f>
        <v>20142532</v>
      </c>
      <c r="AF35" s="128">
        <f>'total COMUNE'!AF35+totalORASE!AF35+'total MUNICIPII'!AF35+totalCJ!AF35</f>
        <v>63926303</v>
      </c>
      <c r="AG35" s="128">
        <f>'total COMUNE'!AG35+totalORASE!AG35+'total MUNICIPII'!AG35+totalCJ!AG35</f>
        <v>92127008</v>
      </c>
      <c r="AH35" s="128">
        <f>'total COMUNE'!AH35+totalORASE!AH35+'total MUNICIPII'!AH35+totalCJ!AH35</f>
        <v>59074127</v>
      </c>
      <c r="AI35" s="128">
        <f>'total COMUNE'!AI35+totalORASE!AI35+'total MUNICIPII'!AI35+totalCJ!AI35</f>
        <v>124212116</v>
      </c>
      <c r="AJ35" s="128">
        <f>'total COMUNE'!AJ35+totalORASE!AJ35+'total MUNICIPII'!AJ35+totalCJ!AJ35</f>
        <v>17585786</v>
      </c>
      <c r="AK35" s="128">
        <f>'total COMUNE'!AK35+totalORASE!AK35+'total MUNICIPII'!AK35+totalCJ!AK35</f>
        <v>180465561</v>
      </c>
      <c r="AL35" s="128">
        <f>'total COMUNE'!AL35+totalORASE!AL35+'total MUNICIPII'!AL35+totalCJ!AL35</f>
        <v>27527843</v>
      </c>
      <c r="AM35" s="129"/>
    </row>
    <row r="36" spans="1:39" s="130" customFormat="1" ht="25.5" customHeight="1" x14ac:dyDescent="0.2">
      <c r="A36" s="134">
        <v>22</v>
      </c>
      <c r="B36" s="132" t="s">
        <v>920</v>
      </c>
      <c r="C36" s="128">
        <f>'total COMUNE'!C36+totalORASE!C36+'total MUNICIPII'!C36+totalCJ!C36</f>
        <v>1493404299</v>
      </c>
      <c r="D36" s="128">
        <f>'total COMUNE'!D36+totalORASE!D36+'total MUNICIPII'!D36+totalCJ!D36</f>
        <v>429702427</v>
      </c>
      <c r="E36" s="128">
        <f>'total COMUNE'!E36+totalORASE!E36+'total MUNICIPII'!E36+totalCJ!E36</f>
        <v>206420902</v>
      </c>
      <c r="F36" s="128">
        <f>'total COMUNE'!F36+totalORASE!F36+'total MUNICIPII'!F36+totalCJ!F36</f>
        <v>72052598</v>
      </c>
      <c r="G36" s="128">
        <f>'total COMUNE'!G36+totalORASE!G36+'total MUNICIPII'!G36+totalCJ!G36</f>
        <v>43889128</v>
      </c>
      <c r="H36" s="128">
        <f>'total COMUNE'!H36+totalORASE!H36+'total MUNICIPII'!H36+totalCJ!H36</f>
        <v>326477054</v>
      </c>
      <c r="I36" s="128">
        <f>'total COMUNE'!I36+totalORASE!I36+'total MUNICIPII'!I36+totalCJ!I36</f>
        <v>20639284</v>
      </c>
      <c r="J36" s="128">
        <f>'total COMUNE'!J36+totalORASE!J36+'total MUNICIPII'!J36+totalCJ!J36</f>
        <v>120427250</v>
      </c>
      <c r="K36" s="128">
        <f>'total COMUNE'!K36+totalORASE!K36+'total MUNICIPII'!K36+totalCJ!K36</f>
        <v>0</v>
      </c>
      <c r="L36" s="128">
        <f>'total COMUNE'!L36+totalORASE!L36+'total MUNICIPII'!L36+totalCJ!L36</f>
        <v>259941102</v>
      </c>
      <c r="M36" s="128">
        <f>'total COMUNE'!M36+totalORASE!M36+'total MUNICIPII'!M36+totalCJ!M36</f>
        <v>279320082</v>
      </c>
      <c r="N36" s="128">
        <f>'total COMUNE'!N36+totalORASE!N36+'total MUNICIPII'!N36+totalCJ!N36</f>
        <v>13007972</v>
      </c>
      <c r="O36" s="128">
        <f>'total COMUNE'!O36+totalORASE!O36+'total MUNICIPII'!O36+totalCJ!O36</f>
        <v>1443369303</v>
      </c>
      <c r="P36" s="128">
        <f>'total COMUNE'!P36+totalORASE!P36+'total MUNICIPII'!P36+totalCJ!P36</f>
        <v>397303787</v>
      </c>
      <c r="Q36" s="128">
        <f>'total COMUNE'!Q36+totalORASE!Q36+'total MUNICIPII'!Q36+totalCJ!Q36</f>
        <v>232119201</v>
      </c>
      <c r="R36" s="128">
        <f>'total COMUNE'!R36+totalORASE!R36+'total MUNICIPII'!R36+totalCJ!R36</f>
        <v>8771355</v>
      </c>
      <c r="S36" s="128">
        <f>'total COMUNE'!S36+totalORASE!S36+'total MUNICIPII'!S36+totalCJ!S36</f>
        <v>9207308</v>
      </c>
      <c r="T36" s="128">
        <f>'total COMUNE'!T36+totalORASE!T36+'total MUNICIPII'!T36+totalCJ!T36</f>
        <v>55418728</v>
      </c>
      <c r="U36" s="128">
        <f>'total COMUNE'!U36+totalORASE!U36+'total MUNICIPII'!U36+totalCJ!U36</f>
        <v>13347408</v>
      </c>
      <c r="V36" s="128">
        <f>'total COMUNE'!V36+totalORASE!V36+'total MUNICIPII'!V36+totalCJ!V36</f>
        <v>417177085</v>
      </c>
      <c r="W36" s="128">
        <f>'total COMUNE'!W36+totalORASE!W36+'total MUNICIPII'!W36+totalCJ!W36</f>
        <v>114580178</v>
      </c>
      <c r="X36" s="128">
        <f>'total COMUNE'!X36+totalORASE!X36+'total MUNICIPII'!X36+totalCJ!X36</f>
        <v>22597917</v>
      </c>
      <c r="Y36" s="128">
        <f>'total COMUNE'!Y36+totalORASE!Y36+'total MUNICIPII'!Y36+totalCJ!Y36</f>
        <v>154664386</v>
      </c>
      <c r="Z36" s="128">
        <f>'total COMUNE'!Z36+totalORASE!Z36+'total MUNICIPII'!Z36+totalCJ!Z36</f>
        <v>19048876</v>
      </c>
      <c r="AA36" s="128">
        <f>'total COMUNE'!AA36+totalORASE!AA36+'total MUNICIPII'!AA36+totalCJ!AA36</f>
        <v>-866926</v>
      </c>
      <c r="AB36" s="128">
        <f>'total COMUNE'!AB36+totalORASE!AB36+'total MUNICIPII'!AB36+totalCJ!AB36</f>
        <v>146310397</v>
      </c>
      <c r="AC36" s="128">
        <f>'total COMUNE'!AC36+totalORASE!AC36+'total MUNICIPII'!AC36+totalCJ!AC36</f>
        <v>11956425</v>
      </c>
      <c r="AD36" s="128">
        <f>'total COMUNE'!AD36+totalORASE!AD36+'total MUNICIPII'!AD36+totalCJ!AD36</f>
        <v>342260623</v>
      </c>
      <c r="AE36" s="128">
        <f>'total COMUNE'!AE36+totalORASE!AE36+'total MUNICIPII'!AE36+totalCJ!AE36</f>
        <v>58069233</v>
      </c>
      <c r="AF36" s="128">
        <f>'total COMUNE'!AF36+totalORASE!AF36+'total MUNICIPII'!AF36+totalCJ!AF36</f>
        <v>72311317</v>
      </c>
      <c r="AG36" s="128">
        <f>'total COMUNE'!AG36+totalORASE!AG36+'total MUNICIPII'!AG36+totalCJ!AG36</f>
        <v>174106454</v>
      </c>
      <c r="AH36" s="128">
        <f>'total COMUNE'!AH36+totalORASE!AH36+'total MUNICIPII'!AH36+totalCJ!AH36</f>
        <v>142536157</v>
      </c>
      <c r="AI36" s="128">
        <f>'total COMUNE'!AI36+totalORASE!AI36+'total MUNICIPII'!AI36+totalCJ!AI36</f>
        <v>262635192</v>
      </c>
      <c r="AJ36" s="128">
        <f>'total COMUNE'!AJ36+totalORASE!AJ36+'total MUNICIPII'!AJ36+totalCJ!AJ36</f>
        <v>7689378</v>
      </c>
      <c r="AK36" s="128">
        <f>'total COMUNE'!AK36+totalORASE!AK36+'total MUNICIPII'!AK36+totalCJ!AK36</f>
        <v>190161348</v>
      </c>
      <c r="AL36" s="128">
        <f>'total COMUNE'!AL36+totalORASE!AL36+'total MUNICIPII'!AL36+totalCJ!AL36</f>
        <v>35332779</v>
      </c>
      <c r="AM36" s="129"/>
    </row>
    <row r="37" spans="1:39" s="130" customFormat="1" ht="25.5" customHeight="1" x14ac:dyDescent="0.2">
      <c r="A37" s="134">
        <v>23</v>
      </c>
      <c r="B37" s="132" t="s">
        <v>921</v>
      </c>
      <c r="C37" s="128">
        <f>'total COMUNE'!C37+totalORASE!C37+'total MUNICIPII'!C37+totalCJ!C37</f>
        <v>687590791</v>
      </c>
      <c r="D37" s="128">
        <f>'total COMUNE'!D37+totalORASE!D37+'total MUNICIPII'!D37+totalCJ!D37</f>
        <v>246023181</v>
      </c>
      <c r="E37" s="128">
        <f>'total COMUNE'!E37+totalORASE!E37+'total MUNICIPII'!E37+totalCJ!E37</f>
        <v>89310765</v>
      </c>
      <c r="F37" s="128">
        <f>'total COMUNE'!F37+totalORASE!F37+'total MUNICIPII'!F37+totalCJ!F37</f>
        <v>31228519</v>
      </c>
      <c r="G37" s="128">
        <f>'total COMUNE'!G37+totalORASE!G37+'total MUNICIPII'!G37+totalCJ!G37</f>
        <v>23466215</v>
      </c>
      <c r="H37" s="128">
        <f>'total COMUNE'!H37+totalORASE!H37+'total MUNICIPII'!H37+totalCJ!H37</f>
        <v>169713763</v>
      </c>
      <c r="I37" s="128">
        <f>'total COMUNE'!I37+totalORASE!I37+'total MUNICIPII'!I37+totalCJ!I37</f>
        <v>18055226</v>
      </c>
      <c r="J37" s="128">
        <f>'total COMUNE'!J37+totalORASE!J37+'total MUNICIPII'!J37+totalCJ!J37</f>
        <v>122607081</v>
      </c>
      <c r="K37" s="128">
        <f>'total COMUNE'!K37+totalORASE!K37+'total MUNICIPII'!K37+totalCJ!K37</f>
        <v>0</v>
      </c>
      <c r="L37" s="128">
        <f>'total COMUNE'!L37+totalORASE!L37+'total MUNICIPII'!L37+totalCJ!L37</f>
        <v>78063499</v>
      </c>
      <c r="M37" s="128">
        <f>'total COMUNE'!M37+totalORASE!M37+'total MUNICIPII'!M37+totalCJ!M37</f>
        <v>27151247</v>
      </c>
      <c r="N37" s="128">
        <f>'total COMUNE'!N37+totalORASE!N37+'total MUNICIPII'!N37+totalCJ!N37</f>
        <v>2510579</v>
      </c>
      <c r="O37" s="128">
        <f>'total COMUNE'!O37+totalORASE!O37+'total MUNICIPII'!O37+totalCJ!O37</f>
        <v>593560688</v>
      </c>
      <c r="P37" s="128">
        <f>'total COMUNE'!P37+totalORASE!P37+'total MUNICIPII'!P37+totalCJ!P37</f>
        <v>212521376</v>
      </c>
      <c r="Q37" s="128">
        <f>'total COMUNE'!Q37+totalORASE!Q37+'total MUNICIPII'!Q37+totalCJ!Q37</f>
        <v>130959150</v>
      </c>
      <c r="R37" s="128">
        <f>'total COMUNE'!R37+totalORASE!R37+'total MUNICIPII'!R37+totalCJ!R37</f>
        <v>1697069</v>
      </c>
      <c r="S37" s="128">
        <f>'total COMUNE'!S37+totalORASE!S37+'total MUNICIPII'!S37+totalCJ!S37</f>
        <v>155059</v>
      </c>
      <c r="T37" s="128">
        <f>'total COMUNE'!T37+totalORASE!T37+'total MUNICIPII'!T37+totalCJ!T37</f>
        <v>27041769</v>
      </c>
      <c r="U37" s="128">
        <f>'total COMUNE'!U37+totalORASE!U37+'total MUNICIPII'!U37+totalCJ!U37</f>
        <v>1373382</v>
      </c>
      <c r="V37" s="128">
        <f>'total COMUNE'!V37+totalORASE!V37+'total MUNICIPII'!V37+totalCJ!V37</f>
        <v>56197172</v>
      </c>
      <c r="W37" s="128">
        <f>'total COMUNE'!W37+totalORASE!W37+'total MUNICIPII'!W37+totalCJ!W37</f>
        <v>52763632</v>
      </c>
      <c r="X37" s="128">
        <f>'total COMUNE'!X37+totalORASE!X37+'total MUNICIPII'!X37+totalCJ!X37</f>
        <v>3308986</v>
      </c>
      <c r="Y37" s="128">
        <f>'total COMUNE'!Y37+totalORASE!Y37+'total MUNICIPII'!Y37+totalCJ!Y37</f>
        <v>100983273</v>
      </c>
      <c r="Z37" s="128">
        <f>'total COMUNE'!Z37+totalORASE!Z37+'total MUNICIPII'!Z37+totalCJ!Z37</f>
        <v>7495346</v>
      </c>
      <c r="AA37" s="128">
        <f>'total COMUNE'!AA37+totalORASE!AA37+'total MUNICIPII'!AA37+totalCJ!AA37</f>
        <v>-935526</v>
      </c>
      <c r="AB37" s="128">
        <f>'total COMUNE'!AB37+totalORASE!AB37+'total MUNICIPII'!AB37+totalCJ!AB37</f>
        <v>77066401</v>
      </c>
      <c r="AC37" s="128">
        <f>'total COMUNE'!AC37+totalORASE!AC37+'total MUNICIPII'!AC37+totalCJ!AC37</f>
        <v>7251757</v>
      </c>
      <c r="AD37" s="128">
        <f>'total COMUNE'!AD37+totalORASE!AD37+'total MUNICIPII'!AD37+totalCJ!AD37</f>
        <v>200468490</v>
      </c>
      <c r="AE37" s="128">
        <f>'total COMUNE'!AE37+totalORASE!AE37+'total MUNICIPII'!AE37+totalCJ!AE37</f>
        <v>10138939</v>
      </c>
      <c r="AF37" s="128">
        <f>'total COMUNE'!AF37+totalORASE!AF37+'total MUNICIPII'!AF37+totalCJ!AF37</f>
        <v>33871760</v>
      </c>
      <c r="AG37" s="128">
        <f>'total COMUNE'!AG37+totalORASE!AG37+'total MUNICIPII'!AG37+totalCJ!AG37</f>
        <v>86584680</v>
      </c>
      <c r="AH37" s="128">
        <f>'total COMUNE'!AH37+totalORASE!AH37+'total MUNICIPII'!AH37+totalCJ!AH37</f>
        <v>46629526</v>
      </c>
      <c r="AI37" s="128">
        <f>'total COMUNE'!AI37+totalORASE!AI37+'total MUNICIPII'!AI37+totalCJ!AI37</f>
        <v>20232621</v>
      </c>
      <c r="AJ37" s="128">
        <f>'total COMUNE'!AJ37+totalORASE!AJ37+'total MUNICIPII'!AJ37+totalCJ!AJ37</f>
        <v>0</v>
      </c>
      <c r="AK37" s="128">
        <f>'total COMUNE'!AK37+totalORASE!AK37+'total MUNICIPII'!AK37+totalCJ!AK37</f>
        <v>103545221</v>
      </c>
      <c r="AL37" s="128">
        <f>'total COMUNE'!AL37+totalORASE!AL37+'total MUNICIPII'!AL37+totalCJ!AL37</f>
        <v>7771293</v>
      </c>
      <c r="AM37" s="129"/>
    </row>
    <row r="38" spans="1:39" s="130" customFormat="1" ht="25.5" customHeight="1" x14ac:dyDescent="0.2">
      <c r="A38" s="134">
        <v>24</v>
      </c>
      <c r="B38" s="132" t="s">
        <v>922</v>
      </c>
      <c r="C38" s="128">
        <f>'total COMUNE'!C38+totalORASE!C38+'total MUNICIPII'!C38+totalCJ!C38</f>
        <v>2187760033</v>
      </c>
      <c r="D38" s="128">
        <f>'total COMUNE'!D38+totalORASE!D38+'total MUNICIPII'!D38+totalCJ!D38</f>
        <v>750781565</v>
      </c>
      <c r="E38" s="128">
        <f>'total COMUNE'!E38+totalORASE!E38+'total MUNICIPII'!E38+totalCJ!E38</f>
        <v>352678696</v>
      </c>
      <c r="F38" s="128">
        <f>'total COMUNE'!F38+totalORASE!F38+'total MUNICIPII'!F38+totalCJ!F38</f>
        <v>123104837</v>
      </c>
      <c r="G38" s="128">
        <f>'total COMUNE'!G38+totalORASE!G38+'total MUNICIPII'!G38+totalCJ!G38</f>
        <v>129457686</v>
      </c>
      <c r="H38" s="128">
        <f>'total COMUNE'!H38+totalORASE!H38+'total MUNICIPII'!H38+totalCJ!H38</f>
        <v>534210400</v>
      </c>
      <c r="I38" s="128">
        <f>'total COMUNE'!I38+totalORASE!I38+'total MUNICIPII'!I38+totalCJ!I38</f>
        <v>20509919</v>
      </c>
      <c r="J38" s="128">
        <f>'total COMUNE'!J38+totalORASE!J38+'total MUNICIPII'!J38+totalCJ!J38</f>
        <v>106635730</v>
      </c>
      <c r="K38" s="128">
        <f>'total COMUNE'!K38+totalORASE!K38+'total MUNICIPII'!K38+totalCJ!K38</f>
        <v>0</v>
      </c>
      <c r="L38" s="128">
        <f>'total COMUNE'!L38+totalORASE!L38+'total MUNICIPII'!L38+totalCJ!L38</f>
        <v>387440436</v>
      </c>
      <c r="M38" s="128">
        <f>'total COMUNE'!M38+totalORASE!M38+'total MUNICIPII'!M38+totalCJ!M38</f>
        <v>250532803</v>
      </c>
      <c r="N38" s="128">
        <f>'total COMUNE'!N38+totalORASE!N38+'total MUNICIPII'!N38+totalCJ!N38</f>
        <v>8191494</v>
      </c>
      <c r="O38" s="128">
        <f>'total COMUNE'!O38+totalORASE!O38+'total MUNICIPII'!O38+totalCJ!O38</f>
        <v>2131028459</v>
      </c>
      <c r="P38" s="128">
        <f>'total COMUNE'!P38+totalORASE!P38+'total MUNICIPII'!P38+totalCJ!P38</f>
        <v>662905113</v>
      </c>
      <c r="Q38" s="128">
        <f>'total COMUNE'!Q38+totalORASE!Q38+'total MUNICIPII'!Q38+totalCJ!Q38</f>
        <v>313045221</v>
      </c>
      <c r="R38" s="128">
        <f>'total COMUNE'!R38+totalORASE!R38+'total MUNICIPII'!R38+totalCJ!R38</f>
        <v>9901919</v>
      </c>
      <c r="S38" s="128">
        <f>'total COMUNE'!S38+totalORASE!S38+'total MUNICIPII'!S38+totalCJ!S38</f>
        <v>51753851</v>
      </c>
      <c r="T38" s="128">
        <f>'total COMUNE'!T38+totalORASE!T38+'total MUNICIPII'!T38+totalCJ!T38</f>
        <v>96671984</v>
      </c>
      <c r="U38" s="128">
        <f>'total COMUNE'!U38+totalORASE!U38+'total MUNICIPII'!U38+totalCJ!U38</f>
        <v>42841693</v>
      </c>
      <c r="V38" s="128">
        <f>'total COMUNE'!V38+totalORASE!V38+'total MUNICIPII'!V38+totalCJ!V38</f>
        <v>543552128</v>
      </c>
      <c r="W38" s="128">
        <f>'total COMUNE'!W38+totalORASE!W38+'total MUNICIPII'!W38+totalCJ!W38</f>
        <v>155278105</v>
      </c>
      <c r="X38" s="128">
        <f>'total COMUNE'!X38+totalORASE!X38+'total MUNICIPII'!X38+totalCJ!X38</f>
        <v>29838636</v>
      </c>
      <c r="Y38" s="128">
        <f>'total COMUNE'!Y38+totalORASE!Y38+'total MUNICIPII'!Y38+totalCJ!Y38</f>
        <v>200431413</v>
      </c>
      <c r="Z38" s="128">
        <f>'total COMUNE'!Z38+totalORASE!Z38+'total MUNICIPII'!Z38+totalCJ!Z38</f>
        <v>55623383</v>
      </c>
      <c r="AA38" s="128">
        <f>'total COMUNE'!AA38+totalORASE!AA38+'total MUNICIPII'!AA38+totalCJ!AA38</f>
        <v>-30814987</v>
      </c>
      <c r="AB38" s="128">
        <f>'total COMUNE'!AB38+totalORASE!AB38+'total MUNICIPII'!AB38+totalCJ!AB38</f>
        <v>183192686</v>
      </c>
      <c r="AC38" s="128">
        <f>'total COMUNE'!AC38+totalORASE!AC38+'total MUNICIPII'!AC38+totalCJ!AC38</f>
        <v>21972202</v>
      </c>
      <c r="AD38" s="128">
        <f>'total COMUNE'!AD38+totalORASE!AD38+'total MUNICIPII'!AD38+totalCJ!AD38</f>
        <v>596073922</v>
      </c>
      <c r="AE38" s="128">
        <f>'total COMUNE'!AE38+totalORASE!AE38+'total MUNICIPII'!AE38+totalCJ!AE38</f>
        <v>37904036</v>
      </c>
      <c r="AF38" s="128">
        <f>'total COMUNE'!AF38+totalORASE!AF38+'total MUNICIPII'!AF38+totalCJ!AF38</f>
        <v>122484313</v>
      </c>
      <c r="AG38" s="128">
        <f>'total COMUNE'!AG38+totalORASE!AG38+'total MUNICIPII'!AG38+totalCJ!AG38</f>
        <v>284740175</v>
      </c>
      <c r="AH38" s="128">
        <f>'total COMUNE'!AH38+totalORASE!AH38+'total MUNICIPII'!AH38+totalCJ!AH38</f>
        <v>143768194</v>
      </c>
      <c r="AI38" s="128">
        <f>'total COMUNE'!AI38+totalORASE!AI38+'total MUNICIPII'!AI38+totalCJ!AI38</f>
        <v>159998151</v>
      </c>
      <c r="AJ38" s="128">
        <f>'total COMUNE'!AJ38+totalORASE!AJ38+'total MUNICIPII'!AJ38+totalCJ!AJ38</f>
        <v>172105417</v>
      </c>
      <c r="AK38" s="128">
        <f>'total COMUNE'!AK38+totalORASE!AK38+'total MUNICIPII'!AK38+totalCJ!AK38</f>
        <v>350195255</v>
      </c>
      <c r="AL38" s="128">
        <f>'total COMUNE'!AL38+totalORASE!AL38+'total MUNICIPII'!AL38+totalCJ!AL38</f>
        <v>58594108</v>
      </c>
      <c r="AM38" s="129"/>
    </row>
    <row r="39" spans="1:39" s="130" customFormat="1" ht="25.5" customHeight="1" x14ac:dyDescent="0.2">
      <c r="A39" s="134">
        <v>25</v>
      </c>
      <c r="B39" s="132" t="s">
        <v>923</v>
      </c>
      <c r="C39" s="128">
        <f>'total COMUNE'!C39+totalORASE!C39+'total MUNICIPII'!C39+totalCJ!C39</f>
        <v>1533580376</v>
      </c>
      <c r="D39" s="128">
        <f>'total COMUNE'!D39+totalORASE!D39+'total MUNICIPII'!D39+totalCJ!D39</f>
        <v>1007598873</v>
      </c>
      <c r="E39" s="128">
        <f>'total COMUNE'!E39+totalORASE!E39+'total MUNICIPII'!E39+totalCJ!E39</f>
        <v>465030478</v>
      </c>
      <c r="F39" s="128">
        <f>'total COMUNE'!F39+totalORASE!F39+'total MUNICIPII'!F39+totalCJ!F39</f>
        <v>162321975</v>
      </c>
      <c r="G39" s="128">
        <f>'total COMUNE'!G39+totalORASE!G39+'total MUNICIPII'!G39+totalCJ!G39</f>
        <v>29877076</v>
      </c>
      <c r="H39" s="128">
        <f>'total COMUNE'!H39+totalORASE!H39+'total MUNICIPII'!H39+totalCJ!H39</f>
        <v>164248738</v>
      </c>
      <c r="I39" s="128">
        <f>'total COMUNE'!I39+totalORASE!I39+'total MUNICIPII'!I39+totalCJ!I39</f>
        <v>14886000</v>
      </c>
      <c r="J39" s="128">
        <f>'total COMUNE'!J39+totalORASE!J39+'total MUNICIPII'!J39+totalCJ!J39</f>
        <v>18814270</v>
      </c>
      <c r="K39" s="128">
        <f>'total COMUNE'!K39+totalORASE!K39+'total MUNICIPII'!K39+totalCJ!K39</f>
        <v>0</v>
      </c>
      <c r="L39" s="128">
        <f>'total COMUNE'!L39+totalORASE!L39+'total MUNICIPII'!L39+totalCJ!L39</f>
        <v>126258188</v>
      </c>
      <c r="M39" s="128">
        <f>'total COMUNE'!M39+totalORASE!M39+'total MUNICIPII'!M39+totalCJ!M39</f>
        <v>122789023</v>
      </c>
      <c r="N39" s="128">
        <f>'total COMUNE'!N39+totalORASE!N39+'total MUNICIPII'!N39+totalCJ!N39</f>
        <v>49108208</v>
      </c>
      <c r="O39" s="128">
        <f>'total COMUNE'!O39+totalORASE!O39+'total MUNICIPII'!O39+totalCJ!O39</f>
        <v>1481288808</v>
      </c>
      <c r="P39" s="128">
        <f>'total COMUNE'!P39+totalORASE!P39+'total MUNICIPII'!P39+totalCJ!P39</f>
        <v>218544866</v>
      </c>
      <c r="Q39" s="128">
        <f>'total COMUNE'!Q39+totalORASE!Q39+'total MUNICIPII'!Q39+totalCJ!Q39</f>
        <v>401835562</v>
      </c>
      <c r="R39" s="128">
        <f>'total COMUNE'!R39+totalORASE!R39+'total MUNICIPII'!R39+totalCJ!R39</f>
        <v>30378160</v>
      </c>
      <c r="S39" s="128">
        <f>'total COMUNE'!S39+totalORASE!S39+'total MUNICIPII'!S39+totalCJ!S39</f>
        <v>2139787</v>
      </c>
      <c r="T39" s="128">
        <f>'total COMUNE'!T39+totalORASE!T39+'total MUNICIPII'!T39+totalCJ!T39</f>
        <v>60647092</v>
      </c>
      <c r="U39" s="128">
        <f>'total COMUNE'!U39+totalORASE!U39+'total MUNICIPII'!U39+totalCJ!U39</f>
        <v>56322185</v>
      </c>
      <c r="V39" s="128">
        <f>'total COMUNE'!V39+totalORASE!V39+'total MUNICIPII'!V39+totalCJ!V39</f>
        <v>297030914</v>
      </c>
      <c r="W39" s="128">
        <f>'total COMUNE'!W39+totalORASE!W39+'total MUNICIPII'!W39+totalCJ!W39</f>
        <v>56443527</v>
      </c>
      <c r="X39" s="128">
        <f>'total COMUNE'!X39+totalORASE!X39+'total MUNICIPII'!X39+totalCJ!X39</f>
        <v>22079464</v>
      </c>
      <c r="Y39" s="128">
        <f>'total COMUNE'!Y39+totalORASE!Y39+'total MUNICIPII'!Y39+totalCJ!Y39</f>
        <v>304795774</v>
      </c>
      <c r="Z39" s="128">
        <f>'total COMUNE'!Z39+totalORASE!Z39+'total MUNICIPII'!Z39+totalCJ!Z39</f>
        <v>32707419</v>
      </c>
      <c r="AA39" s="128">
        <f>'total COMUNE'!AA39+totalORASE!AA39+'total MUNICIPII'!AA39+totalCJ!AA39</f>
        <v>-1635942</v>
      </c>
      <c r="AB39" s="128">
        <f>'total COMUNE'!AB39+totalORASE!AB39+'total MUNICIPII'!AB39+totalCJ!AB39</f>
        <v>276924844</v>
      </c>
      <c r="AC39" s="128">
        <f>'total COMUNE'!AC39+totalORASE!AC39+'total MUNICIPII'!AC39+totalCJ!AC39</f>
        <v>17110176</v>
      </c>
      <c r="AD39" s="128">
        <f>'total COMUNE'!AD39+totalORASE!AD39+'total MUNICIPII'!AD39+totalCJ!AD39</f>
        <v>261122165</v>
      </c>
      <c r="AE39" s="128">
        <f>'total COMUNE'!AE39+totalORASE!AE39+'total MUNICIPII'!AE39+totalCJ!AE39</f>
        <v>88944818</v>
      </c>
      <c r="AF39" s="128">
        <f>'total COMUNE'!AF39+totalORASE!AF39+'total MUNICIPII'!AF39+totalCJ!AF39</f>
        <v>138321117</v>
      </c>
      <c r="AG39" s="128">
        <f>'total COMUNE'!AG39+totalORASE!AG39+'total MUNICIPII'!AG39+totalCJ!AG39</f>
        <v>132353913</v>
      </c>
      <c r="AH39" s="128">
        <f>'total COMUNE'!AH39+totalORASE!AH39+'total MUNICIPII'!AH39+totalCJ!AH39</f>
        <v>187106763</v>
      </c>
      <c r="AI39" s="128">
        <f>'total COMUNE'!AI39+totalORASE!AI39+'total MUNICIPII'!AI39+totalCJ!AI39</f>
        <v>99020310</v>
      </c>
      <c r="AJ39" s="128">
        <f>'total COMUNE'!AJ39+totalORASE!AJ39+'total MUNICIPII'!AJ39+totalCJ!AJ39</f>
        <v>4485994</v>
      </c>
      <c r="AK39" s="128">
        <f>'total COMUNE'!AK39+totalORASE!AK39+'total MUNICIPII'!AK39+totalCJ!AK39</f>
        <v>269746396</v>
      </c>
      <c r="AL39" s="128">
        <f>'total COMUNE'!AL39+totalORASE!AL39+'total MUNICIPII'!AL39+totalCJ!AL39</f>
        <v>6152312</v>
      </c>
      <c r="AM39" s="129"/>
    </row>
    <row r="40" spans="1:39" s="130" customFormat="1" ht="25.5" customHeight="1" x14ac:dyDescent="0.2">
      <c r="A40" s="134">
        <v>26</v>
      </c>
      <c r="B40" s="132" t="s">
        <v>924</v>
      </c>
      <c r="C40" s="128">
        <f>'total COMUNE'!C40+totalORASE!C40+'total MUNICIPII'!C40+totalCJ!C40</f>
        <v>1409132128</v>
      </c>
      <c r="D40" s="128">
        <f>'total COMUNE'!D40+totalORASE!D40+'total MUNICIPII'!D40+totalCJ!D40</f>
        <v>469284101</v>
      </c>
      <c r="E40" s="128">
        <f>'total COMUNE'!E40+totalORASE!E40+'total MUNICIPII'!E40+totalCJ!E40</f>
        <v>176629715</v>
      </c>
      <c r="F40" s="128">
        <f>'total COMUNE'!F40+totalORASE!F40+'total MUNICIPII'!F40+totalCJ!F40</f>
        <v>61653774</v>
      </c>
      <c r="G40" s="128">
        <f>'total COMUNE'!G40+totalORASE!G40+'total MUNICIPII'!G40+totalCJ!G40</f>
        <v>62015277</v>
      </c>
      <c r="H40" s="128">
        <f>'total COMUNE'!H40+totalORASE!H40+'total MUNICIPII'!H40+totalCJ!H40</f>
        <v>365465308</v>
      </c>
      <c r="I40" s="128">
        <f>'total COMUNE'!I40+totalORASE!I40+'total MUNICIPII'!I40+totalCJ!I40</f>
        <v>19497000</v>
      </c>
      <c r="J40" s="128">
        <f>'total COMUNE'!J40+totalORASE!J40+'total MUNICIPII'!J40+totalCJ!J40</f>
        <v>121880900</v>
      </c>
      <c r="K40" s="128">
        <f>'total COMUNE'!K40+totalORASE!K40+'total MUNICIPII'!K40+totalCJ!K40</f>
        <v>0</v>
      </c>
      <c r="L40" s="128">
        <f>'total COMUNE'!L40+totalORASE!L40+'total MUNICIPII'!L40+totalCJ!L40</f>
        <v>193019258</v>
      </c>
      <c r="M40" s="128">
        <f>'total COMUNE'!M40+totalORASE!M40+'total MUNICIPII'!M40+totalCJ!M40</f>
        <v>169590001</v>
      </c>
      <c r="N40" s="128">
        <f>'total COMUNE'!N40+totalORASE!N40+'total MUNICIPII'!N40+totalCJ!N40</f>
        <v>8380283</v>
      </c>
      <c r="O40" s="128">
        <f>'total COMUNE'!O40+totalORASE!O40+'total MUNICIPII'!O40+totalCJ!O40</f>
        <v>1408009537</v>
      </c>
      <c r="P40" s="128">
        <f>'total COMUNE'!P40+totalORASE!P40+'total MUNICIPII'!P40+totalCJ!P40</f>
        <v>447718791</v>
      </c>
      <c r="Q40" s="128">
        <f>'total COMUNE'!Q40+totalORASE!Q40+'total MUNICIPII'!Q40+totalCJ!Q40</f>
        <v>253713425</v>
      </c>
      <c r="R40" s="128">
        <f>'total COMUNE'!R40+totalORASE!R40+'total MUNICIPII'!R40+totalCJ!R40</f>
        <v>6770327</v>
      </c>
      <c r="S40" s="128">
        <f>'total COMUNE'!S40+totalORASE!S40+'total MUNICIPII'!S40+totalCJ!S40</f>
        <v>11097675</v>
      </c>
      <c r="T40" s="128">
        <f>'total COMUNE'!T40+totalORASE!T40+'total MUNICIPII'!T40+totalCJ!T40</f>
        <v>56048335</v>
      </c>
      <c r="U40" s="128">
        <f>'total COMUNE'!U40+totalORASE!U40+'total MUNICIPII'!U40+totalCJ!U40</f>
        <v>7396620</v>
      </c>
      <c r="V40" s="128">
        <f>'total COMUNE'!V40+totalORASE!V40+'total MUNICIPII'!V40+totalCJ!V40</f>
        <v>321928389</v>
      </c>
      <c r="W40" s="128">
        <f>'total COMUNE'!W40+totalORASE!W40+'total MUNICIPII'!W40+totalCJ!W40</f>
        <v>95247592</v>
      </c>
      <c r="X40" s="128">
        <f>'total COMUNE'!X40+totalORASE!X40+'total MUNICIPII'!X40+totalCJ!X40</f>
        <v>32536123</v>
      </c>
      <c r="Y40" s="128">
        <f>'total COMUNE'!Y40+totalORASE!Y40+'total MUNICIPII'!Y40+totalCJ!Y40</f>
        <v>157811550</v>
      </c>
      <c r="Z40" s="128">
        <f>'total COMUNE'!Z40+totalORASE!Z40+'total MUNICIPII'!Z40+totalCJ!Z40</f>
        <v>18835130</v>
      </c>
      <c r="AA40" s="128">
        <f>'total COMUNE'!AA40+totalORASE!AA40+'total MUNICIPII'!AA40+totalCJ!AA40</f>
        <v>-1094420</v>
      </c>
      <c r="AB40" s="128">
        <f>'total COMUNE'!AB40+totalORASE!AB40+'total MUNICIPII'!AB40+totalCJ!AB40</f>
        <v>125888995</v>
      </c>
      <c r="AC40" s="128">
        <f>'total COMUNE'!AC40+totalORASE!AC40+'total MUNICIPII'!AC40+totalCJ!AC40</f>
        <v>10353617</v>
      </c>
      <c r="AD40" s="128">
        <f>'total COMUNE'!AD40+totalORASE!AD40+'total MUNICIPII'!AD40+totalCJ!AD40</f>
        <v>400325577</v>
      </c>
      <c r="AE40" s="128">
        <f>'total COMUNE'!AE40+totalORASE!AE40+'total MUNICIPII'!AE40+totalCJ!AE40</f>
        <v>19362885</v>
      </c>
      <c r="AF40" s="128">
        <f>'total COMUNE'!AF40+totalORASE!AF40+'total MUNICIPII'!AF40+totalCJ!AF40</f>
        <v>89490820</v>
      </c>
      <c r="AG40" s="128">
        <f>'total COMUNE'!AG40+totalORASE!AG40+'total MUNICIPII'!AG40+totalCJ!AG40</f>
        <v>177550509</v>
      </c>
      <c r="AH40" s="128">
        <f>'total COMUNE'!AH40+totalORASE!AH40+'total MUNICIPII'!AH40+totalCJ!AH40</f>
        <v>101600482</v>
      </c>
      <c r="AI40" s="128">
        <f>'total COMUNE'!AI40+totalORASE!AI40+'total MUNICIPII'!AI40+totalCJ!AI40</f>
        <v>154937893</v>
      </c>
      <c r="AJ40" s="128">
        <f>'total COMUNE'!AJ40+totalORASE!AJ40+'total MUNICIPII'!AJ40+totalCJ!AJ40</f>
        <v>0</v>
      </c>
      <c r="AK40" s="128">
        <f>'total COMUNE'!AK40+totalORASE!AK40+'total MUNICIPII'!AK40+totalCJ!AK40</f>
        <v>306081856</v>
      </c>
      <c r="AL40" s="128">
        <f>'total COMUNE'!AL40+totalORASE!AL40+'total MUNICIPII'!AL40+totalCJ!AL40</f>
        <v>22416903</v>
      </c>
      <c r="AM40" s="129"/>
    </row>
    <row r="41" spans="1:39" s="130" customFormat="1" ht="25.5" customHeight="1" x14ac:dyDescent="0.2">
      <c r="A41" s="134">
        <v>27</v>
      </c>
      <c r="B41" s="132" t="s">
        <v>925</v>
      </c>
      <c r="C41" s="128">
        <f>'total COMUNE'!C41+totalORASE!C41+'total MUNICIPII'!C41+totalCJ!C41</f>
        <v>849465747</v>
      </c>
      <c r="D41" s="128">
        <f>'total COMUNE'!D41+totalORASE!D41+'total MUNICIPII'!D41+totalCJ!D41</f>
        <v>188596139</v>
      </c>
      <c r="E41" s="128">
        <f>'total COMUNE'!E41+totalORASE!E41+'total MUNICIPII'!E41+totalCJ!E41</f>
        <v>80898447</v>
      </c>
      <c r="F41" s="128">
        <f>'total COMUNE'!F41+totalORASE!F41+'total MUNICIPII'!F41+totalCJ!F41</f>
        <v>28238139</v>
      </c>
      <c r="G41" s="128">
        <f>'total COMUNE'!G41+totalORASE!G41+'total MUNICIPII'!G41+totalCJ!G41</f>
        <v>33613360</v>
      </c>
      <c r="H41" s="128">
        <f>'total COMUNE'!H41+totalORASE!H41+'total MUNICIPII'!H41+totalCJ!H41</f>
        <v>202375584</v>
      </c>
      <c r="I41" s="128">
        <f>'total COMUNE'!I41+totalORASE!I41+'total MUNICIPII'!I41+totalCJ!I41</f>
        <v>18788849</v>
      </c>
      <c r="J41" s="128">
        <f>'total COMUNE'!J41+totalORASE!J41+'total MUNICIPII'!J41+totalCJ!J41</f>
        <v>167475816</v>
      </c>
      <c r="K41" s="128">
        <f>'total COMUNE'!K41+totalORASE!K41+'total MUNICIPII'!K41+totalCJ!K41</f>
        <v>0</v>
      </c>
      <c r="L41" s="128">
        <f>'total COMUNE'!L41+totalORASE!L41+'total MUNICIPII'!L41+totalCJ!L41</f>
        <v>158184375</v>
      </c>
      <c r="M41" s="128">
        <f>'total COMUNE'!M41+totalORASE!M41+'total MUNICIPII'!M41+totalCJ!M41</f>
        <v>77293100</v>
      </c>
      <c r="N41" s="128">
        <f>'total COMUNE'!N41+totalORASE!N41+'total MUNICIPII'!N41+totalCJ!N41</f>
        <v>3138524</v>
      </c>
      <c r="O41" s="128">
        <f>'total COMUNE'!O41+totalORASE!O41+'total MUNICIPII'!O41+totalCJ!O41</f>
        <v>823113040</v>
      </c>
      <c r="P41" s="128">
        <f>'total COMUNE'!P41+totalORASE!P41+'total MUNICIPII'!P41+totalCJ!P41</f>
        <v>242447660</v>
      </c>
      <c r="Q41" s="128">
        <f>'total COMUNE'!Q41+totalORASE!Q41+'total MUNICIPII'!Q41+totalCJ!Q41</f>
        <v>133437954</v>
      </c>
      <c r="R41" s="128">
        <f>'total COMUNE'!R41+totalORASE!R41+'total MUNICIPII'!R41+totalCJ!R41</f>
        <v>6900789</v>
      </c>
      <c r="S41" s="128">
        <f>'total COMUNE'!S41+totalORASE!S41+'total MUNICIPII'!S41+totalCJ!S41</f>
        <v>4249032</v>
      </c>
      <c r="T41" s="128">
        <f>'total COMUNE'!T41+totalORASE!T41+'total MUNICIPII'!T41+totalCJ!T41</f>
        <v>93192701</v>
      </c>
      <c r="U41" s="128">
        <f>'total COMUNE'!U41+totalORASE!U41+'total MUNICIPII'!U41+totalCJ!U41</f>
        <v>1589584</v>
      </c>
      <c r="V41" s="128">
        <f>'total COMUNE'!V41+totalORASE!V41+'total MUNICIPII'!V41+totalCJ!V41</f>
        <v>150204689</v>
      </c>
      <c r="W41" s="128">
        <f>'total COMUNE'!W41+totalORASE!W41+'total MUNICIPII'!W41+totalCJ!W41</f>
        <v>37502039</v>
      </c>
      <c r="X41" s="128">
        <f>'total COMUNE'!X41+totalORASE!X41+'total MUNICIPII'!X41+totalCJ!X41</f>
        <v>5294420</v>
      </c>
      <c r="Y41" s="128">
        <f>'total COMUNE'!Y41+totalORASE!Y41+'total MUNICIPII'!Y41+totalCJ!Y41</f>
        <v>133513927</v>
      </c>
      <c r="Z41" s="128">
        <f>'total COMUNE'!Z41+totalORASE!Z41+'total MUNICIPII'!Z41+totalCJ!Z41</f>
        <v>19062609</v>
      </c>
      <c r="AA41" s="128">
        <f>'total COMUNE'!AA41+totalORASE!AA41+'total MUNICIPII'!AA41+totalCJ!AA41</f>
        <v>-4282364</v>
      </c>
      <c r="AB41" s="128">
        <f>'total COMUNE'!AB41+totalORASE!AB41+'total MUNICIPII'!AB41+totalCJ!AB41</f>
        <v>89872022</v>
      </c>
      <c r="AC41" s="128">
        <f>'total COMUNE'!AC41+totalORASE!AC41+'total MUNICIPII'!AC41+totalCJ!AC41</f>
        <v>9285025</v>
      </c>
      <c r="AD41" s="128">
        <f>'total COMUNE'!AD41+totalORASE!AD41+'total MUNICIPII'!AD41+totalCJ!AD41</f>
        <v>201497411</v>
      </c>
      <c r="AE41" s="128">
        <f>'total COMUNE'!AE41+totalORASE!AE41+'total MUNICIPII'!AE41+totalCJ!AE41</f>
        <v>17201328</v>
      </c>
      <c r="AF41" s="128">
        <f>'total COMUNE'!AF41+totalORASE!AF41+'total MUNICIPII'!AF41+totalCJ!AF41</f>
        <v>51772632</v>
      </c>
      <c r="AG41" s="128">
        <f>'total COMUNE'!AG41+totalORASE!AG41+'total MUNICIPII'!AG41+totalCJ!AG41</f>
        <v>144043983</v>
      </c>
      <c r="AH41" s="128">
        <f>'total COMUNE'!AH41+totalORASE!AH41+'total MUNICIPII'!AH41+totalCJ!AH41</f>
        <v>73428818</v>
      </c>
      <c r="AI41" s="128">
        <f>'total COMUNE'!AI41+totalORASE!AI41+'total MUNICIPII'!AI41+totalCJ!AI41</f>
        <v>93545431</v>
      </c>
      <c r="AJ41" s="128">
        <f>'total COMUNE'!AJ41+totalORASE!AJ41+'total MUNICIPII'!AJ41+totalCJ!AJ41</f>
        <v>4248012</v>
      </c>
      <c r="AK41" s="128">
        <f>'total COMUNE'!AK41+totalORASE!AK41+'total MUNICIPII'!AK41+totalCJ!AK41</f>
        <v>121339060</v>
      </c>
      <c r="AL41" s="128">
        <f>'total COMUNE'!AL41+totalORASE!AL41+'total MUNICIPII'!AL41+totalCJ!AL41</f>
        <v>16879318</v>
      </c>
      <c r="AM41" s="129"/>
    </row>
    <row r="42" spans="1:39" s="130" customFormat="1" ht="25.5" customHeight="1" x14ac:dyDescent="0.2">
      <c r="A42" s="134">
        <v>28</v>
      </c>
      <c r="B42" s="132" t="s">
        <v>926</v>
      </c>
      <c r="C42" s="128">
        <f>'total COMUNE'!C42+totalORASE!C42+'total MUNICIPII'!C42+totalCJ!C42</f>
        <v>1437308710</v>
      </c>
      <c r="D42" s="128">
        <f>'total COMUNE'!D42+totalORASE!D42+'total MUNICIPII'!D42+totalCJ!D42</f>
        <v>623842912</v>
      </c>
      <c r="E42" s="128">
        <f>'total COMUNE'!E42+totalORASE!E42+'total MUNICIPII'!E42+totalCJ!E42</f>
        <v>278114727</v>
      </c>
      <c r="F42" s="128">
        <f>'total COMUNE'!F42+totalORASE!F42+'total MUNICIPII'!F42+totalCJ!F42</f>
        <v>97077795</v>
      </c>
      <c r="G42" s="128">
        <f>'total COMUNE'!G42+totalORASE!G42+'total MUNICIPII'!G42+totalCJ!G42</f>
        <v>74385508</v>
      </c>
      <c r="H42" s="128">
        <f>'total COMUNE'!H42+totalORASE!H42+'total MUNICIPII'!H42+totalCJ!H42</f>
        <v>355477321</v>
      </c>
      <c r="I42" s="128">
        <f>'total COMUNE'!I42+totalORASE!I42+'total MUNICIPII'!I42+totalCJ!I42</f>
        <v>18747393</v>
      </c>
      <c r="J42" s="128">
        <f>'total COMUNE'!J42+totalORASE!J42+'total MUNICIPII'!J42+totalCJ!J42</f>
        <v>100334410</v>
      </c>
      <c r="K42" s="128">
        <f>'total COMUNE'!K42+totalORASE!K42+'total MUNICIPII'!K42+totalCJ!K42</f>
        <v>0</v>
      </c>
      <c r="L42" s="128">
        <f>'total COMUNE'!L42+totalORASE!L42+'total MUNICIPII'!L42+totalCJ!L42</f>
        <v>136387156</v>
      </c>
      <c r="M42" s="128">
        <f>'total COMUNE'!M42+totalORASE!M42+'total MUNICIPII'!M42+totalCJ!M42</f>
        <v>120702015</v>
      </c>
      <c r="N42" s="128">
        <f>'total COMUNE'!N42+totalORASE!N42+'total MUNICIPII'!N42+totalCJ!N42</f>
        <v>7431995</v>
      </c>
      <c r="O42" s="128">
        <f>'total COMUNE'!O42+totalORASE!O42+'total MUNICIPII'!O42+totalCJ!O42</f>
        <v>1392970176</v>
      </c>
      <c r="P42" s="128">
        <f>'total COMUNE'!P42+totalORASE!P42+'total MUNICIPII'!P42+totalCJ!P42</f>
        <v>457747466</v>
      </c>
      <c r="Q42" s="128">
        <f>'total COMUNE'!Q42+totalORASE!Q42+'total MUNICIPII'!Q42+totalCJ!Q42</f>
        <v>342708537</v>
      </c>
      <c r="R42" s="128">
        <f>'total COMUNE'!R42+totalORASE!R42+'total MUNICIPII'!R42+totalCJ!R42</f>
        <v>9888345</v>
      </c>
      <c r="S42" s="128">
        <f>'total COMUNE'!S42+totalORASE!S42+'total MUNICIPII'!S42+totalCJ!S42</f>
        <v>22156894</v>
      </c>
      <c r="T42" s="128">
        <f>'total COMUNE'!T42+totalORASE!T42+'total MUNICIPII'!T42+totalCJ!T42</f>
        <v>38380311</v>
      </c>
      <c r="U42" s="128">
        <f>'total COMUNE'!U42+totalORASE!U42+'total MUNICIPII'!U42+totalCJ!U42</f>
        <v>10680758</v>
      </c>
      <c r="V42" s="128">
        <f>'total COMUNE'!V42+totalORASE!V42+'total MUNICIPII'!V42+totalCJ!V42</f>
        <v>181962318</v>
      </c>
      <c r="W42" s="128">
        <f>'total COMUNE'!W42+totalORASE!W42+'total MUNICIPII'!W42+totalCJ!W42</f>
        <v>111448218</v>
      </c>
      <c r="X42" s="128">
        <f>'total COMUNE'!X42+totalORASE!X42+'total MUNICIPII'!X42+totalCJ!X42</f>
        <v>47483891</v>
      </c>
      <c r="Y42" s="128">
        <f>'total COMUNE'!Y42+totalORASE!Y42+'total MUNICIPII'!Y42+totalCJ!Y42</f>
        <v>141849064</v>
      </c>
      <c r="Z42" s="128">
        <f>'total COMUNE'!Z42+totalORASE!Z42+'total MUNICIPII'!Z42+totalCJ!Z42</f>
        <v>32444039</v>
      </c>
      <c r="AA42" s="128">
        <f>'total COMUNE'!AA42+totalORASE!AA42+'total MUNICIPII'!AA42+totalCJ!AA42</f>
        <v>-3779665</v>
      </c>
      <c r="AB42" s="128">
        <f>'total COMUNE'!AB42+totalORASE!AB42+'total MUNICIPII'!AB42+totalCJ!AB42</f>
        <v>168583242</v>
      </c>
      <c r="AC42" s="128">
        <f>'total COMUNE'!AC42+totalORASE!AC42+'total MUNICIPII'!AC42+totalCJ!AC42</f>
        <v>18349830</v>
      </c>
      <c r="AD42" s="128">
        <f>'total COMUNE'!AD42+totalORASE!AD42+'total MUNICIPII'!AD42+totalCJ!AD42</f>
        <v>377238983</v>
      </c>
      <c r="AE42" s="128">
        <f>'total COMUNE'!AE42+totalORASE!AE42+'total MUNICIPII'!AE42+totalCJ!AE42</f>
        <v>36065151</v>
      </c>
      <c r="AF42" s="128">
        <f>'total COMUNE'!AF42+totalORASE!AF42+'total MUNICIPII'!AF42+totalCJ!AF42</f>
        <v>125231210</v>
      </c>
      <c r="AG42" s="128">
        <f>'total COMUNE'!AG42+totalORASE!AG42+'total MUNICIPII'!AG42+totalCJ!AG42</f>
        <v>186116611</v>
      </c>
      <c r="AH42" s="128">
        <f>'total COMUNE'!AH42+totalORASE!AH42+'total MUNICIPII'!AH42+totalCJ!AH42</f>
        <v>124045687</v>
      </c>
      <c r="AI42" s="128">
        <f>'total COMUNE'!AI42+totalORASE!AI42+'total MUNICIPII'!AI42+totalCJ!AI42</f>
        <v>85550198</v>
      </c>
      <c r="AJ42" s="128">
        <f>'total COMUNE'!AJ42+totalORASE!AJ42+'total MUNICIPII'!AJ42+totalCJ!AJ42</f>
        <v>0</v>
      </c>
      <c r="AK42" s="128">
        <f>'total COMUNE'!AK42+totalORASE!AK42+'total MUNICIPII'!AK42+totalCJ!AK42</f>
        <v>253190971</v>
      </c>
      <c r="AL42" s="128">
        <f>'total COMUNE'!AL42+totalORASE!AL42+'total MUNICIPII'!AL42+totalCJ!AL42</f>
        <v>18598293</v>
      </c>
      <c r="AM42" s="129"/>
    </row>
    <row r="43" spans="1:39" s="130" customFormat="1" ht="25.5" customHeight="1" x14ac:dyDescent="0.2">
      <c r="A43" s="134">
        <v>29</v>
      </c>
      <c r="B43" s="132" t="s">
        <v>927</v>
      </c>
      <c r="C43" s="128">
        <f>'total COMUNE'!C43+totalORASE!C43+'total MUNICIPII'!C43+totalCJ!C43</f>
        <v>1204922015</v>
      </c>
      <c r="D43" s="128">
        <f>'total COMUNE'!D43+totalORASE!D43+'total MUNICIPII'!D43+totalCJ!D43</f>
        <v>348132528</v>
      </c>
      <c r="E43" s="128">
        <f>'total COMUNE'!E43+totalORASE!E43+'total MUNICIPII'!E43+totalCJ!E43</f>
        <v>149712930</v>
      </c>
      <c r="F43" s="128">
        <f>'total COMUNE'!F43+totalORASE!F43+'total MUNICIPII'!F43+totalCJ!F43</f>
        <v>51492416</v>
      </c>
      <c r="G43" s="128">
        <f>'total COMUNE'!G43+totalORASE!G43+'total MUNICIPII'!G43+totalCJ!G43</f>
        <v>73790105</v>
      </c>
      <c r="H43" s="128">
        <f>'total COMUNE'!H43+totalORASE!H43+'total MUNICIPII'!H43+totalCJ!H43</f>
        <v>348427524</v>
      </c>
      <c r="I43" s="128">
        <f>'total COMUNE'!I43+totalORASE!I43+'total MUNICIPII'!I43+totalCJ!I43</f>
        <v>21184232</v>
      </c>
      <c r="J43" s="128">
        <f>'total COMUNE'!J43+totalORASE!J43+'total MUNICIPII'!J43+totalCJ!J43</f>
        <v>135083100</v>
      </c>
      <c r="K43" s="128">
        <f>'total COMUNE'!K43+totalORASE!K43+'total MUNICIPII'!K43+totalCJ!K43</f>
        <v>0</v>
      </c>
      <c r="L43" s="128">
        <f>'total COMUNE'!L43+totalORASE!L43+'total MUNICIPII'!L43+totalCJ!L43</f>
        <v>218042797</v>
      </c>
      <c r="M43" s="128">
        <f>'total COMUNE'!M43+totalORASE!M43+'total MUNICIPII'!M43+totalCJ!M43</f>
        <v>46000565</v>
      </c>
      <c r="N43" s="128">
        <f>'total COMUNE'!N43+totalORASE!N43+'total MUNICIPII'!N43+totalCJ!N43</f>
        <v>14261164</v>
      </c>
      <c r="O43" s="128">
        <f>'total COMUNE'!O43+totalORASE!O43+'total MUNICIPII'!O43+totalCJ!O43</f>
        <v>1174139744</v>
      </c>
      <c r="P43" s="128">
        <f>'total COMUNE'!P43+totalORASE!P43+'total MUNICIPII'!P43+totalCJ!P43</f>
        <v>429107099</v>
      </c>
      <c r="Q43" s="128">
        <f>'total COMUNE'!Q43+totalORASE!Q43+'total MUNICIPII'!Q43+totalCJ!Q43</f>
        <v>220054686</v>
      </c>
      <c r="R43" s="128">
        <f>'total COMUNE'!R43+totalORASE!R43+'total MUNICIPII'!R43+totalCJ!R43</f>
        <v>16755057</v>
      </c>
      <c r="S43" s="128">
        <f>'total COMUNE'!S43+totalORASE!S43+'total MUNICIPII'!S43+totalCJ!S43</f>
        <v>6367602</v>
      </c>
      <c r="T43" s="128">
        <f>'total COMUNE'!T43+totalORASE!T43+'total MUNICIPII'!T43+totalCJ!T43</f>
        <v>33257464</v>
      </c>
      <c r="U43" s="128">
        <f>'total COMUNE'!U43+totalORASE!U43+'total MUNICIPII'!U43+totalCJ!U43</f>
        <v>8760873</v>
      </c>
      <c r="V43" s="128">
        <f>'total COMUNE'!V43+totalORASE!V43+'total MUNICIPII'!V43+totalCJ!V43</f>
        <v>67108991</v>
      </c>
      <c r="W43" s="128">
        <f>'total COMUNE'!W43+totalORASE!W43+'total MUNICIPII'!W43+totalCJ!W43</f>
        <v>119560936</v>
      </c>
      <c r="X43" s="128">
        <f>'total COMUNE'!X43+totalORASE!X43+'total MUNICIPII'!X43+totalCJ!X43</f>
        <v>28476334</v>
      </c>
      <c r="Y43" s="128">
        <f>'total COMUNE'!Y43+totalORASE!Y43+'total MUNICIPII'!Y43+totalCJ!Y43</f>
        <v>219410088</v>
      </c>
      <c r="Z43" s="128">
        <f>'total COMUNE'!Z43+totalORASE!Z43+'total MUNICIPII'!Z43+totalCJ!Z43</f>
        <v>28965424</v>
      </c>
      <c r="AA43" s="128">
        <f>'total COMUNE'!AA43+totalORASE!AA43+'total MUNICIPII'!AA43+totalCJ!AA43</f>
        <v>-3684810</v>
      </c>
      <c r="AB43" s="128">
        <f>'total COMUNE'!AB43+totalORASE!AB43+'total MUNICIPII'!AB43+totalCJ!AB43</f>
        <v>158344627</v>
      </c>
      <c r="AC43" s="128">
        <f>'total COMUNE'!AC43+totalORASE!AC43+'total MUNICIPII'!AC43+totalCJ!AC43</f>
        <v>16279318</v>
      </c>
      <c r="AD43" s="128">
        <f>'total COMUNE'!AD43+totalORASE!AD43+'total MUNICIPII'!AD43+totalCJ!AD43</f>
        <v>388900736</v>
      </c>
      <c r="AE43" s="128">
        <f>'total COMUNE'!AE43+totalORASE!AE43+'total MUNICIPII'!AE43+totalCJ!AE43</f>
        <v>30183323</v>
      </c>
      <c r="AF43" s="128">
        <f>'total COMUNE'!AF43+totalORASE!AF43+'total MUNICIPII'!AF43+totalCJ!AF43</f>
        <v>66263535</v>
      </c>
      <c r="AG43" s="128">
        <f>'total COMUNE'!AG43+totalORASE!AG43+'total MUNICIPII'!AG43+totalCJ!AG43</f>
        <v>181517634</v>
      </c>
      <c r="AH43" s="128">
        <f>'total COMUNE'!AH43+totalORASE!AH43+'total MUNICIPII'!AH43+totalCJ!AH43</f>
        <v>86992286</v>
      </c>
      <c r="AI43" s="128">
        <f>'total COMUNE'!AI43+totalORASE!AI43+'total MUNICIPII'!AI43+totalCJ!AI43</f>
        <v>34023202</v>
      </c>
      <c r="AJ43" s="128">
        <f>'total COMUNE'!AJ43+totalORASE!AJ43+'total MUNICIPII'!AJ43+totalCJ!AJ43</f>
        <v>203668</v>
      </c>
      <c r="AK43" s="128">
        <f>'total COMUNE'!AK43+totalORASE!AK43+'total MUNICIPII'!AK43+totalCJ!AK43</f>
        <v>203585001</v>
      </c>
      <c r="AL43" s="128">
        <f>'total COMUNE'!AL43+totalORASE!AL43+'total MUNICIPII'!AL43+totalCJ!AL43</f>
        <v>7846414</v>
      </c>
      <c r="AM43" s="129"/>
    </row>
    <row r="44" spans="1:39" s="130" customFormat="1" ht="25.5" customHeight="1" x14ac:dyDescent="0.2">
      <c r="A44" s="134">
        <v>30</v>
      </c>
      <c r="B44" s="132" t="s">
        <v>928</v>
      </c>
      <c r="C44" s="128">
        <f>'total COMUNE'!C44+totalORASE!C44+'total MUNICIPII'!C44+totalCJ!C44</f>
        <v>1148916373</v>
      </c>
      <c r="D44" s="128">
        <f>'total COMUNE'!D44+totalORASE!D44+'total MUNICIPII'!D44+totalCJ!D44</f>
        <v>320814368</v>
      </c>
      <c r="E44" s="128">
        <f>'total COMUNE'!E44+totalORASE!E44+'total MUNICIPII'!E44+totalCJ!E44</f>
        <v>144270969</v>
      </c>
      <c r="F44" s="128">
        <f>'total COMUNE'!F44+totalORASE!F44+'total MUNICIPII'!F44+totalCJ!F44</f>
        <v>50358746</v>
      </c>
      <c r="G44" s="128">
        <f>'total COMUNE'!G44+totalORASE!G44+'total MUNICIPII'!G44+totalCJ!G44</f>
        <v>45619257</v>
      </c>
      <c r="H44" s="128">
        <f>'total COMUNE'!H44+totalORASE!H44+'total MUNICIPII'!H44+totalCJ!H44</f>
        <v>313908564</v>
      </c>
      <c r="I44" s="128">
        <f>'total COMUNE'!I44+totalORASE!I44+'total MUNICIPII'!I44+totalCJ!I44</f>
        <v>20949018</v>
      </c>
      <c r="J44" s="128">
        <f>'total COMUNE'!J44+totalORASE!J44+'total MUNICIPII'!J44+totalCJ!J44</f>
        <v>165805380</v>
      </c>
      <c r="K44" s="128">
        <f>'total COMUNE'!K44+totalORASE!K44+'total MUNICIPII'!K44+totalCJ!K44</f>
        <v>0</v>
      </c>
      <c r="L44" s="128">
        <f>'total COMUNE'!L44+totalORASE!L44+'total MUNICIPII'!L44+totalCJ!L44</f>
        <v>176368472</v>
      </c>
      <c r="M44" s="128">
        <f>'total COMUNE'!M44+totalORASE!M44+'total MUNICIPII'!M44+totalCJ!M44</f>
        <v>83120199</v>
      </c>
      <c r="N44" s="128">
        <f>'total COMUNE'!N44+totalORASE!N44+'total MUNICIPII'!N44+totalCJ!N44</f>
        <v>22331115</v>
      </c>
      <c r="O44" s="128">
        <f>'total COMUNE'!O44+totalORASE!O44+'total MUNICIPII'!O44+totalCJ!O44</f>
        <v>1109320369</v>
      </c>
      <c r="P44" s="128">
        <f>'total COMUNE'!P44+totalORASE!P44+'total MUNICIPII'!P44+totalCJ!P44</f>
        <v>395562798</v>
      </c>
      <c r="Q44" s="128">
        <f>'total COMUNE'!Q44+totalORASE!Q44+'total MUNICIPII'!Q44+totalCJ!Q44</f>
        <v>225012152</v>
      </c>
      <c r="R44" s="128">
        <f>'total COMUNE'!R44+totalORASE!R44+'total MUNICIPII'!R44+totalCJ!R44</f>
        <v>6139333</v>
      </c>
      <c r="S44" s="128">
        <f>'total COMUNE'!S44+totalORASE!S44+'total MUNICIPII'!S44+totalCJ!S44</f>
        <v>2100000</v>
      </c>
      <c r="T44" s="128">
        <f>'total COMUNE'!T44+totalORASE!T44+'total MUNICIPII'!T44+totalCJ!T44</f>
        <v>25850875</v>
      </c>
      <c r="U44" s="128">
        <f>'total COMUNE'!U44+totalORASE!U44+'total MUNICIPII'!U44+totalCJ!U44</f>
        <v>2228045</v>
      </c>
      <c r="V44" s="128">
        <f>'total COMUNE'!V44+totalORASE!V44+'total MUNICIPII'!V44+totalCJ!V44</f>
        <v>137400240</v>
      </c>
      <c r="W44" s="128">
        <f>'total COMUNE'!W44+totalORASE!W44+'total MUNICIPII'!W44+totalCJ!W44</f>
        <v>113107042</v>
      </c>
      <c r="X44" s="128">
        <f>'total COMUNE'!X44+totalORASE!X44+'total MUNICIPII'!X44+totalCJ!X44</f>
        <v>6845001</v>
      </c>
      <c r="Y44" s="128">
        <f>'total COMUNE'!Y44+totalORASE!Y44+'total MUNICIPII'!Y44+totalCJ!Y44</f>
        <v>179847900</v>
      </c>
      <c r="Z44" s="128">
        <f>'total COMUNE'!Z44+totalORASE!Z44+'total MUNICIPII'!Z44+totalCJ!Z44</f>
        <v>16913597</v>
      </c>
      <c r="AA44" s="128">
        <f>'total COMUNE'!AA44+totalORASE!AA44+'total MUNICIPII'!AA44+totalCJ!AA44</f>
        <v>-1686614</v>
      </c>
      <c r="AB44" s="128">
        <f>'total COMUNE'!AB44+totalORASE!AB44+'total MUNICIPII'!AB44+totalCJ!AB44</f>
        <v>159661289</v>
      </c>
      <c r="AC44" s="128">
        <f>'total COMUNE'!AC44+totalORASE!AC44+'total MUNICIPII'!AC44+totalCJ!AC44</f>
        <v>9060124</v>
      </c>
      <c r="AD44" s="128">
        <f>'total COMUNE'!AD44+totalORASE!AD44+'total MUNICIPII'!AD44+totalCJ!AD44</f>
        <v>319329655</v>
      </c>
      <c r="AE44" s="128">
        <f>'total COMUNE'!AE44+totalORASE!AE44+'total MUNICIPII'!AE44+totalCJ!AE44</f>
        <v>22877247</v>
      </c>
      <c r="AF44" s="128">
        <f>'total COMUNE'!AF44+totalORASE!AF44+'total MUNICIPII'!AF44+totalCJ!AF44</f>
        <v>66380082</v>
      </c>
      <c r="AG44" s="128">
        <f>'total COMUNE'!AG44+totalORASE!AG44+'total MUNICIPII'!AG44+totalCJ!AG44</f>
        <v>170454166</v>
      </c>
      <c r="AH44" s="128">
        <f>'total COMUNE'!AH44+totalORASE!AH44+'total MUNICIPII'!AH44+totalCJ!AH44</f>
        <v>118684360</v>
      </c>
      <c r="AI44" s="128">
        <f>'total COMUNE'!AI44+totalORASE!AI44+'total MUNICIPII'!AI44+totalCJ!AI44</f>
        <v>82359272</v>
      </c>
      <c r="AJ44" s="128">
        <f>'total COMUNE'!AJ44+totalORASE!AJ44+'total MUNICIPII'!AJ44+totalCJ!AJ44</f>
        <v>50000</v>
      </c>
      <c r="AK44" s="128">
        <f>'total COMUNE'!AK44+totalORASE!AK44+'total MUNICIPII'!AK44+totalCJ!AK44</f>
        <v>144889830</v>
      </c>
      <c r="AL44" s="128">
        <f>'total COMUNE'!AL44+totalORASE!AL44+'total MUNICIPII'!AL44+totalCJ!AL44</f>
        <v>15574344</v>
      </c>
      <c r="AM44" s="129"/>
    </row>
    <row r="45" spans="1:39" s="130" customFormat="1" ht="25.5" customHeight="1" x14ac:dyDescent="0.2">
      <c r="A45" s="134">
        <v>31</v>
      </c>
      <c r="B45" s="132" t="s">
        <v>929</v>
      </c>
      <c r="C45" s="128">
        <f>'total COMUNE'!C45+totalORASE!C45+'total MUNICIPII'!C45+totalCJ!C45</f>
        <v>2122914239</v>
      </c>
      <c r="D45" s="128">
        <f>'total COMUNE'!D45+totalORASE!D45+'total MUNICIPII'!D45+totalCJ!D45</f>
        <v>944051472</v>
      </c>
      <c r="E45" s="128">
        <f>'total COMUNE'!E45+totalORASE!E45+'total MUNICIPII'!E45+totalCJ!E45</f>
        <v>429382449</v>
      </c>
      <c r="F45" s="128">
        <f>'total COMUNE'!F45+totalORASE!F45+'total MUNICIPII'!F45+totalCJ!F45</f>
        <v>149879429</v>
      </c>
      <c r="G45" s="128">
        <f>'total COMUNE'!G45+totalORASE!G45+'total MUNICIPII'!G45+totalCJ!G45</f>
        <v>74744204</v>
      </c>
      <c r="H45" s="128">
        <f>'total COMUNE'!H45+totalORASE!H45+'total MUNICIPII'!H45+totalCJ!H45</f>
        <v>460436410</v>
      </c>
      <c r="I45" s="128">
        <f>'total COMUNE'!I45+totalORASE!I45+'total MUNICIPII'!I45+totalCJ!I45</f>
        <v>18023330</v>
      </c>
      <c r="J45" s="128">
        <f>'total COMUNE'!J45+totalORASE!J45+'total MUNICIPII'!J45+totalCJ!J45</f>
        <v>99055010</v>
      </c>
      <c r="K45" s="128">
        <f>'total COMUNE'!K45+totalORASE!K45+'total MUNICIPII'!K45+totalCJ!K45</f>
        <v>0</v>
      </c>
      <c r="L45" s="128">
        <f>'total COMUNE'!L45+totalORASE!L45+'total MUNICIPII'!L45+totalCJ!L45</f>
        <v>234876407</v>
      </c>
      <c r="M45" s="128">
        <f>'total COMUNE'!M45+totalORASE!M45+'total MUNICIPII'!M45+totalCJ!M45</f>
        <v>277869370</v>
      </c>
      <c r="N45" s="128">
        <f>'total COMUNE'!N45+totalORASE!N45+'total MUNICIPII'!N45+totalCJ!N45</f>
        <v>13858036</v>
      </c>
      <c r="O45" s="128">
        <f>'total COMUNE'!O45+totalORASE!O45+'total MUNICIPII'!O45+totalCJ!O45</f>
        <v>2085634863</v>
      </c>
      <c r="P45" s="128">
        <f>'total COMUNE'!P45+totalORASE!P45+'total MUNICIPII'!P45+totalCJ!P45</f>
        <v>523560266</v>
      </c>
      <c r="Q45" s="128">
        <f>'total COMUNE'!Q45+totalORASE!Q45+'total MUNICIPII'!Q45+totalCJ!Q45</f>
        <v>357614538</v>
      </c>
      <c r="R45" s="128">
        <f>'total COMUNE'!R45+totalORASE!R45+'total MUNICIPII'!R45+totalCJ!R45</f>
        <v>20942312</v>
      </c>
      <c r="S45" s="128">
        <f>'total COMUNE'!S45+totalORASE!S45+'total MUNICIPII'!S45+totalCJ!S45</f>
        <v>64539495</v>
      </c>
      <c r="T45" s="128">
        <f>'total COMUNE'!T45+totalORASE!T45+'total MUNICIPII'!T45+totalCJ!T45</f>
        <v>291020735</v>
      </c>
      <c r="U45" s="128">
        <f>'total COMUNE'!U45+totalORASE!U45+'total MUNICIPII'!U45+totalCJ!U45</f>
        <v>17387910</v>
      </c>
      <c r="V45" s="128">
        <f>'total COMUNE'!V45+totalORASE!V45+'total MUNICIPII'!V45+totalCJ!V45</f>
        <v>413226823</v>
      </c>
      <c r="W45" s="128">
        <f>'total COMUNE'!W45+totalORASE!W45+'total MUNICIPII'!W45+totalCJ!W45</f>
        <v>71019680</v>
      </c>
      <c r="X45" s="128">
        <f>'total COMUNE'!X45+totalORASE!X45+'total MUNICIPII'!X45+totalCJ!X45</f>
        <v>15581068</v>
      </c>
      <c r="Y45" s="128">
        <f>'total COMUNE'!Y45+totalORASE!Y45+'total MUNICIPII'!Y45+totalCJ!Y45</f>
        <v>259043039</v>
      </c>
      <c r="Z45" s="128">
        <f>'total COMUNE'!Z45+totalORASE!Z45+'total MUNICIPII'!Z45+totalCJ!Z45</f>
        <v>66211613</v>
      </c>
      <c r="AA45" s="128">
        <f>'total COMUNE'!AA45+totalORASE!AA45+'total MUNICIPII'!AA45+totalCJ!AA45</f>
        <v>-14512616</v>
      </c>
      <c r="AB45" s="128">
        <f>'total COMUNE'!AB45+totalORASE!AB45+'total MUNICIPII'!AB45+totalCJ!AB45</f>
        <v>276295539</v>
      </c>
      <c r="AC45" s="128">
        <f>'total COMUNE'!AC45+totalORASE!AC45+'total MUNICIPII'!AC45+totalCJ!AC45</f>
        <v>30838048</v>
      </c>
      <c r="AD45" s="128">
        <f>'total COMUNE'!AD45+totalORASE!AD45+'total MUNICIPII'!AD45+totalCJ!AD45</f>
        <v>469309098</v>
      </c>
      <c r="AE45" s="128">
        <f>'total COMUNE'!AE45+totalORASE!AE45+'total MUNICIPII'!AE45+totalCJ!AE45</f>
        <v>44831092</v>
      </c>
      <c r="AF45" s="128">
        <f>'total COMUNE'!AF45+totalORASE!AF45+'total MUNICIPII'!AF45+totalCJ!AF45</f>
        <v>167360840</v>
      </c>
      <c r="AG45" s="128">
        <f>'total COMUNE'!AG45+totalORASE!AG45+'total MUNICIPII'!AG45+totalCJ!AG45</f>
        <v>308927216</v>
      </c>
      <c r="AH45" s="128">
        <f>'total COMUNE'!AH45+totalORASE!AH45+'total MUNICIPII'!AH45+totalCJ!AH45</f>
        <v>201633655</v>
      </c>
      <c r="AI45" s="128">
        <f>'total COMUNE'!AI45+totalORASE!AI45+'total MUNICIPII'!AI45+totalCJ!AI45</f>
        <v>144678067</v>
      </c>
      <c r="AJ45" s="128">
        <f>'total COMUNE'!AJ45+totalORASE!AJ45+'total MUNICIPII'!AJ45+totalCJ!AJ45</f>
        <v>1016347</v>
      </c>
      <c r="AK45" s="128">
        <f>'total COMUNE'!AK45+totalORASE!AK45+'total MUNICIPII'!AK45+totalCJ!AK45</f>
        <v>419540411</v>
      </c>
      <c r="AL45" s="128">
        <f>'total COMUNE'!AL45+totalORASE!AL45+'total MUNICIPII'!AL45+totalCJ!AL45</f>
        <v>21204550</v>
      </c>
      <c r="AM45" s="129"/>
    </row>
    <row r="46" spans="1:39" s="130" customFormat="1" ht="25.5" customHeight="1" x14ac:dyDescent="0.2">
      <c r="A46" s="134">
        <v>32</v>
      </c>
      <c r="B46" s="132" t="s">
        <v>930</v>
      </c>
      <c r="C46" s="128">
        <f>'total COMUNE'!C46+totalORASE!C46+'total MUNICIPII'!C46+totalCJ!C46</f>
        <v>1016360803</v>
      </c>
      <c r="D46" s="128">
        <f>'total COMUNE'!D46+totalORASE!D46+'total MUNICIPII'!D46+totalCJ!D46</f>
        <v>343847258</v>
      </c>
      <c r="E46" s="128">
        <f>'total COMUNE'!E46+totalORASE!E46+'total MUNICIPII'!E46+totalCJ!E46</f>
        <v>156338279</v>
      </c>
      <c r="F46" s="128">
        <f>'total COMUNE'!F46+totalORASE!F46+'total MUNICIPII'!F46+totalCJ!F46</f>
        <v>54570915</v>
      </c>
      <c r="G46" s="128">
        <f>'total COMUNE'!G46+totalORASE!G46+'total MUNICIPII'!G46+totalCJ!G46</f>
        <v>42735491</v>
      </c>
      <c r="H46" s="128">
        <f>'total COMUNE'!H46+totalORASE!H46+'total MUNICIPII'!H46+totalCJ!H46</f>
        <v>266418336</v>
      </c>
      <c r="I46" s="128">
        <f>'total COMUNE'!I46+totalORASE!I46+'total MUNICIPII'!I46+totalCJ!I46</f>
        <v>19095000</v>
      </c>
      <c r="J46" s="128">
        <f>'total COMUNE'!J46+totalORASE!J46+'total MUNICIPII'!J46+totalCJ!J46</f>
        <v>92953120</v>
      </c>
      <c r="K46" s="128">
        <f>'total COMUNE'!K46+totalORASE!K46+'total MUNICIPII'!K46+totalCJ!K46</f>
        <v>0</v>
      </c>
      <c r="L46" s="128">
        <f>'total COMUNE'!L46+totalORASE!L46+'total MUNICIPII'!L46+totalCJ!L46</f>
        <v>139785754</v>
      </c>
      <c r="M46" s="128">
        <f>'total COMUNE'!M46+totalORASE!M46+'total MUNICIPII'!M46+totalCJ!M46</f>
        <v>103768596</v>
      </c>
      <c r="N46" s="128">
        <f>'total COMUNE'!N46+totalORASE!N46+'total MUNICIPII'!N46+totalCJ!N46</f>
        <v>7757248</v>
      </c>
      <c r="O46" s="128">
        <f>'total COMUNE'!O46+totalORASE!O46+'total MUNICIPII'!O46+totalCJ!O46</f>
        <v>971866159</v>
      </c>
      <c r="P46" s="128">
        <f>'total COMUNE'!P46+totalORASE!P46+'total MUNICIPII'!P46+totalCJ!P46</f>
        <v>349550385</v>
      </c>
      <c r="Q46" s="128">
        <f>'total COMUNE'!Q46+totalORASE!Q46+'total MUNICIPII'!Q46+totalCJ!Q46</f>
        <v>190648968</v>
      </c>
      <c r="R46" s="128">
        <f>'total COMUNE'!R46+totalORASE!R46+'total MUNICIPII'!R46+totalCJ!R46</f>
        <v>8305542</v>
      </c>
      <c r="S46" s="128">
        <f>'total COMUNE'!S46+totalORASE!S46+'total MUNICIPII'!S46+totalCJ!S46</f>
        <v>12610000</v>
      </c>
      <c r="T46" s="128">
        <f>'total COMUNE'!T46+totalORASE!T46+'total MUNICIPII'!T46+totalCJ!T46</f>
        <v>46620868</v>
      </c>
      <c r="U46" s="128">
        <f>'total COMUNE'!U46+totalORASE!U46+'total MUNICIPII'!U46+totalCJ!U46</f>
        <v>1888701</v>
      </c>
      <c r="V46" s="128">
        <f>'total COMUNE'!V46+totalORASE!V46+'total MUNICIPII'!V46+totalCJ!V46</f>
        <v>98161389</v>
      </c>
      <c r="W46" s="128">
        <f>'total COMUNE'!W46+totalORASE!W46+'total MUNICIPII'!W46+totalCJ!W46</f>
        <v>75738253</v>
      </c>
      <c r="X46" s="128">
        <f>'total COMUNE'!X46+totalORASE!X46+'total MUNICIPII'!X46+totalCJ!X46</f>
        <v>18107041</v>
      </c>
      <c r="Y46" s="128">
        <f>'total COMUNE'!Y46+totalORASE!Y46+'total MUNICIPII'!Y46+totalCJ!Y46</f>
        <v>110501704</v>
      </c>
      <c r="Z46" s="128">
        <f>'total COMUNE'!Z46+totalORASE!Z46+'total MUNICIPII'!Z46+totalCJ!Z46</f>
        <v>62162929</v>
      </c>
      <c r="AA46" s="128">
        <f>'total COMUNE'!AA46+totalORASE!AA46+'total MUNICIPII'!AA46+totalCJ!AA46</f>
        <v>-2429621</v>
      </c>
      <c r="AB46" s="128">
        <f>'total COMUNE'!AB46+totalORASE!AB46+'total MUNICIPII'!AB46+totalCJ!AB46</f>
        <v>126373019</v>
      </c>
      <c r="AC46" s="128">
        <f>'total COMUNE'!AC46+totalORASE!AC46+'total MUNICIPII'!AC46+totalCJ!AC46</f>
        <v>11849733</v>
      </c>
      <c r="AD46" s="128">
        <f>'total COMUNE'!AD46+totalORASE!AD46+'total MUNICIPII'!AD46+totalCJ!AD46</f>
        <v>275741336</v>
      </c>
      <c r="AE46" s="128">
        <f>'total COMUNE'!AE46+totalORASE!AE46+'total MUNICIPII'!AE46+totalCJ!AE46</f>
        <v>31186875</v>
      </c>
      <c r="AF46" s="128">
        <f>'total COMUNE'!AF46+totalORASE!AF46+'total MUNICIPII'!AF46+totalCJ!AF46</f>
        <v>87228851</v>
      </c>
      <c r="AG46" s="128">
        <f>'total COMUNE'!AG46+totalORASE!AG46+'total MUNICIPII'!AG46+totalCJ!AG46</f>
        <v>134705473</v>
      </c>
      <c r="AH46" s="128">
        <f>'total COMUNE'!AH46+totalORASE!AH46+'total MUNICIPII'!AH46+totalCJ!AH46</f>
        <v>70214514</v>
      </c>
      <c r="AI46" s="128">
        <f>'total COMUNE'!AI46+totalORASE!AI46+'total MUNICIPII'!AI46+totalCJ!AI46</f>
        <v>44154050</v>
      </c>
      <c r="AJ46" s="128">
        <f>'total COMUNE'!AJ46+totalORASE!AJ46+'total MUNICIPII'!AJ46+totalCJ!AJ46</f>
        <v>0</v>
      </c>
      <c r="AK46" s="128">
        <f>'total COMUNE'!AK46+totalORASE!AK46+'total MUNICIPII'!AK46+totalCJ!AK46</f>
        <v>173602414</v>
      </c>
      <c r="AL46" s="128">
        <f>'total COMUNE'!AL46+totalORASE!AL46+'total MUNICIPII'!AL46+totalCJ!AL46</f>
        <v>16809894</v>
      </c>
      <c r="AM46" s="129"/>
    </row>
    <row r="47" spans="1:39" s="130" customFormat="1" ht="25.5" customHeight="1" x14ac:dyDescent="0.2">
      <c r="A47" s="134">
        <v>33</v>
      </c>
      <c r="B47" s="132" t="s">
        <v>931</v>
      </c>
      <c r="C47" s="128">
        <f>'total COMUNE'!C47+totalORASE!C47+'total MUNICIPII'!C47+totalCJ!C47</f>
        <v>848644062</v>
      </c>
      <c r="D47" s="128">
        <f>'total COMUNE'!D47+totalORASE!D47+'total MUNICIPII'!D47+totalCJ!D47</f>
        <v>200427261</v>
      </c>
      <c r="E47" s="128">
        <f>'total COMUNE'!E47+totalORASE!E47+'total MUNICIPII'!E47+totalCJ!E47</f>
        <v>85336167</v>
      </c>
      <c r="F47" s="128">
        <f>'total COMUNE'!F47+totalORASE!F47+'total MUNICIPII'!F47+totalCJ!F47</f>
        <v>29787159</v>
      </c>
      <c r="G47" s="128">
        <f>'total COMUNE'!G47+totalORASE!G47+'total MUNICIPII'!G47+totalCJ!G47</f>
        <v>38883994</v>
      </c>
      <c r="H47" s="128">
        <f>'total COMUNE'!H47+totalORASE!H47+'total MUNICIPII'!H47+totalCJ!H47</f>
        <v>198085409</v>
      </c>
      <c r="I47" s="128">
        <f>'total COMUNE'!I47+totalORASE!I47+'total MUNICIPII'!I47+totalCJ!I47</f>
        <v>18728447</v>
      </c>
      <c r="J47" s="128">
        <f>'total COMUNE'!J47+totalORASE!J47+'total MUNICIPII'!J47+totalCJ!J47</f>
        <v>105988332</v>
      </c>
      <c r="K47" s="128">
        <f>'total COMUNE'!K47+totalORASE!K47+'total MUNICIPII'!K47+totalCJ!K47</f>
        <v>0</v>
      </c>
      <c r="L47" s="128">
        <f>'total COMUNE'!L47+totalORASE!L47+'total MUNICIPII'!L47+totalCJ!L47</f>
        <v>141837349</v>
      </c>
      <c r="M47" s="128">
        <f>'total COMUNE'!M47+totalORASE!M47+'total MUNICIPII'!M47+totalCJ!M47</f>
        <v>136078644</v>
      </c>
      <c r="N47" s="128">
        <f>'total COMUNE'!N47+totalORASE!N47+'total MUNICIPII'!N47+totalCJ!N47</f>
        <v>8614626</v>
      </c>
      <c r="O47" s="128">
        <f>'total COMUNE'!O47+totalORASE!O47+'total MUNICIPII'!O47+totalCJ!O47</f>
        <v>767862487</v>
      </c>
      <c r="P47" s="128">
        <f>'total COMUNE'!P47+totalORASE!P47+'total MUNICIPII'!P47+totalCJ!P47</f>
        <v>242123578</v>
      </c>
      <c r="Q47" s="128">
        <f>'total COMUNE'!Q47+totalORASE!Q47+'total MUNICIPII'!Q47+totalCJ!Q47</f>
        <v>114670930</v>
      </c>
      <c r="R47" s="128">
        <f>'total COMUNE'!R47+totalORASE!R47+'total MUNICIPII'!R47+totalCJ!R47</f>
        <v>2314496</v>
      </c>
      <c r="S47" s="128">
        <f>'total COMUNE'!S47+totalORASE!S47+'total MUNICIPII'!S47+totalCJ!S47</f>
        <v>4518277</v>
      </c>
      <c r="T47" s="128">
        <f>'total COMUNE'!T47+totalORASE!T47+'total MUNICIPII'!T47+totalCJ!T47</f>
        <v>14570522</v>
      </c>
      <c r="U47" s="128">
        <f>'total COMUNE'!U47+totalORASE!U47+'total MUNICIPII'!U47+totalCJ!U47</f>
        <v>1580372</v>
      </c>
      <c r="V47" s="128">
        <f>'total COMUNE'!V47+totalORASE!V47+'total MUNICIPII'!V47+totalCJ!V47</f>
        <v>172368086</v>
      </c>
      <c r="W47" s="128">
        <f>'total COMUNE'!W47+totalORASE!W47+'total MUNICIPII'!W47+totalCJ!W47</f>
        <v>69220603</v>
      </c>
      <c r="X47" s="128">
        <f>'total COMUNE'!X47+totalORASE!X47+'total MUNICIPII'!X47+totalCJ!X47</f>
        <v>16152348</v>
      </c>
      <c r="Y47" s="128">
        <f>'total COMUNE'!Y47+totalORASE!Y47+'total MUNICIPII'!Y47+totalCJ!Y47</f>
        <v>113559082</v>
      </c>
      <c r="Z47" s="128">
        <f>'total COMUNE'!Z47+totalORASE!Z47+'total MUNICIPII'!Z47+totalCJ!Z47</f>
        <v>19083847</v>
      </c>
      <c r="AA47" s="128">
        <f>'total COMUNE'!AA47+totalORASE!AA47+'total MUNICIPII'!AA47+totalCJ!AA47</f>
        <v>-2299654</v>
      </c>
      <c r="AB47" s="128">
        <f>'total COMUNE'!AB47+totalORASE!AB47+'total MUNICIPII'!AB47+totalCJ!AB47</f>
        <v>73623844</v>
      </c>
      <c r="AC47" s="128">
        <f>'total COMUNE'!AC47+totalORASE!AC47+'total MUNICIPII'!AC47+totalCJ!AC47</f>
        <v>6927626</v>
      </c>
      <c r="AD47" s="128">
        <f>'total COMUNE'!AD47+totalORASE!AD47+'total MUNICIPII'!AD47+totalCJ!AD47</f>
        <v>212002377</v>
      </c>
      <c r="AE47" s="128">
        <f>'total COMUNE'!AE47+totalORASE!AE47+'total MUNICIPII'!AE47+totalCJ!AE47</f>
        <v>10278197</v>
      </c>
      <c r="AF47" s="128">
        <f>'total COMUNE'!AF47+totalORASE!AF47+'total MUNICIPII'!AF47+totalCJ!AF47</f>
        <v>68187979</v>
      </c>
      <c r="AG47" s="128">
        <f>'total COMUNE'!AG47+totalORASE!AG47+'total MUNICIPII'!AG47+totalCJ!AG47</f>
        <v>114624699</v>
      </c>
      <c r="AH47" s="128">
        <f>'total COMUNE'!AH47+totalORASE!AH47+'total MUNICIPII'!AH47+totalCJ!AH47</f>
        <v>46676980</v>
      </c>
      <c r="AI47" s="128">
        <f>'total COMUNE'!AI47+totalORASE!AI47+'total MUNICIPII'!AI47+totalCJ!AI47</f>
        <v>48886069</v>
      </c>
      <c r="AJ47" s="128">
        <f>'total COMUNE'!AJ47+totalORASE!AJ47+'total MUNICIPII'!AJ47+totalCJ!AJ47</f>
        <v>0</v>
      </c>
      <c r="AK47" s="128">
        <f>'total COMUNE'!AK47+totalORASE!AK47+'total MUNICIPII'!AK47+totalCJ!AK47</f>
        <v>125053785</v>
      </c>
      <c r="AL47" s="128">
        <f>'total COMUNE'!AL47+totalORASE!AL47+'total MUNICIPII'!AL47+totalCJ!AL47</f>
        <v>61600931</v>
      </c>
      <c r="AM47" s="129"/>
    </row>
    <row r="48" spans="1:39" s="130" customFormat="1" ht="25.5" customHeight="1" x14ac:dyDescent="0.2">
      <c r="A48" s="134">
        <v>34</v>
      </c>
      <c r="B48" s="132" t="s">
        <v>932</v>
      </c>
      <c r="C48" s="128">
        <f>'total COMUNE'!C48+totalORASE!C48+'total MUNICIPII'!C48+totalCJ!C48</f>
        <v>1308765635</v>
      </c>
      <c r="D48" s="128">
        <f>'total COMUNE'!D48+totalORASE!D48+'total MUNICIPII'!D48+totalCJ!D48</f>
        <v>677348202</v>
      </c>
      <c r="E48" s="128">
        <f>'total COMUNE'!E48+totalORASE!E48+'total MUNICIPII'!E48+totalCJ!E48</f>
        <v>318078342</v>
      </c>
      <c r="F48" s="128">
        <f>'total COMUNE'!F48+totalORASE!F48+'total MUNICIPII'!F48+totalCJ!F48</f>
        <v>111027353</v>
      </c>
      <c r="G48" s="128">
        <f>'total COMUNE'!G48+totalORASE!G48+'total MUNICIPII'!G48+totalCJ!G48</f>
        <v>67423000</v>
      </c>
      <c r="H48" s="128">
        <f>'total COMUNE'!H48+totalORASE!H48+'total MUNICIPII'!H48+totalCJ!H48</f>
        <v>260356176</v>
      </c>
      <c r="I48" s="128">
        <f>'total COMUNE'!I48+totalORASE!I48+'total MUNICIPII'!I48+totalCJ!I48</f>
        <v>17305000</v>
      </c>
      <c r="J48" s="128">
        <f>'total COMUNE'!J48+totalORASE!J48+'total MUNICIPII'!J48+totalCJ!J48</f>
        <v>50104000</v>
      </c>
      <c r="K48" s="128">
        <f>'total COMUNE'!K48+totalORASE!K48+'total MUNICIPII'!K48+totalCJ!K48</f>
        <v>0</v>
      </c>
      <c r="L48" s="128">
        <f>'total COMUNE'!L48+totalORASE!L48+'total MUNICIPII'!L48+totalCJ!L48</f>
        <v>136878243</v>
      </c>
      <c r="M48" s="128">
        <f>'total COMUNE'!M48+totalORASE!M48+'total MUNICIPII'!M48+totalCJ!M48</f>
        <v>94427181</v>
      </c>
      <c r="N48" s="128">
        <f>'total COMUNE'!N48+totalORASE!N48+'total MUNICIPII'!N48+totalCJ!N48</f>
        <v>4923833</v>
      </c>
      <c r="O48" s="128">
        <f>'total COMUNE'!O48+totalORASE!O48+'total MUNICIPII'!O48+totalCJ!O48</f>
        <v>1187124821</v>
      </c>
      <c r="P48" s="128">
        <f>'total COMUNE'!P48+totalORASE!P48+'total MUNICIPII'!P48+totalCJ!P48</f>
        <v>324741358</v>
      </c>
      <c r="Q48" s="128">
        <f>'total COMUNE'!Q48+totalORASE!Q48+'total MUNICIPII'!Q48+totalCJ!Q48</f>
        <v>246337818</v>
      </c>
      <c r="R48" s="128">
        <f>'total COMUNE'!R48+totalORASE!R48+'total MUNICIPII'!R48+totalCJ!R48</f>
        <v>8397941</v>
      </c>
      <c r="S48" s="128">
        <f>'total COMUNE'!S48+totalORASE!S48+'total MUNICIPII'!S48+totalCJ!S48</f>
        <v>24119358</v>
      </c>
      <c r="T48" s="128">
        <f>'total COMUNE'!T48+totalORASE!T48+'total MUNICIPII'!T48+totalCJ!T48</f>
        <v>97690283</v>
      </c>
      <c r="U48" s="128">
        <f>'total COMUNE'!U48+totalORASE!U48+'total MUNICIPII'!U48+totalCJ!U48</f>
        <v>9080803</v>
      </c>
      <c r="V48" s="128">
        <f>'total COMUNE'!V48+totalORASE!V48+'total MUNICIPII'!V48+totalCJ!V48</f>
        <v>150978233</v>
      </c>
      <c r="W48" s="128">
        <f>'total COMUNE'!W48+totalORASE!W48+'total MUNICIPII'!W48+totalCJ!W48</f>
        <v>91379746</v>
      </c>
      <c r="X48" s="128">
        <f>'total COMUNE'!X48+totalORASE!X48+'total MUNICIPII'!X48+totalCJ!X48</f>
        <v>16382319</v>
      </c>
      <c r="Y48" s="128">
        <f>'total COMUNE'!Y48+totalORASE!Y48+'total MUNICIPII'!Y48+totalCJ!Y48</f>
        <v>190654634</v>
      </c>
      <c r="Z48" s="128">
        <f>'total COMUNE'!Z48+totalORASE!Z48+'total MUNICIPII'!Z48+totalCJ!Z48</f>
        <v>37320637</v>
      </c>
      <c r="AA48" s="128">
        <f>'total COMUNE'!AA48+totalORASE!AA48+'total MUNICIPII'!AA48+totalCJ!AA48</f>
        <v>-9958309</v>
      </c>
      <c r="AB48" s="128">
        <f>'total COMUNE'!AB48+totalORASE!AB48+'total MUNICIPII'!AB48+totalCJ!AB48</f>
        <v>109533837</v>
      </c>
      <c r="AC48" s="128">
        <f>'total COMUNE'!AC48+totalORASE!AC48+'total MUNICIPII'!AC48+totalCJ!AC48</f>
        <v>18334735</v>
      </c>
      <c r="AD48" s="128">
        <f>'total COMUNE'!AD48+totalORASE!AD48+'total MUNICIPII'!AD48+totalCJ!AD48</f>
        <v>293050999</v>
      </c>
      <c r="AE48" s="128">
        <f>'total COMUNE'!AE48+totalORASE!AE48+'total MUNICIPII'!AE48+totalCJ!AE48</f>
        <v>20477444</v>
      </c>
      <c r="AF48" s="128">
        <f>'total COMUNE'!AF48+totalORASE!AF48+'total MUNICIPII'!AF48+totalCJ!AF48</f>
        <v>103410036</v>
      </c>
      <c r="AG48" s="128">
        <f>'total COMUNE'!AG48+totalORASE!AG48+'total MUNICIPII'!AG48+totalCJ!AG48</f>
        <v>161050533</v>
      </c>
      <c r="AH48" s="128">
        <f>'total COMUNE'!AH48+totalORASE!AH48+'total MUNICIPII'!AH48+totalCJ!AH48</f>
        <v>92352727</v>
      </c>
      <c r="AI48" s="128">
        <f>'total COMUNE'!AI48+totalORASE!AI48+'total MUNICIPII'!AI48+totalCJ!AI48</f>
        <v>65214283</v>
      </c>
      <c r="AJ48" s="128">
        <f>'total COMUNE'!AJ48+totalORASE!AJ48+'total MUNICIPII'!AJ48+totalCJ!AJ48</f>
        <v>367025</v>
      </c>
      <c r="AK48" s="128">
        <f>'total COMUNE'!AK48+totalORASE!AK48+'total MUNICIPII'!AK48+totalCJ!AK48</f>
        <v>305651538</v>
      </c>
      <c r="AL48" s="128">
        <f>'total COMUNE'!AL48+totalORASE!AL48+'total MUNICIPII'!AL48+totalCJ!AL48</f>
        <v>17681664</v>
      </c>
      <c r="AM48" s="129"/>
    </row>
    <row r="49" spans="1:39" s="130" customFormat="1" ht="25.5" customHeight="1" x14ac:dyDescent="0.2">
      <c r="A49" s="134">
        <v>35</v>
      </c>
      <c r="B49" s="132" t="s">
        <v>933</v>
      </c>
      <c r="C49" s="128">
        <f>'total COMUNE'!C49+totalORASE!C49+'total MUNICIPII'!C49+totalCJ!C49</f>
        <v>1737403345</v>
      </c>
      <c r="D49" s="128">
        <f>'total COMUNE'!D49+totalORASE!D49+'total MUNICIPII'!D49+totalCJ!D49</f>
        <v>498566548</v>
      </c>
      <c r="E49" s="128">
        <f>'total COMUNE'!E49+totalORASE!E49+'total MUNICIPII'!E49+totalCJ!E49</f>
        <v>191795682</v>
      </c>
      <c r="F49" s="128">
        <f>'total COMUNE'!F49+totalORASE!F49+'total MUNICIPII'!F49+totalCJ!F49</f>
        <v>66947561</v>
      </c>
      <c r="G49" s="128">
        <f>'total COMUNE'!G49+totalORASE!G49+'total MUNICIPII'!G49+totalCJ!G49</f>
        <v>111005308</v>
      </c>
      <c r="H49" s="128">
        <f>'total COMUNE'!H49+totalORASE!H49+'total MUNICIPII'!H49+totalCJ!H49</f>
        <v>489304750</v>
      </c>
      <c r="I49" s="128">
        <f>'total COMUNE'!I49+totalORASE!I49+'total MUNICIPII'!I49+totalCJ!I49</f>
        <v>21856000</v>
      </c>
      <c r="J49" s="128">
        <f>'total COMUNE'!J49+totalORASE!J49+'total MUNICIPII'!J49+totalCJ!J49</f>
        <v>197938471</v>
      </c>
      <c r="K49" s="128">
        <f>'total COMUNE'!K49+totalORASE!K49+'total MUNICIPII'!K49+totalCJ!K49</f>
        <v>0</v>
      </c>
      <c r="L49" s="128">
        <f>'total COMUNE'!L49+totalORASE!L49+'total MUNICIPII'!L49+totalCJ!L49</f>
        <v>252763771</v>
      </c>
      <c r="M49" s="128">
        <f>'total COMUNE'!M49+totalORASE!M49+'total MUNICIPII'!M49+totalCJ!M49</f>
        <v>147389944</v>
      </c>
      <c r="N49" s="128">
        <f>'total COMUNE'!N49+totalORASE!N49+'total MUNICIPII'!N49+totalCJ!N49</f>
        <v>18578553</v>
      </c>
      <c r="O49" s="128">
        <f>'total COMUNE'!O49+totalORASE!O49+'total MUNICIPII'!O49+totalCJ!O49</f>
        <v>1709447429</v>
      </c>
      <c r="P49" s="128">
        <f>'total COMUNE'!P49+totalORASE!P49+'total MUNICIPII'!P49+totalCJ!P49</f>
        <v>609614630</v>
      </c>
      <c r="Q49" s="128">
        <f>'total COMUNE'!Q49+totalORASE!Q49+'total MUNICIPII'!Q49+totalCJ!Q49</f>
        <v>281245656</v>
      </c>
      <c r="R49" s="128">
        <f>'total COMUNE'!R49+totalORASE!R49+'total MUNICIPII'!R49+totalCJ!R49</f>
        <v>18950298</v>
      </c>
      <c r="S49" s="128">
        <f>'total COMUNE'!S49+totalORASE!S49+'total MUNICIPII'!S49+totalCJ!S49</f>
        <v>19084252</v>
      </c>
      <c r="T49" s="128">
        <f>'total COMUNE'!T49+totalORASE!T49+'total MUNICIPII'!T49+totalCJ!T49</f>
        <v>78865969</v>
      </c>
      <c r="U49" s="128">
        <f>'total COMUNE'!U49+totalORASE!U49+'total MUNICIPII'!U49+totalCJ!U49</f>
        <v>17063169</v>
      </c>
      <c r="V49" s="128">
        <f>'total COMUNE'!V49+totalORASE!V49+'total MUNICIPII'!V49+totalCJ!V49</f>
        <v>234319875</v>
      </c>
      <c r="W49" s="128">
        <f>'total COMUNE'!W49+totalORASE!W49+'total MUNICIPII'!W49+totalCJ!W49</f>
        <v>145462472</v>
      </c>
      <c r="X49" s="128">
        <f>'total COMUNE'!X49+totalORASE!X49+'total MUNICIPII'!X49+totalCJ!X49</f>
        <v>20505073</v>
      </c>
      <c r="Y49" s="128">
        <f>'total COMUNE'!Y49+totalORASE!Y49+'total MUNICIPII'!Y49+totalCJ!Y49</f>
        <v>231635814</v>
      </c>
      <c r="Z49" s="128">
        <f>'total COMUNE'!Z49+totalORASE!Z49+'total MUNICIPII'!Z49+totalCJ!Z49</f>
        <v>54697567</v>
      </c>
      <c r="AA49" s="128">
        <f>'total COMUNE'!AA49+totalORASE!AA49+'total MUNICIPII'!AA49+totalCJ!AA49</f>
        <v>-1997346</v>
      </c>
      <c r="AB49" s="128">
        <f>'total COMUNE'!AB49+totalORASE!AB49+'total MUNICIPII'!AB49+totalCJ!AB49</f>
        <v>193773464</v>
      </c>
      <c r="AC49" s="128">
        <f>'total COMUNE'!AC49+totalORASE!AC49+'total MUNICIPII'!AC49+totalCJ!AC49</f>
        <v>14114421</v>
      </c>
      <c r="AD49" s="128">
        <f>'total COMUNE'!AD49+totalORASE!AD49+'total MUNICIPII'!AD49+totalCJ!AD49</f>
        <v>558720056</v>
      </c>
      <c r="AE49" s="128">
        <f>'total COMUNE'!AE49+totalORASE!AE49+'total MUNICIPII'!AE49+totalCJ!AE49</f>
        <v>22841833</v>
      </c>
      <c r="AF49" s="128">
        <f>'total COMUNE'!AF49+totalORASE!AF49+'total MUNICIPII'!AF49+totalCJ!AF49</f>
        <v>102837815</v>
      </c>
      <c r="AG49" s="128">
        <f>'total COMUNE'!AG49+totalORASE!AG49+'total MUNICIPII'!AG49+totalCJ!AG49</f>
        <v>235334047</v>
      </c>
      <c r="AH49" s="128">
        <f>'total COMUNE'!AH49+totalORASE!AH49+'total MUNICIPII'!AH49+totalCJ!AH49</f>
        <v>123195404</v>
      </c>
      <c r="AI49" s="128">
        <f>'total COMUNE'!AI49+totalORASE!AI49+'total MUNICIPII'!AI49+totalCJ!AI49</f>
        <v>130564720</v>
      </c>
      <c r="AJ49" s="128">
        <f>'total COMUNE'!AJ49+totalORASE!AJ49+'total MUNICIPII'!AJ49+totalCJ!AJ49</f>
        <v>31257323</v>
      </c>
      <c r="AK49" s="128">
        <f>'total COMUNE'!AK49+totalORASE!AK49+'total MUNICIPII'!AK49+totalCJ!AK49</f>
        <v>278252718</v>
      </c>
      <c r="AL49" s="128">
        <f>'total COMUNE'!AL49+totalORASE!AL49+'total MUNICIPII'!AL49+totalCJ!AL49</f>
        <v>18555628</v>
      </c>
      <c r="AM49" s="129"/>
    </row>
    <row r="50" spans="1:39" s="130" customFormat="1" ht="25.5" customHeight="1" x14ac:dyDescent="0.2">
      <c r="A50" s="134">
        <v>36</v>
      </c>
      <c r="B50" s="132" t="s">
        <v>934</v>
      </c>
      <c r="C50" s="128">
        <f>'total COMUNE'!C50+totalORASE!C50+'total MUNICIPII'!C50+totalCJ!C50</f>
        <v>871226251</v>
      </c>
      <c r="D50" s="128">
        <f>'total COMUNE'!D50+totalORASE!D50+'total MUNICIPII'!D50+totalCJ!D50</f>
        <v>234943840</v>
      </c>
      <c r="E50" s="128">
        <f>'total COMUNE'!E50+totalORASE!E50+'total MUNICIPII'!E50+totalCJ!E50</f>
        <v>103802653</v>
      </c>
      <c r="F50" s="128">
        <f>'total COMUNE'!F50+totalORASE!F50+'total MUNICIPII'!F50+totalCJ!F50</f>
        <v>36229760</v>
      </c>
      <c r="G50" s="128">
        <f>'total COMUNE'!G50+totalORASE!G50+'total MUNICIPII'!G50+totalCJ!G50</f>
        <v>32933971</v>
      </c>
      <c r="H50" s="128">
        <f>'total COMUNE'!H50+totalORASE!H50+'total MUNICIPII'!H50+totalCJ!H50</f>
        <v>220858814</v>
      </c>
      <c r="I50" s="128">
        <f>'total COMUNE'!I50+totalORASE!I50+'total MUNICIPII'!I50+totalCJ!I50</f>
        <v>19885000</v>
      </c>
      <c r="J50" s="128">
        <f>'total COMUNE'!J50+totalORASE!J50+'total MUNICIPII'!J50+totalCJ!J50</f>
        <v>165302800</v>
      </c>
      <c r="K50" s="128">
        <f>'total COMUNE'!K50+totalORASE!K50+'total MUNICIPII'!K50+totalCJ!K50</f>
        <v>0</v>
      </c>
      <c r="L50" s="128">
        <f>'total COMUNE'!L50+totalORASE!L50+'total MUNICIPII'!L50+totalCJ!L50</f>
        <v>111873336</v>
      </c>
      <c r="M50" s="128">
        <f>'total COMUNE'!M50+totalORASE!M50+'total MUNICIPII'!M50+totalCJ!M50</f>
        <v>78334894</v>
      </c>
      <c r="N50" s="128">
        <f>'total COMUNE'!N50+totalORASE!N50+'total MUNICIPII'!N50+totalCJ!N50</f>
        <v>7093596</v>
      </c>
      <c r="O50" s="128">
        <f>'total COMUNE'!O50+totalORASE!O50+'total MUNICIPII'!O50+totalCJ!O50</f>
        <v>837517014</v>
      </c>
      <c r="P50" s="128">
        <f>'total COMUNE'!P50+totalORASE!P50+'total MUNICIPII'!P50+totalCJ!P50</f>
        <v>296564468</v>
      </c>
      <c r="Q50" s="128">
        <f>'total COMUNE'!Q50+totalORASE!Q50+'total MUNICIPII'!Q50+totalCJ!Q50</f>
        <v>191222773</v>
      </c>
      <c r="R50" s="128">
        <f>'total COMUNE'!R50+totalORASE!R50+'total MUNICIPII'!R50+totalCJ!R50</f>
        <v>3171304</v>
      </c>
      <c r="S50" s="128">
        <f>'total COMUNE'!S50+totalORASE!S50+'total MUNICIPII'!S50+totalCJ!S50</f>
        <v>679513</v>
      </c>
      <c r="T50" s="128">
        <f>'total COMUNE'!T50+totalORASE!T50+'total MUNICIPII'!T50+totalCJ!T50</f>
        <v>61097911</v>
      </c>
      <c r="U50" s="128">
        <f>'total COMUNE'!U50+totalORASE!U50+'total MUNICIPII'!U50+totalCJ!U50</f>
        <v>2951815</v>
      </c>
      <c r="V50" s="128">
        <f>'total COMUNE'!V50+totalORASE!V50+'total MUNICIPII'!V50+totalCJ!V50</f>
        <v>117446075</v>
      </c>
      <c r="W50" s="128">
        <f>'total COMUNE'!W50+totalORASE!W50+'total MUNICIPII'!W50+totalCJ!W50</f>
        <v>31738934</v>
      </c>
      <c r="X50" s="128">
        <f>'total COMUNE'!X50+totalORASE!X50+'total MUNICIPII'!X50+totalCJ!X50</f>
        <v>9522124</v>
      </c>
      <c r="Y50" s="128">
        <f>'total COMUNE'!Y50+totalORASE!Y50+'total MUNICIPII'!Y50+totalCJ!Y50</f>
        <v>109514743</v>
      </c>
      <c r="Z50" s="128">
        <f>'total COMUNE'!Z50+totalORASE!Z50+'total MUNICIPII'!Z50+totalCJ!Z50</f>
        <v>14292893</v>
      </c>
      <c r="AA50" s="128">
        <f>'total COMUNE'!AA50+totalORASE!AA50+'total MUNICIPII'!AA50+totalCJ!AA50</f>
        <v>-685539</v>
      </c>
      <c r="AB50" s="128">
        <f>'total COMUNE'!AB50+totalORASE!AB50+'total MUNICIPII'!AB50+totalCJ!AB50</f>
        <v>120093800</v>
      </c>
      <c r="AC50" s="128">
        <f>'total COMUNE'!AC50+totalORASE!AC50+'total MUNICIPII'!AC50+totalCJ!AC50</f>
        <v>10898138</v>
      </c>
      <c r="AD50" s="128">
        <f>'total COMUNE'!AD50+totalORASE!AD50+'total MUNICIPII'!AD50+totalCJ!AD50</f>
        <v>230466179</v>
      </c>
      <c r="AE50" s="128">
        <f>'total COMUNE'!AE50+totalORASE!AE50+'total MUNICIPII'!AE50+totalCJ!AE50</f>
        <v>11097941</v>
      </c>
      <c r="AF50" s="128">
        <f>'total COMUNE'!AF50+totalORASE!AF50+'total MUNICIPII'!AF50+totalCJ!AF50</f>
        <v>33420721</v>
      </c>
      <c r="AG50" s="128">
        <f>'total COMUNE'!AG50+totalORASE!AG50+'total MUNICIPII'!AG50+totalCJ!AG50</f>
        <v>115728808</v>
      </c>
      <c r="AH50" s="128">
        <f>'total COMUNE'!AH50+totalORASE!AH50+'total MUNICIPII'!AH50+totalCJ!AH50</f>
        <v>88256946</v>
      </c>
      <c r="AI50" s="128">
        <f>'total COMUNE'!AI50+totalORASE!AI50+'total MUNICIPII'!AI50+totalCJ!AI50</f>
        <v>27709387</v>
      </c>
      <c r="AJ50" s="128">
        <f>'total COMUNE'!AJ50+totalORASE!AJ50+'total MUNICIPII'!AJ50+totalCJ!AJ50</f>
        <v>0</v>
      </c>
      <c r="AK50" s="128">
        <f>'total COMUNE'!AK50+totalORASE!AK50+'total MUNICIPII'!AK50+totalCJ!AK50</f>
        <v>118671824</v>
      </c>
      <c r="AL50" s="128">
        <f>'total COMUNE'!AL50+totalORASE!AL50+'total MUNICIPII'!AL50+totalCJ!AL50</f>
        <v>81173270</v>
      </c>
      <c r="AM50" s="129"/>
    </row>
    <row r="51" spans="1:39" s="130" customFormat="1" ht="25.5" customHeight="1" x14ac:dyDescent="0.2">
      <c r="A51" s="134">
        <v>37</v>
      </c>
      <c r="B51" s="132" t="s">
        <v>935</v>
      </c>
      <c r="C51" s="128">
        <f>'total COMUNE'!C51+totalORASE!C51+'total MUNICIPII'!C51+totalCJ!C51</f>
        <v>2234984333</v>
      </c>
      <c r="D51" s="128">
        <f>'total COMUNE'!D51+totalORASE!D51+'total MUNICIPII'!D51+totalCJ!D51</f>
        <v>1161020162</v>
      </c>
      <c r="E51" s="128">
        <f>'total COMUNE'!E51+totalORASE!E51+'total MUNICIPII'!E51+totalCJ!E51</f>
        <v>564290910</v>
      </c>
      <c r="F51" s="128">
        <f>'total COMUNE'!F51+totalORASE!F51+'total MUNICIPII'!F51+totalCJ!F51</f>
        <v>196979603</v>
      </c>
      <c r="G51" s="128">
        <f>'total COMUNE'!G51+totalORASE!G51+'total MUNICIPII'!G51+totalCJ!G51</f>
        <v>99777846</v>
      </c>
      <c r="H51" s="128">
        <f>'total COMUNE'!H51+totalORASE!H51+'total MUNICIPII'!H51+totalCJ!H51</f>
        <v>430716014</v>
      </c>
      <c r="I51" s="128">
        <f>'total COMUNE'!I51+totalORASE!I51+'total MUNICIPII'!I51+totalCJ!I51</f>
        <v>19001244</v>
      </c>
      <c r="J51" s="128">
        <f>'total COMUNE'!J51+totalORASE!J51+'total MUNICIPII'!J51+totalCJ!J51</f>
        <v>87248497</v>
      </c>
      <c r="K51" s="128">
        <f>'total COMUNE'!K51+totalORASE!K51+'total MUNICIPII'!K51+totalCJ!K51</f>
        <v>0</v>
      </c>
      <c r="L51" s="128">
        <f>'total COMUNE'!L51+totalORASE!L51+'total MUNICIPII'!L51+totalCJ!L51</f>
        <v>278318312</v>
      </c>
      <c r="M51" s="128">
        <f>'total COMUNE'!M51+totalORASE!M51+'total MUNICIPII'!M51+totalCJ!M51</f>
        <v>155550729</v>
      </c>
      <c r="N51" s="128">
        <f>'total COMUNE'!N51+totalORASE!N51+'total MUNICIPII'!N51+totalCJ!N51</f>
        <v>3351529</v>
      </c>
      <c r="O51" s="128">
        <f>'total COMUNE'!O51+totalORASE!O51+'total MUNICIPII'!O51+totalCJ!O51</f>
        <v>2128345535</v>
      </c>
      <c r="P51" s="128">
        <f>'total COMUNE'!P51+totalORASE!P51+'total MUNICIPII'!P51+totalCJ!P51</f>
        <v>599733615</v>
      </c>
      <c r="Q51" s="128">
        <f>'total COMUNE'!Q51+totalORASE!Q51+'total MUNICIPII'!Q51+totalCJ!Q51</f>
        <v>559418486</v>
      </c>
      <c r="R51" s="128">
        <f>'total COMUNE'!R51+totalORASE!R51+'total MUNICIPII'!R51+totalCJ!R51</f>
        <v>18612691</v>
      </c>
      <c r="S51" s="128">
        <f>'total COMUNE'!S51+totalORASE!S51+'total MUNICIPII'!S51+totalCJ!S51</f>
        <v>119420688</v>
      </c>
      <c r="T51" s="128">
        <f>'total COMUNE'!T51+totalORASE!T51+'total MUNICIPII'!T51+totalCJ!T51</f>
        <v>126913211</v>
      </c>
      <c r="U51" s="128">
        <f>'total COMUNE'!U51+totalORASE!U51+'total MUNICIPII'!U51+totalCJ!U51</f>
        <v>3155840</v>
      </c>
      <c r="V51" s="128">
        <f>'total COMUNE'!V51+totalORASE!V51+'total MUNICIPII'!V51+totalCJ!V51</f>
        <v>217269891</v>
      </c>
      <c r="W51" s="128">
        <f>'total COMUNE'!W51+totalORASE!W51+'total MUNICIPII'!W51+totalCJ!W51</f>
        <v>60733932</v>
      </c>
      <c r="X51" s="128">
        <f>'total COMUNE'!X51+totalORASE!X51+'total MUNICIPII'!X51+totalCJ!X51</f>
        <v>18698820</v>
      </c>
      <c r="Y51" s="128">
        <f>'total COMUNE'!Y51+totalORASE!Y51+'total MUNICIPII'!Y51+totalCJ!Y51</f>
        <v>369972074</v>
      </c>
      <c r="Z51" s="128">
        <f>'total COMUNE'!Z51+totalORASE!Z51+'total MUNICIPII'!Z51+totalCJ!Z51</f>
        <v>53991945</v>
      </c>
      <c r="AA51" s="128">
        <f>'total COMUNE'!AA51+totalORASE!AA51+'total MUNICIPII'!AA51+totalCJ!AA51</f>
        <v>-19575658</v>
      </c>
      <c r="AB51" s="128">
        <f>'total COMUNE'!AB51+totalORASE!AB51+'total MUNICIPII'!AB51+totalCJ!AB51</f>
        <v>228527801</v>
      </c>
      <c r="AC51" s="128">
        <f>'total COMUNE'!AC51+totalORASE!AC51+'total MUNICIPII'!AC51+totalCJ!AC51</f>
        <v>30017152</v>
      </c>
      <c r="AD51" s="128">
        <f>'total COMUNE'!AD51+totalORASE!AD51+'total MUNICIPII'!AD51+totalCJ!AD51</f>
        <v>516260746</v>
      </c>
      <c r="AE51" s="128">
        <f>'total COMUNE'!AE51+totalORASE!AE51+'total MUNICIPII'!AE51+totalCJ!AE51</f>
        <v>52169617</v>
      </c>
      <c r="AF51" s="128">
        <f>'total COMUNE'!AF51+totalORASE!AF51+'total MUNICIPII'!AF51+totalCJ!AF51</f>
        <v>187519832</v>
      </c>
      <c r="AG51" s="128">
        <f>'total COMUNE'!AG51+totalORASE!AG51+'total MUNICIPII'!AG51+totalCJ!AG51</f>
        <v>246612666</v>
      </c>
      <c r="AH51" s="128">
        <f>'total COMUNE'!AH51+totalORASE!AH51+'total MUNICIPII'!AH51+totalCJ!AH51</f>
        <v>216852265</v>
      </c>
      <c r="AI51" s="128">
        <f>'total COMUNE'!AI51+totalORASE!AI51+'total MUNICIPII'!AI51+totalCJ!AI51</f>
        <v>76352437</v>
      </c>
      <c r="AJ51" s="128">
        <f>'total COMUNE'!AJ51+totalORASE!AJ51+'total MUNICIPII'!AJ51+totalCJ!AJ51</f>
        <v>58190924</v>
      </c>
      <c r="AK51" s="128">
        <f>'total COMUNE'!AK51+totalORASE!AK51+'total MUNICIPII'!AK51+totalCJ!AK51</f>
        <v>509403170</v>
      </c>
      <c r="AL51" s="128">
        <f>'total COMUNE'!AL51+totalORASE!AL51+'total MUNICIPII'!AL51+totalCJ!AL51</f>
        <v>6438925</v>
      </c>
      <c r="AM51" s="129"/>
    </row>
    <row r="52" spans="1:39" s="130" customFormat="1" ht="25.5" customHeight="1" x14ac:dyDescent="0.2">
      <c r="A52" s="134">
        <v>38</v>
      </c>
      <c r="B52" s="132" t="s">
        <v>936</v>
      </c>
      <c r="C52" s="128">
        <f>'total COMUNE'!C52+totalORASE!C52+'total MUNICIPII'!C52+totalCJ!C52</f>
        <v>822290193</v>
      </c>
      <c r="D52" s="128">
        <f>'total COMUNE'!D52+totalORASE!D52+'total MUNICIPII'!D52+totalCJ!D52</f>
        <v>293260687</v>
      </c>
      <c r="E52" s="128">
        <f>'total COMUNE'!E52+totalORASE!E52+'total MUNICIPII'!E52+totalCJ!E52</f>
        <v>98923595</v>
      </c>
      <c r="F52" s="128">
        <f>'total COMUNE'!F52+totalORASE!F52+'total MUNICIPII'!F52+totalCJ!F52</f>
        <v>34553074</v>
      </c>
      <c r="G52" s="128">
        <f>'total COMUNE'!G52+totalORASE!G52+'total MUNICIPII'!G52+totalCJ!G52</f>
        <v>39229999</v>
      </c>
      <c r="H52" s="128">
        <f>'total COMUNE'!H52+totalORASE!H52+'total MUNICIPII'!H52+totalCJ!H52</f>
        <v>145907506</v>
      </c>
      <c r="I52" s="128">
        <f>'total COMUNE'!I52+totalORASE!I52+'total MUNICIPII'!I52+totalCJ!I52</f>
        <v>17389000</v>
      </c>
      <c r="J52" s="128">
        <f>'total COMUNE'!J52+totalORASE!J52+'total MUNICIPII'!J52+totalCJ!J52</f>
        <v>102505885</v>
      </c>
      <c r="K52" s="128">
        <f>'total COMUNE'!K52+totalORASE!K52+'total MUNICIPII'!K52+totalCJ!K52</f>
        <v>0</v>
      </c>
      <c r="L52" s="128">
        <f>'total COMUNE'!L52+totalORASE!L52+'total MUNICIPII'!L52+totalCJ!L52</f>
        <v>130439538</v>
      </c>
      <c r="M52" s="128">
        <f>'total COMUNE'!M52+totalORASE!M52+'total MUNICIPII'!M52+totalCJ!M52</f>
        <v>88620757</v>
      </c>
      <c r="N52" s="128">
        <f>'total COMUNE'!N52+totalORASE!N52+'total MUNICIPII'!N52+totalCJ!N52</f>
        <v>4936821</v>
      </c>
      <c r="O52" s="128">
        <f>'total COMUNE'!O52+totalORASE!O52+'total MUNICIPII'!O52+totalCJ!O52</f>
        <v>795341472</v>
      </c>
      <c r="P52" s="128">
        <f>'total COMUNE'!P52+totalORASE!P52+'total MUNICIPII'!P52+totalCJ!P52</f>
        <v>199329896</v>
      </c>
      <c r="Q52" s="128">
        <f>'total COMUNE'!Q52+totalORASE!Q52+'total MUNICIPII'!Q52+totalCJ!Q52</f>
        <v>153586316</v>
      </c>
      <c r="R52" s="128">
        <f>'total COMUNE'!R52+totalORASE!R52+'total MUNICIPII'!R52+totalCJ!R52</f>
        <v>1018595</v>
      </c>
      <c r="S52" s="128">
        <f>'total COMUNE'!S52+totalORASE!S52+'total MUNICIPII'!S52+totalCJ!S52</f>
        <v>21099363</v>
      </c>
      <c r="T52" s="128">
        <f>'total COMUNE'!T52+totalORASE!T52+'total MUNICIPII'!T52+totalCJ!T52</f>
        <v>33005525</v>
      </c>
      <c r="U52" s="128">
        <f>'total COMUNE'!U52+totalORASE!U52+'total MUNICIPII'!U52+totalCJ!U52</f>
        <v>12165421</v>
      </c>
      <c r="V52" s="128">
        <f>'total COMUNE'!V52+totalORASE!V52+'total MUNICIPII'!V52+totalCJ!V52</f>
        <v>190578371</v>
      </c>
      <c r="W52" s="128">
        <f>'total COMUNE'!W52+totalORASE!W52+'total MUNICIPII'!W52+totalCJ!W52</f>
        <v>51503427</v>
      </c>
      <c r="X52" s="128">
        <f>'total COMUNE'!X52+totalORASE!X52+'total MUNICIPII'!X52+totalCJ!X52</f>
        <v>8226108</v>
      </c>
      <c r="Y52" s="128">
        <f>'total COMUNE'!Y52+totalORASE!Y52+'total MUNICIPII'!Y52+totalCJ!Y52</f>
        <v>117715059</v>
      </c>
      <c r="Z52" s="128">
        <f>'total COMUNE'!Z52+totalORASE!Z52+'total MUNICIPII'!Z52+totalCJ!Z52</f>
        <v>8112484</v>
      </c>
      <c r="AA52" s="128">
        <f>'total COMUNE'!AA52+totalORASE!AA52+'total MUNICIPII'!AA52+totalCJ!AA52</f>
        <v>-999093</v>
      </c>
      <c r="AB52" s="128">
        <f>'total COMUNE'!AB52+totalORASE!AB52+'total MUNICIPII'!AB52+totalCJ!AB52</f>
        <v>83190341</v>
      </c>
      <c r="AC52" s="128">
        <f>'total COMUNE'!AC52+totalORASE!AC52+'total MUNICIPII'!AC52+totalCJ!AC52</f>
        <v>8469172</v>
      </c>
      <c r="AD52" s="128">
        <f>'total COMUNE'!AD52+totalORASE!AD52+'total MUNICIPII'!AD52+totalCJ!AD52</f>
        <v>164621180</v>
      </c>
      <c r="AE52" s="128">
        <f>'total COMUNE'!AE52+totalORASE!AE52+'total MUNICIPII'!AE52+totalCJ!AE52</f>
        <v>25280634</v>
      </c>
      <c r="AF52" s="128">
        <f>'total COMUNE'!AF52+totalORASE!AF52+'total MUNICIPII'!AF52+totalCJ!AF52</f>
        <v>45179071</v>
      </c>
      <c r="AG52" s="128">
        <f>'total COMUNE'!AG52+totalORASE!AG52+'total MUNICIPII'!AG52+totalCJ!AG52</f>
        <v>92247720</v>
      </c>
      <c r="AH52" s="128">
        <f>'total COMUNE'!AH52+totalORASE!AH52+'total MUNICIPII'!AH52+totalCJ!AH52</f>
        <v>125774240</v>
      </c>
      <c r="AI52" s="128">
        <f>'total COMUNE'!AI52+totalORASE!AI52+'total MUNICIPII'!AI52+totalCJ!AI52</f>
        <v>66168200</v>
      </c>
      <c r="AJ52" s="128">
        <f>'total COMUNE'!AJ52+totalORASE!AJ52+'total MUNICIPII'!AJ52+totalCJ!AJ52</f>
        <v>15693313</v>
      </c>
      <c r="AK52" s="128">
        <f>'total COMUNE'!AK52+totalORASE!AK52+'total MUNICIPII'!AK52+totalCJ!AK52</f>
        <v>139026336</v>
      </c>
      <c r="AL52" s="128">
        <f>'total COMUNE'!AL52+totalORASE!AL52+'total MUNICIPII'!AL52+totalCJ!AL52</f>
        <v>29691265</v>
      </c>
      <c r="AM52" s="129"/>
    </row>
    <row r="53" spans="1:39" s="130" customFormat="1" ht="25.5" customHeight="1" x14ac:dyDescent="0.2">
      <c r="A53" s="134">
        <v>39</v>
      </c>
      <c r="B53" s="132" t="s">
        <v>937</v>
      </c>
      <c r="C53" s="128">
        <f>'total COMUNE'!C53+totalORASE!C53+'total MUNICIPII'!C53+totalCJ!C53</f>
        <v>1045234170</v>
      </c>
      <c r="D53" s="128">
        <f>'total COMUNE'!D53+totalORASE!D53+'total MUNICIPII'!D53+totalCJ!D53</f>
        <v>235739869</v>
      </c>
      <c r="E53" s="128">
        <f>'total COMUNE'!E53+totalORASE!E53+'total MUNICIPII'!E53+totalCJ!E53</f>
        <v>98174856</v>
      </c>
      <c r="F53" s="128">
        <f>'total COMUNE'!F53+totalORASE!F53+'total MUNICIPII'!F53+totalCJ!F53</f>
        <v>34268469</v>
      </c>
      <c r="G53" s="128">
        <f>'total COMUNE'!G53+totalORASE!G53+'total MUNICIPII'!G53+totalCJ!G53</f>
        <v>75151954</v>
      </c>
      <c r="H53" s="128">
        <f>'total COMUNE'!H53+totalORASE!H53+'total MUNICIPII'!H53+totalCJ!H53</f>
        <v>294413899</v>
      </c>
      <c r="I53" s="128">
        <f>'total COMUNE'!I53+totalORASE!I53+'total MUNICIPII'!I53+totalCJ!I53</f>
        <v>22726000</v>
      </c>
      <c r="J53" s="128">
        <f>'total COMUNE'!J53+totalORASE!J53+'total MUNICIPII'!J53+totalCJ!J53</f>
        <v>166712290</v>
      </c>
      <c r="K53" s="128">
        <f>'total COMUNE'!K53+totalORASE!K53+'total MUNICIPII'!K53+totalCJ!K53</f>
        <v>0</v>
      </c>
      <c r="L53" s="128">
        <f>'total COMUNE'!L53+totalORASE!L53+'total MUNICIPII'!L53+totalCJ!L53</f>
        <v>163012449</v>
      </c>
      <c r="M53" s="128">
        <f>'total COMUNE'!M53+totalORASE!M53+'total MUNICIPII'!M53+totalCJ!M53</f>
        <v>75400214</v>
      </c>
      <c r="N53" s="128">
        <f>'total COMUNE'!N53+totalORASE!N53+'total MUNICIPII'!N53+totalCJ!N53</f>
        <v>12077495</v>
      </c>
      <c r="O53" s="128">
        <f>'total COMUNE'!O53+totalORASE!O53+'total MUNICIPII'!O53+totalCJ!O53</f>
        <v>1007546370</v>
      </c>
      <c r="P53" s="128">
        <f>'total COMUNE'!P53+totalORASE!P53+'total MUNICIPII'!P53+totalCJ!P53</f>
        <v>372883729</v>
      </c>
      <c r="Q53" s="128">
        <f>'total COMUNE'!Q53+totalORASE!Q53+'total MUNICIPII'!Q53+totalCJ!Q53</f>
        <v>230633681</v>
      </c>
      <c r="R53" s="128">
        <f>'total COMUNE'!R53+totalORASE!R53+'total MUNICIPII'!R53+totalCJ!R53</f>
        <v>3050572</v>
      </c>
      <c r="S53" s="128">
        <f>'total COMUNE'!S53+totalORASE!S53+'total MUNICIPII'!S53+totalCJ!S53</f>
        <v>2843576</v>
      </c>
      <c r="T53" s="128">
        <f>'total COMUNE'!T53+totalORASE!T53+'total MUNICIPII'!T53+totalCJ!T53</f>
        <v>31662619</v>
      </c>
      <c r="U53" s="128">
        <f>'total COMUNE'!U53+totalORASE!U53+'total MUNICIPII'!U53+totalCJ!U53</f>
        <v>4487290</v>
      </c>
      <c r="V53" s="128">
        <f>'total COMUNE'!V53+totalORASE!V53+'total MUNICIPII'!V53+totalCJ!V53</f>
        <v>104369657</v>
      </c>
      <c r="W53" s="128">
        <f>'total COMUNE'!W53+totalORASE!W53+'total MUNICIPII'!W53+totalCJ!W53</f>
        <v>94944438</v>
      </c>
      <c r="X53" s="128">
        <f>'total COMUNE'!X53+totalORASE!X53+'total MUNICIPII'!X53+totalCJ!X53</f>
        <v>8935238</v>
      </c>
      <c r="Y53" s="128">
        <f>'total COMUNE'!Y53+totalORASE!Y53+'total MUNICIPII'!Y53+totalCJ!Y53</f>
        <v>141908376</v>
      </c>
      <c r="Z53" s="128">
        <f>'total COMUNE'!Z53+totalORASE!Z53+'total MUNICIPII'!Z53+totalCJ!Z53</f>
        <v>12802600</v>
      </c>
      <c r="AA53" s="128">
        <f>'total COMUNE'!AA53+totalORASE!AA53+'total MUNICIPII'!AA53+totalCJ!AA53</f>
        <v>-975406</v>
      </c>
      <c r="AB53" s="128">
        <f>'total COMUNE'!AB53+totalORASE!AB53+'total MUNICIPII'!AB53+totalCJ!AB53</f>
        <v>107298717</v>
      </c>
      <c r="AC53" s="128">
        <f>'total COMUNE'!AC53+totalORASE!AC53+'total MUNICIPII'!AC53+totalCJ!AC53</f>
        <v>14682727</v>
      </c>
      <c r="AD53" s="128">
        <f>'total COMUNE'!AD53+totalORASE!AD53+'total MUNICIPII'!AD53+totalCJ!AD53</f>
        <v>317742964</v>
      </c>
      <c r="AE53" s="128">
        <f>'total COMUNE'!AE53+totalORASE!AE53+'total MUNICIPII'!AE53+totalCJ!AE53</f>
        <v>14977726</v>
      </c>
      <c r="AF53" s="128">
        <f>'total COMUNE'!AF53+totalORASE!AF53+'total MUNICIPII'!AF53+totalCJ!AF53</f>
        <v>44897536</v>
      </c>
      <c r="AG53" s="128">
        <f>'total COMUNE'!AG53+totalORASE!AG53+'total MUNICIPII'!AG53+totalCJ!AG53</f>
        <v>197349880</v>
      </c>
      <c r="AH53" s="128">
        <f>'total COMUNE'!AH53+totalORASE!AH53+'total MUNICIPII'!AH53+totalCJ!AH53</f>
        <v>69363013</v>
      </c>
      <c r="AI53" s="128">
        <f>'total COMUNE'!AI53+totalORASE!AI53+'total MUNICIPII'!AI53+totalCJ!AI53</f>
        <v>50989354</v>
      </c>
      <c r="AJ53" s="128">
        <f>'total COMUNE'!AJ53+totalORASE!AJ53+'total MUNICIPII'!AJ53+totalCJ!AJ53</f>
        <v>1142881</v>
      </c>
      <c r="AK53" s="128">
        <f>'total COMUNE'!AK53+totalORASE!AK53+'total MUNICIPII'!AK53+totalCJ!AK53</f>
        <v>164897459</v>
      </c>
      <c r="AL53" s="128">
        <f>'total COMUNE'!AL53+totalORASE!AL53+'total MUNICIPII'!AL53+totalCJ!AL53</f>
        <v>24204113</v>
      </c>
      <c r="AM53" s="129"/>
    </row>
    <row r="54" spans="1:39" s="130" customFormat="1" ht="25.5" customHeight="1" x14ac:dyDescent="0.2">
      <c r="A54" s="134">
        <v>40</v>
      </c>
      <c r="B54" s="132" t="s">
        <v>938</v>
      </c>
      <c r="C54" s="128">
        <f>'total COMUNE'!C54+totalORASE!C54+'total MUNICIPII'!C54+totalCJ!C54</f>
        <v>1455091401</v>
      </c>
      <c r="D54" s="128">
        <f>'total COMUNE'!D54+totalORASE!D54+'total MUNICIPII'!D54+totalCJ!D54</f>
        <v>319833706</v>
      </c>
      <c r="E54" s="128">
        <f>'total COMUNE'!E54+totalORASE!E54+'total MUNICIPII'!E54+totalCJ!E54</f>
        <v>142585193</v>
      </c>
      <c r="F54" s="128">
        <f>'total COMUNE'!F54+totalORASE!F54+'total MUNICIPII'!F54+totalCJ!F54</f>
        <v>49741640</v>
      </c>
      <c r="G54" s="128">
        <f>'total COMUNE'!G54+totalORASE!G54+'total MUNICIPII'!G54+totalCJ!G54</f>
        <v>57322627</v>
      </c>
      <c r="H54" s="128">
        <f>'total COMUNE'!H54+totalORASE!H54+'total MUNICIPII'!H54+totalCJ!H54</f>
        <v>286437978</v>
      </c>
      <c r="I54" s="128">
        <f>'total COMUNE'!I54+totalORASE!I54+'total MUNICIPII'!I54+totalCJ!I54</f>
        <v>19888747</v>
      </c>
      <c r="J54" s="128">
        <f>'total COMUNE'!J54+totalORASE!J54+'total MUNICIPII'!J54+totalCJ!J54</f>
        <v>181563349</v>
      </c>
      <c r="K54" s="128">
        <f>'total COMUNE'!K54+totalORASE!K54+'total MUNICIPII'!K54+totalCJ!K54</f>
        <v>0</v>
      </c>
      <c r="L54" s="128">
        <f>'total COMUNE'!L54+totalORASE!L54+'total MUNICIPII'!L54+totalCJ!L54</f>
        <v>342833230</v>
      </c>
      <c r="M54" s="128">
        <f>'total COMUNE'!M54+totalORASE!M54+'total MUNICIPII'!M54+totalCJ!M54</f>
        <v>234564485</v>
      </c>
      <c r="N54" s="128">
        <f>'total COMUNE'!N54+totalORASE!N54+'total MUNICIPII'!N54+totalCJ!N54</f>
        <v>12647279</v>
      </c>
      <c r="O54" s="128">
        <f>'total COMUNE'!O54+totalORASE!O54+'total MUNICIPII'!O54+totalCJ!O54</f>
        <v>1453146744</v>
      </c>
      <c r="P54" s="128">
        <f>'total COMUNE'!P54+totalORASE!P54+'total MUNICIPII'!P54+totalCJ!P54</f>
        <v>361128790</v>
      </c>
      <c r="Q54" s="128">
        <f>'total COMUNE'!Q54+totalORASE!Q54+'total MUNICIPII'!Q54+totalCJ!Q54</f>
        <v>171105796</v>
      </c>
      <c r="R54" s="128">
        <f>'total COMUNE'!R54+totalORASE!R54+'total MUNICIPII'!R54+totalCJ!R54</f>
        <v>2979906</v>
      </c>
      <c r="S54" s="128">
        <f>'total COMUNE'!S54+totalORASE!S54+'total MUNICIPII'!S54+totalCJ!S54</f>
        <v>12988620</v>
      </c>
      <c r="T54" s="128">
        <f>'total COMUNE'!T54+totalORASE!T54+'total MUNICIPII'!T54+totalCJ!T54</f>
        <v>18346001</v>
      </c>
      <c r="U54" s="128">
        <f>'total COMUNE'!U54+totalORASE!U54+'total MUNICIPII'!U54+totalCJ!U54</f>
        <v>10749864</v>
      </c>
      <c r="V54" s="128">
        <f>'total COMUNE'!V54+totalORASE!V54+'total MUNICIPII'!V54+totalCJ!V54</f>
        <v>428605123</v>
      </c>
      <c r="W54" s="128">
        <f>'total COMUNE'!W54+totalORASE!W54+'total MUNICIPII'!W54+totalCJ!W54</f>
        <v>138092454</v>
      </c>
      <c r="X54" s="128">
        <f>'total COMUNE'!X54+totalORASE!X54+'total MUNICIPII'!X54+totalCJ!X54</f>
        <v>11755350</v>
      </c>
      <c r="Y54" s="128">
        <f>'total COMUNE'!Y54+totalORASE!Y54+'total MUNICIPII'!Y54+totalCJ!Y54</f>
        <v>259525868</v>
      </c>
      <c r="Z54" s="128">
        <f>'total COMUNE'!Z54+totalORASE!Z54+'total MUNICIPII'!Z54+totalCJ!Z54</f>
        <v>38989569</v>
      </c>
      <c r="AA54" s="128">
        <f>'total COMUNE'!AA54+totalORASE!AA54+'total MUNICIPII'!AA54+totalCJ!AA54</f>
        <v>-1120597</v>
      </c>
      <c r="AB54" s="128">
        <f>'total COMUNE'!AB54+totalORASE!AB54+'total MUNICIPII'!AB54+totalCJ!AB54</f>
        <v>126123037</v>
      </c>
      <c r="AC54" s="128">
        <f>'total COMUNE'!AC54+totalORASE!AC54+'total MUNICIPII'!AC54+totalCJ!AC54</f>
        <v>9075449</v>
      </c>
      <c r="AD54" s="128">
        <f>'total COMUNE'!AD54+totalORASE!AD54+'total MUNICIPII'!AD54+totalCJ!AD54</f>
        <v>285299398</v>
      </c>
      <c r="AE54" s="128">
        <f>'total COMUNE'!AE54+totalORASE!AE54+'total MUNICIPII'!AE54+totalCJ!AE54</f>
        <v>43139051</v>
      </c>
      <c r="AF54" s="128">
        <f>'total COMUNE'!AF54+totalORASE!AF54+'total MUNICIPII'!AF54+totalCJ!AF54</f>
        <v>98820485</v>
      </c>
      <c r="AG54" s="128">
        <f>'total COMUNE'!AG54+totalORASE!AG54+'total MUNICIPII'!AG54+totalCJ!AG54</f>
        <v>207566897</v>
      </c>
      <c r="AH54" s="128">
        <f>'total COMUNE'!AH54+totalORASE!AH54+'total MUNICIPII'!AH54+totalCJ!AH54</f>
        <v>88709788</v>
      </c>
      <c r="AI54" s="128">
        <f>'total COMUNE'!AI54+totalORASE!AI54+'total MUNICIPII'!AI54+totalCJ!AI54</f>
        <v>227155792</v>
      </c>
      <c r="AJ54" s="128">
        <f>'total COMUNE'!AJ54+totalORASE!AJ54+'total MUNICIPII'!AJ54+totalCJ!AJ54</f>
        <v>6334033</v>
      </c>
      <c r="AK54" s="128">
        <f>'total COMUNE'!AK54+totalORASE!AK54+'total MUNICIPII'!AK54+totalCJ!AK54</f>
        <v>328049386</v>
      </c>
      <c r="AL54" s="128">
        <f>'total COMUNE'!AL54+totalORASE!AL54+'total MUNICIPII'!AL54+totalCJ!AL54</f>
        <v>32873428</v>
      </c>
      <c r="AM54" s="129"/>
    </row>
    <row r="55" spans="1:39" s="130" customFormat="1" ht="25.5" customHeight="1" x14ac:dyDescent="0.2">
      <c r="A55" s="134">
        <v>41</v>
      </c>
      <c r="B55" s="148" t="s">
        <v>939</v>
      </c>
      <c r="C55" s="128">
        <f>'total COMUNE'!C55+totalORASE!C55+'total MUNICIPII'!C55+totalCJ!C55</f>
        <v>957314762</v>
      </c>
      <c r="D55" s="128">
        <f>'total COMUNE'!D55+totalORASE!D55+'total MUNICIPII'!D55+totalCJ!D55</f>
        <v>254851708</v>
      </c>
      <c r="E55" s="128">
        <f>'total COMUNE'!E55+totalORASE!E55+'total MUNICIPII'!E55+totalCJ!E55</f>
        <v>106704192</v>
      </c>
      <c r="F55" s="128">
        <f>'total COMUNE'!F55+totalORASE!F55+'total MUNICIPII'!F55+totalCJ!F55</f>
        <v>37245811</v>
      </c>
      <c r="G55" s="128">
        <f>'total COMUNE'!G55+totalORASE!G55+'total MUNICIPII'!G55+totalCJ!G55</f>
        <v>47336368</v>
      </c>
      <c r="H55" s="128">
        <f>'total COMUNE'!H55+totalORASE!H55+'total MUNICIPII'!H55+totalCJ!H55</f>
        <v>237184250</v>
      </c>
      <c r="I55" s="128">
        <f>'total COMUNE'!I55+totalORASE!I55+'total MUNICIPII'!I55+totalCJ!I55</f>
        <v>20254000</v>
      </c>
      <c r="J55" s="128">
        <f>'total COMUNE'!J55+totalORASE!J55+'total MUNICIPII'!J55+totalCJ!J55</f>
        <v>131619360</v>
      </c>
      <c r="K55" s="128">
        <f>'total COMUNE'!K55+totalORASE!K55+'total MUNICIPII'!K55+totalCJ!K55</f>
        <v>0</v>
      </c>
      <c r="L55" s="128">
        <f>'total COMUNE'!L55+totalORASE!L55+'total MUNICIPII'!L55+totalCJ!L55</f>
        <v>168126832</v>
      </c>
      <c r="M55" s="128">
        <f>'total COMUNE'!M55+totalORASE!M55+'total MUNICIPII'!M55+totalCJ!M55</f>
        <v>96877198</v>
      </c>
      <c r="N55" s="128">
        <f>'total COMUNE'!N55+totalORASE!N55+'total MUNICIPII'!N55+totalCJ!N55</f>
        <v>1065046</v>
      </c>
      <c r="O55" s="128">
        <f>'total COMUNE'!O55+totalORASE!O55+'total MUNICIPII'!O55+totalCJ!O55</f>
        <v>889505719</v>
      </c>
      <c r="P55" s="128">
        <f>'total COMUNE'!P55+totalORASE!P55+'total MUNICIPII'!P55+totalCJ!P55</f>
        <v>304691534</v>
      </c>
      <c r="Q55" s="128">
        <f>'total COMUNE'!Q55+totalORASE!Q55+'total MUNICIPII'!Q55+totalCJ!Q55</f>
        <v>154956641</v>
      </c>
      <c r="R55" s="128">
        <f>'total COMUNE'!R55+totalORASE!R55+'total MUNICIPII'!R55+totalCJ!R55</f>
        <v>3312320</v>
      </c>
      <c r="S55" s="128">
        <f>'total COMUNE'!S55+totalORASE!S55+'total MUNICIPII'!S55+totalCJ!S55</f>
        <v>6734517</v>
      </c>
      <c r="T55" s="128">
        <f>'total COMUNE'!T55+totalORASE!T55+'total MUNICIPII'!T55+totalCJ!T55</f>
        <v>27111880</v>
      </c>
      <c r="U55" s="128">
        <f>'total COMUNE'!U55+totalORASE!U55+'total MUNICIPII'!U55+totalCJ!U55</f>
        <v>2470333</v>
      </c>
      <c r="V55" s="128">
        <f>'total COMUNE'!V55+totalORASE!V55+'total MUNICIPII'!V55+totalCJ!V55</f>
        <v>153952783</v>
      </c>
      <c r="W55" s="128">
        <f>'total COMUNE'!W55+totalORASE!W55+'total MUNICIPII'!W55+totalCJ!W55</f>
        <v>98332895</v>
      </c>
      <c r="X55" s="128">
        <f>'total COMUNE'!X55+totalORASE!X55+'total MUNICIPII'!X55+totalCJ!X55</f>
        <v>4333496</v>
      </c>
      <c r="Y55" s="128">
        <f>'total COMUNE'!Y55+totalORASE!Y55+'total MUNICIPII'!Y55+totalCJ!Y55</f>
        <v>121351383</v>
      </c>
      <c r="Z55" s="128">
        <f>'total COMUNE'!Z55+totalORASE!Z55+'total MUNICIPII'!Z55+totalCJ!Z55</f>
        <v>14157717</v>
      </c>
      <c r="AA55" s="128">
        <f>'total COMUNE'!AA55+totalORASE!AA55+'total MUNICIPII'!AA55+totalCJ!AA55</f>
        <v>-1899780</v>
      </c>
      <c r="AB55" s="128">
        <f>'total COMUNE'!AB55+totalORASE!AB55+'total MUNICIPII'!AB55+totalCJ!AB55</f>
        <v>127752251</v>
      </c>
      <c r="AC55" s="128">
        <f>'total COMUNE'!AC55+totalORASE!AC55+'total MUNICIPII'!AC55+totalCJ!AC55</f>
        <v>9312424</v>
      </c>
      <c r="AD55" s="128">
        <f>'total COMUNE'!AD55+totalORASE!AD55+'total MUNICIPII'!AD55+totalCJ!AD55</f>
        <v>262791913</v>
      </c>
      <c r="AE55" s="128">
        <f>'total COMUNE'!AE55+totalORASE!AE55+'total MUNICIPII'!AE55+totalCJ!AE55</f>
        <v>14847388</v>
      </c>
      <c r="AF55" s="128">
        <f>'total COMUNE'!AF55+totalORASE!AF55+'total MUNICIPII'!AF55+totalCJ!AF55</f>
        <v>43685836</v>
      </c>
      <c r="AG55" s="128">
        <f>'total COMUNE'!AG55+totalORASE!AG55+'total MUNICIPII'!AG55+totalCJ!AG55</f>
        <v>152177649</v>
      </c>
      <c r="AH55" s="128">
        <f>'total COMUNE'!AH55+totalORASE!AH55+'total MUNICIPII'!AH55+totalCJ!AH55</f>
        <v>56167736</v>
      </c>
      <c r="AI55" s="128">
        <f>'total COMUNE'!AI55+totalORASE!AI55+'total MUNICIPII'!AI55+totalCJ!AI55</f>
        <v>52204911</v>
      </c>
      <c r="AJ55" s="128">
        <f>'total COMUNE'!AJ55+totalORASE!AJ55+'total MUNICIPII'!AJ55+totalCJ!AJ55</f>
        <v>28597814</v>
      </c>
      <c r="AK55" s="128">
        <f>'total COMUNE'!AK55+totalORASE!AK55+'total MUNICIPII'!AK55+totalCJ!AK55</f>
        <v>127902118</v>
      </c>
      <c r="AL55" s="128">
        <f>'total COMUNE'!AL55+totalORASE!AL55+'total MUNICIPII'!AL55+totalCJ!AL55</f>
        <v>14065679</v>
      </c>
      <c r="AM55" s="129"/>
    </row>
    <row r="56" spans="1:39" s="130" customFormat="1" ht="25.5" customHeight="1" x14ac:dyDescent="0.2">
      <c r="A56" s="147">
        <v>42</v>
      </c>
      <c r="B56" s="149" t="s">
        <v>940</v>
      </c>
      <c r="C56" s="150">
        <f>'total COMUNE'!C56+totalORASE!C56+'total MUNICIPII'!C56+totalCJ!C56</f>
        <v>8068359583</v>
      </c>
      <c r="D56" s="150">
        <f>'total COMUNE'!D56+totalORASE!D56+'total MUNICIPII'!D56+totalCJ!D56</f>
        <v>6543603955</v>
      </c>
      <c r="E56" s="150">
        <f>'total COMUNE'!E56+totalORASE!E56+'total MUNICIPII'!E56+totalCJ!E56</f>
        <v>4528503614</v>
      </c>
      <c r="F56" s="150">
        <f>'total COMUNE'!F56+totalORASE!F56+'total MUNICIPII'!F56+totalCJ!F56</f>
        <v>491462803</v>
      </c>
      <c r="G56" s="150">
        <f>'total COMUNE'!G56+totalORASE!G56+'total MUNICIPII'!G56+totalCJ!G56</f>
        <v>0</v>
      </c>
      <c r="H56" s="150">
        <f>'total COMUNE'!H56+totalORASE!H56+'total MUNICIPII'!H56+totalCJ!H56</f>
        <v>1139191746</v>
      </c>
      <c r="I56" s="150">
        <f>'total COMUNE'!I56+totalORASE!I56+'total MUNICIPII'!I56+totalCJ!I56</f>
        <v>0</v>
      </c>
      <c r="J56" s="150">
        <f>'total COMUNE'!J56+totalORASE!J56+'total MUNICIPII'!J56+totalCJ!J56</f>
        <v>31549080</v>
      </c>
      <c r="K56" s="150">
        <f>'total COMUNE'!K56+totalORASE!K56+'total MUNICIPII'!K56+totalCJ!K56</f>
        <v>0</v>
      </c>
      <c r="L56" s="150">
        <f>'total COMUNE'!L56+totalORASE!L56+'total MUNICIPII'!L56+totalCJ!L56</f>
        <v>319340644</v>
      </c>
      <c r="M56" s="150">
        <f>'total COMUNE'!M56+totalORASE!M56+'total MUNICIPII'!M56+totalCJ!M56</f>
        <v>32342585</v>
      </c>
      <c r="N56" s="150">
        <f>'total COMUNE'!N56+totalORASE!N56+'total MUNICIPII'!N56+totalCJ!N56</f>
        <v>2331573</v>
      </c>
      <c r="O56" s="150">
        <f>'total COMUNE'!O56+totalORASE!O56+'total MUNICIPII'!O56+totalCJ!O56</f>
        <v>7554718474</v>
      </c>
      <c r="P56" s="150">
        <f>'total COMUNE'!P56+totalORASE!P56+'total MUNICIPII'!P56+totalCJ!P56</f>
        <v>1261372850</v>
      </c>
      <c r="Q56" s="150">
        <f>'total COMUNE'!Q56+totalORASE!Q56+'total MUNICIPII'!Q56+totalCJ!Q56</f>
        <v>2073483121</v>
      </c>
      <c r="R56" s="150">
        <f>'total COMUNE'!R56+totalORASE!R56+'total MUNICIPII'!R56+totalCJ!R56</f>
        <v>232762359</v>
      </c>
      <c r="S56" s="150">
        <f>'total COMUNE'!S56+totalORASE!S56+'total MUNICIPII'!S56+totalCJ!S56</f>
        <v>1256732320</v>
      </c>
      <c r="T56" s="150">
        <f>'total COMUNE'!T56+totalORASE!T56+'total MUNICIPII'!T56+totalCJ!T56</f>
        <v>643463005</v>
      </c>
      <c r="U56" s="150">
        <f>'total COMUNE'!U56+totalORASE!U56+'total MUNICIPII'!U56+totalCJ!U56</f>
        <v>45212930</v>
      </c>
      <c r="V56" s="150">
        <f>'total COMUNE'!V56+totalORASE!V56+'total MUNICIPII'!V56+totalCJ!V56</f>
        <v>195051855</v>
      </c>
      <c r="W56" s="150">
        <f>'total COMUNE'!W56+totalORASE!W56+'total MUNICIPII'!W56+totalCJ!W56</f>
        <v>379482220</v>
      </c>
      <c r="X56" s="150">
        <f>'total COMUNE'!X56+totalORASE!X56+'total MUNICIPII'!X56+totalCJ!X56</f>
        <v>126641360</v>
      </c>
      <c r="Y56" s="150">
        <f>'total COMUNE'!Y56+totalORASE!Y56+'total MUNICIPII'!Y56+totalCJ!Y56</f>
        <v>1010891367</v>
      </c>
      <c r="Z56" s="150">
        <f>'total COMUNE'!Z56+totalORASE!Z56+'total MUNICIPII'!Z56+totalCJ!Z56</f>
        <v>379926404</v>
      </c>
      <c r="AA56" s="150">
        <f>'total COMUNE'!AA56+totalORASE!AA56+'total MUNICIPII'!AA56+totalCJ!AA56</f>
        <v>-50301317</v>
      </c>
      <c r="AB56" s="150">
        <f>'total COMUNE'!AB56+totalORASE!AB56+'total MUNICIPII'!AB56+totalCJ!AB56</f>
        <v>740099179</v>
      </c>
      <c r="AC56" s="150">
        <f>'total COMUNE'!AC56+totalORASE!AC56+'total MUNICIPII'!AC56+totalCJ!AC56</f>
        <v>175475370</v>
      </c>
      <c r="AD56" s="150">
        <f>'total COMUNE'!AD56+totalORASE!AD56+'total MUNICIPII'!AD56+totalCJ!AD56</f>
        <v>1543044116</v>
      </c>
      <c r="AE56" s="150">
        <f>'total COMUNE'!AE56+totalORASE!AE56+'total MUNICIPII'!AE56+totalCJ!AE56</f>
        <v>294722524</v>
      </c>
      <c r="AF56" s="150">
        <f>'total COMUNE'!AF56+totalORASE!AF56+'total MUNICIPII'!AF56+totalCJ!AF56</f>
        <v>865467673</v>
      </c>
      <c r="AG56" s="150">
        <f>'total COMUNE'!AG56+totalORASE!AG56+'total MUNICIPII'!AG56+totalCJ!AG56</f>
        <v>754402091</v>
      </c>
      <c r="AH56" s="150">
        <f>'total COMUNE'!AH56+totalORASE!AH56+'total MUNICIPII'!AH56+totalCJ!AH56</f>
        <v>522650251</v>
      </c>
      <c r="AI56" s="150">
        <f>'total COMUNE'!AI56+totalORASE!AI56+'total MUNICIPII'!AI56+totalCJ!AI56</f>
        <v>639474305</v>
      </c>
      <c r="AJ56" s="150">
        <f>'total COMUNE'!AJ56+totalORASE!AJ56+'total MUNICIPII'!AJ56+totalCJ!AJ56</f>
        <v>788270710</v>
      </c>
      <c r="AK56" s="150">
        <f>'total COMUNE'!AK56+totalORASE!AK56+'total MUNICIPII'!AK56+totalCJ!AK56</f>
        <v>1227478629</v>
      </c>
      <c r="AL56" s="150">
        <f>'total COMUNE'!AL56+totalORASE!AL56+'total MUNICIPII'!AL56+totalCJ!AL56</f>
        <v>3633626</v>
      </c>
      <c r="AM56" s="129"/>
    </row>
    <row r="60" spans="1:39" x14ac:dyDescent="0.2">
      <c r="Q60" s="135"/>
    </row>
    <row r="62" spans="1:39" x14ac:dyDescent="0.2">
      <c r="M62" s="135"/>
      <c r="P62" s="135"/>
    </row>
    <row r="65" spans="17:17" x14ac:dyDescent="0.2">
      <c r="Q65" s="135">
        <f>Q60-Q61</f>
        <v>0</v>
      </c>
    </row>
  </sheetData>
  <sheetProtection selectLockedCells="1" selectUnlockedCells="1"/>
  <mergeCells count="15">
    <mergeCell ref="A13:B13"/>
    <mergeCell ref="A14:B14"/>
    <mergeCell ref="K9:K11"/>
    <mergeCell ref="L9:L11"/>
    <mergeCell ref="M9:M11"/>
    <mergeCell ref="N9:N11"/>
    <mergeCell ref="P9:Y10"/>
    <mergeCell ref="AB9:AL10"/>
    <mergeCell ref="A9:B12"/>
    <mergeCell ref="D9:F9"/>
    <mergeCell ref="G9:G11"/>
    <mergeCell ref="H9:H11"/>
    <mergeCell ref="I9:I11"/>
    <mergeCell ref="J9:J11"/>
    <mergeCell ref="E10:F10"/>
  </mergeCells>
  <pageMargins left="0.70833333333333337" right="0.31527777777777777" top="0.74791666666666667" bottom="0.74791666666666667" header="0.51180555555555551" footer="0.51180555555555551"/>
  <pageSetup paperSize="8" scale="55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AL56"/>
  <sheetViews>
    <sheetView topLeftCell="A45" zoomScaleSheetLayoutView="83" workbookViewId="0">
      <selection activeCell="C57" sqref="C57"/>
    </sheetView>
  </sheetViews>
  <sheetFormatPr defaultRowHeight="12.75" x14ac:dyDescent="0.2"/>
  <cols>
    <col min="1" max="1" width="3.5703125" style="112" customWidth="1"/>
    <col min="2" max="2" width="13.85546875" style="112" customWidth="1"/>
    <col min="3" max="3" width="15.5703125" style="112" customWidth="1"/>
    <col min="4" max="4" width="15.7109375" style="112" customWidth="1"/>
    <col min="5" max="5" width="15.42578125" style="112" customWidth="1"/>
    <col min="6" max="6" width="14" style="112" customWidth="1"/>
    <col min="7" max="8" width="13.85546875" style="112" customWidth="1"/>
    <col min="9" max="9" width="12.42578125" style="112" customWidth="1"/>
    <col min="10" max="10" width="13.85546875" style="112" customWidth="1"/>
    <col min="11" max="11" width="16.7109375" style="112" customWidth="1"/>
    <col min="12" max="13" width="14.28515625" style="112" customWidth="1"/>
    <col min="14" max="14" width="14" style="112" customWidth="1"/>
    <col min="15" max="15" width="15.28515625" style="116" customWidth="1"/>
    <col min="16" max="16" width="15.5703125" style="112" customWidth="1"/>
    <col min="17" max="17" width="15.140625" style="112" customWidth="1"/>
    <col min="18" max="18" width="13.5703125" style="112" customWidth="1"/>
    <col min="19" max="20" width="14" style="112" customWidth="1"/>
    <col min="21" max="22" width="14.140625" style="112" customWidth="1"/>
    <col min="23" max="23" width="14.28515625" style="112" customWidth="1"/>
    <col min="24" max="24" width="12.140625" style="112" customWidth="1"/>
    <col min="25" max="25" width="14.5703125" style="112" customWidth="1"/>
    <col min="26" max="26" width="14.7109375" style="112" customWidth="1"/>
    <col min="27" max="27" width="13" style="112" customWidth="1"/>
    <col min="28" max="28" width="14.5703125" style="112" customWidth="1"/>
    <col min="29" max="29" width="12.28515625" style="112" customWidth="1"/>
    <col min="30" max="30" width="15.28515625" style="112" customWidth="1"/>
    <col min="31" max="31" width="12.85546875" style="112" customWidth="1"/>
    <col min="32" max="32" width="13.85546875" style="112" customWidth="1"/>
    <col min="33" max="33" width="14.5703125" style="112" customWidth="1"/>
    <col min="34" max="35" width="14.28515625" style="112" customWidth="1"/>
    <col min="36" max="36" width="14.5703125" style="112" customWidth="1"/>
    <col min="37" max="37" width="14.28515625" style="112" customWidth="1"/>
    <col min="38" max="38" width="12.5703125" style="112" customWidth="1"/>
    <col min="39" max="214" width="9.140625" style="112"/>
    <col min="215" max="215" width="3.5703125" style="112" customWidth="1"/>
    <col min="216" max="216" width="13.85546875" style="112" customWidth="1"/>
    <col min="217" max="217" width="15.5703125" style="112" customWidth="1"/>
    <col min="218" max="218" width="15.7109375" style="112" customWidth="1"/>
    <col min="219" max="219" width="15.42578125" style="112" customWidth="1"/>
    <col min="220" max="220" width="14" style="112" customWidth="1"/>
    <col min="221" max="222" width="13.85546875" style="112" customWidth="1"/>
    <col min="223" max="223" width="12.42578125" style="112" customWidth="1"/>
    <col min="224" max="224" width="13.85546875" style="112" customWidth="1"/>
    <col min="225" max="225" width="16.7109375" style="112" customWidth="1"/>
    <col min="226" max="227" width="14.28515625" style="112" customWidth="1"/>
    <col min="228" max="228" width="14" style="112" customWidth="1"/>
    <col min="229" max="229" width="15.28515625" style="112" customWidth="1"/>
    <col min="230" max="230" width="15.5703125" style="112" customWidth="1"/>
    <col min="231" max="231" width="15.140625" style="112" customWidth="1"/>
    <col min="232" max="232" width="13.5703125" style="112" customWidth="1"/>
    <col min="233" max="234" width="14" style="112" customWidth="1"/>
    <col min="235" max="236" width="14.140625" style="112" customWidth="1"/>
    <col min="237" max="237" width="14.28515625" style="112" customWidth="1"/>
    <col min="238" max="238" width="12.140625" style="112" customWidth="1"/>
    <col min="239" max="239" width="14.5703125" style="112" customWidth="1"/>
    <col min="240" max="240" width="14.7109375" style="112" customWidth="1"/>
    <col min="241" max="241" width="13" style="112" customWidth="1"/>
    <col min="242" max="242" width="14.5703125" style="112" customWidth="1"/>
    <col min="243" max="243" width="12.28515625" style="112" customWidth="1"/>
    <col min="244" max="244" width="15.28515625" style="112" customWidth="1"/>
    <col min="245" max="245" width="12.85546875" style="112" customWidth="1"/>
    <col min="246" max="246" width="13.85546875" style="112" customWidth="1"/>
    <col min="247" max="247" width="14.5703125" style="112" customWidth="1"/>
    <col min="248" max="249" width="14.28515625" style="112" customWidth="1"/>
    <col min="250" max="250" width="14.5703125" style="112" customWidth="1"/>
    <col min="251" max="251" width="14.28515625" style="112" customWidth="1"/>
    <col min="252" max="252" width="12.5703125" style="112" customWidth="1"/>
    <col min="253" max="253" width="11" style="112" customWidth="1"/>
    <col min="254" max="470" width="9.140625" style="112"/>
    <col min="471" max="471" width="3.5703125" style="112" customWidth="1"/>
    <col min="472" max="472" width="13.85546875" style="112" customWidth="1"/>
    <col min="473" max="473" width="15.5703125" style="112" customWidth="1"/>
    <col min="474" max="474" width="15.7109375" style="112" customWidth="1"/>
    <col min="475" max="475" width="15.42578125" style="112" customWidth="1"/>
    <col min="476" max="476" width="14" style="112" customWidth="1"/>
    <col min="477" max="478" width="13.85546875" style="112" customWidth="1"/>
    <col min="479" max="479" width="12.42578125" style="112" customWidth="1"/>
    <col min="480" max="480" width="13.85546875" style="112" customWidth="1"/>
    <col min="481" max="481" width="16.7109375" style="112" customWidth="1"/>
    <col min="482" max="483" width="14.28515625" style="112" customWidth="1"/>
    <col min="484" max="484" width="14" style="112" customWidth="1"/>
    <col min="485" max="485" width="15.28515625" style="112" customWidth="1"/>
    <col min="486" max="486" width="15.5703125" style="112" customWidth="1"/>
    <col min="487" max="487" width="15.140625" style="112" customWidth="1"/>
    <col min="488" max="488" width="13.5703125" style="112" customWidth="1"/>
    <col min="489" max="490" width="14" style="112" customWidth="1"/>
    <col min="491" max="492" width="14.140625" style="112" customWidth="1"/>
    <col min="493" max="493" width="14.28515625" style="112" customWidth="1"/>
    <col min="494" max="494" width="12.140625" style="112" customWidth="1"/>
    <col min="495" max="495" width="14.5703125" style="112" customWidth="1"/>
    <col min="496" max="496" width="14.7109375" style="112" customWidth="1"/>
    <col min="497" max="497" width="13" style="112" customWidth="1"/>
    <col min="498" max="498" width="14.5703125" style="112" customWidth="1"/>
    <col min="499" max="499" width="12.28515625" style="112" customWidth="1"/>
    <col min="500" max="500" width="15.28515625" style="112" customWidth="1"/>
    <col min="501" max="501" width="12.85546875" style="112" customWidth="1"/>
    <col min="502" max="502" width="13.85546875" style="112" customWidth="1"/>
    <col min="503" max="503" width="14.5703125" style="112" customWidth="1"/>
    <col min="504" max="505" width="14.28515625" style="112" customWidth="1"/>
    <col min="506" max="506" width="14.5703125" style="112" customWidth="1"/>
    <col min="507" max="507" width="14.28515625" style="112" customWidth="1"/>
    <col min="508" max="508" width="12.5703125" style="112" customWidth="1"/>
    <col min="509" max="509" width="11" style="112" customWidth="1"/>
    <col min="510" max="726" width="9.140625" style="112"/>
    <col min="727" max="727" width="3.5703125" style="112" customWidth="1"/>
    <col min="728" max="728" width="13.85546875" style="112" customWidth="1"/>
    <col min="729" max="729" width="15.5703125" style="112" customWidth="1"/>
    <col min="730" max="730" width="15.7109375" style="112" customWidth="1"/>
    <col min="731" max="731" width="15.42578125" style="112" customWidth="1"/>
    <col min="732" max="732" width="14" style="112" customWidth="1"/>
    <col min="733" max="734" width="13.85546875" style="112" customWidth="1"/>
    <col min="735" max="735" width="12.42578125" style="112" customWidth="1"/>
    <col min="736" max="736" width="13.85546875" style="112" customWidth="1"/>
    <col min="737" max="737" width="16.7109375" style="112" customWidth="1"/>
    <col min="738" max="739" width="14.28515625" style="112" customWidth="1"/>
    <col min="740" max="740" width="14" style="112" customWidth="1"/>
    <col min="741" max="741" width="15.28515625" style="112" customWidth="1"/>
    <col min="742" max="742" width="15.5703125" style="112" customWidth="1"/>
    <col min="743" max="743" width="15.140625" style="112" customWidth="1"/>
    <col min="744" max="744" width="13.5703125" style="112" customWidth="1"/>
    <col min="745" max="746" width="14" style="112" customWidth="1"/>
    <col min="747" max="748" width="14.140625" style="112" customWidth="1"/>
    <col min="749" max="749" width="14.28515625" style="112" customWidth="1"/>
    <col min="750" max="750" width="12.140625" style="112" customWidth="1"/>
    <col min="751" max="751" width="14.5703125" style="112" customWidth="1"/>
    <col min="752" max="752" width="14.7109375" style="112" customWidth="1"/>
    <col min="753" max="753" width="13" style="112" customWidth="1"/>
    <col min="754" max="754" width="14.5703125" style="112" customWidth="1"/>
    <col min="755" max="755" width="12.28515625" style="112" customWidth="1"/>
    <col min="756" max="756" width="15.28515625" style="112" customWidth="1"/>
    <col min="757" max="757" width="12.85546875" style="112" customWidth="1"/>
    <col min="758" max="758" width="13.85546875" style="112" customWidth="1"/>
    <col min="759" max="759" width="14.5703125" style="112" customWidth="1"/>
    <col min="760" max="761" width="14.28515625" style="112" customWidth="1"/>
    <col min="762" max="762" width="14.5703125" style="112" customWidth="1"/>
    <col min="763" max="763" width="14.28515625" style="112" customWidth="1"/>
    <col min="764" max="764" width="12.5703125" style="112" customWidth="1"/>
    <col min="765" max="765" width="11" style="112" customWidth="1"/>
    <col min="766" max="982" width="9.140625" style="112"/>
    <col min="983" max="983" width="3.5703125" style="112" customWidth="1"/>
    <col min="984" max="984" width="13.85546875" style="112" customWidth="1"/>
    <col min="985" max="985" width="15.5703125" style="112" customWidth="1"/>
    <col min="986" max="986" width="15.7109375" style="112" customWidth="1"/>
    <col min="987" max="987" width="15.42578125" style="112" customWidth="1"/>
    <col min="988" max="988" width="14" style="112" customWidth="1"/>
    <col min="989" max="990" width="13.85546875" style="112" customWidth="1"/>
    <col min="991" max="991" width="12.42578125" style="112" customWidth="1"/>
    <col min="992" max="992" width="13.85546875" style="112" customWidth="1"/>
    <col min="993" max="993" width="16.7109375" style="112" customWidth="1"/>
    <col min="994" max="995" width="14.28515625" style="112" customWidth="1"/>
    <col min="996" max="996" width="14" style="112" customWidth="1"/>
    <col min="997" max="997" width="15.28515625" style="112" customWidth="1"/>
    <col min="998" max="998" width="15.5703125" style="112" customWidth="1"/>
    <col min="999" max="999" width="15.140625" style="112" customWidth="1"/>
    <col min="1000" max="1000" width="13.5703125" style="112" customWidth="1"/>
    <col min="1001" max="1002" width="14" style="112" customWidth="1"/>
    <col min="1003" max="1004" width="14.140625" style="112" customWidth="1"/>
    <col min="1005" max="1005" width="14.28515625" style="112" customWidth="1"/>
    <col min="1006" max="1006" width="12.140625" style="112" customWidth="1"/>
    <col min="1007" max="1007" width="14.5703125" style="112" customWidth="1"/>
    <col min="1008" max="1008" width="14.7109375" style="112" customWidth="1"/>
    <col min="1009" max="1009" width="13" style="112" customWidth="1"/>
    <col min="1010" max="1010" width="14.5703125" style="112" customWidth="1"/>
    <col min="1011" max="1011" width="12.28515625" style="112" customWidth="1"/>
    <col min="1012" max="1012" width="15.28515625" style="112" customWidth="1"/>
    <col min="1013" max="1013" width="12.85546875" style="112" customWidth="1"/>
    <col min="1014" max="1014" width="13.85546875" style="112" customWidth="1"/>
    <col min="1015" max="1015" width="14.5703125" style="112" customWidth="1"/>
    <col min="1016" max="1017" width="14.28515625" style="112" customWidth="1"/>
    <col min="1018" max="1018" width="14.5703125" style="112" customWidth="1"/>
    <col min="1019" max="1019" width="14.28515625" style="112" customWidth="1"/>
    <col min="1020" max="1020" width="12.5703125" style="112" customWidth="1"/>
    <col min="1021" max="1021" width="11" style="112" customWidth="1"/>
    <col min="1022" max="1238" width="9.140625" style="112"/>
    <col min="1239" max="1239" width="3.5703125" style="112" customWidth="1"/>
    <col min="1240" max="1240" width="13.85546875" style="112" customWidth="1"/>
    <col min="1241" max="1241" width="15.5703125" style="112" customWidth="1"/>
    <col min="1242" max="1242" width="15.7109375" style="112" customWidth="1"/>
    <col min="1243" max="1243" width="15.42578125" style="112" customWidth="1"/>
    <col min="1244" max="1244" width="14" style="112" customWidth="1"/>
    <col min="1245" max="1246" width="13.85546875" style="112" customWidth="1"/>
    <col min="1247" max="1247" width="12.42578125" style="112" customWidth="1"/>
    <col min="1248" max="1248" width="13.85546875" style="112" customWidth="1"/>
    <col min="1249" max="1249" width="16.7109375" style="112" customWidth="1"/>
    <col min="1250" max="1251" width="14.28515625" style="112" customWidth="1"/>
    <col min="1252" max="1252" width="14" style="112" customWidth="1"/>
    <col min="1253" max="1253" width="15.28515625" style="112" customWidth="1"/>
    <col min="1254" max="1254" width="15.5703125" style="112" customWidth="1"/>
    <col min="1255" max="1255" width="15.140625" style="112" customWidth="1"/>
    <col min="1256" max="1256" width="13.5703125" style="112" customWidth="1"/>
    <col min="1257" max="1258" width="14" style="112" customWidth="1"/>
    <col min="1259" max="1260" width="14.140625" style="112" customWidth="1"/>
    <col min="1261" max="1261" width="14.28515625" style="112" customWidth="1"/>
    <col min="1262" max="1262" width="12.140625" style="112" customWidth="1"/>
    <col min="1263" max="1263" width="14.5703125" style="112" customWidth="1"/>
    <col min="1264" max="1264" width="14.7109375" style="112" customWidth="1"/>
    <col min="1265" max="1265" width="13" style="112" customWidth="1"/>
    <col min="1266" max="1266" width="14.5703125" style="112" customWidth="1"/>
    <col min="1267" max="1267" width="12.28515625" style="112" customWidth="1"/>
    <col min="1268" max="1268" width="15.28515625" style="112" customWidth="1"/>
    <col min="1269" max="1269" width="12.85546875" style="112" customWidth="1"/>
    <col min="1270" max="1270" width="13.85546875" style="112" customWidth="1"/>
    <col min="1271" max="1271" width="14.5703125" style="112" customWidth="1"/>
    <col min="1272" max="1273" width="14.28515625" style="112" customWidth="1"/>
    <col min="1274" max="1274" width="14.5703125" style="112" customWidth="1"/>
    <col min="1275" max="1275" width="14.28515625" style="112" customWidth="1"/>
    <col min="1276" max="1276" width="12.5703125" style="112" customWidth="1"/>
    <col min="1277" max="1277" width="11" style="112" customWidth="1"/>
    <col min="1278" max="1494" width="9.140625" style="112"/>
    <col min="1495" max="1495" width="3.5703125" style="112" customWidth="1"/>
    <col min="1496" max="1496" width="13.85546875" style="112" customWidth="1"/>
    <col min="1497" max="1497" width="15.5703125" style="112" customWidth="1"/>
    <col min="1498" max="1498" width="15.7109375" style="112" customWidth="1"/>
    <col min="1499" max="1499" width="15.42578125" style="112" customWidth="1"/>
    <col min="1500" max="1500" width="14" style="112" customWidth="1"/>
    <col min="1501" max="1502" width="13.85546875" style="112" customWidth="1"/>
    <col min="1503" max="1503" width="12.42578125" style="112" customWidth="1"/>
    <col min="1504" max="1504" width="13.85546875" style="112" customWidth="1"/>
    <col min="1505" max="1505" width="16.7109375" style="112" customWidth="1"/>
    <col min="1506" max="1507" width="14.28515625" style="112" customWidth="1"/>
    <col min="1508" max="1508" width="14" style="112" customWidth="1"/>
    <col min="1509" max="1509" width="15.28515625" style="112" customWidth="1"/>
    <col min="1510" max="1510" width="15.5703125" style="112" customWidth="1"/>
    <col min="1511" max="1511" width="15.140625" style="112" customWidth="1"/>
    <col min="1512" max="1512" width="13.5703125" style="112" customWidth="1"/>
    <col min="1513" max="1514" width="14" style="112" customWidth="1"/>
    <col min="1515" max="1516" width="14.140625" style="112" customWidth="1"/>
    <col min="1517" max="1517" width="14.28515625" style="112" customWidth="1"/>
    <col min="1518" max="1518" width="12.140625" style="112" customWidth="1"/>
    <col min="1519" max="1519" width="14.5703125" style="112" customWidth="1"/>
    <col min="1520" max="1520" width="14.7109375" style="112" customWidth="1"/>
    <col min="1521" max="1521" width="13" style="112" customWidth="1"/>
    <col min="1522" max="1522" width="14.5703125" style="112" customWidth="1"/>
    <col min="1523" max="1523" width="12.28515625" style="112" customWidth="1"/>
    <col min="1524" max="1524" width="15.28515625" style="112" customWidth="1"/>
    <col min="1525" max="1525" width="12.85546875" style="112" customWidth="1"/>
    <col min="1526" max="1526" width="13.85546875" style="112" customWidth="1"/>
    <col min="1527" max="1527" width="14.5703125" style="112" customWidth="1"/>
    <col min="1528" max="1529" width="14.28515625" style="112" customWidth="1"/>
    <col min="1530" max="1530" width="14.5703125" style="112" customWidth="1"/>
    <col min="1531" max="1531" width="14.28515625" style="112" customWidth="1"/>
    <col min="1532" max="1532" width="12.5703125" style="112" customWidth="1"/>
    <col min="1533" max="1533" width="11" style="112" customWidth="1"/>
    <col min="1534" max="1750" width="9.140625" style="112"/>
    <col min="1751" max="1751" width="3.5703125" style="112" customWidth="1"/>
    <col min="1752" max="1752" width="13.85546875" style="112" customWidth="1"/>
    <col min="1753" max="1753" width="15.5703125" style="112" customWidth="1"/>
    <col min="1754" max="1754" width="15.7109375" style="112" customWidth="1"/>
    <col min="1755" max="1755" width="15.42578125" style="112" customWidth="1"/>
    <col min="1756" max="1756" width="14" style="112" customWidth="1"/>
    <col min="1757" max="1758" width="13.85546875" style="112" customWidth="1"/>
    <col min="1759" max="1759" width="12.42578125" style="112" customWidth="1"/>
    <col min="1760" max="1760" width="13.85546875" style="112" customWidth="1"/>
    <col min="1761" max="1761" width="16.7109375" style="112" customWidth="1"/>
    <col min="1762" max="1763" width="14.28515625" style="112" customWidth="1"/>
    <col min="1764" max="1764" width="14" style="112" customWidth="1"/>
    <col min="1765" max="1765" width="15.28515625" style="112" customWidth="1"/>
    <col min="1766" max="1766" width="15.5703125" style="112" customWidth="1"/>
    <col min="1767" max="1767" width="15.140625" style="112" customWidth="1"/>
    <col min="1768" max="1768" width="13.5703125" style="112" customWidth="1"/>
    <col min="1769" max="1770" width="14" style="112" customWidth="1"/>
    <col min="1771" max="1772" width="14.140625" style="112" customWidth="1"/>
    <col min="1773" max="1773" width="14.28515625" style="112" customWidth="1"/>
    <col min="1774" max="1774" width="12.140625" style="112" customWidth="1"/>
    <col min="1775" max="1775" width="14.5703125" style="112" customWidth="1"/>
    <col min="1776" max="1776" width="14.7109375" style="112" customWidth="1"/>
    <col min="1777" max="1777" width="13" style="112" customWidth="1"/>
    <col min="1778" max="1778" width="14.5703125" style="112" customWidth="1"/>
    <col min="1779" max="1779" width="12.28515625" style="112" customWidth="1"/>
    <col min="1780" max="1780" width="15.28515625" style="112" customWidth="1"/>
    <col min="1781" max="1781" width="12.85546875" style="112" customWidth="1"/>
    <col min="1782" max="1782" width="13.85546875" style="112" customWidth="1"/>
    <col min="1783" max="1783" width="14.5703125" style="112" customWidth="1"/>
    <col min="1784" max="1785" width="14.28515625" style="112" customWidth="1"/>
    <col min="1786" max="1786" width="14.5703125" style="112" customWidth="1"/>
    <col min="1787" max="1787" width="14.28515625" style="112" customWidth="1"/>
    <col min="1788" max="1788" width="12.5703125" style="112" customWidth="1"/>
    <col min="1789" max="1789" width="11" style="112" customWidth="1"/>
    <col min="1790" max="2006" width="9.140625" style="112"/>
    <col min="2007" max="2007" width="3.5703125" style="112" customWidth="1"/>
    <col min="2008" max="2008" width="13.85546875" style="112" customWidth="1"/>
    <col min="2009" max="2009" width="15.5703125" style="112" customWidth="1"/>
    <col min="2010" max="2010" width="15.7109375" style="112" customWidth="1"/>
    <col min="2011" max="2011" width="15.42578125" style="112" customWidth="1"/>
    <col min="2012" max="2012" width="14" style="112" customWidth="1"/>
    <col min="2013" max="2014" width="13.85546875" style="112" customWidth="1"/>
    <col min="2015" max="2015" width="12.42578125" style="112" customWidth="1"/>
    <col min="2016" max="2016" width="13.85546875" style="112" customWidth="1"/>
    <col min="2017" max="2017" width="16.7109375" style="112" customWidth="1"/>
    <col min="2018" max="2019" width="14.28515625" style="112" customWidth="1"/>
    <col min="2020" max="2020" width="14" style="112" customWidth="1"/>
    <col min="2021" max="2021" width="15.28515625" style="112" customWidth="1"/>
    <col min="2022" max="2022" width="15.5703125" style="112" customWidth="1"/>
    <col min="2023" max="2023" width="15.140625" style="112" customWidth="1"/>
    <col min="2024" max="2024" width="13.5703125" style="112" customWidth="1"/>
    <col min="2025" max="2026" width="14" style="112" customWidth="1"/>
    <col min="2027" max="2028" width="14.140625" style="112" customWidth="1"/>
    <col min="2029" max="2029" width="14.28515625" style="112" customWidth="1"/>
    <col min="2030" max="2030" width="12.140625" style="112" customWidth="1"/>
    <col min="2031" max="2031" width="14.5703125" style="112" customWidth="1"/>
    <col min="2032" max="2032" width="14.7109375" style="112" customWidth="1"/>
    <col min="2033" max="2033" width="13" style="112" customWidth="1"/>
    <col min="2034" max="2034" width="14.5703125" style="112" customWidth="1"/>
    <col min="2035" max="2035" width="12.28515625" style="112" customWidth="1"/>
    <col min="2036" max="2036" width="15.28515625" style="112" customWidth="1"/>
    <col min="2037" max="2037" width="12.85546875" style="112" customWidth="1"/>
    <col min="2038" max="2038" width="13.85546875" style="112" customWidth="1"/>
    <col min="2039" max="2039" width="14.5703125" style="112" customWidth="1"/>
    <col min="2040" max="2041" width="14.28515625" style="112" customWidth="1"/>
    <col min="2042" max="2042" width="14.5703125" style="112" customWidth="1"/>
    <col min="2043" max="2043" width="14.28515625" style="112" customWidth="1"/>
    <col min="2044" max="2044" width="12.5703125" style="112" customWidth="1"/>
    <col min="2045" max="2045" width="11" style="112" customWidth="1"/>
    <col min="2046" max="2262" width="9.140625" style="112"/>
    <col min="2263" max="2263" width="3.5703125" style="112" customWidth="1"/>
    <col min="2264" max="2264" width="13.85546875" style="112" customWidth="1"/>
    <col min="2265" max="2265" width="15.5703125" style="112" customWidth="1"/>
    <col min="2266" max="2266" width="15.7109375" style="112" customWidth="1"/>
    <col min="2267" max="2267" width="15.42578125" style="112" customWidth="1"/>
    <col min="2268" max="2268" width="14" style="112" customWidth="1"/>
    <col min="2269" max="2270" width="13.85546875" style="112" customWidth="1"/>
    <col min="2271" max="2271" width="12.42578125" style="112" customWidth="1"/>
    <col min="2272" max="2272" width="13.85546875" style="112" customWidth="1"/>
    <col min="2273" max="2273" width="16.7109375" style="112" customWidth="1"/>
    <col min="2274" max="2275" width="14.28515625" style="112" customWidth="1"/>
    <col min="2276" max="2276" width="14" style="112" customWidth="1"/>
    <col min="2277" max="2277" width="15.28515625" style="112" customWidth="1"/>
    <col min="2278" max="2278" width="15.5703125" style="112" customWidth="1"/>
    <col min="2279" max="2279" width="15.140625" style="112" customWidth="1"/>
    <col min="2280" max="2280" width="13.5703125" style="112" customWidth="1"/>
    <col min="2281" max="2282" width="14" style="112" customWidth="1"/>
    <col min="2283" max="2284" width="14.140625" style="112" customWidth="1"/>
    <col min="2285" max="2285" width="14.28515625" style="112" customWidth="1"/>
    <col min="2286" max="2286" width="12.140625" style="112" customWidth="1"/>
    <col min="2287" max="2287" width="14.5703125" style="112" customWidth="1"/>
    <col min="2288" max="2288" width="14.7109375" style="112" customWidth="1"/>
    <col min="2289" max="2289" width="13" style="112" customWidth="1"/>
    <col min="2290" max="2290" width="14.5703125" style="112" customWidth="1"/>
    <col min="2291" max="2291" width="12.28515625" style="112" customWidth="1"/>
    <col min="2292" max="2292" width="15.28515625" style="112" customWidth="1"/>
    <col min="2293" max="2293" width="12.85546875" style="112" customWidth="1"/>
    <col min="2294" max="2294" width="13.85546875" style="112" customWidth="1"/>
    <col min="2295" max="2295" width="14.5703125" style="112" customWidth="1"/>
    <col min="2296" max="2297" width="14.28515625" style="112" customWidth="1"/>
    <col min="2298" max="2298" width="14.5703125" style="112" customWidth="1"/>
    <col min="2299" max="2299" width="14.28515625" style="112" customWidth="1"/>
    <col min="2300" max="2300" width="12.5703125" style="112" customWidth="1"/>
    <col min="2301" max="2301" width="11" style="112" customWidth="1"/>
    <col min="2302" max="2518" width="9.140625" style="112"/>
    <col min="2519" max="2519" width="3.5703125" style="112" customWidth="1"/>
    <col min="2520" max="2520" width="13.85546875" style="112" customWidth="1"/>
    <col min="2521" max="2521" width="15.5703125" style="112" customWidth="1"/>
    <col min="2522" max="2522" width="15.7109375" style="112" customWidth="1"/>
    <col min="2523" max="2523" width="15.42578125" style="112" customWidth="1"/>
    <col min="2524" max="2524" width="14" style="112" customWidth="1"/>
    <col min="2525" max="2526" width="13.85546875" style="112" customWidth="1"/>
    <col min="2527" max="2527" width="12.42578125" style="112" customWidth="1"/>
    <col min="2528" max="2528" width="13.85546875" style="112" customWidth="1"/>
    <col min="2529" max="2529" width="16.7109375" style="112" customWidth="1"/>
    <col min="2530" max="2531" width="14.28515625" style="112" customWidth="1"/>
    <col min="2532" max="2532" width="14" style="112" customWidth="1"/>
    <col min="2533" max="2533" width="15.28515625" style="112" customWidth="1"/>
    <col min="2534" max="2534" width="15.5703125" style="112" customWidth="1"/>
    <col min="2535" max="2535" width="15.140625" style="112" customWidth="1"/>
    <col min="2536" max="2536" width="13.5703125" style="112" customWidth="1"/>
    <col min="2537" max="2538" width="14" style="112" customWidth="1"/>
    <col min="2539" max="2540" width="14.140625" style="112" customWidth="1"/>
    <col min="2541" max="2541" width="14.28515625" style="112" customWidth="1"/>
    <col min="2542" max="2542" width="12.140625" style="112" customWidth="1"/>
    <col min="2543" max="2543" width="14.5703125" style="112" customWidth="1"/>
    <col min="2544" max="2544" width="14.7109375" style="112" customWidth="1"/>
    <col min="2545" max="2545" width="13" style="112" customWidth="1"/>
    <col min="2546" max="2546" width="14.5703125" style="112" customWidth="1"/>
    <col min="2547" max="2547" width="12.28515625" style="112" customWidth="1"/>
    <col min="2548" max="2548" width="15.28515625" style="112" customWidth="1"/>
    <col min="2549" max="2549" width="12.85546875" style="112" customWidth="1"/>
    <col min="2550" max="2550" width="13.85546875" style="112" customWidth="1"/>
    <col min="2551" max="2551" width="14.5703125" style="112" customWidth="1"/>
    <col min="2552" max="2553" width="14.28515625" style="112" customWidth="1"/>
    <col min="2554" max="2554" width="14.5703125" style="112" customWidth="1"/>
    <col min="2555" max="2555" width="14.28515625" style="112" customWidth="1"/>
    <col min="2556" max="2556" width="12.5703125" style="112" customWidth="1"/>
    <col min="2557" max="2557" width="11" style="112" customWidth="1"/>
    <col min="2558" max="2774" width="9.140625" style="112"/>
    <col min="2775" max="2775" width="3.5703125" style="112" customWidth="1"/>
    <col min="2776" max="2776" width="13.85546875" style="112" customWidth="1"/>
    <col min="2777" max="2777" width="15.5703125" style="112" customWidth="1"/>
    <col min="2778" max="2778" width="15.7109375" style="112" customWidth="1"/>
    <col min="2779" max="2779" width="15.42578125" style="112" customWidth="1"/>
    <col min="2780" max="2780" width="14" style="112" customWidth="1"/>
    <col min="2781" max="2782" width="13.85546875" style="112" customWidth="1"/>
    <col min="2783" max="2783" width="12.42578125" style="112" customWidth="1"/>
    <col min="2784" max="2784" width="13.85546875" style="112" customWidth="1"/>
    <col min="2785" max="2785" width="16.7109375" style="112" customWidth="1"/>
    <col min="2786" max="2787" width="14.28515625" style="112" customWidth="1"/>
    <col min="2788" max="2788" width="14" style="112" customWidth="1"/>
    <col min="2789" max="2789" width="15.28515625" style="112" customWidth="1"/>
    <col min="2790" max="2790" width="15.5703125" style="112" customWidth="1"/>
    <col min="2791" max="2791" width="15.140625" style="112" customWidth="1"/>
    <col min="2792" max="2792" width="13.5703125" style="112" customWidth="1"/>
    <col min="2793" max="2794" width="14" style="112" customWidth="1"/>
    <col min="2795" max="2796" width="14.140625" style="112" customWidth="1"/>
    <col min="2797" max="2797" width="14.28515625" style="112" customWidth="1"/>
    <col min="2798" max="2798" width="12.140625" style="112" customWidth="1"/>
    <col min="2799" max="2799" width="14.5703125" style="112" customWidth="1"/>
    <col min="2800" max="2800" width="14.7109375" style="112" customWidth="1"/>
    <col min="2801" max="2801" width="13" style="112" customWidth="1"/>
    <col min="2802" max="2802" width="14.5703125" style="112" customWidth="1"/>
    <col min="2803" max="2803" width="12.28515625" style="112" customWidth="1"/>
    <col min="2804" max="2804" width="15.28515625" style="112" customWidth="1"/>
    <col min="2805" max="2805" width="12.85546875" style="112" customWidth="1"/>
    <col min="2806" max="2806" width="13.85546875" style="112" customWidth="1"/>
    <col min="2807" max="2807" width="14.5703125" style="112" customWidth="1"/>
    <col min="2808" max="2809" width="14.28515625" style="112" customWidth="1"/>
    <col min="2810" max="2810" width="14.5703125" style="112" customWidth="1"/>
    <col min="2811" max="2811" width="14.28515625" style="112" customWidth="1"/>
    <col min="2812" max="2812" width="12.5703125" style="112" customWidth="1"/>
    <col min="2813" max="2813" width="11" style="112" customWidth="1"/>
    <col min="2814" max="3030" width="9.140625" style="112"/>
    <col min="3031" max="3031" width="3.5703125" style="112" customWidth="1"/>
    <col min="3032" max="3032" width="13.85546875" style="112" customWidth="1"/>
    <col min="3033" max="3033" width="15.5703125" style="112" customWidth="1"/>
    <col min="3034" max="3034" width="15.7109375" style="112" customWidth="1"/>
    <col min="3035" max="3035" width="15.42578125" style="112" customWidth="1"/>
    <col min="3036" max="3036" width="14" style="112" customWidth="1"/>
    <col min="3037" max="3038" width="13.85546875" style="112" customWidth="1"/>
    <col min="3039" max="3039" width="12.42578125" style="112" customWidth="1"/>
    <col min="3040" max="3040" width="13.85546875" style="112" customWidth="1"/>
    <col min="3041" max="3041" width="16.7109375" style="112" customWidth="1"/>
    <col min="3042" max="3043" width="14.28515625" style="112" customWidth="1"/>
    <col min="3044" max="3044" width="14" style="112" customWidth="1"/>
    <col min="3045" max="3045" width="15.28515625" style="112" customWidth="1"/>
    <col min="3046" max="3046" width="15.5703125" style="112" customWidth="1"/>
    <col min="3047" max="3047" width="15.140625" style="112" customWidth="1"/>
    <col min="3048" max="3048" width="13.5703125" style="112" customWidth="1"/>
    <col min="3049" max="3050" width="14" style="112" customWidth="1"/>
    <col min="3051" max="3052" width="14.140625" style="112" customWidth="1"/>
    <col min="3053" max="3053" width="14.28515625" style="112" customWidth="1"/>
    <col min="3054" max="3054" width="12.140625" style="112" customWidth="1"/>
    <col min="3055" max="3055" width="14.5703125" style="112" customWidth="1"/>
    <col min="3056" max="3056" width="14.7109375" style="112" customWidth="1"/>
    <col min="3057" max="3057" width="13" style="112" customWidth="1"/>
    <col min="3058" max="3058" width="14.5703125" style="112" customWidth="1"/>
    <col min="3059" max="3059" width="12.28515625" style="112" customWidth="1"/>
    <col min="3060" max="3060" width="15.28515625" style="112" customWidth="1"/>
    <col min="3061" max="3061" width="12.85546875" style="112" customWidth="1"/>
    <col min="3062" max="3062" width="13.85546875" style="112" customWidth="1"/>
    <col min="3063" max="3063" width="14.5703125" style="112" customWidth="1"/>
    <col min="3064" max="3065" width="14.28515625" style="112" customWidth="1"/>
    <col min="3066" max="3066" width="14.5703125" style="112" customWidth="1"/>
    <col min="3067" max="3067" width="14.28515625" style="112" customWidth="1"/>
    <col min="3068" max="3068" width="12.5703125" style="112" customWidth="1"/>
    <col min="3069" max="3069" width="11" style="112" customWidth="1"/>
    <col min="3070" max="3286" width="9.140625" style="112"/>
    <col min="3287" max="3287" width="3.5703125" style="112" customWidth="1"/>
    <col min="3288" max="3288" width="13.85546875" style="112" customWidth="1"/>
    <col min="3289" max="3289" width="15.5703125" style="112" customWidth="1"/>
    <col min="3290" max="3290" width="15.7109375" style="112" customWidth="1"/>
    <col min="3291" max="3291" width="15.42578125" style="112" customWidth="1"/>
    <col min="3292" max="3292" width="14" style="112" customWidth="1"/>
    <col min="3293" max="3294" width="13.85546875" style="112" customWidth="1"/>
    <col min="3295" max="3295" width="12.42578125" style="112" customWidth="1"/>
    <col min="3296" max="3296" width="13.85546875" style="112" customWidth="1"/>
    <col min="3297" max="3297" width="16.7109375" style="112" customWidth="1"/>
    <col min="3298" max="3299" width="14.28515625" style="112" customWidth="1"/>
    <col min="3300" max="3300" width="14" style="112" customWidth="1"/>
    <col min="3301" max="3301" width="15.28515625" style="112" customWidth="1"/>
    <col min="3302" max="3302" width="15.5703125" style="112" customWidth="1"/>
    <col min="3303" max="3303" width="15.140625" style="112" customWidth="1"/>
    <col min="3304" max="3304" width="13.5703125" style="112" customWidth="1"/>
    <col min="3305" max="3306" width="14" style="112" customWidth="1"/>
    <col min="3307" max="3308" width="14.140625" style="112" customWidth="1"/>
    <col min="3309" max="3309" width="14.28515625" style="112" customWidth="1"/>
    <col min="3310" max="3310" width="12.140625" style="112" customWidth="1"/>
    <col min="3311" max="3311" width="14.5703125" style="112" customWidth="1"/>
    <col min="3312" max="3312" width="14.7109375" style="112" customWidth="1"/>
    <col min="3313" max="3313" width="13" style="112" customWidth="1"/>
    <col min="3314" max="3314" width="14.5703125" style="112" customWidth="1"/>
    <col min="3315" max="3315" width="12.28515625" style="112" customWidth="1"/>
    <col min="3316" max="3316" width="15.28515625" style="112" customWidth="1"/>
    <col min="3317" max="3317" width="12.85546875" style="112" customWidth="1"/>
    <col min="3318" max="3318" width="13.85546875" style="112" customWidth="1"/>
    <col min="3319" max="3319" width="14.5703125" style="112" customWidth="1"/>
    <col min="3320" max="3321" width="14.28515625" style="112" customWidth="1"/>
    <col min="3322" max="3322" width="14.5703125" style="112" customWidth="1"/>
    <col min="3323" max="3323" width="14.28515625" style="112" customWidth="1"/>
    <col min="3324" max="3324" width="12.5703125" style="112" customWidth="1"/>
    <col min="3325" max="3325" width="11" style="112" customWidth="1"/>
    <col min="3326" max="3542" width="9.140625" style="112"/>
    <col min="3543" max="3543" width="3.5703125" style="112" customWidth="1"/>
    <col min="3544" max="3544" width="13.85546875" style="112" customWidth="1"/>
    <col min="3545" max="3545" width="15.5703125" style="112" customWidth="1"/>
    <col min="3546" max="3546" width="15.7109375" style="112" customWidth="1"/>
    <col min="3547" max="3547" width="15.42578125" style="112" customWidth="1"/>
    <col min="3548" max="3548" width="14" style="112" customWidth="1"/>
    <col min="3549" max="3550" width="13.85546875" style="112" customWidth="1"/>
    <col min="3551" max="3551" width="12.42578125" style="112" customWidth="1"/>
    <col min="3552" max="3552" width="13.85546875" style="112" customWidth="1"/>
    <col min="3553" max="3553" width="16.7109375" style="112" customWidth="1"/>
    <col min="3554" max="3555" width="14.28515625" style="112" customWidth="1"/>
    <col min="3556" max="3556" width="14" style="112" customWidth="1"/>
    <col min="3557" max="3557" width="15.28515625" style="112" customWidth="1"/>
    <col min="3558" max="3558" width="15.5703125" style="112" customWidth="1"/>
    <col min="3559" max="3559" width="15.140625" style="112" customWidth="1"/>
    <col min="3560" max="3560" width="13.5703125" style="112" customWidth="1"/>
    <col min="3561" max="3562" width="14" style="112" customWidth="1"/>
    <col min="3563" max="3564" width="14.140625" style="112" customWidth="1"/>
    <col min="3565" max="3565" width="14.28515625" style="112" customWidth="1"/>
    <col min="3566" max="3566" width="12.140625" style="112" customWidth="1"/>
    <col min="3567" max="3567" width="14.5703125" style="112" customWidth="1"/>
    <col min="3568" max="3568" width="14.7109375" style="112" customWidth="1"/>
    <col min="3569" max="3569" width="13" style="112" customWidth="1"/>
    <col min="3570" max="3570" width="14.5703125" style="112" customWidth="1"/>
    <col min="3571" max="3571" width="12.28515625" style="112" customWidth="1"/>
    <col min="3572" max="3572" width="15.28515625" style="112" customWidth="1"/>
    <col min="3573" max="3573" width="12.85546875" style="112" customWidth="1"/>
    <col min="3574" max="3574" width="13.85546875" style="112" customWidth="1"/>
    <col min="3575" max="3575" width="14.5703125" style="112" customWidth="1"/>
    <col min="3576" max="3577" width="14.28515625" style="112" customWidth="1"/>
    <col min="3578" max="3578" width="14.5703125" style="112" customWidth="1"/>
    <col min="3579" max="3579" width="14.28515625" style="112" customWidth="1"/>
    <col min="3580" max="3580" width="12.5703125" style="112" customWidth="1"/>
    <col min="3581" max="3581" width="11" style="112" customWidth="1"/>
    <col min="3582" max="3798" width="9.140625" style="112"/>
    <col min="3799" max="3799" width="3.5703125" style="112" customWidth="1"/>
    <col min="3800" max="3800" width="13.85546875" style="112" customWidth="1"/>
    <col min="3801" max="3801" width="15.5703125" style="112" customWidth="1"/>
    <col min="3802" max="3802" width="15.7109375" style="112" customWidth="1"/>
    <col min="3803" max="3803" width="15.42578125" style="112" customWidth="1"/>
    <col min="3804" max="3804" width="14" style="112" customWidth="1"/>
    <col min="3805" max="3806" width="13.85546875" style="112" customWidth="1"/>
    <col min="3807" max="3807" width="12.42578125" style="112" customWidth="1"/>
    <col min="3808" max="3808" width="13.85546875" style="112" customWidth="1"/>
    <col min="3809" max="3809" width="16.7109375" style="112" customWidth="1"/>
    <col min="3810" max="3811" width="14.28515625" style="112" customWidth="1"/>
    <col min="3812" max="3812" width="14" style="112" customWidth="1"/>
    <col min="3813" max="3813" width="15.28515625" style="112" customWidth="1"/>
    <col min="3814" max="3814" width="15.5703125" style="112" customWidth="1"/>
    <col min="3815" max="3815" width="15.140625" style="112" customWidth="1"/>
    <col min="3816" max="3816" width="13.5703125" style="112" customWidth="1"/>
    <col min="3817" max="3818" width="14" style="112" customWidth="1"/>
    <col min="3819" max="3820" width="14.140625" style="112" customWidth="1"/>
    <col min="3821" max="3821" width="14.28515625" style="112" customWidth="1"/>
    <col min="3822" max="3822" width="12.140625" style="112" customWidth="1"/>
    <col min="3823" max="3823" width="14.5703125" style="112" customWidth="1"/>
    <col min="3824" max="3824" width="14.7109375" style="112" customWidth="1"/>
    <col min="3825" max="3825" width="13" style="112" customWidth="1"/>
    <col min="3826" max="3826" width="14.5703125" style="112" customWidth="1"/>
    <col min="3827" max="3827" width="12.28515625" style="112" customWidth="1"/>
    <col min="3828" max="3828" width="15.28515625" style="112" customWidth="1"/>
    <col min="3829" max="3829" width="12.85546875" style="112" customWidth="1"/>
    <col min="3830" max="3830" width="13.85546875" style="112" customWidth="1"/>
    <col min="3831" max="3831" width="14.5703125" style="112" customWidth="1"/>
    <col min="3832" max="3833" width="14.28515625" style="112" customWidth="1"/>
    <col min="3834" max="3834" width="14.5703125" style="112" customWidth="1"/>
    <col min="3835" max="3835" width="14.28515625" style="112" customWidth="1"/>
    <col min="3836" max="3836" width="12.5703125" style="112" customWidth="1"/>
    <col min="3837" max="3837" width="11" style="112" customWidth="1"/>
    <col min="3838" max="4054" width="9.140625" style="112"/>
    <col min="4055" max="4055" width="3.5703125" style="112" customWidth="1"/>
    <col min="4056" max="4056" width="13.85546875" style="112" customWidth="1"/>
    <col min="4057" max="4057" width="15.5703125" style="112" customWidth="1"/>
    <col min="4058" max="4058" width="15.7109375" style="112" customWidth="1"/>
    <col min="4059" max="4059" width="15.42578125" style="112" customWidth="1"/>
    <col min="4060" max="4060" width="14" style="112" customWidth="1"/>
    <col min="4061" max="4062" width="13.85546875" style="112" customWidth="1"/>
    <col min="4063" max="4063" width="12.42578125" style="112" customWidth="1"/>
    <col min="4064" max="4064" width="13.85546875" style="112" customWidth="1"/>
    <col min="4065" max="4065" width="16.7109375" style="112" customWidth="1"/>
    <col min="4066" max="4067" width="14.28515625" style="112" customWidth="1"/>
    <col min="4068" max="4068" width="14" style="112" customWidth="1"/>
    <col min="4069" max="4069" width="15.28515625" style="112" customWidth="1"/>
    <col min="4070" max="4070" width="15.5703125" style="112" customWidth="1"/>
    <col min="4071" max="4071" width="15.140625" style="112" customWidth="1"/>
    <col min="4072" max="4072" width="13.5703125" style="112" customWidth="1"/>
    <col min="4073" max="4074" width="14" style="112" customWidth="1"/>
    <col min="4075" max="4076" width="14.140625" style="112" customWidth="1"/>
    <col min="4077" max="4077" width="14.28515625" style="112" customWidth="1"/>
    <col min="4078" max="4078" width="12.140625" style="112" customWidth="1"/>
    <col min="4079" max="4079" width="14.5703125" style="112" customWidth="1"/>
    <col min="4080" max="4080" width="14.7109375" style="112" customWidth="1"/>
    <col min="4081" max="4081" width="13" style="112" customWidth="1"/>
    <col min="4082" max="4082" width="14.5703125" style="112" customWidth="1"/>
    <col min="4083" max="4083" width="12.28515625" style="112" customWidth="1"/>
    <col min="4084" max="4084" width="15.28515625" style="112" customWidth="1"/>
    <col min="4085" max="4085" width="12.85546875" style="112" customWidth="1"/>
    <col min="4086" max="4086" width="13.85546875" style="112" customWidth="1"/>
    <col min="4087" max="4087" width="14.5703125" style="112" customWidth="1"/>
    <col min="4088" max="4089" width="14.28515625" style="112" customWidth="1"/>
    <col min="4090" max="4090" width="14.5703125" style="112" customWidth="1"/>
    <col min="4091" max="4091" width="14.28515625" style="112" customWidth="1"/>
    <col min="4092" max="4092" width="12.5703125" style="112" customWidth="1"/>
    <col min="4093" max="4093" width="11" style="112" customWidth="1"/>
    <col min="4094" max="4310" width="9.140625" style="112"/>
    <col min="4311" max="4311" width="3.5703125" style="112" customWidth="1"/>
    <col min="4312" max="4312" width="13.85546875" style="112" customWidth="1"/>
    <col min="4313" max="4313" width="15.5703125" style="112" customWidth="1"/>
    <col min="4314" max="4314" width="15.7109375" style="112" customWidth="1"/>
    <col min="4315" max="4315" width="15.42578125" style="112" customWidth="1"/>
    <col min="4316" max="4316" width="14" style="112" customWidth="1"/>
    <col min="4317" max="4318" width="13.85546875" style="112" customWidth="1"/>
    <col min="4319" max="4319" width="12.42578125" style="112" customWidth="1"/>
    <col min="4320" max="4320" width="13.85546875" style="112" customWidth="1"/>
    <col min="4321" max="4321" width="16.7109375" style="112" customWidth="1"/>
    <col min="4322" max="4323" width="14.28515625" style="112" customWidth="1"/>
    <col min="4324" max="4324" width="14" style="112" customWidth="1"/>
    <col min="4325" max="4325" width="15.28515625" style="112" customWidth="1"/>
    <col min="4326" max="4326" width="15.5703125" style="112" customWidth="1"/>
    <col min="4327" max="4327" width="15.140625" style="112" customWidth="1"/>
    <col min="4328" max="4328" width="13.5703125" style="112" customWidth="1"/>
    <col min="4329" max="4330" width="14" style="112" customWidth="1"/>
    <col min="4331" max="4332" width="14.140625" style="112" customWidth="1"/>
    <col min="4333" max="4333" width="14.28515625" style="112" customWidth="1"/>
    <col min="4334" max="4334" width="12.140625" style="112" customWidth="1"/>
    <col min="4335" max="4335" width="14.5703125" style="112" customWidth="1"/>
    <col min="4336" max="4336" width="14.7109375" style="112" customWidth="1"/>
    <col min="4337" max="4337" width="13" style="112" customWidth="1"/>
    <col min="4338" max="4338" width="14.5703125" style="112" customWidth="1"/>
    <col min="4339" max="4339" width="12.28515625" style="112" customWidth="1"/>
    <col min="4340" max="4340" width="15.28515625" style="112" customWidth="1"/>
    <col min="4341" max="4341" width="12.85546875" style="112" customWidth="1"/>
    <col min="4342" max="4342" width="13.85546875" style="112" customWidth="1"/>
    <col min="4343" max="4343" width="14.5703125" style="112" customWidth="1"/>
    <col min="4344" max="4345" width="14.28515625" style="112" customWidth="1"/>
    <col min="4346" max="4346" width="14.5703125" style="112" customWidth="1"/>
    <col min="4347" max="4347" width="14.28515625" style="112" customWidth="1"/>
    <col min="4348" max="4348" width="12.5703125" style="112" customWidth="1"/>
    <col min="4349" max="4349" width="11" style="112" customWidth="1"/>
    <col min="4350" max="4566" width="9.140625" style="112"/>
    <col min="4567" max="4567" width="3.5703125" style="112" customWidth="1"/>
    <col min="4568" max="4568" width="13.85546875" style="112" customWidth="1"/>
    <col min="4569" max="4569" width="15.5703125" style="112" customWidth="1"/>
    <col min="4570" max="4570" width="15.7109375" style="112" customWidth="1"/>
    <col min="4571" max="4571" width="15.42578125" style="112" customWidth="1"/>
    <col min="4572" max="4572" width="14" style="112" customWidth="1"/>
    <col min="4573" max="4574" width="13.85546875" style="112" customWidth="1"/>
    <col min="4575" max="4575" width="12.42578125" style="112" customWidth="1"/>
    <col min="4576" max="4576" width="13.85546875" style="112" customWidth="1"/>
    <col min="4577" max="4577" width="16.7109375" style="112" customWidth="1"/>
    <col min="4578" max="4579" width="14.28515625" style="112" customWidth="1"/>
    <col min="4580" max="4580" width="14" style="112" customWidth="1"/>
    <col min="4581" max="4581" width="15.28515625" style="112" customWidth="1"/>
    <col min="4582" max="4582" width="15.5703125" style="112" customWidth="1"/>
    <col min="4583" max="4583" width="15.140625" style="112" customWidth="1"/>
    <col min="4584" max="4584" width="13.5703125" style="112" customWidth="1"/>
    <col min="4585" max="4586" width="14" style="112" customWidth="1"/>
    <col min="4587" max="4588" width="14.140625" style="112" customWidth="1"/>
    <col min="4589" max="4589" width="14.28515625" style="112" customWidth="1"/>
    <col min="4590" max="4590" width="12.140625" style="112" customWidth="1"/>
    <col min="4591" max="4591" width="14.5703125" style="112" customWidth="1"/>
    <col min="4592" max="4592" width="14.7109375" style="112" customWidth="1"/>
    <col min="4593" max="4593" width="13" style="112" customWidth="1"/>
    <col min="4594" max="4594" width="14.5703125" style="112" customWidth="1"/>
    <col min="4595" max="4595" width="12.28515625" style="112" customWidth="1"/>
    <col min="4596" max="4596" width="15.28515625" style="112" customWidth="1"/>
    <col min="4597" max="4597" width="12.85546875" style="112" customWidth="1"/>
    <col min="4598" max="4598" width="13.85546875" style="112" customWidth="1"/>
    <col min="4599" max="4599" width="14.5703125" style="112" customWidth="1"/>
    <col min="4600" max="4601" width="14.28515625" style="112" customWidth="1"/>
    <col min="4602" max="4602" width="14.5703125" style="112" customWidth="1"/>
    <col min="4603" max="4603" width="14.28515625" style="112" customWidth="1"/>
    <col min="4604" max="4604" width="12.5703125" style="112" customWidth="1"/>
    <col min="4605" max="4605" width="11" style="112" customWidth="1"/>
    <col min="4606" max="4822" width="9.140625" style="112"/>
    <col min="4823" max="4823" width="3.5703125" style="112" customWidth="1"/>
    <col min="4824" max="4824" width="13.85546875" style="112" customWidth="1"/>
    <col min="4825" max="4825" width="15.5703125" style="112" customWidth="1"/>
    <col min="4826" max="4826" width="15.7109375" style="112" customWidth="1"/>
    <col min="4827" max="4827" width="15.42578125" style="112" customWidth="1"/>
    <col min="4828" max="4828" width="14" style="112" customWidth="1"/>
    <col min="4829" max="4830" width="13.85546875" style="112" customWidth="1"/>
    <col min="4831" max="4831" width="12.42578125" style="112" customWidth="1"/>
    <col min="4832" max="4832" width="13.85546875" style="112" customWidth="1"/>
    <col min="4833" max="4833" width="16.7109375" style="112" customWidth="1"/>
    <col min="4834" max="4835" width="14.28515625" style="112" customWidth="1"/>
    <col min="4836" max="4836" width="14" style="112" customWidth="1"/>
    <col min="4837" max="4837" width="15.28515625" style="112" customWidth="1"/>
    <col min="4838" max="4838" width="15.5703125" style="112" customWidth="1"/>
    <col min="4839" max="4839" width="15.140625" style="112" customWidth="1"/>
    <col min="4840" max="4840" width="13.5703125" style="112" customWidth="1"/>
    <col min="4841" max="4842" width="14" style="112" customWidth="1"/>
    <col min="4843" max="4844" width="14.140625" style="112" customWidth="1"/>
    <col min="4845" max="4845" width="14.28515625" style="112" customWidth="1"/>
    <col min="4846" max="4846" width="12.140625" style="112" customWidth="1"/>
    <col min="4847" max="4847" width="14.5703125" style="112" customWidth="1"/>
    <col min="4848" max="4848" width="14.7109375" style="112" customWidth="1"/>
    <col min="4849" max="4849" width="13" style="112" customWidth="1"/>
    <col min="4850" max="4850" width="14.5703125" style="112" customWidth="1"/>
    <col min="4851" max="4851" width="12.28515625" style="112" customWidth="1"/>
    <col min="4852" max="4852" width="15.28515625" style="112" customWidth="1"/>
    <col min="4853" max="4853" width="12.85546875" style="112" customWidth="1"/>
    <col min="4854" max="4854" width="13.85546875" style="112" customWidth="1"/>
    <col min="4855" max="4855" width="14.5703125" style="112" customWidth="1"/>
    <col min="4856" max="4857" width="14.28515625" style="112" customWidth="1"/>
    <col min="4858" max="4858" width="14.5703125" style="112" customWidth="1"/>
    <col min="4859" max="4859" width="14.28515625" style="112" customWidth="1"/>
    <col min="4860" max="4860" width="12.5703125" style="112" customWidth="1"/>
    <col min="4861" max="4861" width="11" style="112" customWidth="1"/>
    <col min="4862" max="5078" width="9.140625" style="112"/>
    <col min="5079" max="5079" width="3.5703125" style="112" customWidth="1"/>
    <col min="5080" max="5080" width="13.85546875" style="112" customWidth="1"/>
    <col min="5081" max="5081" width="15.5703125" style="112" customWidth="1"/>
    <col min="5082" max="5082" width="15.7109375" style="112" customWidth="1"/>
    <col min="5083" max="5083" width="15.42578125" style="112" customWidth="1"/>
    <col min="5084" max="5084" width="14" style="112" customWidth="1"/>
    <col min="5085" max="5086" width="13.85546875" style="112" customWidth="1"/>
    <col min="5087" max="5087" width="12.42578125" style="112" customWidth="1"/>
    <col min="5088" max="5088" width="13.85546875" style="112" customWidth="1"/>
    <col min="5089" max="5089" width="16.7109375" style="112" customWidth="1"/>
    <col min="5090" max="5091" width="14.28515625" style="112" customWidth="1"/>
    <col min="5092" max="5092" width="14" style="112" customWidth="1"/>
    <col min="5093" max="5093" width="15.28515625" style="112" customWidth="1"/>
    <col min="5094" max="5094" width="15.5703125" style="112" customWidth="1"/>
    <col min="5095" max="5095" width="15.140625" style="112" customWidth="1"/>
    <col min="5096" max="5096" width="13.5703125" style="112" customWidth="1"/>
    <col min="5097" max="5098" width="14" style="112" customWidth="1"/>
    <col min="5099" max="5100" width="14.140625" style="112" customWidth="1"/>
    <col min="5101" max="5101" width="14.28515625" style="112" customWidth="1"/>
    <col min="5102" max="5102" width="12.140625" style="112" customWidth="1"/>
    <col min="5103" max="5103" width="14.5703125" style="112" customWidth="1"/>
    <col min="5104" max="5104" width="14.7109375" style="112" customWidth="1"/>
    <col min="5105" max="5105" width="13" style="112" customWidth="1"/>
    <col min="5106" max="5106" width="14.5703125" style="112" customWidth="1"/>
    <col min="5107" max="5107" width="12.28515625" style="112" customWidth="1"/>
    <col min="5108" max="5108" width="15.28515625" style="112" customWidth="1"/>
    <col min="5109" max="5109" width="12.85546875" style="112" customWidth="1"/>
    <col min="5110" max="5110" width="13.85546875" style="112" customWidth="1"/>
    <col min="5111" max="5111" width="14.5703125" style="112" customWidth="1"/>
    <col min="5112" max="5113" width="14.28515625" style="112" customWidth="1"/>
    <col min="5114" max="5114" width="14.5703125" style="112" customWidth="1"/>
    <col min="5115" max="5115" width="14.28515625" style="112" customWidth="1"/>
    <col min="5116" max="5116" width="12.5703125" style="112" customWidth="1"/>
    <col min="5117" max="5117" width="11" style="112" customWidth="1"/>
    <col min="5118" max="5334" width="9.140625" style="112"/>
    <col min="5335" max="5335" width="3.5703125" style="112" customWidth="1"/>
    <col min="5336" max="5336" width="13.85546875" style="112" customWidth="1"/>
    <col min="5337" max="5337" width="15.5703125" style="112" customWidth="1"/>
    <col min="5338" max="5338" width="15.7109375" style="112" customWidth="1"/>
    <col min="5339" max="5339" width="15.42578125" style="112" customWidth="1"/>
    <col min="5340" max="5340" width="14" style="112" customWidth="1"/>
    <col min="5341" max="5342" width="13.85546875" style="112" customWidth="1"/>
    <col min="5343" max="5343" width="12.42578125" style="112" customWidth="1"/>
    <col min="5344" max="5344" width="13.85546875" style="112" customWidth="1"/>
    <col min="5345" max="5345" width="16.7109375" style="112" customWidth="1"/>
    <col min="5346" max="5347" width="14.28515625" style="112" customWidth="1"/>
    <col min="5348" max="5348" width="14" style="112" customWidth="1"/>
    <col min="5349" max="5349" width="15.28515625" style="112" customWidth="1"/>
    <col min="5350" max="5350" width="15.5703125" style="112" customWidth="1"/>
    <col min="5351" max="5351" width="15.140625" style="112" customWidth="1"/>
    <col min="5352" max="5352" width="13.5703125" style="112" customWidth="1"/>
    <col min="5353" max="5354" width="14" style="112" customWidth="1"/>
    <col min="5355" max="5356" width="14.140625" style="112" customWidth="1"/>
    <col min="5357" max="5357" width="14.28515625" style="112" customWidth="1"/>
    <col min="5358" max="5358" width="12.140625" style="112" customWidth="1"/>
    <col min="5359" max="5359" width="14.5703125" style="112" customWidth="1"/>
    <col min="5360" max="5360" width="14.7109375" style="112" customWidth="1"/>
    <col min="5361" max="5361" width="13" style="112" customWidth="1"/>
    <col min="5362" max="5362" width="14.5703125" style="112" customWidth="1"/>
    <col min="5363" max="5363" width="12.28515625" style="112" customWidth="1"/>
    <col min="5364" max="5364" width="15.28515625" style="112" customWidth="1"/>
    <col min="5365" max="5365" width="12.85546875" style="112" customWidth="1"/>
    <col min="5366" max="5366" width="13.85546875" style="112" customWidth="1"/>
    <col min="5367" max="5367" width="14.5703125" style="112" customWidth="1"/>
    <col min="5368" max="5369" width="14.28515625" style="112" customWidth="1"/>
    <col min="5370" max="5370" width="14.5703125" style="112" customWidth="1"/>
    <col min="5371" max="5371" width="14.28515625" style="112" customWidth="1"/>
    <col min="5372" max="5372" width="12.5703125" style="112" customWidth="1"/>
    <col min="5373" max="5373" width="11" style="112" customWidth="1"/>
    <col min="5374" max="5590" width="9.140625" style="112"/>
    <col min="5591" max="5591" width="3.5703125" style="112" customWidth="1"/>
    <col min="5592" max="5592" width="13.85546875" style="112" customWidth="1"/>
    <col min="5593" max="5593" width="15.5703125" style="112" customWidth="1"/>
    <col min="5594" max="5594" width="15.7109375" style="112" customWidth="1"/>
    <col min="5595" max="5595" width="15.42578125" style="112" customWidth="1"/>
    <col min="5596" max="5596" width="14" style="112" customWidth="1"/>
    <col min="5597" max="5598" width="13.85546875" style="112" customWidth="1"/>
    <col min="5599" max="5599" width="12.42578125" style="112" customWidth="1"/>
    <col min="5600" max="5600" width="13.85546875" style="112" customWidth="1"/>
    <col min="5601" max="5601" width="16.7109375" style="112" customWidth="1"/>
    <col min="5602" max="5603" width="14.28515625" style="112" customWidth="1"/>
    <col min="5604" max="5604" width="14" style="112" customWidth="1"/>
    <col min="5605" max="5605" width="15.28515625" style="112" customWidth="1"/>
    <col min="5606" max="5606" width="15.5703125" style="112" customWidth="1"/>
    <col min="5607" max="5607" width="15.140625" style="112" customWidth="1"/>
    <col min="5608" max="5608" width="13.5703125" style="112" customWidth="1"/>
    <col min="5609" max="5610" width="14" style="112" customWidth="1"/>
    <col min="5611" max="5612" width="14.140625" style="112" customWidth="1"/>
    <col min="5613" max="5613" width="14.28515625" style="112" customWidth="1"/>
    <col min="5614" max="5614" width="12.140625" style="112" customWidth="1"/>
    <col min="5615" max="5615" width="14.5703125" style="112" customWidth="1"/>
    <col min="5616" max="5616" width="14.7109375" style="112" customWidth="1"/>
    <col min="5617" max="5617" width="13" style="112" customWidth="1"/>
    <col min="5618" max="5618" width="14.5703125" style="112" customWidth="1"/>
    <col min="5619" max="5619" width="12.28515625" style="112" customWidth="1"/>
    <col min="5620" max="5620" width="15.28515625" style="112" customWidth="1"/>
    <col min="5621" max="5621" width="12.85546875" style="112" customWidth="1"/>
    <col min="5622" max="5622" width="13.85546875" style="112" customWidth="1"/>
    <col min="5623" max="5623" width="14.5703125" style="112" customWidth="1"/>
    <col min="5624" max="5625" width="14.28515625" style="112" customWidth="1"/>
    <col min="5626" max="5626" width="14.5703125" style="112" customWidth="1"/>
    <col min="5627" max="5627" width="14.28515625" style="112" customWidth="1"/>
    <col min="5628" max="5628" width="12.5703125" style="112" customWidth="1"/>
    <col min="5629" max="5629" width="11" style="112" customWidth="1"/>
    <col min="5630" max="5846" width="9.140625" style="112"/>
    <col min="5847" max="5847" width="3.5703125" style="112" customWidth="1"/>
    <col min="5848" max="5848" width="13.85546875" style="112" customWidth="1"/>
    <col min="5849" max="5849" width="15.5703125" style="112" customWidth="1"/>
    <col min="5850" max="5850" width="15.7109375" style="112" customWidth="1"/>
    <col min="5851" max="5851" width="15.42578125" style="112" customWidth="1"/>
    <col min="5852" max="5852" width="14" style="112" customWidth="1"/>
    <col min="5853" max="5854" width="13.85546875" style="112" customWidth="1"/>
    <col min="5855" max="5855" width="12.42578125" style="112" customWidth="1"/>
    <col min="5856" max="5856" width="13.85546875" style="112" customWidth="1"/>
    <col min="5857" max="5857" width="16.7109375" style="112" customWidth="1"/>
    <col min="5858" max="5859" width="14.28515625" style="112" customWidth="1"/>
    <col min="5860" max="5860" width="14" style="112" customWidth="1"/>
    <col min="5861" max="5861" width="15.28515625" style="112" customWidth="1"/>
    <col min="5862" max="5862" width="15.5703125" style="112" customWidth="1"/>
    <col min="5863" max="5863" width="15.140625" style="112" customWidth="1"/>
    <col min="5864" max="5864" width="13.5703125" style="112" customWidth="1"/>
    <col min="5865" max="5866" width="14" style="112" customWidth="1"/>
    <col min="5867" max="5868" width="14.140625" style="112" customWidth="1"/>
    <col min="5869" max="5869" width="14.28515625" style="112" customWidth="1"/>
    <col min="5870" max="5870" width="12.140625" style="112" customWidth="1"/>
    <col min="5871" max="5871" width="14.5703125" style="112" customWidth="1"/>
    <col min="5872" max="5872" width="14.7109375" style="112" customWidth="1"/>
    <col min="5873" max="5873" width="13" style="112" customWidth="1"/>
    <col min="5874" max="5874" width="14.5703125" style="112" customWidth="1"/>
    <col min="5875" max="5875" width="12.28515625" style="112" customWidth="1"/>
    <col min="5876" max="5876" width="15.28515625" style="112" customWidth="1"/>
    <col min="5877" max="5877" width="12.85546875" style="112" customWidth="1"/>
    <col min="5878" max="5878" width="13.85546875" style="112" customWidth="1"/>
    <col min="5879" max="5879" width="14.5703125" style="112" customWidth="1"/>
    <col min="5880" max="5881" width="14.28515625" style="112" customWidth="1"/>
    <col min="5882" max="5882" width="14.5703125" style="112" customWidth="1"/>
    <col min="5883" max="5883" width="14.28515625" style="112" customWidth="1"/>
    <col min="5884" max="5884" width="12.5703125" style="112" customWidth="1"/>
    <col min="5885" max="5885" width="11" style="112" customWidth="1"/>
    <col min="5886" max="6102" width="9.140625" style="112"/>
    <col min="6103" max="6103" width="3.5703125" style="112" customWidth="1"/>
    <col min="6104" max="6104" width="13.85546875" style="112" customWidth="1"/>
    <col min="6105" max="6105" width="15.5703125" style="112" customWidth="1"/>
    <col min="6106" max="6106" width="15.7109375" style="112" customWidth="1"/>
    <col min="6107" max="6107" width="15.42578125" style="112" customWidth="1"/>
    <col min="6108" max="6108" width="14" style="112" customWidth="1"/>
    <col min="6109" max="6110" width="13.85546875" style="112" customWidth="1"/>
    <col min="6111" max="6111" width="12.42578125" style="112" customWidth="1"/>
    <col min="6112" max="6112" width="13.85546875" style="112" customWidth="1"/>
    <col min="6113" max="6113" width="16.7109375" style="112" customWidth="1"/>
    <col min="6114" max="6115" width="14.28515625" style="112" customWidth="1"/>
    <col min="6116" max="6116" width="14" style="112" customWidth="1"/>
    <col min="6117" max="6117" width="15.28515625" style="112" customWidth="1"/>
    <col min="6118" max="6118" width="15.5703125" style="112" customWidth="1"/>
    <col min="6119" max="6119" width="15.140625" style="112" customWidth="1"/>
    <col min="6120" max="6120" width="13.5703125" style="112" customWidth="1"/>
    <col min="6121" max="6122" width="14" style="112" customWidth="1"/>
    <col min="6123" max="6124" width="14.140625" style="112" customWidth="1"/>
    <col min="6125" max="6125" width="14.28515625" style="112" customWidth="1"/>
    <col min="6126" max="6126" width="12.140625" style="112" customWidth="1"/>
    <col min="6127" max="6127" width="14.5703125" style="112" customWidth="1"/>
    <col min="6128" max="6128" width="14.7109375" style="112" customWidth="1"/>
    <col min="6129" max="6129" width="13" style="112" customWidth="1"/>
    <col min="6130" max="6130" width="14.5703125" style="112" customWidth="1"/>
    <col min="6131" max="6131" width="12.28515625" style="112" customWidth="1"/>
    <col min="6132" max="6132" width="15.28515625" style="112" customWidth="1"/>
    <col min="6133" max="6133" width="12.85546875" style="112" customWidth="1"/>
    <col min="6134" max="6134" width="13.85546875" style="112" customWidth="1"/>
    <col min="6135" max="6135" width="14.5703125" style="112" customWidth="1"/>
    <col min="6136" max="6137" width="14.28515625" style="112" customWidth="1"/>
    <col min="6138" max="6138" width="14.5703125" style="112" customWidth="1"/>
    <col min="6139" max="6139" width="14.28515625" style="112" customWidth="1"/>
    <col min="6140" max="6140" width="12.5703125" style="112" customWidth="1"/>
    <col min="6141" max="6141" width="11" style="112" customWidth="1"/>
    <col min="6142" max="6358" width="9.140625" style="112"/>
    <col min="6359" max="6359" width="3.5703125" style="112" customWidth="1"/>
    <col min="6360" max="6360" width="13.85546875" style="112" customWidth="1"/>
    <col min="6361" max="6361" width="15.5703125" style="112" customWidth="1"/>
    <col min="6362" max="6362" width="15.7109375" style="112" customWidth="1"/>
    <col min="6363" max="6363" width="15.42578125" style="112" customWidth="1"/>
    <col min="6364" max="6364" width="14" style="112" customWidth="1"/>
    <col min="6365" max="6366" width="13.85546875" style="112" customWidth="1"/>
    <col min="6367" max="6367" width="12.42578125" style="112" customWidth="1"/>
    <col min="6368" max="6368" width="13.85546875" style="112" customWidth="1"/>
    <col min="6369" max="6369" width="16.7109375" style="112" customWidth="1"/>
    <col min="6370" max="6371" width="14.28515625" style="112" customWidth="1"/>
    <col min="6372" max="6372" width="14" style="112" customWidth="1"/>
    <col min="6373" max="6373" width="15.28515625" style="112" customWidth="1"/>
    <col min="6374" max="6374" width="15.5703125" style="112" customWidth="1"/>
    <col min="6375" max="6375" width="15.140625" style="112" customWidth="1"/>
    <col min="6376" max="6376" width="13.5703125" style="112" customWidth="1"/>
    <col min="6377" max="6378" width="14" style="112" customWidth="1"/>
    <col min="6379" max="6380" width="14.140625" style="112" customWidth="1"/>
    <col min="6381" max="6381" width="14.28515625" style="112" customWidth="1"/>
    <col min="6382" max="6382" width="12.140625" style="112" customWidth="1"/>
    <col min="6383" max="6383" width="14.5703125" style="112" customWidth="1"/>
    <col min="6384" max="6384" width="14.7109375" style="112" customWidth="1"/>
    <col min="6385" max="6385" width="13" style="112" customWidth="1"/>
    <col min="6386" max="6386" width="14.5703125" style="112" customWidth="1"/>
    <col min="6387" max="6387" width="12.28515625" style="112" customWidth="1"/>
    <col min="6388" max="6388" width="15.28515625" style="112" customWidth="1"/>
    <col min="6389" max="6389" width="12.85546875" style="112" customWidth="1"/>
    <col min="6390" max="6390" width="13.85546875" style="112" customWidth="1"/>
    <col min="6391" max="6391" width="14.5703125" style="112" customWidth="1"/>
    <col min="6392" max="6393" width="14.28515625" style="112" customWidth="1"/>
    <col min="6394" max="6394" width="14.5703125" style="112" customWidth="1"/>
    <col min="6395" max="6395" width="14.28515625" style="112" customWidth="1"/>
    <col min="6396" max="6396" width="12.5703125" style="112" customWidth="1"/>
    <col min="6397" max="6397" width="11" style="112" customWidth="1"/>
    <col min="6398" max="6614" width="9.140625" style="112"/>
    <col min="6615" max="6615" width="3.5703125" style="112" customWidth="1"/>
    <col min="6616" max="6616" width="13.85546875" style="112" customWidth="1"/>
    <col min="6617" max="6617" width="15.5703125" style="112" customWidth="1"/>
    <col min="6618" max="6618" width="15.7109375" style="112" customWidth="1"/>
    <col min="6619" max="6619" width="15.42578125" style="112" customWidth="1"/>
    <col min="6620" max="6620" width="14" style="112" customWidth="1"/>
    <col min="6621" max="6622" width="13.85546875" style="112" customWidth="1"/>
    <col min="6623" max="6623" width="12.42578125" style="112" customWidth="1"/>
    <col min="6624" max="6624" width="13.85546875" style="112" customWidth="1"/>
    <col min="6625" max="6625" width="16.7109375" style="112" customWidth="1"/>
    <col min="6626" max="6627" width="14.28515625" style="112" customWidth="1"/>
    <col min="6628" max="6628" width="14" style="112" customWidth="1"/>
    <col min="6629" max="6629" width="15.28515625" style="112" customWidth="1"/>
    <col min="6630" max="6630" width="15.5703125" style="112" customWidth="1"/>
    <col min="6631" max="6631" width="15.140625" style="112" customWidth="1"/>
    <col min="6632" max="6632" width="13.5703125" style="112" customWidth="1"/>
    <col min="6633" max="6634" width="14" style="112" customWidth="1"/>
    <col min="6635" max="6636" width="14.140625" style="112" customWidth="1"/>
    <col min="6637" max="6637" width="14.28515625" style="112" customWidth="1"/>
    <col min="6638" max="6638" width="12.140625" style="112" customWidth="1"/>
    <col min="6639" max="6639" width="14.5703125" style="112" customWidth="1"/>
    <col min="6640" max="6640" width="14.7109375" style="112" customWidth="1"/>
    <col min="6641" max="6641" width="13" style="112" customWidth="1"/>
    <col min="6642" max="6642" width="14.5703125" style="112" customWidth="1"/>
    <col min="6643" max="6643" width="12.28515625" style="112" customWidth="1"/>
    <col min="6644" max="6644" width="15.28515625" style="112" customWidth="1"/>
    <col min="6645" max="6645" width="12.85546875" style="112" customWidth="1"/>
    <col min="6646" max="6646" width="13.85546875" style="112" customWidth="1"/>
    <col min="6647" max="6647" width="14.5703125" style="112" customWidth="1"/>
    <col min="6648" max="6649" width="14.28515625" style="112" customWidth="1"/>
    <col min="6650" max="6650" width="14.5703125" style="112" customWidth="1"/>
    <col min="6651" max="6651" width="14.28515625" style="112" customWidth="1"/>
    <col min="6652" max="6652" width="12.5703125" style="112" customWidth="1"/>
    <col min="6653" max="6653" width="11" style="112" customWidth="1"/>
    <col min="6654" max="6870" width="9.140625" style="112"/>
    <col min="6871" max="6871" width="3.5703125" style="112" customWidth="1"/>
    <col min="6872" max="6872" width="13.85546875" style="112" customWidth="1"/>
    <col min="6873" max="6873" width="15.5703125" style="112" customWidth="1"/>
    <col min="6874" max="6874" width="15.7109375" style="112" customWidth="1"/>
    <col min="6875" max="6875" width="15.42578125" style="112" customWidth="1"/>
    <col min="6876" max="6876" width="14" style="112" customWidth="1"/>
    <col min="6877" max="6878" width="13.85546875" style="112" customWidth="1"/>
    <col min="6879" max="6879" width="12.42578125" style="112" customWidth="1"/>
    <col min="6880" max="6880" width="13.85546875" style="112" customWidth="1"/>
    <col min="6881" max="6881" width="16.7109375" style="112" customWidth="1"/>
    <col min="6882" max="6883" width="14.28515625" style="112" customWidth="1"/>
    <col min="6884" max="6884" width="14" style="112" customWidth="1"/>
    <col min="6885" max="6885" width="15.28515625" style="112" customWidth="1"/>
    <col min="6886" max="6886" width="15.5703125" style="112" customWidth="1"/>
    <col min="6887" max="6887" width="15.140625" style="112" customWidth="1"/>
    <col min="6888" max="6888" width="13.5703125" style="112" customWidth="1"/>
    <col min="6889" max="6890" width="14" style="112" customWidth="1"/>
    <col min="6891" max="6892" width="14.140625" style="112" customWidth="1"/>
    <col min="6893" max="6893" width="14.28515625" style="112" customWidth="1"/>
    <col min="6894" max="6894" width="12.140625" style="112" customWidth="1"/>
    <col min="6895" max="6895" width="14.5703125" style="112" customWidth="1"/>
    <col min="6896" max="6896" width="14.7109375" style="112" customWidth="1"/>
    <col min="6897" max="6897" width="13" style="112" customWidth="1"/>
    <col min="6898" max="6898" width="14.5703125" style="112" customWidth="1"/>
    <col min="6899" max="6899" width="12.28515625" style="112" customWidth="1"/>
    <col min="6900" max="6900" width="15.28515625" style="112" customWidth="1"/>
    <col min="6901" max="6901" width="12.85546875" style="112" customWidth="1"/>
    <col min="6902" max="6902" width="13.85546875" style="112" customWidth="1"/>
    <col min="6903" max="6903" width="14.5703125" style="112" customWidth="1"/>
    <col min="6904" max="6905" width="14.28515625" style="112" customWidth="1"/>
    <col min="6906" max="6906" width="14.5703125" style="112" customWidth="1"/>
    <col min="6907" max="6907" width="14.28515625" style="112" customWidth="1"/>
    <col min="6908" max="6908" width="12.5703125" style="112" customWidth="1"/>
    <col min="6909" max="6909" width="11" style="112" customWidth="1"/>
    <col min="6910" max="7126" width="9.140625" style="112"/>
    <col min="7127" max="7127" width="3.5703125" style="112" customWidth="1"/>
    <col min="7128" max="7128" width="13.85546875" style="112" customWidth="1"/>
    <col min="7129" max="7129" width="15.5703125" style="112" customWidth="1"/>
    <col min="7130" max="7130" width="15.7109375" style="112" customWidth="1"/>
    <col min="7131" max="7131" width="15.42578125" style="112" customWidth="1"/>
    <col min="7132" max="7132" width="14" style="112" customWidth="1"/>
    <col min="7133" max="7134" width="13.85546875" style="112" customWidth="1"/>
    <col min="7135" max="7135" width="12.42578125" style="112" customWidth="1"/>
    <col min="7136" max="7136" width="13.85546875" style="112" customWidth="1"/>
    <col min="7137" max="7137" width="16.7109375" style="112" customWidth="1"/>
    <col min="7138" max="7139" width="14.28515625" style="112" customWidth="1"/>
    <col min="7140" max="7140" width="14" style="112" customWidth="1"/>
    <col min="7141" max="7141" width="15.28515625" style="112" customWidth="1"/>
    <col min="7142" max="7142" width="15.5703125" style="112" customWidth="1"/>
    <col min="7143" max="7143" width="15.140625" style="112" customWidth="1"/>
    <col min="7144" max="7144" width="13.5703125" style="112" customWidth="1"/>
    <col min="7145" max="7146" width="14" style="112" customWidth="1"/>
    <col min="7147" max="7148" width="14.140625" style="112" customWidth="1"/>
    <col min="7149" max="7149" width="14.28515625" style="112" customWidth="1"/>
    <col min="7150" max="7150" width="12.140625" style="112" customWidth="1"/>
    <col min="7151" max="7151" width="14.5703125" style="112" customWidth="1"/>
    <col min="7152" max="7152" width="14.7109375" style="112" customWidth="1"/>
    <col min="7153" max="7153" width="13" style="112" customWidth="1"/>
    <col min="7154" max="7154" width="14.5703125" style="112" customWidth="1"/>
    <col min="7155" max="7155" width="12.28515625" style="112" customWidth="1"/>
    <col min="7156" max="7156" width="15.28515625" style="112" customWidth="1"/>
    <col min="7157" max="7157" width="12.85546875" style="112" customWidth="1"/>
    <col min="7158" max="7158" width="13.85546875" style="112" customWidth="1"/>
    <col min="7159" max="7159" width="14.5703125" style="112" customWidth="1"/>
    <col min="7160" max="7161" width="14.28515625" style="112" customWidth="1"/>
    <col min="7162" max="7162" width="14.5703125" style="112" customWidth="1"/>
    <col min="7163" max="7163" width="14.28515625" style="112" customWidth="1"/>
    <col min="7164" max="7164" width="12.5703125" style="112" customWidth="1"/>
    <col min="7165" max="7165" width="11" style="112" customWidth="1"/>
    <col min="7166" max="7382" width="9.140625" style="112"/>
    <col min="7383" max="7383" width="3.5703125" style="112" customWidth="1"/>
    <col min="7384" max="7384" width="13.85546875" style="112" customWidth="1"/>
    <col min="7385" max="7385" width="15.5703125" style="112" customWidth="1"/>
    <col min="7386" max="7386" width="15.7109375" style="112" customWidth="1"/>
    <col min="7387" max="7387" width="15.42578125" style="112" customWidth="1"/>
    <col min="7388" max="7388" width="14" style="112" customWidth="1"/>
    <col min="7389" max="7390" width="13.85546875" style="112" customWidth="1"/>
    <col min="7391" max="7391" width="12.42578125" style="112" customWidth="1"/>
    <col min="7392" max="7392" width="13.85546875" style="112" customWidth="1"/>
    <col min="7393" max="7393" width="16.7109375" style="112" customWidth="1"/>
    <col min="7394" max="7395" width="14.28515625" style="112" customWidth="1"/>
    <col min="7396" max="7396" width="14" style="112" customWidth="1"/>
    <col min="7397" max="7397" width="15.28515625" style="112" customWidth="1"/>
    <col min="7398" max="7398" width="15.5703125" style="112" customWidth="1"/>
    <col min="7399" max="7399" width="15.140625" style="112" customWidth="1"/>
    <col min="7400" max="7400" width="13.5703125" style="112" customWidth="1"/>
    <col min="7401" max="7402" width="14" style="112" customWidth="1"/>
    <col min="7403" max="7404" width="14.140625" style="112" customWidth="1"/>
    <col min="7405" max="7405" width="14.28515625" style="112" customWidth="1"/>
    <col min="7406" max="7406" width="12.140625" style="112" customWidth="1"/>
    <col min="7407" max="7407" width="14.5703125" style="112" customWidth="1"/>
    <col min="7408" max="7408" width="14.7109375" style="112" customWidth="1"/>
    <col min="7409" max="7409" width="13" style="112" customWidth="1"/>
    <col min="7410" max="7410" width="14.5703125" style="112" customWidth="1"/>
    <col min="7411" max="7411" width="12.28515625" style="112" customWidth="1"/>
    <col min="7412" max="7412" width="15.28515625" style="112" customWidth="1"/>
    <col min="7413" max="7413" width="12.85546875" style="112" customWidth="1"/>
    <col min="7414" max="7414" width="13.85546875" style="112" customWidth="1"/>
    <col min="7415" max="7415" width="14.5703125" style="112" customWidth="1"/>
    <col min="7416" max="7417" width="14.28515625" style="112" customWidth="1"/>
    <col min="7418" max="7418" width="14.5703125" style="112" customWidth="1"/>
    <col min="7419" max="7419" width="14.28515625" style="112" customWidth="1"/>
    <col min="7420" max="7420" width="12.5703125" style="112" customWidth="1"/>
    <col min="7421" max="7421" width="11" style="112" customWidth="1"/>
    <col min="7422" max="7638" width="9.140625" style="112"/>
    <col min="7639" max="7639" width="3.5703125" style="112" customWidth="1"/>
    <col min="7640" max="7640" width="13.85546875" style="112" customWidth="1"/>
    <col min="7641" max="7641" width="15.5703125" style="112" customWidth="1"/>
    <col min="7642" max="7642" width="15.7109375" style="112" customWidth="1"/>
    <col min="7643" max="7643" width="15.42578125" style="112" customWidth="1"/>
    <col min="7644" max="7644" width="14" style="112" customWidth="1"/>
    <col min="7645" max="7646" width="13.85546875" style="112" customWidth="1"/>
    <col min="7647" max="7647" width="12.42578125" style="112" customWidth="1"/>
    <col min="7648" max="7648" width="13.85546875" style="112" customWidth="1"/>
    <col min="7649" max="7649" width="16.7109375" style="112" customWidth="1"/>
    <col min="7650" max="7651" width="14.28515625" style="112" customWidth="1"/>
    <col min="7652" max="7652" width="14" style="112" customWidth="1"/>
    <col min="7653" max="7653" width="15.28515625" style="112" customWidth="1"/>
    <col min="7654" max="7654" width="15.5703125" style="112" customWidth="1"/>
    <col min="7655" max="7655" width="15.140625" style="112" customWidth="1"/>
    <col min="7656" max="7656" width="13.5703125" style="112" customWidth="1"/>
    <col min="7657" max="7658" width="14" style="112" customWidth="1"/>
    <col min="7659" max="7660" width="14.140625" style="112" customWidth="1"/>
    <col min="7661" max="7661" width="14.28515625" style="112" customWidth="1"/>
    <col min="7662" max="7662" width="12.140625" style="112" customWidth="1"/>
    <col min="7663" max="7663" width="14.5703125" style="112" customWidth="1"/>
    <col min="7664" max="7664" width="14.7109375" style="112" customWidth="1"/>
    <col min="7665" max="7665" width="13" style="112" customWidth="1"/>
    <col min="7666" max="7666" width="14.5703125" style="112" customWidth="1"/>
    <col min="7667" max="7667" width="12.28515625" style="112" customWidth="1"/>
    <col min="7668" max="7668" width="15.28515625" style="112" customWidth="1"/>
    <col min="7669" max="7669" width="12.85546875" style="112" customWidth="1"/>
    <col min="7670" max="7670" width="13.85546875" style="112" customWidth="1"/>
    <col min="7671" max="7671" width="14.5703125" style="112" customWidth="1"/>
    <col min="7672" max="7673" width="14.28515625" style="112" customWidth="1"/>
    <col min="7674" max="7674" width="14.5703125" style="112" customWidth="1"/>
    <col min="7675" max="7675" width="14.28515625" style="112" customWidth="1"/>
    <col min="7676" max="7676" width="12.5703125" style="112" customWidth="1"/>
    <col min="7677" max="7677" width="11" style="112" customWidth="1"/>
    <col min="7678" max="7894" width="9.140625" style="112"/>
    <col min="7895" max="7895" width="3.5703125" style="112" customWidth="1"/>
    <col min="7896" max="7896" width="13.85546875" style="112" customWidth="1"/>
    <col min="7897" max="7897" width="15.5703125" style="112" customWidth="1"/>
    <col min="7898" max="7898" width="15.7109375" style="112" customWidth="1"/>
    <col min="7899" max="7899" width="15.42578125" style="112" customWidth="1"/>
    <col min="7900" max="7900" width="14" style="112" customWidth="1"/>
    <col min="7901" max="7902" width="13.85546875" style="112" customWidth="1"/>
    <col min="7903" max="7903" width="12.42578125" style="112" customWidth="1"/>
    <col min="7904" max="7904" width="13.85546875" style="112" customWidth="1"/>
    <col min="7905" max="7905" width="16.7109375" style="112" customWidth="1"/>
    <col min="7906" max="7907" width="14.28515625" style="112" customWidth="1"/>
    <col min="7908" max="7908" width="14" style="112" customWidth="1"/>
    <col min="7909" max="7909" width="15.28515625" style="112" customWidth="1"/>
    <col min="7910" max="7910" width="15.5703125" style="112" customWidth="1"/>
    <col min="7911" max="7911" width="15.140625" style="112" customWidth="1"/>
    <col min="7912" max="7912" width="13.5703125" style="112" customWidth="1"/>
    <col min="7913" max="7914" width="14" style="112" customWidth="1"/>
    <col min="7915" max="7916" width="14.140625" style="112" customWidth="1"/>
    <col min="7917" max="7917" width="14.28515625" style="112" customWidth="1"/>
    <col min="7918" max="7918" width="12.140625" style="112" customWidth="1"/>
    <col min="7919" max="7919" width="14.5703125" style="112" customWidth="1"/>
    <col min="7920" max="7920" width="14.7109375" style="112" customWidth="1"/>
    <col min="7921" max="7921" width="13" style="112" customWidth="1"/>
    <col min="7922" max="7922" width="14.5703125" style="112" customWidth="1"/>
    <col min="7923" max="7923" width="12.28515625" style="112" customWidth="1"/>
    <col min="7924" max="7924" width="15.28515625" style="112" customWidth="1"/>
    <col min="7925" max="7925" width="12.85546875" style="112" customWidth="1"/>
    <col min="7926" max="7926" width="13.85546875" style="112" customWidth="1"/>
    <col min="7927" max="7927" width="14.5703125" style="112" customWidth="1"/>
    <col min="7928" max="7929" width="14.28515625" style="112" customWidth="1"/>
    <col min="7930" max="7930" width="14.5703125" style="112" customWidth="1"/>
    <col min="7931" max="7931" width="14.28515625" style="112" customWidth="1"/>
    <col min="7932" max="7932" width="12.5703125" style="112" customWidth="1"/>
    <col min="7933" max="7933" width="11" style="112" customWidth="1"/>
    <col min="7934" max="8150" width="9.140625" style="112"/>
    <col min="8151" max="8151" width="3.5703125" style="112" customWidth="1"/>
    <col min="8152" max="8152" width="13.85546875" style="112" customWidth="1"/>
    <col min="8153" max="8153" width="15.5703125" style="112" customWidth="1"/>
    <col min="8154" max="8154" width="15.7109375" style="112" customWidth="1"/>
    <col min="8155" max="8155" width="15.42578125" style="112" customWidth="1"/>
    <col min="8156" max="8156" width="14" style="112" customWidth="1"/>
    <col min="8157" max="8158" width="13.85546875" style="112" customWidth="1"/>
    <col min="8159" max="8159" width="12.42578125" style="112" customWidth="1"/>
    <col min="8160" max="8160" width="13.85546875" style="112" customWidth="1"/>
    <col min="8161" max="8161" width="16.7109375" style="112" customWidth="1"/>
    <col min="8162" max="8163" width="14.28515625" style="112" customWidth="1"/>
    <col min="8164" max="8164" width="14" style="112" customWidth="1"/>
    <col min="8165" max="8165" width="15.28515625" style="112" customWidth="1"/>
    <col min="8166" max="8166" width="15.5703125" style="112" customWidth="1"/>
    <col min="8167" max="8167" width="15.140625" style="112" customWidth="1"/>
    <col min="8168" max="8168" width="13.5703125" style="112" customWidth="1"/>
    <col min="8169" max="8170" width="14" style="112" customWidth="1"/>
    <col min="8171" max="8172" width="14.140625" style="112" customWidth="1"/>
    <col min="8173" max="8173" width="14.28515625" style="112" customWidth="1"/>
    <col min="8174" max="8174" width="12.140625" style="112" customWidth="1"/>
    <col min="8175" max="8175" width="14.5703125" style="112" customWidth="1"/>
    <col min="8176" max="8176" width="14.7109375" style="112" customWidth="1"/>
    <col min="8177" max="8177" width="13" style="112" customWidth="1"/>
    <col min="8178" max="8178" width="14.5703125" style="112" customWidth="1"/>
    <col min="8179" max="8179" width="12.28515625" style="112" customWidth="1"/>
    <col min="8180" max="8180" width="15.28515625" style="112" customWidth="1"/>
    <col min="8181" max="8181" width="12.85546875" style="112" customWidth="1"/>
    <col min="8182" max="8182" width="13.85546875" style="112" customWidth="1"/>
    <col min="8183" max="8183" width="14.5703125" style="112" customWidth="1"/>
    <col min="8184" max="8185" width="14.28515625" style="112" customWidth="1"/>
    <col min="8186" max="8186" width="14.5703125" style="112" customWidth="1"/>
    <col min="8187" max="8187" width="14.28515625" style="112" customWidth="1"/>
    <col min="8188" max="8188" width="12.5703125" style="112" customWidth="1"/>
    <col min="8189" max="8189" width="11" style="112" customWidth="1"/>
    <col min="8190" max="8406" width="9.140625" style="112"/>
    <col min="8407" max="8407" width="3.5703125" style="112" customWidth="1"/>
    <col min="8408" max="8408" width="13.85546875" style="112" customWidth="1"/>
    <col min="8409" max="8409" width="15.5703125" style="112" customWidth="1"/>
    <col min="8410" max="8410" width="15.7109375" style="112" customWidth="1"/>
    <col min="8411" max="8411" width="15.42578125" style="112" customWidth="1"/>
    <col min="8412" max="8412" width="14" style="112" customWidth="1"/>
    <col min="8413" max="8414" width="13.85546875" style="112" customWidth="1"/>
    <col min="8415" max="8415" width="12.42578125" style="112" customWidth="1"/>
    <col min="8416" max="8416" width="13.85546875" style="112" customWidth="1"/>
    <col min="8417" max="8417" width="16.7109375" style="112" customWidth="1"/>
    <col min="8418" max="8419" width="14.28515625" style="112" customWidth="1"/>
    <col min="8420" max="8420" width="14" style="112" customWidth="1"/>
    <col min="8421" max="8421" width="15.28515625" style="112" customWidth="1"/>
    <col min="8422" max="8422" width="15.5703125" style="112" customWidth="1"/>
    <col min="8423" max="8423" width="15.140625" style="112" customWidth="1"/>
    <col min="8424" max="8424" width="13.5703125" style="112" customWidth="1"/>
    <col min="8425" max="8426" width="14" style="112" customWidth="1"/>
    <col min="8427" max="8428" width="14.140625" style="112" customWidth="1"/>
    <col min="8429" max="8429" width="14.28515625" style="112" customWidth="1"/>
    <col min="8430" max="8430" width="12.140625" style="112" customWidth="1"/>
    <col min="8431" max="8431" width="14.5703125" style="112" customWidth="1"/>
    <col min="8432" max="8432" width="14.7109375" style="112" customWidth="1"/>
    <col min="8433" max="8433" width="13" style="112" customWidth="1"/>
    <col min="8434" max="8434" width="14.5703125" style="112" customWidth="1"/>
    <col min="8435" max="8435" width="12.28515625" style="112" customWidth="1"/>
    <col min="8436" max="8436" width="15.28515625" style="112" customWidth="1"/>
    <col min="8437" max="8437" width="12.85546875" style="112" customWidth="1"/>
    <col min="8438" max="8438" width="13.85546875" style="112" customWidth="1"/>
    <col min="8439" max="8439" width="14.5703125" style="112" customWidth="1"/>
    <col min="8440" max="8441" width="14.28515625" style="112" customWidth="1"/>
    <col min="8442" max="8442" width="14.5703125" style="112" customWidth="1"/>
    <col min="8443" max="8443" width="14.28515625" style="112" customWidth="1"/>
    <col min="8444" max="8444" width="12.5703125" style="112" customWidth="1"/>
    <col min="8445" max="8445" width="11" style="112" customWidth="1"/>
    <col min="8446" max="8662" width="9.140625" style="112"/>
    <col min="8663" max="8663" width="3.5703125" style="112" customWidth="1"/>
    <col min="8664" max="8664" width="13.85546875" style="112" customWidth="1"/>
    <col min="8665" max="8665" width="15.5703125" style="112" customWidth="1"/>
    <col min="8666" max="8666" width="15.7109375" style="112" customWidth="1"/>
    <col min="8667" max="8667" width="15.42578125" style="112" customWidth="1"/>
    <col min="8668" max="8668" width="14" style="112" customWidth="1"/>
    <col min="8669" max="8670" width="13.85546875" style="112" customWidth="1"/>
    <col min="8671" max="8671" width="12.42578125" style="112" customWidth="1"/>
    <col min="8672" max="8672" width="13.85546875" style="112" customWidth="1"/>
    <col min="8673" max="8673" width="16.7109375" style="112" customWidth="1"/>
    <col min="8674" max="8675" width="14.28515625" style="112" customWidth="1"/>
    <col min="8676" max="8676" width="14" style="112" customWidth="1"/>
    <col min="8677" max="8677" width="15.28515625" style="112" customWidth="1"/>
    <col min="8678" max="8678" width="15.5703125" style="112" customWidth="1"/>
    <col min="8679" max="8679" width="15.140625" style="112" customWidth="1"/>
    <col min="8680" max="8680" width="13.5703125" style="112" customWidth="1"/>
    <col min="8681" max="8682" width="14" style="112" customWidth="1"/>
    <col min="8683" max="8684" width="14.140625" style="112" customWidth="1"/>
    <col min="8685" max="8685" width="14.28515625" style="112" customWidth="1"/>
    <col min="8686" max="8686" width="12.140625" style="112" customWidth="1"/>
    <col min="8687" max="8687" width="14.5703125" style="112" customWidth="1"/>
    <col min="8688" max="8688" width="14.7109375" style="112" customWidth="1"/>
    <col min="8689" max="8689" width="13" style="112" customWidth="1"/>
    <col min="8690" max="8690" width="14.5703125" style="112" customWidth="1"/>
    <col min="8691" max="8691" width="12.28515625" style="112" customWidth="1"/>
    <col min="8692" max="8692" width="15.28515625" style="112" customWidth="1"/>
    <col min="8693" max="8693" width="12.85546875" style="112" customWidth="1"/>
    <col min="8694" max="8694" width="13.85546875" style="112" customWidth="1"/>
    <col min="8695" max="8695" width="14.5703125" style="112" customWidth="1"/>
    <col min="8696" max="8697" width="14.28515625" style="112" customWidth="1"/>
    <col min="8698" max="8698" width="14.5703125" style="112" customWidth="1"/>
    <col min="8699" max="8699" width="14.28515625" style="112" customWidth="1"/>
    <col min="8700" max="8700" width="12.5703125" style="112" customWidth="1"/>
    <col min="8701" max="8701" width="11" style="112" customWidth="1"/>
    <col min="8702" max="8918" width="9.140625" style="112"/>
    <col min="8919" max="8919" width="3.5703125" style="112" customWidth="1"/>
    <col min="8920" max="8920" width="13.85546875" style="112" customWidth="1"/>
    <col min="8921" max="8921" width="15.5703125" style="112" customWidth="1"/>
    <col min="8922" max="8922" width="15.7109375" style="112" customWidth="1"/>
    <col min="8923" max="8923" width="15.42578125" style="112" customWidth="1"/>
    <col min="8924" max="8924" width="14" style="112" customWidth="1"/>
    <col min="8925" max="8926" width="13.85546875" style="112" customWidth="1"/>
    <col min="8927" max="8927" width="12.42578125" style="112" customWidth="1"/>
    <col min="8928" max="8928" width="13.85546875" style="112" customWidth="1"/>
    <col min="8929" max="8929" width="16.7109375" style="112" customWidth="1"/>
    <col min="8930" max="8931" width="14.28515625" style="112" customWidth="1"/>
    <col min="8932" max="8932" width="14" style="112" customWidth="1"/>
    <col min="8933" max="8933" width="15.28515625" style="112" customWidth="1"/>
    <col min="8934" max="8934" width="15.5703125" style="112" customWidth="1"/>
    <col min="8935" max="8935" width="15.140625" style="112" customWidth="1"/>
    <col min="8936" max="8936" width="13.5703125" style="112" customWidth="1"/>
    <col min="8937" max="8938" width="14" style="112" customWidth="1"/>
    <col min="8939" max="8940" width="14.140625" style="112" customWidth="1"/>
    <col min="8941" max="8941" width="14.28515625" style="112" customWidth="1"/>
    <col min="8942" max="8942" width="12.140625" style="112" customWidth="1"/>
    <col min="8943" max="8943" width="14.5703125" style="112" customWidth="1"/>
    <col min="8944" max="8944" width="14.7109375" style="112" customWidth="1"/>
    <col min="8945" max="8945" width="13" style="112" customWidth="1"/>
    <col min="8946" max="8946" width="14.5703125" style="112" customWidth="1"/>
    <col min="8947" max="8947" width="12.28515625" style="112" customWidth="1"/>
    <col min="8948" max="8948" width="15.28515625" style="112" customWidth="1"/>
    <col min="8949" max="8949" width="12.85546875" style="112" customWidth="1"/>
    <col min="8950" max="8950" width="13.85546875" style="112" customWidth="1"/>
    <col min="8951" max="8951" width="14.5703125" style="112" customWidth="1"/>
    <col min="8952" max="8953" width="14.28515625" style="112" customWidth="1"/>
    <col min="8954" max="8954" width="14.5703125" style="112" customWidth="1"/>
    <col min="8955" max="8955" width="14.28515625" style="112" customWidth="1"/>
    <col min="8956" max="8956" width="12.5703125" style="112" customWidth="1"/>
    <col min="8957" max="8957" width="11" style="112" customWidth="1"/>
    <col min="8958" max="9174" width="9.140625" style="112"/>
    <col min="9175" max="9175" width="3.5703125" style="112" customWidth="1"/>
    <col min="9176" max="9176" width="13.85546875" style="112" customWidth="1"/>
    <col min="9177" max="9177" width="15.5703125" style="112" customWidth="1"/>
    <col min="9178" max="9178" width="15.7109375" style="112" customWidth="1"/>
    <col min="9179" max="9179" width="15.42578125" style="112" customWidth="1"/>
    <col min="9180" max="9180" width="14" style="112" customWidth="1"/>
    <col min="9181" max="9182" width="13.85546875" style="112" customWidth="1"/>
    <col min="9183" max="9183" width="12.42578125" style="112" customWidth="1"/>
    <col min="9184" max="9184" width="13.85546875" style="112" customWidth="1"/>
    <col min="9185" max="9185" width="16.7109375" style="112" customWidth="1"/>
    <col min="9186" max="9187" width="14.28515625" style="112" customWidth="1"/>
    <col min="9188" max="9188" width="14" style="112" customWidth="1"/>
    <col min="9189" max="9189" width="15.28515625" style="112" customWidth="1"/>
    <col min="9190" max="9190" width="15.5703125" style="112" customWidth="1"/>
    <col min="9191" max="9191" width="15.140625" style="112" customWidth="1"/>
    <col min="9192" max="9192" width="13.5703125" style="112" customWidth="1"/>
    <col min="9193" max="9194" width="14" style="112" customWidth="1"/>
    <col min="9195" max="9196" width="14.140625" style="112" customWidth="1"/>
    <col min="9197" max="9197" width="14.28515625" style="112" customWidth="1"/>
    <col min="9198" max="9198" width="12.140625" style="112" customWidth="1"/>
    <col min="9199" max="9199" width="14.5703125" style="112" customWidth="1"/>
    <col min="9200" max="9200" width="14.7109375" style="112" customWidth="1"/>
    <col min="9201" max="9201" width="13" style="112" customWidth="1"/>
    <col min="9202" max="9202" width="14.5703125" style="112" customWidth="1"/>
    <col min="9203" max="9203" width="12.28515625" style="112" customWidth="1"/>
    <col min="9204" max="9204" width="15.28515625" style="112" customWidth="1"/>
    <col min="9205" max="9205" width="12.85546875" style="112" customWidth="1"/>
    <col min="9206" max="9206" width="13.85546875" style="112" customWidth="1"/>
    <col min="9207" max="9207" width="14.5703125" style="112" customWidth="1"/>
    <col min="9208" max="9209" width="14.28515625" style="112" customWidth="1"/>
    <col min="9210" max="9210" width="14.5703125" style="112" customWidth="1"/>
    <col min="9211" max="9211" width="14.28515625" style="112" customWidth="1"/>
    <col min="9212" max="9212" width="12.5703125" style="112" customWidth="1"/>
    <col min="9213" max="9213" width="11" style="112" customWidth="1"/>
    <col min="9214" max="9430" width="9.140625" style="112"/>
    <col min="9431" max="9431" width="3.5703125" style="112" customWidth="1"/>
    <col min="9432" max="9432" width="13.85546875" style="112" customWidth="1"/>
    <col min="9433" max="9433" width="15.5703125" style="112" customWidth="1"/>
    <col min="9434" max="9434" width="15.7109375" style="112" customWidth="1"/>
    <col min="9435" max="9435" width="15.42578125" style="112" customWidth="1"/>
    <col min="9436" max="9436" width="14" style="112" customWidth="1"/>
    <col min="9437" max="9438" width="13.85546875" style="112" customWidth="1"/>
    <col min="9439" max="9439" width="12.42578125" style="112" customWidth="1"/>
    <col min="9440" max="9440" width="13.85546875" style="112" customWidth="1"/>
    <col min="9441" max="9441" width="16.7109375" style="112" customWidth="1"/>
    <col min="9442" max="9443" width="14.28515625" style="112" customWidth="1"/>
    <col min="9444" max="9444" width="14" style="112" customWidth="1"/>
    <col min="9445" max="9445" width="15.28515625" style="112" customWidth="1"/>
    <col min="9446" max="9446" width="15.5703125" style="112" customWidth="1"/>
    <col min="9447" max="9447" width="15.140625" style="112" customWidth="1"/>
    <col min="9448" max="9448" width="13.5703125" style="112" customWidth="1"/>
    <col min="9449" max="9450" width="14" style="112" customWidth="1"/>
    <col min="9451" max="9452" width="14.140625" style="112" customWidth="1"/>
    <col min="9453" max="9453" width="14.28515625" style="112" customWidth="1"/>
    <col min="9454" max="9454" width="12.140625" style="112" customWidth="1"/>
    <col min="9455" max="9455" width="14.5703125" style="112" customWidth="1"/>
    <col min="9456" max="9456" width="14.7109375" style="112" customWidth="1"/>
    <col min="9457" max="9457" width="13" style="112" customWidth="1"/>
    <col min="9458" max="9458" width="14.5703125" style="112" customWidth="1"/>
    <col min="9459" max="9459" width="12.28515625" style="112" customWidth="1"/>
    <col min="9460" max="9460" width="15.28515625" style="112" customWidth="1"/>
    <col min="9461" max="9461" width="12.85546875" style="112" customWidth="1"/>
    <col min="9462" max="9462" width="13.85546875" style="112" customWidth="1"/>
    <col min="9463" max="9463" width="14.5703125" style="112" customWidth="1"/>
    <col min="9464" max="9465" width="14.28515625" style="112" customWidth="1"/>
    <col min="9466" max="9466" width="14.5703125" style="112" customWidth="1"/>
    <col min="9467" max="9467" width="14.28515625" style="112" customWidth="1"/>
    <col min="9468" max="9468" width="12.5703125" style="112" customWidth="1"/>
    <col min="9469" max="9469" width="11" style="112" customWidth="1"/>
    <col min="9470" max="9686" width="9.140625" style="112"/>
    <col min="9687" max="9687" width="3.5703125" style="112" customWidth="1"/>
    <col min="9688" max="9688" width="13.85546875" style="112" customWidth="1"/>
    <col min="9689" max="9689" width="15.5703125" style="112" customWidth="1"/>
    <col min="9690" max="9690" width="15.7109375" style="112" customWidth="1"/>
    <col min="9691" max="9691" width="15.42578125" style="112" customWidth="1"/>
    <col min="9692" max="9692" width="14" style="112" customWidth="1"/>
    <col min="9693" max="9694" width="13.85546875" style="112" customWidth="1"/>
    <col min="9695" max="9695" width="12.42578125" style="112" customWidth="1"/>
    <col min="9696" max="9696" width="13.85546875" style="112" customWidth="1"/>
    <col min="9697" max="9697" width="16.7109375" style="112" customWidth="1"/>
    <col min="9698" max="9699" width="14.28515625" style="112" customWidth="1"/>
    <col min="9700" max="9700" width="14" style="112" customWidth="1"/>
    <col min="9701" max="9701" width="15.28515625" style="112" customWidth="1"/>
    <col min="9702" max="9702" width="15.5703125" style="112" customWidth="1"/>
    <col min="9703" max="9703" width="15.140625" style="112" customWidth="1"/>
    <col min="9704" max="9704" width="13.5703125" style="112" customWidth="1"/>
    <col min="9705" max="9706" width="14" style="112" customWidth="1"/>
    <col min="9707" max="9708" width="14.140625" style="112" customWidth="1"/>
    <col min="9709" max="9709" width="14.28515625" style="112" customWidth="1"/>
    <col min="9710" max="9710" width="12.140625" style="112" customWidth="1"/>
    <col min="9711" max="9711" width="14.5703125" style="112" customWidth="1"/>
    <col min="9712" max="9712" width="14.7109375" style="112" customWidth="1"/>
    <col min="9713" max="9713" width="13" style="112" customWidth="1"/>
    <col min="9714" max="9714" width="14.5703125" style="112" customWidth="1"/>
    <col min="9715" max="9715" width="12.28515625" style="112" customWidth="1"/>
    <col min="9716" max="9716" width="15.28515625" style="112" customWidth="1"/>
    <col min="9717" max="9717" width="12.85546875" style="112" customWidth="1"/>
    <col min="9718" max="9718" width="13.85546875" style="112" customWidth="1"/>
    <col min="9719" max="9719" width="14.5703125" style="112" customWidth="1"/>
    <col min="9720" max="9721" width="14.28515625" style="112" customWidth="1"/>
    <col min="9722" max="9722" width="14.5703125" style="112" customWidth="1"/>
    <col min="9723" max="9723" width="14.28515625" style="112" customWidth="1"/>
    <col min="9724" max="9724" width="12.5703125" style="112" customWidth="1"/>
    <col min="9725" max="9725" width="11" style="112" customWidth="1"/>
    <col min="9726" max="9942" width="9.140625" style="112"/>
    <col min="9943" max="9943" width="3.5703125" style="112" customWidth="1"/>
    <col min="9944" max="9944" width="13.85546875" style="112" customWidth="1"/>
    <col min="9945" max="9945" width="15.5703125" style="112" customWidth="1"/>
    <col min="9946" max="9946" width="15.7109375" style="112" customWidth="1"/>
    <col min="9947" max="9947" width="15.42578125" style="112" customWidth="1"/>
    <col min="9948" max="9948" width="14" style="112" customWidth="1"/>
    <col min="9949" max="9950" width="13.85546875" style="112" customWidth="1"/>
    <col min="9951" max="9951" width="12.42578125" style="112" customWidth="1"/>
    <col min="9952" max="9952" width="13.85546875" style="112" customWidth="1"/>
    <col min="9953" max="9953" width="16.7109375" style="112" customWidth="1"/>
    <col min="9954" max="9955" width="14.28515625" style="112" customWidth="1"/>
    <col min="9956" max="9956" width="14" style="112" customWidth="1"/>
    <col min="9957" max="9957" width="15.28515625" style="112" customWidth="1"/>
    <col min="9958" max="9958" width="15.5703125" style="112" customWidth="1"/>
    <col min="9959" max="9959" width="15.140625" style="112" customWidth="1"/>
    <col min="9960" max="9960" width="13.5703125" style="112" customWidth="1"/>
    <col min="9961" max="9962" width="14" style="112" customWidth="1"/>
    <col min="9963" max="9964" width="14.140625" style="112" customWidth="1"/>
    <col min="9965" max="9965" width="14.28515625" style="112" customWidth="1"/>
    <col min="9966" max="9966" width="12.140625" style="112" customWidth="1"/>
    <col min="9967" max="9967" width="14.5703125" style="112" customWidth="1"/>
    <col min="9968" max="9968" width="14.7109375" style="112" customWidth="1"/>
    <col min="9969" max="9969" width="13" style="112" customWidth="1"/>
    <col min="9970" max="9970" width="14.5703125" style="112" customWidth="1"/>
    <col min="9971" max="9971" width="12.28515625" style="112" customWidth="1"/>
    <col min="9972" max="9972" width="15.28515625" style="112" customWidth="1"/>
    <col min="9973" max="9973" width="12.85546875" style="112" customWidth="1"/>
    <col min="9974" max="9974" width="13.85546875" style="112" customWidth="1"/>
    <col min="9975" max="9975" width="14.5703125" style="112" customWidth="1"/>
    <col min="9976" max="9977" width="14.28515625" style="112" customWidth="1"/>
    <col min="9978" max="9978" width="14.5703125" style="112" customWidth="1"/>
    <col min="9979" max="9979" width="14.28515625" style="112" customWidth="1"/>
    <col min="9980" max="9980" width="12.5703125" style="112" customWidth="1"/>
    <col min="9981" max="9981" width="11" style="112" customWidth="1"/>
    <col min="9982" max="10198" width="9.140625" style="112"/>
    <col min="10199" max="10199" width="3.5703125" style="112" customWidth="1"/>
    <col min="10200" max="10200" width="13.85546875" style="112" customWidth="1"/>
    <col min="10201" max="10201" width="15.5703125" style="112" customWidth="1"/>
    <col min="10202" max="10202" width="15.7109375" style="112" customWidth="1"/>
    <col min="10203" max="10203" width="15.42578125" style="112" customWidth="1"/>
    <col min="10204" max="10204" width="14" style="112" customWidth="1"/>
    <col min="10205" max="10206" width="13.85546875" style="112" customWidth="1"/>
    <col min="10207" max="10207" width="12.42578125" style="112" customWidth="1"/>
    <col min="10208" max="10208" width="13.85546875" style="112" customWidth="1"/>
    <col min="10209" max="10209" width="16.7109375" style="112" customWidth="1"/>
    <col min="10210" max="10211" width="14.28515625" style="112" customWidth="1"/>
    <col min="10212" max="10212" width="14" style="112" customWidth="1"/>
    <col min="10213" max="10213" width="15.28515625" style="112" customWidth="1"/>
    <col min="10214" max="10214" width="15.5703125" style="112" customWidth="1"/>
    <col min="10215" max="10215" width="15.140625" style="112" customWidth="1"/>
    <col min="10216" max="10216" width="13.5703125" style="112" customWidth="1"/>
    <col min="10217" max="10218" width="14" style="112" customWidth="1"/>
    <col min="10219" max="10220" width="14.140625" style="112" customWidth="1"/>
    <col min="10221" max="10221" width="14.28515625" style="112" customWidth="1"/>
    <col min="10222" max="10222" width="12.140625" style="112" customWidth="1"/>
    <col min="10223" max="10223" width="14.5703125" style="112" customWidth="1"/>
    <col min="10224" max="10224" width="14.7109375" style="112" customWidth="1"/>
    <col min="10225" max="10225" width="13" style="112" customWidth="1"/>
    <col min="10226" max="10226" width="14.5703125" style="112" customWidth="1"/>
    <col min="10227" max="10227" width="12.28515625" style="112" customWidth="1"/>
    <col min="10228" max="10228" width="15.28515625" style="112" customWidth="1"/>
    <col min="10229" max="10229" width="12.85546875" style="112" customWidth="1"/>
    <col min="10230" max="10230" width="13.85546875" style="112" customWidth="1"/>
    <col min="10231" max="10231" width="14.5703125" style="112" customWidth="1"/>
    <col min="10232" max="10233" width="14.28515625" style="112" customWidth="1"/>
    <col min="10234" max="10234" width="14.5703125" style="112" customWidth="1"/>
    <col min="10235" max="10235" width="14.28515625" style="112" customWidth="1"/>
    <col min="10236" max="10236" width="12.5703125" style="112" customWidth="1"/>
    <col min="10237" max="10237" width="11" style="112" customWidth="1"/>
    <col min="10238" max="10454" width="9.140625" style="112"/>
    <col min="10455" max="10455" width="3.5703125" style="112" customWidth="1"/>
    <col min="10456" max="10456" width="13.85546875" style="112" customWidth="1"/>
    <col min="10457" max="10457" width="15.5703125" style="112" customWidth="1"/>
    <col min="10458" max="10458" width="15.7109375" style="112" customWidth="1"/>
    <col min="10459" max="10459" width="15.42578125" style="112" customWidth="1"/>
    <col min="10460" max="10460" width="14" style="112" customWidth="1"/>
    <col min="10461" max="10462" width="13.85546875" style="112" customWidth="1"/>
    <col min="10463" max="10463" width="12.42578125" style="112" customWidth="1"/>
    <col min="10464" max="10464" width="13.85546875" style="112" customWidth="1"/>
    <col min="10465" max="10465" width="16.7109375" style="112" customWidth="1"/>
    <col min="10466" max="10467" width="14.28515625" style="112" customWidth="1"/>
    <col min="10468" max="10468" width="14" style="112" customWidth="1"/>
    <col min="10469" max="10469" width="15.28515625" style="112" customWidth="1"/>
    <col min="10470" max="10470" width="15.5703125" style="112" customWidth="1"/>
    <col min="10471" max="10471" width="15.140625" style="112" customWidth="1"/>
    <col min="10472" max="10472" width="13.5703125" style="112" customWidth="1"/>
    <col min="10473" max="10474" width="14" style="112" customWidth="1"/>
    <col min="10475" max="10476" width="14.140625" style="112" customWidth="1"/>
    <col min="10477" max="10477" width="14.28515625" style="112" customWidth="1"/>
    <col min="10478" max="10478" width="12.140625" style="112" customWidth="1"/>
    <col min="10479" max="10479" width="14.5703125" style="112" customWidth="1"/>
    <col min="10480" max="10480" width="14.7109375" style="112" customWidth="1"/>
    <col min="10481" max="10481" width="13" style="112" customWidth="1"/>
    <col min="10482" max="10482" width="14.5703125" style="112" customWidth="1"/>
    <col min="10483" max="10483" width="12.28515625" style="112" customWidth="1"/>
    <col min="10484" max="10484" width="15.28515625" style="112" customWidth="1"/>
    <col min="10485" max="10485" width="12.85546875" style="112" customWidth="1"/>
    <col min="10486" max="10486" width="13.85546875" style="112" customWidth="1"/>
    <col min="10487" max="10487" width="14.5703125" style="112" customWidth="1"/>
    <col min="10488" max="10489" width="14.28515625" style="112" customWidth="1"/>
    <col min="10490" max="10490" width="14.5703125" style="112" customWidth="1"/>
    <col min="10491" max="10491" width="14.28515625" style="112" customWidth="1"/>
    <col min="10492" max="10492" width="12.5703125" style="112" customWidth="1"/>
    <col min="10493" max="10493" width="11" style="112" customWidth="1"/>
    <col min="10494" max="10710" width="9.140625" style="112"/>
    <col min="10711" max="10711" width="3.5703125" style="112" customWidth="1"/>
    <col min="10712" max="10712" width="13.85546875" style="112" customWidth="1"/>
    <col min="10713" max="10713" width="15.5703125" style="112" customWidth="1"/>
    <col min="10714" max="10714" width="15.7109375" style="112" customWidth="1"/>
    <col min="10715" max="10715" width="15.42578125" style="112" customWidth="1"/>
    <col min="10716" max="10716" width="14" style="112" customWidth="1"/>
    <col min="10717" max="10718" width="13.85546875" style="112" customWidth="1"/>
    <col min="10719" max="10719" width="12.42578125" style="112" customWidth="1"/>
    <col min="10720" max="10720" width="13.85546875" style="112" customWidth="1"/>
    <col min="10721" max="10721" width="16.7109375" style="112" customWidth="1"/>
    <col min="10722" max="10723" width="14.28515625" style="112" customWidth="1"/>
    <col min="10724" max="10724" width="14" style="112" customWidth="1"/>
    <col min="10725" max="10725" width="15.28515625" style="112" customWidth="1"/>
    <col min="10726" max="10726" width="15.5703125" style="112" customWidth="1"/>
    <col min="10727" max="10727" width="15.140625" style="112" customWidth="1"/>
    <col min="10728" max="10728" width="13.5703125" style="112" customWidth="1"/>
    <col min="10729" max="10730" width="14" style="112" customWidth="1"/>
    <col min="10731" max="10732" width="14.140625" style="112" customWidth="1"/>
    <col min="10733" max="10733" width="14.28515625" style="112" customWidth="1"/>
    <col min="10734" max="10734" width="12.140625" style="112" customWidth="1"/>
    <col min="10735" max="10735" width="14.5703125" style="112" customWidth="1"/>
    <col min="10736" max="10736" width="14.7109375" style="112" customWidth="1"/>
    <col min="10737" max="10737" width="13" style="112" customWidth="1"/>
    <col min="10738" max="10738" width="14.5703125" style="112" customWidth="1"/>
    <col min="10739" max="10739" width="12.28515625" style="112" customWidth="1"/>
    <col min="10740" max="10740" width="15.28515625" style="112" customWidth="1"/>
    <col min="10741" max="10741" width="12.85546875" style="112" customWidth="1"/>
    <col min="10742" max="10742" width="13.85546875" style="112" customWidth="1"/>
    <col min="10743" max="10743" width="14.5703125" style="112" customWidth="1"/>
    <col min="10744" max="10745" width="14.28515625" style="112" customWidth="1"/>
    <col min="10746" max="10746" width="14.5703125" style="112" customWidth="1"/>
    <col min="10747" max="10747" width="14.28515625" style="112" customWidth="1"/>
    <col min="10748" max="10748" width="12.5703125" style="112" customWidth="1"/>
    <col min="10749" max="10749" width="11" style="112" customWidth="1"/>
    <col min="10750" max="10966" width="9.140625" style="112"/>
    <col min="10967" max="10967" width="3.5703125" style="112" customWidth="1"/>
    <col min="10968" max="10968" width="13.85546875" style="112" customWidth="1"/>
    <col min="10969" max="10969" width="15.5703125" style="112" customWidth="1"/>
    <col min="10970" max="10970" width="15.7109375" style="112" customWidth="1"/>
    <col min="10971" max="10971" width="15.42578125" style="112" customWidth="1"/>
    <col min="10972" max="10972" width="14" style="112" customWidth="1"/>
    <col min="10973" max="10974" width="13.85546875" style="112" customWidth="1"/>
    <col min="10975" max="10975" width="12.42578125" style="112" customWidth="1"/>
    <col min="10976" max="10976" width="13.85546875" style="112" customWidth="1"/>
    <col min="10977" max="10977" width="16.7109375" style="112" customWidth="1"/>
    <col min="10978" max="10979" width="14.28515625" style="112" customWidth="1"/>
    <col min="10980" max="10980" width="14" style="112" customWidth="1"/>
    <col min="10981" max="10981" width="15.28515625" style="112" customWidth="1"/>
    <col min="10982" max="10982" width="15.5703125" style="112" customWidth="1"/>
    <col min="10983" max="10983" width="15.140625" style="112" customWidth="1"/>
    <col min="10984" max="10984" width="13.5703125" style="112" customWidth="1"/>
    <col min="10985" max="10986" width="14" style="112" customWidth="1"/>
    <col min="10987" max="10988" width="14.140625" style="112" customWidth="1"/>
    <col min="10989" max="10989" width="14.28515625" style="112" customWidth="1"/>
    <col min="10990" max="10990" width="12.140625" style="112" customWidth="1"/>
    <col min="10991" max="10991" width="14.5703125" style="112" customWidth="1"/>
    <col min="10992" max="10992" width="14.7109375" style="112" customWidth="1"/>
    <col min="10993" max="10993" width="13" style="112" customWidth="1"/>
    <col min="10994" max="10994" width="14.5703125" style="112" customWidth="1"/>
    <col min="10995" max="10995" width="12.28515625" style="112" customWidth="1"/>
    <col min="10996" max="10996" width="15.28515625" style="112" customWidth="1"/>
    <col min="10997" max="10997" width="12.85546875" style="112" customWidth="1"/>
    <col min="10998" max="10998" width="13.85546875" style="112" customWidth="1"/>
    <col min="10999" max="10999" width="14.5703125" style="112" customWidth="1"/>
    <col min="11000" max="11001" width="14.28515625" style="112" customWidth="1"/>
    <col min="11002" max="11002" width="14.5703125" style="112" customWidth="1"/>
    <col min="11003" max="11003" width="14.28515625" style="112" customWidth="1"/>
    <col min="11004" max="11004" width="12.5703125" style="112" customWidth="1"/>
    <col min="11005" max="11005" width="11" style="112" customWidth="1"/>
    <col min="11006" max="11222" width="9.140625" style="112"/>
    <col min="11223" max="11223" width="3.5703125" style="112" customWidth="1"/>
    <col min="11224" max="11224" width="13.85546875" style="112" customWidth="1"/>
    <col min="11225" max="11225" width="15.5703125" style="112" customWidth="1"/>
    <col min="11226" max="11226" width="15.7109375" style="112" customWidth="1"/>
    <col min="11227" max="11227" width="15.42578125" style="112" customWidth="1"/>
    <col min="11228" max="11228" width="14" style="112" customWidth="1"/>
    <col min="11229" max="11230" width="13.85546875" style="112" customWidth="1"/>
    <col min="11231" max="11231" width="12.42578125" style="112" customWidth="1"/>
    <col min="11232" max="11232" width="13.85546875" style="112" customWidth="1"/>
    <col min="11233" max="11233" width="16.7109375" style="112" customWidth="1"/>
    <col min="11234" max="11235" width="14.28515625" style="112" customWidth="1"/>
    <col min="11236" max="11236" width="14" style="112" customWidth="1"/>
    <col min="11237" max="11237" width="15.28515625" style="112" customWidth="1"/>
    <col min="11238" max="11238" width="15.5703125" style="112" customWidth="1"/>
    <col min="11239" max="11239" width="15.140625" style="112" customWidth="1"/>
    <col min="11240" max="11240" width="13.5703125" style="112" customWidth="1"/>
    <col min="11241" max="11242" width="14" style="112" customWidth="1"/>
    <col min="11243" max="11244" width="14.140625" style="112" customWidth="1"/>
    <col min="11245" max="11245" width="14.28515625" style="112" customWidth="1"/>
    <col min="11246" max="11246" width="12.140625" style="112" customWidth="1"/>
    <col min="11247" max="11247" width="14.5703125" style="112" customWidth="1"/>
    <col min="11248" max="11248" width="14.7109375" style="112" customWidth="1"/>
    <col min="11249" max="11249" width="13" style="112" customWidth="1"/>
    <col min="11250" max="11250" width="14.5703125" style="112" customWidth="1"/>
    <col min="11251" max="11251" width="12.28515625" style="112" customWidth="1"/>
    <col min="11252" max="11252" width="15.28515625" style="112" customWidth="1"/>
    <col min="11253" max="11253" width="12.85546875" style="112" customWidth="1"/>
    <col min="11254" max="11254" width="13.85546875" style="112" customWidth="1"/>
    <col min="11255" max="11255" width="14.5703125" style="112" customWidth="1"/>
    <col min="11256" max="11257" width="14.28515625" style="112" customWidth="1"/>
    <col min="11258" max="11258" width="14.5703125" style="112" customWidth="1"/>
    <col min="11259" max="11259" width="14.28515625" style="112" customWidth="1"/>
    <col min="11260" max="11260" width="12.5703125" style="112" customWidth="1"/>
    <col min="11261" max="11261" width="11" style="112" customWidth="1"/>
    <col min="11262" max="11478" width="9.140625" style="112"/>
    <col min="11479" max="11479" width="3.5703125" style="112" customWidth="1"/>
    <col min="11480" max="11480" width="13.85546875" style="112" customWidth="1"/>
    <col min="11481" max="11481" width="15.5703125" style="112" customWidth="1"/>
    <col min="11482" max="11482" width="15.7109375" style="112" customWidth="1"/>
    <col min="11483" max="11483" width="15.42578125" style="112" customWidth="1"/>
    <col min="11484" max="11484" width="14" style="112" customWidth="1"/>
    <col min="11485" max="11486" width="13.85546875" style="112" customWidth="1"/>
    <col min="11487" max="11487" width="12.42578125" style="112" customWidth="1"/>
    <col min="11488" max="11488" width="13.85546875" style="112" customWidth="1"/>
    <col min="11489" max="11489" width="16.7109375" style="112" customWidth="1"/>
    <col min="11490" max="11491" width="14.28515625" style="112" customWidth="1"/>
    <col min="11492" max="11492" width="14" style="112" customWidth="1"/>
    <col min="11493" max="11493" width="15.28515625" style="112" customWidth="1"/>
    <col min="11494" max="11494" width="15.5703125" style="112" customWidth="1"/>
    <col min="11495" max="11495" width="15.140625" style="112" customWidth="1"/>
    <col min="11496" max="11496" width="13.5703125" style="112" customWidth="1"/>
    <col min="11497" max="11498" width="14" style="112" customWidth="1"/>
    <col min="11499" max="11500" width="14.140625" style="112" customWidth="1"/>
    <col min="11501" max="11501" width="14.28515625" style="112" customWidth="1"/>
    <col min="11502" max="11502" width="12.140625" style="112" customWidth="1"/>
    <col min="11503" max="11503" width="14.5703125" style="112" customWidth="1"/>
    <col min="11504" max="11504" width="14.7109375" style="112" customWidth="1"/>
    <col min="11505" max="11505" width="13" style="112" customWidth="1"/>
    <col min="11506" max="11506" width="14.5703125" style="112" customWidth="1"/>
    <col min="11507" max="11507" width="12.28515625" style="112" customWidth="1"/>
    <col min="11508" max="11508" width="15.28515625" style="112" customWidth="1"/>
    <col min="11509" max="11509" width="12.85546875" style="112" customWidth="1"/>
    <col min="11510" max="11510" width="13.85546875" style="112" customWidth="1"/>
    <col min="11511" max="11511" width="14.5703125" style="112" customWidth="1"/>
    <col min="11512" max="11513" width="14.28515625" style="112" customWidth="1"/>
    <col min="11514" max="11514" width="14.5703125" style="112" customWidth="1"/>
    <col min="11515" max="11515" width="14.28515625" style="112" customWidth="1"/>
    <col min="11516" max="11516" width="12.5703125" style="112" customWidth="1"/>
    <col min="11517" max="11517" width="11" style="112" customWidth="1"/>
    <col min="11518" max="11734" width="9.140625" style="112"/>
    <col min="11735" max="11735" width="3.5703125" style="112" customWidth="1"/>
    <col min="11736" max="11736" width="13.85546875" style="112" customWidth="1"/>
    <col min="11737" max="11737" width="15.5703125" style="112" customWidth="1"/>
    <col min="11738" max="11738" width="15.7109375" style="112" customWidth="1"/>
    <col min="11739" max="11739" width="15.42578125" style="112" customWidth="1"/>
    <col min="11740" max="11740" width="14" style="112" customWidth="1"/>
    <col min="11741" max="11742" width="13.85546875" style="112" customWidth="1"/>
    <col min="11743" max="11743" width="12.42578125" style="112" customWidth="1"/>
    <col min="11744" max="11744" width="13.85546875" style="112" customWidth="1"/>
    <col min="11745" max="11745" width="16.7109375" style="112" customWidth="1"/>
    <col min="11746" max="11747" width="14.28515625" style="112" customWidth="1"/>
    <col min="11748" max="11748" width="14" style="112" customWidth="1"/>
    <col min="11749" max="11749" width="15.28515625" style="112" customWidth="1"/>
    <col min="11750" max="11750" width="15.5703125" style="112" customWidth="1"/>
    <col min="11751" max="11751" width="15.140625" style="112" customWidth="1"/>
    <col min="11752" max="11752" width="13.5703125" style="112" customWidth="1"/>
    <col min="11753" max="11754" width="14" style="112" customWidth="1"/>
    <col min="11755" max="11756" width="14.140625" style="112" customWidth="1"/>
    <col min="11757" max="11757" width="14.28515625" style="112" customWidth="1"/>
    <col min="11758" max="11758" width="12.140625" style="112" customWidth="1"/>
    <col min="11759" max="11759" width="14.5703125" style="112" customWidth="1"/>
    <col min="11760" max="11760" width="14.7109375" style="112" customWidth="1"/>
    <col min="11761" max="11761" width="13" style="112" customWidth="1"/>
    <col min="11762" max="11762" width="14.5703125" style="112" customWidth="1"/>
    <col min="11763" max="11763" width="12.28515625" style="112" customWidth="1"/>
    <col min="11764" max="11764" width="15.28515625" style="112" customWidth="1"/>
    <col min="11765" max="11765" width="12.85546875" style="112" customWidth="1"/>
    <col min="11766" max="11766" width="13.85546875" style="112" customWidth="1"/>
    <col min="11767" max="11767" width="14.5703125" style="112" customWidth="1"/>
    <col min="11768" max="11769" width="14.28515625" style="112" customWidth="1"/>
    <col min="11770" max="11770" width="14.5703125" style="112" customWidth="1"/>
    <col min="11771" max="11771" width="14.28515625" style="112" customWidth="1"/>
    <col min="11772" max="11772" width="12.5703125" style="112" customWidth="1"/>
    <col min="11773" max="11773" width="11" style="112" customWidth="1"/>
    <col min="11774" max="11990" width="9.140625" style="112"/>
    <col min="11991" max="11991" width="3.5703125" style="112" customWidth="1"/>
    <col min="11992" max="11992" width="13.85546875" style="112" customWidth="1"/>
    <col min="11993" max="11993" width="15.5703125" style="112" customWidth="1"/>
    <col min="11994" max="11994" width="15.7109375" style="112" customWidth="1"/>
    <col min="11995" max="11995" width="15.42578125" style="112" customWidth="1"/>
    <col min="11996" max="11996" width="14" style="112" customWidth="1"/>
    <col min="11997" max="11998" width="13.85546875" style="112" customWidth="1"/>
    <col min="11999" max="11999" width="12.42578125" style="112" customWidth="1"/>
    <col min="12000" max="12000" width="13.85546875" style="112" customWidth="1"/>
    <col min="12001" max="12001" width="16.7109375" style="112" customWidth="1"/>
    <col min="12002" max="12003" width="14.28515625" style="112" customWidth="1"/>
    <col min="12004" max="12004" width="14" style="112" customWidth="1"/>
    <col min="12005" max="12005" width="15.28515625" style="112" customWidth="1"/>
    <col min="12006" max="12006" width="15.5703125" style="112" customWidth="1"/>
    <col min="12007" max="12007" width="15.140625" style="112" customWidth="1"/>
    <col min="12008" max="12008" width="13.5703125" style="112" customWidth="1"/>
    <col min="12009" max="12010" width="14" style="112" customWidth="1"/>
    <col min="12011" max="12012" width="14.140625" style="112" customWidth="1"/>
    <col min="12013" max="12013" width="14.28515625" style="112" customWidth="1"/>
    <col min="12014" max="12014" width="12.140625" style="112" customWidth="1"/>
    <col min="12015" max="12015" width="14.5703125" style="112" customWidth="1"/>
    <col min="12016" max="12016" width="14.7109375" style="112" customWidth="1"/>
    <col min="12017" max="12017" width="13" style="112" customWidth="1"/>
    <col min="12018" max="12018" width="14.5703125" style="112" customWidth="1"/>
    <col min="12019" max="12019" width="12.28515625" style="112" customWidth="1"/>
    <col min="12020" max="12020" width="15.28515625" style="112" customWidth="1"/>
    <col min="12021" max="12021" width="12.85546875" style="112" customWidth="1"/>
    <col min="12022" max="12022" width="13.85546875" style="112" customWidth="1"/>
    <col min="12023" max="12023" width="14.5703125" style="112" customWidth="1"/>
    <col min="12024" max="12025" width="14.28515625" style="112" customWidth="1"/>
    <col min="12026" max="12026" width="14.5703125" style="112" customWidth="1"/>
    <col min="12027" max="12027" width="14.28515625" style="112" customWidth="1"/>
    <col min="12028" max="12028" width="12.5703125" style="112" customWidth="1"/>
    <col min="12029" max="12029" width="11" style="112" customWidth="1"/>
    <col min="12030" max="12246" width="9.140625" style="112"/>
    <col min="12247" max="12247" width="3.5703125" style="112" customWidth="1"/>
    <col min="12248" max="12248" width="13.85546875" style="112" customWidth="1"/>
    <col min="12249" max="12249" width="15.5703125" style="112" customWidth="1"/>
    <col min="12250" max="12250" width="15.7109375" style="112" customWidth="1"/>
    <col min="12251" max="12251" width="15.42578125" style="112" customWidth="1"/>
    <col min="12252" max="12252" width="14" style="112" customWidth="1"/>
    <col min="12253" max="12254" width="13.85546875" style="112" customWidth="1"/>
    <col min="12255" max="12255" width="12.42578125" style="112" customWidth="1"/>
    <col min="12256" max="12256" width="13.85546875" style="112" customWidth="1"/>
    <col min="12257" max="12257" width="16.7109375" style="112" customWidth="1"/>
    <col min="12258" max="12259" width="14.28515625" style="112" customWidth="1"/>
    <col min="12260" max="12260" width="14" style="112" customWidth="1"/>
    <col min="12261" max="12261" width="15.28515625" style="112" customWidth="1"/>
    <col min="12262" max="12262" width="15.5703125" style="112" customWidth="1"/>
    <col min="12263" max="12263" width="15.140625" style="112" customWidth="1"/>
    <col min="12264" max="12264" width="13.5703125" style="112" customWidth="1"/>
    <col min="12265" max="12266" width="14" style="112" customWidth="1"/>
    <col min="12267" max="12268" width="14.140625" style="112" customWidth="1"/>
    <col min="12269" max="12269" width="14.28515625" style="112" customWidth="1"/>
    <col min="12270" max="12270" width="12.140625" style="112" customWidth="1"/>
    <col min="12271" max="12271" width="14.5703125" style="112" customWidth="1"/>
    <col min="12272" max="12272" width="14.7109375" style="112" customWidth="1"/>
    <col min="12273" max="12273" width="13" style="112" customWidth="1"/>
    <col min="12274" max="12274" width="14.5703125" style="112" customWidth="1"/>
    <col min="12275" max="12275" width="12.28515625" style="112" customWidth="1"/>
    <col min="12276" max="12276" width="15.28515625" style="112" customWidth="1"/>
    <col min="12277" max="12277" width="12.85546875" style="112" customWidth="1"/>
    <col min="12278" max="12278" width="13.85546875" style="112" customWidth="1"/>
    <col min="12279" max="12279" width="14.5703125" style="112" customWidth="1"/>
    <col min="12280" max="12281" width="14.28515625" style="112" customWidth="1"/>
    <col min="12282" max="12282" width="14.5703125" style="112" customWidth="1"/>
    <col min="12283" max="12283" width="14.28515625" style="112" customWidth="1"/>
    <col min="12284" max="12284" width="12.5703125" style="112" customWidth="1"/>
    <col min="12285" max="12285" width="11" style="112" customWidth="1"/>
    <col min="12286" max="12502" width="9.140625" style="112"/>
    <col min="12503" max="12503" width="3.5703125" style="112" customWidth="1"/>
    <col min="12504" max="12504" width="13.85546875" style="112" customWidth="1"/>
    <col min="12505" max="12505" width="15.5703125" style="112" customWidth="1"/>
    <col min="12506" max="12506" width="15.7109375" style="112" customWidth="1"/>
    <col min="12507" max="12507" width="15.42578125" style="112" customWidth="1"/>
    <col min="12508" max="12508" width="14" style="112" customWidth="1"/>
    <col min="12509" max="12510" width="13.85546875" style="112" customWidth="1"/>
    <col min="12511" max="12511" width="12.42578125" style="112" customWidth="1"/>
    <col min="12512" max="12512" width="13.85546875" style="112" customWidth="1"/>
    <col min="12513" max="12513" width="16.7109375" style="112" customWidth="1"/>
    <col min="12514" max="12515" width="14.28515625" style="112" customWidth="1"/>
    <col min="12516" max="12516" width="14" style="112" customWidth="1"/>
    <col min="12517" max="12517" width="15.28515625" style="112" customWidth="1"/>
    <col min="12518" max="12518" width="15.5703125" style="112" customWidth="1"/>
    <col min="12519" max="12519" width="15.140625" style="112" customWidth="1"/>
    <col min="12520" max="12520" width="13.5703125" style="112" customWidth="1"/>
    <col min="12521" max="12522" width="14" style="112" customWidth="1"/>
    <col min="12523" max="12524" width="14.140625" style="112" customWidth="1"/>
    <col min="12525" max="12525" width="14.28515625" style="112" customWidth="1"/>
    <col min="12526" max="12526" width="12.140625" style="112" customWidth="1"/>
    <col min="12527" max="12527" width="14.5703125" style="112" customWidth="1"/>
    <col min="12528" max="12528" width="14.7109375" style="112" customWidth="1"/>
    <col min="12529" max="12529" width="13" style="112" customWidth="1"/>
    <col min="12530" max="12530" width="14.5703125" style="112" customWidth="1"/>
    <col min="12531" max="12531" width="12.28515625" style="112" customWidth="1"/>
    <col min="12532" max="12532" width="15.28515625" style="112" customWidth="1"/>
    <col min="12533" max="12533" width="12.85546875" style="112" customWidth="1"/>
    <col min="12534" max="12534" width="13.85546875" style="112" customWidth="1"/>
    <col min="12535" max="12535" width="14.5703125" style="112" customWidth="1"/>
    <col min="12536" max="12537" width="14.28515625" style="112" customWidth="1"/>
    <col min="12538" max="12538" width="14.5703125" style="112" customWidth="1"/>
    <col min="12539" max="12539" width="14.28515625" style="112" customWidth="1"/>
    <col min="12540" max="12540" width="12.5703125" style="112" customWidth="1"/>
    <col min="12541" max="12541" width="11" style="112" customWidth="1"/>
    <col min="12542" max="12758" width="9.140625" style="112"/>
    <col min="12759" max="12759" width="3.5703125" style="112" customWidth="1"/>
    <col min="12760" max="12760" width="13.85546875" style="112" customWidth="1"/>
    <col min="12761" max="12761" width="15.5703125" style="112" customWidth="1"/>
    <col min="12762" max="12762" width="15.7109375" style="112" customWidth="1"/>
    <col min="12763" max="12763" width="15.42578125" style="112" customWidth="1"/>
    <col min="12764" max="12764" width="14" style="112" customWidth="1"/>
    <col min="12765" max="12766" width="13.85546875" style="112" customWidth="1"/>
    <col min="12767" max="12767" width="12.42578125" style="112" customWidth="1"/>
    <col min="12768" max="12768" width="13.85546875" style="112" customWidth="1"/>
    <col min="12769" max="12769" width="16.7109375" style="112" customWidth="1"/>
    <col min="12770" max="12771" width="14.28515625" style="112" customWidth="1"/>
    <col min="12772" max="12772" width="14" style="112" customWidth="1"/>
    <col min="12773" max="12773" width="15.28515625" style="112" customWidth="1"/>
    <col min="12774" max="12774" width="15.5703125" style="112" customWidth="1"/>
    <col min="12775" max="12775" width="15.140625" style="112" customWidth="1"/>
    <col min="12776" max="12776" width="13.5703125" style="112" customWidth="1"/>
    <col min="12777" max="12778" width="14" style="112" customWidth="1"/>
    <col min="12779" max="12780" width="14.140625" style="112" customWidth="1"/>
    <col min="12781" max="12781" width="14.28515625" style="112" customWidth="1"/>
    <col min="12782" max="12782" width="12.140625" style="112" customWidth="1"/>
    <col min="12783" max="12783" width="14.5703125" style="112" customWidth="1"/>
    <col min="12784" max="12784" width="14.7109375" style="112" customWidth="1"/>
    <col min="12785" max="12785" width="13" style="112" customWidth="1"/>
    <col min="12786" max="12786" width="14.5703125" style="112" customWidth="1"/>
    <col min="12787" max="12787" width="12.28515625" style="112" customWidth="1"/>
    <col min="12788" max="12788" width="15.28515625" style="112" customWidth="1"/>
    <col min="12789" max="12789" width="12.85546875" style="112" customWidth="1"/>
    <col min="12790" max="12790" width="13.85546875" style="112" customWidth="1"/>
    <col min="12791" max="12791" width="14.5703125" style="112" customWidth="1"/>
    <col min="12792" max="12793" width="14.28515625" style="112" customWidth="1"/>
    <col min="12794" max="12794" width="14.5703125" style="112" customWidth="1"/>
    <col min="12795" max="12795" width="14.28515625" style="112" customWidth="1"/>
    <col min="12796" max="12796" width="12.5703125" style="112" customWidth="1"/>
    <col min="12797" max="12797" width="11" style="112" customWidth="1"/>
    <col min="12798" max="13014" width="9.140625" style="112"/>
    <col min="13015" max="13015" width="3.5703125" style="112" customWidth="1"/>
    <col min="13016" max="13016" width="13.85546875" style="112" customWidth="1"/>
    <col min="13017" max="13017" width="15.5703125" style="112" customWidth="1"/>
    <col min="13018" max="13018" width="15.7109375" style="112" customWidth="1"/>
    <col min="13019" max="13019" width="15.42578125" style="112" customWidth="1"/>
    <col min="13020" max="13020" width="14" style="112" customWidth="1"/>
    <col min="13021" max="13022" width="13.85546875" style="112" customWidth="1"/>
    <col min="13023" max="13023" width="12.42578125" style="112" customWidth="1"/>
    <col min="13024" max="13024" width="13.85546875" style="112" customWidth="1"/>
    <col min="13025" max="13025" width="16.7109375" style="112" customWidth="1"/>
    <col min="13026" max="13027" width="14.28515625" style="112" customWidth="1"/>
    <col min="13028" max="13028" width="14" style="112" customWidth="1"/>
    <col min="13029" max="13029" width="15.28515625" style="112" customWidth="1"/>
    <col min="13030" max="13030" width="15.5703125" style="112" customWidth="1"/>
    <col min="13031" max="13031" width="15.140625" style="112" customWidth="1"/>
    <col min="13032" max="13032" width="13.5703125" style="112" customWidth="1"/>
    <col min="13033" max="13034" width="14" style="112" customWidth="1"/>
    <col min="13035" max="13036" width="14.140625" style="112" customWidth="1"/>
    <col min="13037" max="13037" width="14.28515625" style="112" customWidth="1"/>
    <col min="13038" max="13038" width="12.140625" style="112" customWidth="1"/>
    <col min="13039" max="13039" width="14.5703125" style="112" customWidth="1"/>
    <col min="13040" max="13040" width="14.7109375" style="112" customWidth="1"/>
    <col min="13041" max="13041" width="13" style="112" customWidth="1"/>
    <col min="13042" max="13042" width="14.5703125" style="112" customWidth="1"/>
    <col min="13043" max="13043" width="12.28515625" style="112" customWidth="1"/>
    <col min="13044" max="13044" width="15.28515625" style="112" customWidth="1"/>
    <col min="13045" max="13045" width="12.85546875" style="112" customWidth="1"/>
    <col min="13046" max="13046" width="13.85546875" style="112" customWidth="1"/>
    <col min="13047" max="13047" width="14.5703125" style="112" customWidth="1"/>
    <col min="13048" max="13049" width="14.28515625" style="112" customWidth="1"/>
    <col min="13050" max="13050" width="14.5703125" style="112" customWidth="1"/>
    <col min="13051" max="13051" width="14.28515625" style="112" customWidth="1"/>
    <col min="13052" max="13052" width="12.5703125" style="112" customWidth="1"/>
    <col min="13053" max="13053" width="11" style="112" customWidth="1"/>
    <col min="13054" max="13270" width="9.140625" style="112"/>
    <col min="13271" max="13271" width="3.5703125" style="112" customWidth="1"/>
    <col min="13272" max="13272" width="13.85546875" style="112" customWidth="1"/>
    <col min="13273" max="13273" width="15.5703125" style="112" customWidth="1"/>
    <col min="13274" max="13274" width="15.7109375" style="112" customWidth="1"/>
    <col min="13275" max="13275" width="15.42578125" style="112" customWidth="1"/>
    <col min="13276" max="13276" width="14" style="112" customWidth="1"/>
    <col min="13277" max="13278" width="13.85546875" style="112" customWidth="1"/>
    <col min="13279" max="13279" width="12.42578125" style="112" customWidth="1"/>
    <col min="13280" max="13280" width="13.85546875" style="112" customWidth="1"/>
    <col min="13281" max="13281" width="16.7109375" style="112" customWidth="1"/>
    <col min="13282" max="13283" width="14.28515625" style="112" customWidth="1"/>
    <col min="13284" max="13284" width="14" style="112" customWidth="1"/>
    <col min="13285" max="13285" width="15.28515625" style="112" customWidth="1"/>
    <col min="13286" max="13286" width="15.5703125" style="112" customWidth="1"/>
    <col min="13287" max="13287" width="15.140625" style="112" customWidth="1"/>
    <col min="13288" max="13288" width="13.5703125" style="112" customWidth="1"/>
    <col min="13289" max="13290" width="14" style="112" customWidth="1"/>
    <col min="13291" max="13292" width="14.140625" style="112" customWidth="1"/>
    <col min="13293" max="13293" width="14.28515625" style="112" customWidth="1"/>
    <col min="13294" max="13294" width="12.140625" style="112" customWidth="1"/>
    <col min="13295" max="13295" width="14.5703125" style="112" customWidth="1"/>
    <col min="13296" max="13296" width="14.7109375" style="112" customWidth="1"/>
    <col min="13297" max="13297" width="13" style="112" customWidth="1"/>
    <col min="13298" max="13298" width="14.5703125" style="112" customWidth="1"/>
    <col min="13299" max="13299" width="12.28515625" style="112" customWidth="1"/>
    <col min="13300" max="13300" width="15.28515625" style="112" customWidth="1"/>
    <col min="13301" max="13301" width="12.85546875" style="112" customWidth="1"/>
    <col min="13302" max="13302" width="13.85546875" style="112" customWidth="1"/>
    <col min="13303" max="13303" width="14.5703125" style="112" customWidth="1"/>
    <col min="13304" max="13305" width="14.28515625" style="112" customWidth="1"/>
    <col min="13306" max="13306" width="14.5703125" style="112" customWidth="1"/>
    <col min="13307" max="13307" width="14.28515625" style="112" customWidth="1"/>
    <col min="13308" max="13308" width="12.5703125" style="112" customWidth="1"/>
    <col min="13309" max="13309" width="11" style="112" customWidth="1"/>
    <col min="13310" max="13526" width="9.140625" style="112"/>
    <col min="13527" max="13527" width="3.5703125" style="112" customWidth="1"/>
    <col min="13528" max="13528" width="13.85546875" style="112" customWidth="1"/>
    <col min="13529" max="13529" width="15.5703125" style="112" customWidth="1"/>
    <col min="13530" max="13530" width="15.7109375" style="112" customWidth="1"/>
    <col min="13531" max="13531" width="15.42578125" style="112" customWidth="1"/>
    <col min="13532" max="13532" width="14" style="112" customWidth="1"/>
    <col min="13533" max="13534" width="13.85546875" style="112" customWidth="1"/>
    <col min="13535" max="13535" width="12.42578125" style="112" customWidth="1"/>
    <col min="13536" max="13536" width="13.85546875" style="112" customWidth="1"/>
    <col min="13537" max="13537" width="16.7109375" style="112" customWidth="1"/>
    <col min="13538" max="13539" width="14.28515625" style="112" customWidth="1"/>
    <col min="13540" max="13540" width="14" style="112" customWidth="1"/>
    <col min="13541" max="13541" width="15.28515625" style="112" customWidth="1"/>
    <col min="13542" max="13542" width="15.5703125" style="112" customWidth="1"/>
    <col min="13543" max="13543" width="15.140625" style="112" customWidth="1"/>
    <col min="13544" max="13544" width="13.5703125" style="112" customWidth="1"/>
    <col min="13545" max="13546" width="14" style="112" customWidth="1"/>
    <col min="13547" max="13548" width="14.140625" style="112" customWidth="1"/>
    <col min="13549" max="13549" width="14.28515625" style="112" customWidth="1"/>
    <col min="13550" max="13550" width="12.140625" style="112" customWidth="1"/>
    <col min="13551" max="13551" width="14.5703125" style="112" customWidth="1"/>
    <col min="13552" max="13552" width="14.7109375" style="112" customWidth="1"/>
    <col min="13553" max="13553" width="13" style="112" customWidth="1"/>
    <col min="13554" max="13554" width="14.5703125" style="112" customWidth="1"/>
    <col min="13555" max="13555" width="12.28515625" style="112" customWidth="1"/>
    <col min="13556" max="13556" width="15.28515625" style="112" customWidth="1"/>
    <col min="13557" max="13557" width="12.85546875" style="112" customWidth="1"/>
    <col min="13558" max="13558" width="13.85546875" style="112" customWidth="1"/>
    <col min="13559" max="13559" width="14.5703125" style="112" customWidth="1"/>
    <col min="13560" max="13561" width="14.28515625" style="112" customWidth="1"/>
    <col min="13562" max="13562" width="14.5703125" style="112" customWidth="1"/>
    <col min="13563" max="13563" width="14.28515625" style="112" customWidth="1"/>
    <col min="13564" max="13564" width="12.5703125" style="112" customWidth="1"/>
    <col min="13565" max="13565" width="11" style="112" customWidth="1"/>
    <col min="13566" max="13782" width="9.140625" style="112"/>
    <col min="13783" max="13783" width="3.5703125" style="112" customWidth="1"/>
    <col min="13784" max="13784" width="13.85546875" style="112" customWidth="1"/>
    <col min="13785" max="13785" width="15.5703125" style="112" customWidth="1"/>
    <col min="13786" max="13786" width="15.7109375" style="112" customWidth="1"/>
    <col min="13787" max="13787" width="15.42578125" style="112" customWidth="1"/>
    <col min="13788" max="13788" width="14" style="112" customWidth="1"/>
    <col min="13789" max="13790" width="13.85546875" style="112" customWidth="1"/>
    <col min="13791" max="13791" width="12.42578125" style="112" customWidth="1"/>
    <col min="13792" max="13792" width="13.85546875" style="112" customWidth="1"/>
    <col min="13793" max="13793" width="16.7109375" style="112" customWidth="1"/>
    <col min="13794" max="13795" width="14.28515625" style="112" customWidth="1"/>
    <col min="13796" max="13796" width="14" style="112" customWidth="1"/>
    <col min="13797" max="13797" width="15.28515625" style="112" customWidth="1"/>
    <col min="13798" max="13798" width="15.5703125" style="112" customWidth="1"/>
    <col min="13799" max="13799" width="15.140625" style="112" customWidth="1"/>
    <col min="13800" max="13800" width="13.5703125" style="112" customWidth="1"/>
    <col min="13801" max="13802" width="14" style="112" customWidth="1"/>
    <col min="13803" max="13804" width="14.140625" style="112" customWidth="1"/>
    <col min="13805" max="13805" width="14.28515625" style="112" customWidth="1"/>
    <col min="13806" max="13806" width="12.140625" style="112" customWidth="1"/>
    <col min="13807" max="13807" width="14.5703125" style="112" customWidth="1"/>
    <col min="13808" max="13808" width="14.7109375" style="112" customWidth="1"/>
    <col min="13809" max="13809" width="13" style="112" customWidth="1"/>
    <col min="13810" max="13810" width="14.5703125" style="112" customWidth="1"/>
    <col min="13811" max="13811" width="12.28515625" style="112" customWidth="1"/>
    <col min="13812" max="13812" width="15.28515625" style="112" customWidth="1"/>
    <col min="13813" max="13813" width="12.85546875" style="112" customWidth="1"/>
    <col min="13814" max="13814" width="13.85546875" style="112" customWidth="1"/>
    <col min="13815" max="13815" width="14.5703125" style="112" customWidth="1"/>
    <col min="13816" max="13817" width="14.28515625" style="112" customWidth="1"/>
    <col min="13818" max="13818" width="14.5703125" style="112" customWidth="1"/>
    <col min="13819" max="13819" width="14.28515625" style="112" customWidth="1"/>
    <col min="13820" max="13820" width="12.5703125" style="112" customWidth="1"/>
    <col min="13821" max="13821" width="11" style="112" customWidth="1"/>
    <col min="13822" max="14038" width="9.140625" style="112"/>
    <col min="14039" max="14039" width="3.5703125" style="112" customWidth="1"/>
    <col min="14040" max="14040" width="13.85546875" style="112" customWidth="1"/>
    <col min="14041" max="14041" width="15.5703125" style="112" customWidth="1"/>
    <col min="14042" max="14042" width="15.7109375" style="112" customWidth="1"/>
    <col min="14043" max="14043" width="15.42578125" style="112" customWidth="1"/>
    <col min="14044" max="14044" width="14" style="112" customWidth="1"/>
    <col min="14045" max="14046" width="13.85546875" style="112" customWidth="1"/>
    <col min="14047" max="14047" width="12.42578125" style="112" customWidth="1"/>
    <col min="14048" max="14048" width="13.85546875" style="112" customWidth="1"/>
    <col min="14049" max="14049" width="16.7109375" style="112" customWidth="1"/>
    <col min="14050" max="14051" width="14.28515625" style="112" customWidth="1"/>
    <col min="14052" max="14052" width="14" style="112" customWidth="1"/>
    <col min="14053" max="14053" width="15.28515625" style="112" customWidth="1"/>
    <col min="14054" max="14054" width="15.5703125" style="112" customWidth="1"/>
    <col min="14055" max="14055" width="15.140625" style="112" customWidth="1"/>
    <col min="14056" max="14056" width="13.5703125" style="112" customWidth="1"/>
    <col min="14057" max="14058" width="14" style="112" customWidth="1"/>
    <col min="14059" max="14060" width="14.140625" style="112" customWidth="1"/>
    <col min="14061" max="14061" width="14.28515625" style="112" customWidth="1"/>
    <col min="14062" max="14062" width="12.140625" style="112" customWidth="1"/>
    <col min="14063" max="14063" width="14.5703125" style="112" customWidth="1"/>
    <col min="14064" max="14064" width="14.7109375" style="112" customWidth="1"/>
    <col min="14065" max="14065" width="13" style="112" customWidth="1"/>
    <col min="14066" max="14066" width="14.5703125" style="112" customWidth="1"/>
    <col min="14067" max="14067" width="12.28515625" style="112" customWidth="1"/>
    <col min="14068" max="14068" width="15.28515625" style="112" customWidth="1"/>
    <col min="14069" max="14069" width="12.85546875" style="112" customWidth="1"/>
    <col min="14070" max="14070" width="13.85546875" style="112" customWidth="1"/>
    <col min="14071" max="14071" width="14.5703125" style="112" customWidth="1"/>
    <col min="14072" max="14073" width="14.28515625" style="112" customWidth="1"/>
    <col min="14074" max="14074" width="14.5703125" style="112" customWidth="1"/>
    <col min="14075" max="14075" width="14.28515625" style="112" customWidth="1"/>
    <col min="14076" max="14076" width="12.5703125" style="112" customWidth="1"/>
    <col min="14077" max="14077" width="11" style="112" customWidth="1"/>
    <col min="14078" max="14294" width="9.140625" style="112"/>
    <col min="14295" max="14295" width="3.5703125" style="112" customWidth="1"/>
    <col min="14296" max="14296" width="13.85546875" style="112" customWidth="1"/>
    <col min="14297" max="14297" width="15.5703125" style="112" customWidth="1"/>
    <col min="14298" max="14298" width="15.7109375" style="112" customWidth="1"/>
    <col min="14299" max="14299" width="15.42578125" style="112" customWidth="1"/>
    <col min="14300" max="14300" width="14" style="112" customWidth="1"/>
    <col min="14301" max="14302" width="13.85546875" style="112" customWidth="1"/>
    <col min="14303" max="14303" width="12.42578125" style="112" customWidth="1"/>
    <col min="14304" max="14304" width="13.85546875" style="112" customWidth="1"/>
    <col min="14305" max="14305" width="16.7109375" style="112" customWidth="1"/>
    <col min="14306" max="14307" width="14.28515625" style="112" customWidth="1"/>
    <col min="14308" max="14308" width="14" style="112" customWidth="1"/>
    <col min="14309" max="14309" width="15.28515625" style="112" customWidth="1"/>
    <col min="14310" max="14310" width="15.5703125" style="112" customWidth="1"/>
    <col min="14311" max="14311" width="15.140625" style="112" customWidth="1"/>
    <col min="14312" max="14312" width="13.5703125" style="112" customWidth="1"/>
    <col min="14313" max="14314" width="14" style="112" customWidth="1"/>
    <col min="14315" max="14316" width="14.140625" style="112" customWidth="1"/>
    <col min="14317" max="14317" width="14.28515625" style="112" customWidth="1"/>
    <col min="14318" max="14318" width="12.140625" style="112" customWidth="1"/>
    <col min="14319" max="14319" width="14.5703125" style="112" customWidth="1"/>
    <col min="14320" max="14320" width="14.7109375" style="112" customWidth="1"/>
    <col min="14321" max="14321" width="13" style="112" customWidth="1"/>
    <col min="14322" max="14322" width="14.5703125" style="112" customWidth="1"/>
    <col min="14323" max="14323" width="12.28515625" style="112" customWidth="1"/>
    <col min="14324" max="14324" width="15.28515625" style="112" customWidth="1"/>
    <col min="14325" max="14325" width="12.85546875" style="112" customWidth="1"/>
    <col min="14326" max="14326" width="13.85546875" style="112" customWidth="1"/>
    <col min="14327" max="14327" width="14.5703125" style="112" customWidth="1"/>
    <col min="14328" max="14329" width="14.28515625" style="112" customWidth="1"/>
    <col min="14330" max="14330" width="14.5703125" style="112" customWidth="1"/>
    <col min="14331" max="14331" width="14.28515625" style="112" customWidth="1"/>
    <col min="14332" max="14332" width="12.5703125" style="112" customWidth="1"/>
    <col min="14333" max="14333" width="11" style="112" customWidth="1"/>
    <col min="14334" max="14550" width="9.140625" style="112"/>
    <col min="14551" max="14551" width="3.5703125" style="112" customWidth="1"/>
    <col min="14552" max="14552" width="13.85546875" style="112" customWidth="1"/>
    <col min="14553" max="14553" width="15.5703125" style="112" customWidth="1"/>
    <col min="14554" max="14554" width="15.7109375" style="112" customWidth="1"/>
    <col min="14555" max="14555" width="15.42578125" style="112" customWidth="1"/>
    <col min="14556" max="14556" width="14" style="112" customWidth="1"/>
    <col min="14557" max="14558" width="13.85546875" style="112" customWidth="1"/>
    <col min="14559" max="14559" width="12.42578125" style="112" customWidth="1"/>
    <col min="14560" max="14560" width="13.85546875" style="112" customWidth="1"/>
    <col min="14561" max="14561" width="16.7109375" style="112" customWidth="1"/>
    <col min="14562" max="14563" width="14.28515625" style="112" customWidth="1"/>
    <col min="14564" max="14564" width="14" style="112" customWidth="1"/>
    <col min="14565" max="14565" width="15.28515625" style="112" customWidth="1"/>
    <col min="14566" max="14566" width="15.5703125" style="112" customWidth="1"/>
    <col min="14567" max="14567" width="15.140625" style="112" customWidth="1"/>
    <col min="14568" max="14568" width="13.5703125" style="112" customWidth="1"/>
    <col min="14569" max="14570" width="14" style="112" customWidth="1"/>
    <col min="14571" max="14572" width="14.140625" style="112" customWidth="1"/>
    <col min="14573" max="14573" width="14.28515625" style="112" customWidth="1"/>
    <col min="14574" max="14574" width="12.140625" style="112" customWidth="1"/>
    <col min="14575" max="14575" width="14.5703125" style="112" customWidth="1"/>
    <col min="14576" max="14576" width="14.7109375" style="112" customWidth="1"/>
    <col min="14577" max="14577" width="13" style="112" customWidth="1"/>
    <col min="14578" max="14578" width="14.5703125" style="112" customWidth="1"/>
    <col min="14579" max="14579" width="12.28515625" style="112" customWidth="1"/>
    <col min="14580" max="14580" width="15.28515625" style="112" customWidth="1"/>
    <col min="14581" max="14581" width="12.85546875" style="112" customWidth="1"/>
    <col min="14582" max="14582" width="13.85546875" style="112" customWidth="1"/>
    <col min="14583" max="14583" width="14.5703125" style="112" customWidth="1"/>
    <col min="14584" max="14585" width="14.28515625" style="112" customWidth="1"/>
    <col min="14586" max="14586" width="14.5703125" style="112" customWidth="1"/>
    <col min="14587" max="14587" width="14.28515625" style="112" customWidth="1"/>
    <col min="14588" max="14588" width="12.5703125" style="112" customWidth="1"/>
    <col min="14589" max="14589" width="11" style="112" customWidth="1"/>
    <col min="14590" max="14806" width="9.140625" style="112"/>
    <col min="14807" max="14807" width="3.5703125" style="112" customWidth="1"/>
    <col min="14808" max="14808" width="13.85546875" style="112" customWidth="1"/>
    <col min="14809" max="14809" width="15.5703125" style="112" customWidth="1"/>
    <col min="14810" max="14810" width="15.7109375" style="112" customWidth="1"/>
    <col min="14811" max="14811" width="15.42578125" style="112" customWidth="1"/>
    <col min="14812" max="14812" width="14" style="112" customWidth="1"/>
    <col min="14813" max="14814" width="13.85546875" style="112" customWidth="1"/>
    <col min="14815" max="14815" width="12.42578125" style="112" customWidth="1"/>
    <col min="14816" max="14816" width="13.85546875" style="112" customWidth="1"/>
    <col min="14817" max="14817" width="16.7109375" style="112" customWidth="1"/>
    <col min="14818" max="14819" width="14.28515625" style="112" customWidth="1"/>
    <col min="14820" max="14820" width="14" style="112" customWidth="1"/>
    <col min="14821" max="14821" width="15.28515625" style="112" customWidth="1"/>
    <col min="14822" max="14822" width="15.5703125" style="112" customWidth="1"/>
    <col min="14823" max="14823" width="15.140625" style="112" customWidth="1"/>
    <col min="14824" max="14824" width="13.5703125" style="112" customWidth="1"/>
    <col min="14825" max="14826" width="14" style="112" customWidth="1"/>
    <col min="14827" max="14828" width="14.140625" style="112" customWidth="1"/>
    <col min="14829" max="14829" width="14.28515625" style="112" customWidth="1"/>
    <col min="14830" max="14830" width="12.140625" style="112" customWidth="1"/>
    <col min="14831" max="14831" width="14.5703125" style="112" customWidth="1"/>
    <col min="14832" max="14832" width="14.7109375" style="112" customWidth="1"/>
    <col min="14833" max="14833" width="13" style="112" customWidth="1"/>
    <col min="14834" max="14834" width="14.5703125" style="112" customWidth="1"/>
    <col min="14835" max="14835" width="12.28515625" style="112" customWidth="1"/>
    <col min="14836" max="14836" width="15.28515625" style="112" customWidth="1"/>
    <col min="14837" max="14837" width="12.85546875" style="112" customWidth="1"/>
    <col min="14838" max="14838" width="13.85546875" style="112" customWidth="1"/>
    <col min="14839" max="14839" width="14.5703125" style="112" customWidth="1"/>
    <col min="14840" max="14841" width="14.28515625" style="112" customWidth="1"/>
    <col min="14842" max="14842" width="14.5703125" style="112" customWidth="1"/>
    <col min="14843" max="14843" width="14.28515625" style="112" customWidth="1"/>
    <col min="14844" max="14844" width="12.5703125" style="112" customWidth="1"/>
    <col min="14845" max="14845" width="11" style="112" customWidth="1"/>
    <col min="14846" max="15062" width="9.140625" style="112"/>
    <col min="15063" max="15063" width="3.5703125" style="112" customWidth="1"/>
    <col min="15064" max="15064" width="13.85546875" style="112" customWidth="1"/>
    <col min="15065" max="15065" width="15.5703125" style="112" customWidth="1"/>
    <col min="15066" max="15066" width="15.7109375" style="112" customWidth="1"/>
    <col min="15067" max="15067" width="15.42578125" style="112" customWidth="1"/>
    <col min="15068" max="15068" width="14" style="112" customWidth="1"/>
    <col min="15069" max="15070" width="13.85546875" style="112" customWidth="1"/>
    <col min="15071" max="15071" width="12.42578125" style="112" customWidth="1"/>
    <col min="15072" max="15072" width="13.85546875" style="112" customWidth="1"/>
    <col min="15073" max="15073" width="16.7109375" style="112" customWidth="1"/>
    <col min="15074" max="15075" width="14.28515625" style="112" customWidth="1"/>
    <col min="15076" max="15076" width="14" style="112" customWidth="1"/>
    <col min="15077" max="15077" width="15.28515625" style="112" customWidth="1"/>
    <col min="15078" max="15078" width="15.5703125" style="112" customWidth="1"/>
    <col min="15079" max="15079" width="15.140625" style="112" customWidth="1"/>
    <col min="15080" max="15080" width="13.5703125" style="112" customWidth="1"/>
    <col min="15081" max="15082" width="14" style="112" customWidth="1"/>
    <col min="15083" max="15084" width="14.140625" style="112" customWidth="1"/>
    <col min="15085" max="15085" width="14.28515625" style="112" customWidth="1"/>
    <col min="15086" max="15086" width="12.140625" style="112" customWidth="1"/>
    <col min="15087" max="15087" width="14.5703125" style="112" customWidth="1"/>
    <col min="15088" max="15088" width="14.7109375" style="112" customWidth="1"/>
    <col min="15089" max="15089" width="13" style="112" customWidth="1"/>
    <col min="15090" max="15090" width="14.5703125" style="112" customWidth="1"/>
    <col min="15091" max="15091" width="12.28515625" style="112" customWidth="1"/>
    <col min="15092" max="15092" width="15.28515625" style="112" customWidth="1"/>
    <col min="15093" max="15093" width="12.85546875" style="112" customWidth="1"/>
    <col min="15094" max="15094" width="13.85546875" style="112" customWidth="1"/>
    <col min="15095" max="15095" width="14.5703125" style="112" customWidth="1"/>
    <col min="15096" max="15097" width="14.28515625" style="112" customWidth="1"/>
    <col min="15098" max="15098" width="14.5703125" style="112" customWidth="1"/>
    <col min="15099" max="15099" width="14.28515625" style="112" customWidth="1"/>
    <col min="15100" max="15100" width="12.5703125" style="112" customWidth="1"/>
    <col min="15101" max="15101" width="11" style="112" customWidth="1"/>
    <col min="15102" max="15318" width="9.140625" style="112"/>
    <col min="15319" max="15319" width="3.5703125" style="112" customWidth="1"/>
    <col min="15320" max="15320" width="13.85546875" style="112" customWidth="1"/>
    <col min="15321" max="15321" width="15.5703125" style="112" customWidth="1"/>
    <col min="15322" max="15322" width="15.7109375" style="112" customWidth="1"/>
    <col min="15323" max="15323" width="15.42578125" style="112" customWidth="1"/>
    <col min="15324" max="15324" width="14" style="112" customWidth="1"/>
    <col min="15325" max="15326" width="13.85546875" style="112" customWidth="1"/>
    <col min="15327" max="15327" width="12.42578125" style="112" customWidth="1"/>
    <col min="15328" max="15328" width="13.85546875" style="112" customWidth="1"/>
    <col min="15329" max="15329" width="16.7109375" style="112" customWidth="1"/>
    <col min="15330" max="15331" width="14.28515625" style="112" customWidth="1"/>
    <col min="15332" max="15332" width="14" style="112" customWidth="1"/>
    <col min="15333" max="15333" width="15.28515625" style="112" customWidth="1"/>
    <col min="15334" max="15334" width="15.5703125" style="112" customWidth="1"/>
    <col min="15335" max="15335" width="15.140625" style="112" customWidth="1"/>
    <col min="15336" max="15336" width="13.5703125" style="112" customWidth="1"/>
    <col min="15337" max="15338" width="14" style="112" customWidth="1"/>
    <col min="15339" max="15340" width="14.140625" style="112" customWidth="1"/>
    <col min="15341" max="15341" width="14.28515625" style="112" customWidth="1"/>
    <col min="15342" max="15342" width="12.140625" style="112" customWidth="1"/>
    <col min="15343" max="15343" width="14.5703125" style="112" customWidth="1"/>
    <col min="15344" max="15344" width="14.7109375" style="112" customWidth="1"/>
    <col min="15345" max="15345" width="13" style="112" customWidth="1"/>
    <col min="15346" max="15346" width="14.5703125" style="112" customWidth="1"/>
    <col min="15347" max="15347" width="12.28515625" style="112" customWidth="1"/>
    <col min="15348" max="15348" width="15.28515625" style="112" customWidth="1"/>
    <col min="15349" max="15349" width="12.85546875" style="112" customWidth="1"/>
    <col min="15350" max="15350" width="13.85546875" style="112" customWidth="1"/>
    <col min="15351" max="15351" width="14.5703125" style="112" customWidth="1"/>
    <col min="15352" max="15353" width="14.28515625" style="112" customWidth="1"/>
    <col min="15354" max="15354" width="14.5703125" style="112" customWidth="1"/>
    <col min="15355" max="15355" width="14.28515625" style="112" customWidth="1"/>
    <col min="15356" max="15356" width="12.5703125" style="112" customWidth="1"/>
    <col min="15357" max="15357" width="11" style="112" customWidth="1"/>
    <col min="15358" max="15574" width="9.140625" style="112"/>
    <col min="15575" max="15575" width="3.5703125" style="112" customWidth="1"/>
    <col min="15576" max="15576" width="13.85546875" style="112" customWidth="1"/>
    <col min="15577" max="15577" width="15.5703125" style="112" customWidth="1"/>
    <col min="15578" max="15578" width="15.7109375" style="112" customWidth="1"/>
    <col min="15579" max="15579" width="15.42578125" style="112" customWidth="1"/>
    <col min="15580" max="15580" width="14" style="112" customWidth="1"/>
    <col min="15581" max="15582" width="13.85546875" style="112" customWidth="1"/>
    <col min="15583" max="15583" width="12.42578125" style="112" customWidth="1"/>
    <col min="15584" max="15584" width="13.85546875" style="112" customWidth="1"/>
    <col min="15585" max="15585" width="16.7109375" style="112" customWidth="1"/>
    <col min="15586" max="15587" width="14.28515625" style="112" customWidth="1"/>
    <col min="15588" max="15588" width="14" style="112" customWidth="1"/>
    <col min="15589" max="15589" width="15.28515625" style="112" customWidth="1"/>
    <col min="15590" max="15590" width="15.5703125" style="112" customWidth="1"/>
    <col min="15591" max="15591" width="15.140625" style="112" customWidth="1"/>
    <col min="15592" max="15592" width="13.5703125" style="112" customWidth="1"/>
    <col min="15593" max="15594" width="14" style="112" customWidth="1"/>
    <col min="15595" max="15596" width="14.140625" style="112" customWidth="1"/>
    <col min="15597" max="15597" width="14.28515625" style="112" customWidth="1"/>
    <col min="15598" max="15598" width="12.140625" style="112" customWidth="1"/>
    <col min="15599" max="15599" width="14.5703125" style="112" customWidth="1"/>
    <col min="15600" max="15600" width="14.7109375" style="112" customWidth="1"/>
    <col min="15601" max="15601" width="13" style="112" customWidth="1"/>
    <col min="15602" max="15602" width="14.5703125" style="112" customWidth="1"/>
    <col min="15603" max="15603" width="12.28515625" style="112" customWidth="1"/>
    <col min="15604" max="15604" width="15.28515625" style="112" customWidth="1"/>
    <col min="15605" max="15605" width="12.85546875" style="112" customWidth="1"/>
    <col min="15606" max="15606" width="13.85546875" style="112" customWidth="1"/>
    <col min="15607" max="15607" width="14.5703125" style="112" customWidth="1"/>
    <col min="15608" max="15609" width="14.28515625" style="112" customWidth="1"/>
    <col min="15610" max="15610" width="14.5703125" style="112" customWidth="1"/>
    <col min="15611" max="15611" width="14.28515625" style="112" customWidth="1"/>
    <col min="15612" max="15612" width="12.5703125" style="112" customWidth="1"/>
    <col min="15613" max="15613" width="11" style="112" customWidth="1"/>
    <col min="15614" max="15830" width="9.140625" style="112"/>
    <col min="15831" max="15831" width="3.5703125" style="112" customWidth="1"/>
    <col min="15832" max="15832" width="13.85546875" style="112" customWidth="1"/>
    <col min="15833" max="15833" width="15.5703125" style="112" customWidth="1"/>
    <col min="15834" max="15834" width="15.7109375" style="112" customWidth="1"/>
    <col min="15835" max="15835" width="15.42578125" style="112" customWidth="1"/>
    <col min="15836" max="15836" width="14" style="112" customWidth="1"/>
    <col min="15837" max="15838" width="13.85546875" style="112" customWidth="1"/>
    <col min="15839" max="15839" width="12.42578125" style="112" customWidth="1"/>
    <col min="15840" max="15840" width="13.85546875" style="112" customWidth="1"/>
    <col min="15841" max="15841" width="16.7109375" style="112" customWidth="1"/>
    <col min="15842" max="15843" width="14.28515625" style="112" customWidth="1"/>
    <col min="15844" max="15844" width="14" style="112" customWidth="1"/>
    <col min="15845" max="15845" width="15.28515625" style="112" customWidth="1"/>
    <col min="15846" max="15846" width="15.5703125" style="112" customWidth="1"/>
    <col min="15847" max="15847" width="15.140625" style="112" customWidth="1"/>
    <col min="15848" max="15848" width="13.5703125" style="112" customWidth="1"/>
    <col min="15849" max="15850" width="14" style="112" customWidth="1"/>
    <col min="15851" max="15852" width="14.140625" style="112" customWidth="1"/>
    <col min="15853" max="15853" width="14.28515625" style="112" customWidth="1"/>
    <col min="15854" max="15854" width="12.140625" style="112" customWidth="1"/>
    <col min="15855" max="15855" width="14.5703125" style="112" customWidth="1"/>
    <col min="15856" max="15856" width="14.7109375" style="112" customWidth="1"/>
    <col min="15857" max="15857" width="13" style="112" customWidth="1"/>
    <col min="15858" max="15858" width="14.5703125" style="112" customWidth="1"/>
    <col min="15859" max="15859" width="12.28515625" style="112" customWidth="1"/>
    <col min="15860" max="15860" width="15.28515625" style="112" customWidth="1"/>
    <col min="15861" max="15861" width="12.85546875" style="112" customWidth="1"/>
    <col min="15862" max="15862" width="13.85546875" style="112" customWidth="1"/>
    <col min="15863" max="15863" width="14.5703125" style="112" customWidth="1"/>
    <col min="15864" max="15865" width="14.28515625" style="112" customWidth="1"/>
    <col min="15866" max="15866" width="14.5703125" style="112" customWidth="1"/>
    <col min="15867" max="15867" width="14.28515625" style="112" customWidth="1"/>
    <col min="15868" max="15868" width="12.5703125" style="112" customWidth="1"/>
    <col min="15869" max="15869" width="11" style="112" customWidth="1"/>
    <col min="15870" max="16086" width="9.140625" style="112"/>
    <col min="16087" max="16087" width="3.5703125" style="112" customWidth="1"/>
    <col min="16088" max="16088" width="13.85546875" style="112" customWidth="1"/>
    <col min="16089" max="16089" width="15.5703125" style="112" customWidth="1"/>
    <col min="16090" max="16090" width="15.7109375" style="112" customWidth="1"/>
    <col min="16091" max="16091" width="15.42578125" style="112" customWidth="1"/>
    <col min="16092" max="16092" width="14" style="112" customWidth="1"/>
    <col min="16093" max="16094" width="13.85546875" style="112" customWidth="1"/>
    <col min="16095" max="16095" width="12.42578125" style="112" customWidth="1"/>
    <col min="16096" max="16096" width="13.85546875" style="112" customWidth="1"/>
    <col min="16097" max="16097" width="16.7109375" style="112" customWidth="1"/>
    <col min="16098" max="16099" width="14.28515625" style="112" customWidth="1"/>
    <col min="16100" max="16100" width="14" style="112" customWidth="1"/>
    <col min="16101" max="16101" width="15.28515625" style="112" customWidth="1"/>
    <col min="16102" max="16102" width="15.5703125" style="112" customWidth="1"/>
    <col min="16103" max="16103" width="15.140625" style="112" customWidth="1"/>
    <col min="16104" max="16104" width="13.5703125" style="112" customWidth="1"/>
    <col min="16105" max="16106" width="14" style="112" customWidth="1"/>
    <col min="16107" max="16108" width="14.140625" style="112" customWidth="1"/>
    <col min="16109" max="16109" width="14.28515625" style="112" customWidth="1"/>
    <col min="16110" max="16110" width="12.140625" style="112" customWidth="1"/>
    <col min="16111" max="16111" width="14.5703125" style="112" customWidth="1"/>
    <col min="16112" max="16112" width="14.7109375" style="112" customWidth="1"/>
    <col min="16113" max="16113" width="13" style="112" customWidth="1"/>
    <col min="16114" max="16114" width="14.5703125" style="112" customWidth="1"/>
    <col min="16115" max="16115" width="12.28515625" style="112" customWidth="1"/>
    <col min="16116" max="16116" width="15.28515625" style="112" customWidth="1"/>
    <col min="16117" max="16117" width="12.85546875" style="112" customWidth="1"/>
    <col min="16118" max="16118" width="13.85546875" style="112" customWidth="1"/>
    <col min="16119" max="16119" width="14.5703125" style="112" customWidth="1"/>
    <col min="16120" max="16121" width="14.28515625" style="112" customWidth="1"/>
    <col min="16122" max="16122" width="14.5703125" style="112" customWidth="1"/>
    <col min="16123" max="16123" width="14.28515625" style="112" customWidth="1"/>
    <col min="16124" max="16124" width="12.5703125" style="112" customWidth="1"/>
    <col min="16125" max="16125" width="11" style="112" customWidth="1"/>
    <col min="16126" max="16384" width="9.140625" style="112"/>
  </cols>
  <sheetData>
    <row r="1" spans="1:38" s="95" customFormat="1" ht="15" x14ac:dyDescent="0.25">
      <c r="A1" s="91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3" t="s">
        <v>0</v>
      </c>
      <c r="AK1" s="93"/>
      <c r="AL1" s="91"/>
    </row>
    <row r="2" spans="1:38" s="95" customFormat="1" ht="15" x14ac:dyDescent="0.25">
      <c r="A2" s="91"/>
      <c r="B2" s="92" t="s">
        <v>945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</row>
    <row r="3" spans="1:38" s="95" customFormat="1" ht="15" x14ac:dyDescent="0.25">
      <c r="A3" s="91"/>
      <c r="B3" s="92" t="s">
        <v>941</v>
      </c>
      <c r="C3" s="96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7"/>
      <c r="R3" s="91"/>
      <c r="S3" s="91"/>
      <c r="T3" s="91"/>
      <c r="U3" s="91"/>
      <c r="V3" s="91"/>
      <c r="W3" s="91"/>
      <c r="X3" s="91"/>
      <c r="Y3" s="91"/>
      <c r="Z3" s="91"/>
      <c r="AA3" s="97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</row>
    <row r="4" spans="1:38" s="95" customFormat="1" ht="15" x14ac:dyDescent="0.25">
      <c r="A4" s="91"/>
      <c r="B4" s="91"/>
      <c r="C4" s="96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</row>
    <row r="5" spans="1:38" s="95" customFormat="1" ht="15" x14ac:dyDescent="0.25">
      <c r="A5" s="98"/>
      <c r="B5" s="98"/>
      <c r="C5" s="92"/>
      <c r="D5" s="99"/>
      <c r="H5" s="100" t="s">
        <v>2</v>
      </c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</row>
    <row r="6" spans="1:38" s="104" customFormat="1" x14ac:dyDescent="0.2">
      <c r="A6" s="101"/>
      <c r="B6" s="101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</row>
    <row r="7" spans="1:38" s="103" customFormat="1" ht="11.25" x14ac:dyDescent="0.2">
      <c r="A7" s="105"/>
      <c r="B7" s="105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</row>
    <row r="8" spans="1:38" x14ac:dyDescent="0.2">
      <c r="A8" s="106"/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7"/>
      <c r="AG8" s="108"/>
      <c r="AH8" s="109"/>
      <c r="AI8" s="109"/>
      <c r="AJ8" s="108"/>
      <c r="AK8" s="108"/>
      <c r="AL8" s="110" t="s">
        <v>3</v>
      </c>
    </row>
    <row r="9" spans="1:38" s="116" customFormat="1" ht="16.5" customHeight="1" x14ac:dyDescent="0.2">
      <c r="A9" s="648" t="s">
        <v>4</v>
      </c>
      <c r="B9" s="648"/>
      <c r="C9" s="113" t="s">
        <v>5</v>
      </c>
      <c r="D9" s="650" t="s">
        <v>6</v>
      </c>
      <c r="E9" s="650"/>
      <c r="F9" s="650"/>
      <c r="G9" s="647" t="s">
        <v>7</v>
      </c>
      <c r="H9" s="647" t="s">
        <v>8</v>
      </c>
      <c r="I9" s="647" t="s">
        <v>9</v>
      </c>
      <c r="J9" s="647" t="s">
        <v>10</v>
      </c>
      <c r="K9" s="647" t="s">
        <v>11</v>
      </c>
      <c r="L9" s="647" t="s">
        <v>12</v>
      </c>
      <c r="M9" s="647" t="s">
        <v>895</v>
      </c>
      <c r="N9" s="647" t="s">
        <v>14</v>
      </c>
      <c r="O9" s="113" t="s">
        <v>15</v>
      </c>
      <c r="P9" s="648" t="s">
        <v>16</v>
      </c>
      <c r="Q9" s="648"/>
      <c r="R9" s="648"/>
      <c r="S9" s="648"/>
      <c r="T9" s="648"/>
      <c r="U9" s="648"/>
      <c r="V9" s="648"/>
      <c r="W9" s="648"/>
      <c r="X9" s="648"/>
      <c r="Y9" s="648"/>
      <c r="Z9" s="114"/>
      <c r="AA9" s="114"/>
      <c r="AB9" s="649" t="s">
        <v>17</v>
      </c>
      <c r="AC9" s="649"/>
      <c r="AD9" s="649"/>
      <c r="AE9" s="649"/>
      <c r="AF9" s="649"/>
      <c r="AG9" s="649"/>
      <c r="AH9" s="649"/>
      <c r="AI9" s="649"/>
      <c r="AJ9" s="649"/>
      <c r="AK9" s="649"/>
      <c r="AL9" s="649"/>
    </row>
    <row r="10" spans="1:38" s="116" customFormat="1" ht="21" customHeight="1" x14ac:dyDescent="0.2">
      <c r="A10" s="648"/>
      <c r="B10" s="648"/>
      <c r="C10" s="117" t="s">
        <v>18</v>
      </c>
      <c r="D10" s="118"/>
      <c r="E10" s="649" t="s">
        <v>19</v>
      </c>
      <c r="F10" s="649"/>
      <c r="G10" s="647"/>
      <c r="H10" s="647"/>
      <c r="I10" s="647"/>
      <c r="J10" s="647"/>
      <c r="K10" s="647"/>
      <c r="L10" s="647"/>
      <c r="M10" s="647"/>
      <c r="N10" s="647"/>
      <c r="O10" s="117" t="s">
        <v>18</v>
      </c>
      <c r="P10" s="648"/>
      <c r="Q10" s="648"/>
      <c r="R10" s="648"/>
      <c r="S10" s="648"/>
      <c r="T10" s="648"/>
      <c r="U10" s="648"/>
      <c r="V10" s="648"/>
      <c r="W10" s="648"/>
      <c r="X10" s="648"/>
      <c r="Y10" s="648"/>
      <c r="Z10" s="119"/>
      <c r="AA10" s="119"/>
      <c r="AB10" s="649"/>
      <c r="AC10" s="649"/>
      <c r="AD10" s="649"/>
      <c r="AE10" s="649"/>
      <c r="AF10" s="649"/>
      <c r="AG10" s="649"/>
      <c r="AH10" s="649"/>
      <c r="AI10" s="649"/>
      <c r="AJ10" s="649"/>
      <c r="AK10" s="649"/>
      <c r="AL10" s="649"/>
    </row>
    <row r="11" spans="1:38" s="116" customFormat="1" ht="103.5" customHeight="1" x14ac:dyDescent="0.2">
      <c r="A11" s="648"/>
      <c r="B11" s="648"/>
      <c r="C11" s="120" t="s">
        <v>20</v>
      </c>
      <c r="D11" s="121" t="s">
        <v>21</v>
      </c>
      <c r="E11" s="122" t="s">
        <v>22</v>
      </c>
      <c r="F11" s="122" t="s">
        <v>23</v>
      </c>
      <c r="G11" s="647"/>
      <c r="H11" s="647"/>
      <c r="I11" s="647"/>
      <c r="J11" s="647"/>
      <c r="K11" s="647"/>
      <c r="L11" s="647"/>
      <c r="M11" s="647"/>
      <c r="N11" s="647"/>
      <c r="O11" s="120" t="s">
        <v>24</v>
      </c>
      <c r="P11" s="122" t="s">
        <v>25</v>
      </c>
      <c r="Q11" s="122" t="s">
        <v>26</v>
      </c>
      <c r="R11" s="122" t="s">
        <v>27</v>
      </c>
      <c r="S11" s="122" t="s">
        <v>12</v>
      </c>
      <c r="T11" s="122" t="s">
        <v>28</v>
      </c>
      <c r="U11" s="122" t="s">
        <v>29</v>
      </c>
      <c r="V11" s="122" t="s">
        <v>30</v>
      </c>
      <c r="W11" s="122" t="s">
        <v>31</v>
      </c>
      <c r="X11" s="122" t="s">
        <v>32</v>
      </c>
      <c r="Y11" s="122" t="s">
        <v>33</v>
      </c>
      <c r="Z11" s="121" t="s">
        <v>34</v>
      </c>
      <c r="AA11" s="121" t="s">
        <v>35</v>
      </c>
      <c r="AB11" s="122" t="s">
        <v>36</v>
      </c>
      <c r="AC11" s="122" t="s">
        <v>37</v>
      </c>
      <c r="AD11" s="122" t="s">
        <v>38</v>
      </c>
      <c r="AE11" s="122" t="s">
        <v>39</v>
      </c>
      <c r="AF11" s="122" t="s">
        <v>40</v>
      </c>
      <c r="AG11" s="122" t="s">
        <v>41</v>
      </c>
      <c r="AH11" s="122" t="s">
        <v>896</v>
      </c>
      <c r="AI11" s="122" t="s">
        <v>43</v>
      </c>
      <c r="AJ11" s="122" t="s">
        <v>44</v>
      </c>
      <c r="AK11" s="122" t="s">
        <v>45</v>
      </c>
      <c r="AL11" s="123" t="s">
        <v>32</v>
      </c>
    </row>
    <row r="12" spans="1:38" s="116" customFormat="1" x14ac:dyDescent="0.2">
      <c r="A12" s="648"/>
      <c r="B12" s="648"/>
      <c r="C12" s="124" t="s">
        <v>46</v>
      </c>
      <c r="D12" s="124" t="s">
        <v>47</v>
      </c>
      <c r="E12" s="124" t="s">
        <v>48</v>
      </c>
      <c r="F12" s="124" t="s">
        <v>49</v>
      </c>
      <c r="G12" s="124" t="s">
        <v>50</v>
      </c>
      <c r="H12" s="124" t="s">
        <v>51</v>
      </c>
      <c r="I12" s="124" t="s">
        <v>52</v>
      </c>
      <c r="J12" s="124" t="s">
        <v>53</v>
      </c>
      <c r="K12" s="124" t="s">
        <v>54</v>
      </c>
      <c r="L12" s="124" t="s">
        <v>55</v>
      </c>
      <c r="M12" s="124" t="s">
        <v>897</v>
      </c>
      <c r="N12" s="124"/>
      <c r="O12" s="124" t="s">
        <v>56</v>
      </c>
      <c r="P12" s="124" t="s">
        <v>57</v>
      </c>
      <c r="Q12" s="124">
        <v>20</v>
      </c>
      <c r="R12" s="124">
        <v>30</v>
      </c>
      <c r="S12" s="124" t="s">
        <v>58</v>
      </c>
      <c r="T12" s="124">
        <v>51</v>
      </c>
      <c r="U12" s="124" t="s">
        <v>59</v>
      </c>
      <c r="V12" s="124">
        <v>56</v>
      </c>
      <c r="W12" s="124" t="s">
        <v>60</v>
      </c>
      <c r="X12" s="124">
        <v>59</v>
      </c>
      <c r="Y12" s="124">
        <v>70</v>
      </c>
      <c r="Z12" s="124">
        <v>79</v>
      </c>
      <c r="AA12" s="124">
        <v>84</v>
      </c>
      <c r="AB12" s="124" t="s">
        <v>56</v>
      </c>
      <c r="AC12" s="124" t="s">
        <v>61</v>
      </c>
      <c r="AD12" s="124" t="s">
        <v>62</v>
      </c>
      <c r="AE12" s="124" t="s">
        <v>63</v>
      </c>
      <c r="AF12" s="124" t="s">
        <v>64</v>
      </c>
      <c r="AG12" s="124" t="s">
        <v>65</v>
      </c>
      <c r="AH12" s="124" t="s">
        <v>898</v>
      </c>
      <c r="AI12" s="124" t="s">
        <v>78</v>
      </c>
      <c r="AJ12" s="124" t="s">
        <v>67</v>
      </c>
      <c r="AK12" s="124" t="s">
        <v>68</v>
      </c>
      <c r="AL12" s="125"/>
    </row>
    <row r="13" spans="1:38" s="116" customFormat="1" x14ac:dyDescent="0.2">
      <c r="A13" s="651" t="s">
        <v>69</v>
      </c>
      <c r="B13" s="651"/>
      <c r="C13" s="126">
        <v>1</v>
      </c>
      <c r="D13" s="126">
        <v>2</v>
      </c>
      <c r="E13" s="126">
        <v>3</v>
      </c>
      <c r="F13" s="126">
        <v>4</v>
      </c>
      <c r="G13" s="126">
        <v>5</v>
      </c>
      <c r="H13" s="126">
        <v>6</v>
      </c>
      <c r="I13" s="126">
        <v>7</v>
      </c>
      <c r="J13" s="126">
        <v>8</v>
      </c>
      <c r="K13" s="126">
        <v>9</v>
      </c>
      <c r="L13" s="126">
        <v>10</v>
      </c>
      <c r="M13" s="126">
        <v>11</v>
      </c>
      <c r="N13" s="126">
        <v>12</v>
      </c>
      <c r="O13" s="126">
        <v>13</v>
      </c>
      <c r="P13" s="126">
        <v>14</v>
      </c>
      <c r="Q13" s="126">
        <v>15</v>
      </c>
      <c r="R13" s="126">
        <v>16</v>
      </c>
      <c r="S13" s="126">
        <v>17</v>
      </c>
      <c r="T13" s="126">
        <v>18</v>
      </c>
      <c r="U13" s="126">
        <v>19</v>
      </c>
      <c r="V13" s="126">
        <v>20</v>
      </c>
      <c r="W13" s="126">
        <v>21</v>
      </c>
      <c r="X13" s="126">
        <v>22</v>
      </c>
      <c r="Y13" s="126">
        <v>23</v>
      </c>
      <c r="Z13" s="126">
        <v>24</v>
      </c>
      <c r="AA13" s="126">
        <v>25</v>
      </c>
      <c r="AB13" s="126">
        <v>26</v>
      </c>
      <c r="AC13" s="126">
        <v>27</v>
      </c>
      <c r="AD13" s="126">
        <v>28</v>
      </c>
      <c r="AE13" s="126">
        <v>29</v>
      </c>
      <c r="AF13" s="126">
        <v>30</v>
      </c>
      <c r="AG13" s="126">
        <v>31</v>
      </c>
      <c r="AH13" s="126">
        <v>32</v>
      </c>
      <c r="AI13" s="126">
        <v>33</v>
      </c>
      <c r="AJ13" s="126">
        <v>34</v>
      </c>
      <c r="AK13" s="126">
        <v>35</v>
      </c>
      <c r="AL13" s="127">
        <v>36</v>
      </c>
    </row>
    <row r="14" spans="1:38" s="130" customFormat="1" ht="25.5" customHeight="1" x14ac:dyDescent="0.2">
      <c r="A14" s="652" t="s">
        <v>21</v>
      </c>
      <c r="B14" s="652"/>
      <c r="C14" s="128">
        <f>SUM(C15:C56)</f>
        <v>18051697207</v>
      </c>
      <c r="D14" s="128">
        <f t="shared" ref="D14:AL14" si="0">SUM(D15:D56)</f>
        <v>5451045938</v>
      </c>
      <c r="E14" s="128">
        <f t="shared" si="0"/>
        <v>1338784722</v>
      </c>
      <c r="F14" s="128">
        <f t="shared" si="0"/>
        <v>1519331339</v>
      </c>
      <c r="G14" s="128">
        <f t="shared" si="0"/>
        <v>0</v>
      </c>
      <c r="H14" s="128">
        <f t="shared" si="0"/>
        <v>5031171236</v>
      </c>
      <c r="I14" s="128">
        <f t="shared" si="0"/>
        <v>324538081</v>
      </c>
      <c r="J14" s="128">
        <f t="shared" si="0"/>
        <v>2464723409</v>
      </c>
      <c r="K14" s="128">
        <f t="shared" si="0"/>
        <v>0</v>
      </c>
      <c r="L14" s="128">
        <f t="shared" si="0"/>
        <v>2611054883</v>
      </c>
      <c r="M14" s="128">
        <f t="shared" si="0"/>
        <v>1897740611</v>
      </c>
      <c r="N14" s="128">
        <f t="shared" si="0"/>
        <v>271423049</v>
      </c>
      <c r="O14" s="128">
        <f t="shared" si="0"/>
        <v>17181688460</v>
      </c>
      <c r="P14" s="128">
        <f t="shared" si="0"/>
        <v>5837557532</v>
      </c>
      <c r="Q14" s="128">
        <f t="shared" si="0"/>
        <v>3469599500</v>
      </c>
      <c r="R14" s="128">
        <f t="shared" si="0"/>
        <v>28235836</v>
      </c>
      <c r="S14" s="128">
        <f t="shared" si="0"/>
        <v>4847916</v>
      </c>
      <c r="T14" s="128">
        <f t="shared" si="0"/>
        <v>41739730</v>
      </c>
      <c r="U14" s="128">
        <f t="shared" si="0"/>
        <v>43771773</v>
      </c>
      <c r="V14" s="128">
        <f t="shared" si="0"/>
        <v>2337439379</v>
      </c>
      <c r="W14" s="128">
        <f t="shared" si="0"/>
        <v>648698754</v>
      </c>
      <c r="X14" s="128">
        <f t="shared" si="0"/>
        <v>140909419</v>
      </c>
      <c r="Y14" s="128">
        <f t="shared" si="0"/>
        <v>4419022400</v>
      </c>
      <c r="Z14" s="128">
        <f t="shared" si="0"/>
        <v>242843274</v>
      </c>
      <c r="AA14" s="128">
        <f t="shared" si="0"/>
        <v>-32977053</v>
      </c>
      <c r="AB14" s="128">
        <f t="shared" si="0"/>
        <v>2883151716</v>
      </c>
      <c r="AC14" s="128">
        <f t="shared" si="0"/>
        <v>195320674</v>
      </c>
      <c r="AD14" s="128">
        <f t="shared" si="0"/>
        <v>4976788299</v>
      </c>
      <c r="AE14" s="128">
        <f t="shared" si="0"/>
        <v>67680578</v>
      </c>
      <c r="AF14" s="128">
        <f t="shared" si="0"/>
        <v>899089250</v>
      </c>
      <c r="AG14" s="128">
        <f t="shared" si="0"/>
        <v>1222235028</v>
      </c>
      <c r="AH14" s="128">
        <f t="shared" si="0"/>
        <v>1870080675</v>
      </c>
      <c r="AI14" s="128">
        <f t="shared" si="0"/>
        <v>860035502</v>
      </c>
      <c r="AJ14" s="128">
        <f t="shared" si="0"/>
        <v>1347290</v>
      </c>
      <c r="AK14" s="128">
        <f t="shared" si="0"/>
        <v>3837275785</v>
      </c>
      <c r="AL14" s="128">
        <f t="shared" si="0"/>
        <v>368683663</v>
      </c>
    </row>
    <row r="15" spans="1:38" s="130" customFormat="1" ht="25.5" customHeight="1" x14ac:dyDescent="0.2">
      <c r="A15" s="131">
        <v>1</v>
      </c>
      <c r="B15" s="132" t="s">
        <v>899</v>
      </c>
      <c r="C15" s="128">
        <f>'1'!D54</f>
        <v>332634770</v>
      </c>
      <c r="D15" s="128">
        <f>'1'!E54</f>
        <v>92110496</v>
      </c>
      <c r="E15" s="128">
        <f>'1'!F54</f>
        <v>23884928</v>
      </c>
      <c r="F15" s="128">
        <f>'1'!G54</f>
        <v>26936900</v>
      </c>
      <c r="G15" s="128">
        <f>'1'!H54</f>
        <v>0</v>
      </c>
      <c r="H15" s="128">
        <f>'1'!I54</f>
        <v>84683781</v>
      </c>
      <c r="I15" s="128">
        <f>'1'!J54</f>
        <v>2224351</v>
      </c>
      <c r="J15" s="128">
        <f>'1'!K54</f>
        <v>56325310</v>
      </c>
      <c r="K15" s="128">
        <f>'1'!L54</f>
        <v>0</v>
      </c>
      <c r="L15" s="128">
        <f>'1'!M54</f>
        <v>46880833</v>
      </c>
      <c r="M15" s="128">
        <f>'1'!N54</f>
        <v>48783974</v>
      </c>
      <c r="N15" s="128">
        <f>'1'!O54</f>
        <v>1626025</v>
      </c>
      <c r="O15" s="128">
        <f>'1'!P54</f>
        <v>320846599</v>
      </c>
      <c r="P15" s="128">
        <f>'1'!Q54</f>
        <v>101195250</v>
      </c>
      <c r="Q15" s="128">
        <f>'1'!R54</f>
        <v>59318547</v>
      </c>
      <c r="R15" s="128">
        <f>'1'!S54</f>
        <v>571147</v>
      </c>
      <c r="S15" s="128">
        <f>'1'!T54</f>
        <v>0</v>
      </c>
      <c r="T15" s="128">
        <f>'1'!U54</f>
        <v>89043</v>
      </c>
      <c r="U15" s="128">
        <f>'1'!V54</f>
        <v>1477789</v>
      </c>
      <c r="V15" s="128">
        <f>'1'!W54</f>
        <v>71416349</v>
      </c>
      <c r="W15" s="128">
        <f>'1'!X54</f>
        <v>9027081</v>
      </c>
      <c r="X15" s="128">
        <f>'1'!Y54</f>
        <v>6585789</v>
      </c>
      <c r="Y15" s="128">
        <f>'1'!Z54</f>
        <v>61779625</v>
      </c>
      <c r="Z15" s="128">
        <f>'1'!AA54</f>
        <v>10761850</v>
      </c>
      <c r="AA15" s="128">
        <f>'1'!AB54</f>
        <v>-1375871</v>
      </c>
      <c r="AB15" s="128">
        <f>'1'!AC54</f>
        <v>49796700</v>
      </c>
      <c r="AC15" s="128">
        <f>'1'!AD54</f>
        <v>5207120</v>
      </c>
      <c r="AD15" s="128">
        <f>'1'!AE54</f>
        <v>92128407</v>
      </c>
      <c r="AE15" s="128">
        <f>'1'!AF54</f>
        <v>1146511</v>
      </c>
      <c r="AF15" s="128">
        <f>'1'!AG54</f>
        <v>24834296</v>
      </c>
      <c r="AG15" s="128">
        <f>'1'!AH54</f>
        <v>22973265</v>
      </c>
      <c r="AH15" s="128">
        <f>'1'!AI54</f>
        <v>23147684</v>
      </c>
      <c r="AI15" s="128">
        <f>'1'!AJ54</f>
        <v>12297972</v>
      </c>
      <c r="AJ15" s="128">
        <f>'1'!AK54</f>
        <v>0</v>
      </c>
      <c r="AK15" s="128">
        <f>'1'!AL54</f>
        <v>84659290</v>
      </c>
      <c r="AL15" s="128">
        <f>'1'!AM54</f>
        <v>4655354</v>
      </c>
    </row>
    <row r="16" spans="1:38" s="130" customFormat="1" ht="25.5" customHeight="1" x14ac:dyDescent="0.2">
      <c r="A16" s="131">
        <v>2</v>
      </c>
      <c r="B16" s="132" t="s">
        <v>900</v>
      </c>
      <c r="C16" s="128">
        <f>'2'!D54</f>
        <v>389661214</v>
      </c>
      <c r="D16" s="128">
        <f>'2'!E54</f>
        <v>152691137</v>
      </c>
      <c r="E16" s="128">
        <f>'2'!F54</f>
        <v>24249009</v>
      </c>
      <c r="F16" s="128">
        <f>'2'!G54</f>
        <v>58811220</v>
      </c>
      <c r="G16" s="128">
        <f>'2'!H54</f>
        <v>0</v>
      </c>
      <c r="H16" s="128">
        <f>'2'!I54</f>
        <v>97797190</v>
      </c>
      <c r="I16" s="128">
        <f>'2'!J54</f>
        <v>11663479</v>
      </c>
      <c r="J16" s="128">
        <f>'2'!K54</f>
        <v>37359610</v>
      </c>
      <c r="K16" s="128">
        <f>'2'!L54</f>
        <v>0</v>
      </c>
      <c r="L16" s="128">
        <f>'2'!M54</f>
        <v>47149665</v>
      </c>
      <c r="M16" s="128">
        <f>'2'!N54</f>
        <v>38546679</v>
      </c>
      <c r="N16" s="128">
        <f>'2'!O54</f>
        <v>4453454</v>
      </c>
      <c r="O16" s="128">
        <f>'2'!P54</f>
        <v>377948609</v>
      </c>
      <c r="P16" s="128">
        <f>'2'!Q54</f>
        <v>120265000</v>
      </c>
      <c r="Q16" s="128">
        <f>'2'!R54</f>
        <v>84222373</v>
      </c>
      <c r="R16" s="128">
        <f>'2'!S54</f>
        <v>275026</v>
      </c>
      <c r="S16" s="128">
        <f>'2'!T54</f>
        <v>134000</v>
      </c>
      <c r="T16" s="128">
        <f>'2'!U54</f>
        <v>4980112</v>
      </c>
      <c r="U16" s="128">
        <f>'2'!V54</f>
        <v>3096159</v>
      </c>
      <c r="V16" s="128">
        <f>'2'!W54</f>
        <v>40412962</v>
      </c>
      <c r="W16" s="128">
        <f>'2'!X54</f>
        <v>10091608</v>
      </c>
      <c r="X16" s="128">
        <f>'2'!Y54</f>
        <v>2378501</v>
      </c>
      <c r="Y16" s="128">
        <f>'2'!Z54</f>
        <v>107652559</v>
      </c>
      <c r="Z16" s="128">
        <f>'2'!AA54</f>
        <v>4894798</v>
      </c>
      <c r="AA16" s="128">
        <f>'2'!AB54</f>
        <v>-454489</v>
      </c>
      <c r="AB16" s="128">
        <f>'2'!AC54</f>
        <v>66847845</v>
      </c>
      <c r="AC16" s="128">
        <f>'2'!AD54</f>
        <v>3789098</v>
      </c>
      <c r="AD16" s="128">
        <f>'2'!AE54</f>
        <v>92465510</v>
      </c>
      <c r="AE16" s="128">
        <f>'2'!AF54</f>
        <v>421197</v>
      </c>
      <c r="AF16" s="128">
        <f>'2'!AG54</f>
        <v>20109051</v>
      </c>
      <c r="AG16" s="128">
        <f>'2'!AH54</f>
        <v>24881710</v>
      </c>
      <c r="AH16" s="128">
        <f>'2'!AI54</f>
        <v>40733006</v>
      </c>
      <c r="AI16" s="128">
        <f>'2'!AJ54</f>
        <v>21870970</v>
      </c>
      <c r="AJ16" s="128">
        <f>'2'!AK54</f>
        <v>0</v>
      </c>
      <c r="AK16" s="128">
        <f>'2'!AL54</f>
        <v>103713936</v>
      </c>
      <c r="AL16" s="128">
        <f>'2'!AM54</f>
        <v>3116286</v>
      </c>
    </row>
    <row r="17" spans="1:38" s="130" customFormat="1" ht="25.5" customHeight="1" x14ac:dyDescent="0.2">
      <c r="A17" s="131">
        <v>3</v>
      </c>
      <c r="B17" s="132" t="s">
        <v>901</v>
      </c>
      <c r="C17" s="128">
        <f>'3'!D54</f>
        <v>612443002</v>
      </c>
      <c r="D17" s="128">
        <f>'3'!E54</f>
        <v>235229196</v>
      </c>
      <c r="E17" s="128">
        <f>'3'!F54</f>
        <v>61521619</v>
      </c>
      <c r="F17" s="128">
        <f>'3'!G54</f>
        <v>86068918</v>
      </c>
      <c r="G17" s="128">
        <f>'3'!H54</f>
        <v>0</v>
      </c>
      <c r="H17" s="128">
        <f>'3'!I54</f>
        <v>205553687</v>
      </c>
      <c r="I17" s="128">
        <f>'3'!J54</f>
        <v>17379655</v>
      </c>
      <c r="J17" s="128">
        <f>'3'!K54</f>
        <v>41557880</v>
      </c>
      <c r="K17" s="128">
        <f>'3'!L54</f>
        <v>0</v>
      </c>
      <c r="L17" s="128">
        <f>'3'!M54</f>
        <v>73563761</v>
      </c>
      <c r="M17" s="128">
        <f>'3'!N54</f>
        <v>29271379</v>
      </c>
      <c r="N17" s="128">
        <f>'3'!O54</f>
        <v>9887444</v>
      </c>
      <c r="O17" s="128">
        <f>'3'!P54</f>
        <v>580989228</v>
      </c>
      <c r="P17" s="128">
        <f>'3'!Q54</f>
        <v>241938863</v>
      </c>
      <c r="Q17" s="128">
        <f>'3'!R54</f>
        <v>106781936</v>
      </c>
      <c r="R17" s="128">
        <f>'3'!S54</f>
        <v>931591</v>
      </c>
      <c r="S17" s="128">
        <f>'3'!T54</f>
        <v>241639</v>
      </c>
      <c r="T17" s="128">
        <f>'3'!U54</f>
        <v>1173042</v>
      </c>
      <c r="U17" s="128">
        <f>'3'!V54</f>
        <v>1316905</v>
      </c>
      <c r="V17" s="128">
        <f>'3'!W54</f>
        <v>51001340</v>
      </c>
      <c r="W17" s="128">
        <f>'3'!X54</f>
        <v>21048900</v>
      </c>
      <c r="X17" s="128">
        <f>'3'!Y54</f>
        <v>2990492</v>
      </c>
      <c r="Y17" s="128">
        <f>'3'!Z54</f>
        <v>150396274</v>
      </c>
      <c r="Z17" s="128">
        <f>'3'!AA54</f>
        <v>4956885</v>
      </c>
      <c r="AA17" s="128">
        <f>'3'!AB54</f>
        <v>-1788639</v>
      </c>
      <c r="AB17" s="128">
        <f>'3'!AC54</f>
        <v>92839524</v>
      </c>
      <c r="AC17" s="128">
        <f>'3'!AD54</f>
        <v>6273666</v>
      </c>
      <c r="AD17" s="128">
        <f>'3'!AE54</f>
        <v>208179139</v>
      </c>
      <c r="AE17" s="128">
        <f>'3'!AF54</f>
        <v>1939123</v>
      </c>
      <c r="AF17" s="128">
        <f>'3'!AG54</f>
        <v>25110939</v>
      </c>
      <c r="AG17" s="128">
        <f>'3'!AH54</f>
        <v>41742528</v>
      </c>
      <c r="AH17" s="128">
        <f>'3'!AI54</f>
        <v>64943330</v>
      </c>
      <c r="AI17" s="128">
        <f>'3'!AJ54</f>
        <v>37106187</v>
      </c>
      <c r="AJ17" s="128">
        <f>'3'!AK54</f>
        <v>508898</v>
      </c>
      <c r="AK17" s="128">
        <f>'3'!AL54</f>
        <v>98129641</v>
      </c>
      <c r="AL17" s="128">
        <f>'3'!AM54</f>
        <v>4216253</v>
      </c>
    </row>
    <row r="18" spans="1:38" s="130" customFormat="1" ht="25.5" customHeight="1" x14ac:dyDescent="0.2">
      <c r="A18" s="131">
        <v>4</v>
      </c>
      <c r="B18" s="132" t="s">
        <v>902</v>
      </c>
      <c r="C18" s="128">
        <f>'4'!D54</f>
        <v>581274816</v>
      </c>
      <c r="D18" s="128">
        <f>'4'!E54</f>
        <v>134929756</v>
      </c>
      <c r="E18" s="128">
        <f>'4'!F54</f>
        <v>30538823</v>
      </c>
      <c r="F18" s="128">
        <f>'4'!G54</f>
        <v>41123275</v>
      </c>
      <c r="G18" s="128">
        <f>'4'!H54</f>
        <v>0</v>
      </c>
      <c r="H18" s="128">
        <f>'4'!I54</f>
        <v>190510919</v>
      </c>
      <c r="I18" s="128">
        <f>'4'!J54</f>
        <v>10482276</v>
      </c>
      <c r="J18" s="128">
        <f>'4'!K54</f>
        <v>80757670</v>
      </c>
      <c r="K18" s="128">
        <f>'4'!L54</f>
        <v>0</v>
      </c>
      <c r="L18" s="128">
        <f>'4'!M54</f>
        <v>97472163</v>
      </c>
      <c r="M18" s="128">
        <f>'4'!N54</f>
        <v>61526246</v>
      </c>
      <c r="N18" s="128">
        <f>'4'!O54</f>
        <v>5595786</v>
      </c>
      <c r="O18" s="128">
        <f>'4'!P54</f>
        <v>535791037</v>
      </c>
      <c r="P18" s="128">
        <f>'4'!Q54</f>
        <v>215548382</v>
      </c>
      <c r="Q18" s="128">
        <f>'4'!R54</f>
        <v>97593501</v>
      </c>
      <c r="R18" s="128">
        <f>'4'!S54</f>
        <v>444529</v>
      </c>
      <c r="S18" s="128">
        <f>'4'!T54</f>
        <v>0</v>
      </c>
      <c r="T18" s="128">
        <f>'4'!U54</f>
        <v>3546060</v>
      </c>
      <c r="U18" s="128">
        <f>'4'!V54</f>
        <v>104021</v>
      </c>
      <c r="V18" s="128">
        <f>'4'!W54</f>
        <v>58155908</v>
      </c>
      <c r="W18" s="128">
        <f>'4'!X54</f>
        <v>22274937</v>
      </c>
      <c r="X18" s="128">
        <f>'4'!Y54</f>
        <v>4296287</v>
      </c>
      <c r="Y18" s="128">
        <f>'4'!Z54</f>
        <v>129667592</v>
      </c>
      <c r="Z18" s="128">
        <f>'4'!AA54</f>
        <v>5033562</v>
      </c>
      <c r="AA18" s="128">
        <f>'4'!AB54</f>
        <v>-873742</v>
      </c>
      <c r="AB18" s="128">
        <f>'4'!AC54</f>
        <v>84719915</v>
      </c>
      <c r="AC18" s="128">
        <f>'4'!AD54</f>
        <v>6846923</v>
      </c>
      <c r="AD18" s="128">
        <f>'4'!AE54</f>
        <v>202008813</v>
      </c>
      <c r="AE18" s="128">
        <f>'4'!AF54</f>
        <v>682852</v>
      </c>
      <c r="AF18" s="128">
        <f>'4'!AG54</f>
        <v>15997192</v>
      </c>
      <c r="AG18" s="128">
        <f>'4'!AH54</f>
        <v>39284796</v>
      </c>
      <c r="AH18" s="128">
        <f>'4'!AI54</f>
        <v>49933324</v>
      </c>
      <c r="AI18" s="128">
        <f>'4'!AJ54</f>
        <v>9675376</v>
      </c>
      <c r="AJ18" s="128">
        <f>'4'!AK54</f>
        <v>0</v>
      </c>
      <c r="AK18" s="128">
        <f>'4'!AL54</f>
        <v>124297828</v>
      </c>
      <c r="AL18" s="128">
        <f>'4'!AM54</f>
        <v>2344018</v>
      </c>
    </row>
    <row r="19" spans="1:38" s="130" customFormat="1" ht="25.5" customHeight="1" x14ac:dyDescent="0.2">
      <c r="A19" s="131">
        <v>5</v>
      </c>
      <c r="B19" s="132" t="s">
        <v>903</v>
      </c>
      <c r="C19" s="128">
        <f>'5'!D54</f>
        <v>580948517</v>
      </c>
      <c r="D19" s="128">
        <f>'5'!E54</f>
        <v>177119387</v>
      </c>
      <c r="E19" s="128">
        <f>'5'!F54</f>
        <v>49426180</v>
      </c>
      <c r="F19" s="128">
        <f>'5'!G54</f>
        <v>46781869</v>
      </c>
      <c r="G19" s="128">
        <f>'5'!H54</f>
        <v>0</v>
      </c>
      <c r="H19" s="128">
        <f>'5'!I54</f>
        <v>170627156</v>
      </c>
      <c r="I19" s="128">
        <f>'5'!J54</f>
        <v>6846725</v>
      </c>
      <c r="J19" s="128">
        <f>'5'!K54</f>
        <v>70829667</v>
      </c>
      <c r="K19" s="128">
        <f>'5'!L54</f>
        <v>0</v>
      </c>
      <c r="L19" s="128">
        <f>'5'!M54</f>
        <v>58425254</v>
      </c>
      <c r="M19" s="128">
        <f>'5'!N54</f>
        <v>84388260</v>
      </c>
      <c r="N19" s="128">
        <f>'5'!O54</f>
        <v>12712068</v>
      </c>
      <c r="O19" s="128">
        <f>'5'!P54</f>
        <v>572794885</v>
      </c>
      <c r="P19" s="128">
        <f>'5'!Q54</f>
        <v>187299068</v>
      </c>
      <c r="Q19" s="128">
        <f>'5'!R54</f>
        <v>124439369</v>
      </c>
      <c r="R19" s="128">
        <f>'5'!S54</f>
        <v>985462</v>
      </c>
      <c r="S19" s="128">
        <f>'5'!T54</f>
        <v>309503</v>
      </c>
      <c r="T19" s="128">
        <f>'5'!U54</f>
        <v>2105802</v>
      </c>
      <c r="U19" s="128">
        <f>'5'!V54</f>
        <v>1937453</v>
      </c>
      <c r="V19" s="128">
        <f>'5'!W54</f>
        <v>113051286</v>
      </c>
      <c r="W19" s="128">
        <f>'5'!X54</f>
        <v>18725303</v>
      </c>
      <c r="X19" s="128">
        <f>'5'!Y54</f>
        <v>5813558</v>
      </c>
      <c r="Y19" s="128">
        <f>'5'!Z54</f>
        <v>106281789</v>
      </c>
      <c r="Z19" s="128">
        <f>'5'!AA54</f>
        <v>14111694</v>
      </c>
      <c r="AA19" s="128">
        <f>'5'!AB54</f>
        <v>-2265402</v>
      </c>
      <c r="AB19" s="128">
        <f>'5'!AC54</f>
        <v>81213643</v>
      </c>
      <c r="AC19" s="128">
        <f>'5'!AD54</f>
        <v>4598995</v>
      </c>
      <c r="AD19" s="128">
        <f>'5'!AE54</f>
        <v>165951379</v>
      </c>
      <c r="AE19" s="128">
        <f>'5'!AF54</f>
        <v>2163105</v>
      </c>
      <c r="AF19" s="128">
        <f>'5'!AG54</f>
        <v>34114464</v>
      </c>
      <c r="AG19" s="128">
        <f>'5'!AH54</f>
        <v>35405657</v>
      </c>
      <c r="AH19" s="128">
        <f>'5'!AI54</f>
        <v>89517325</v>
      </c>
      <c r="AI19" s="128">
        <f>'5'!AJ54</f>
        <v>32012919</v>
      </c>
      <c r="AJ19" s="128">
        <f>'5'!AK54</f>
        <v>143583</v>
      </c>
      <c r="AK19" s="128">
        <f>'5'!AL54</f>
        <v>113222730</v>
      </c>
      <c r="AL19" s="128">
        <f>'5'!AM54</f>
        <v>14451085</v>
      </c>
    </row>
    <row r="20" spans="1:38" s="130" customFormat="1" ht="25.5" customHeight="1" x14ac:dyDescent="0.2">
      <c r="A20" s="131">
        <v>6</v>
      </c>
      <c r="B20" s="132" t="s">
        <v>904</v>
      </c>
      <c r="C20" s="128">
        <f>'6'!D54</f>
        <v>465609334</v>
      </c>
      <c r="D20" s="128">
        <f>'6'!E54</f>
        <v>104346708</v>
      </c>
      <c r="E20" s="128">
        <f>'6'!F54</f>
        <v>17208251</v>
      </c>
      <c r="F20" s="128">
        <f>'6'!G54</f>
        <v>16794845</v>
      </c>
      <c r="G20" s="128">
        <f>'6'!H54</f>
        <v>0</v>
      </c>
      <c r="H20" s="128">
        <f>'6'!I54</f>
        <v>119504690</v>
      </c>
      <c r="I20" s="128">
        <f>'6'!J54</f>
        <v>2613567</v>
      </c>
      <c r="J20" s="128">
        <f>'6'!K54</f>
        <v>50880630</v>
      </c>
      <c r="K20" s="128">
        <f>'6'!L54</f>
        <v>0</v>
      </c>
      <c r="L20" s="128">
        <f>'6'!M54</f>
        <v>105635781</v>
      </c>
      <c r="M20" s="128">
        <f>'6'!N54</f>
        <v>81274804</v>
      </c>
      <c r="N20" s="128">
        <f>'6'!O54</f>
        <v>1353154</v>
      </c>
      <c r="O20" s="128">
        <f>'6'!P54</f>
        <v>470961268</v>
      </c>
      <c r="P20" s="128">
        <f>'6'!Q54</f>
        <v>130345873</v>
      </c>
      <c r="Q20" s="128">
        <f>'6'!R54</f>
        <v>61352450</v>
      </c>
      <c r="R20" s="128">
        <f>'6'!S54</f>
        <v>331626</v>
      </c>
      <c r="S20" s="128">
        <f>'6'!T54</f>
        <v>0</v>
      </c>
      <c r="T20" s="128">
        <f>'6'!U54</f>
        <v>2446735</v>
      </c>
      <c r="U20" s="128">
        <f>'6'!V54</f>
        <v>394752</v>
      </c>
      <c r="V20" s="128">
        <f>'6'!W54</f>
        <v>144166756</v>
      </c>
      <c r="W20" s="128">
        <f>'6'!X54</f>
        <v>14677503</v>
      </c>
      <c r="X20" s="128">
        <f>'6'!Y54</f>
        <v>4684128</v>
      </c>
      <c r="Y20" s="128">
        <f>'6'!Z54</f>
        <v>108314183</v>
      </c>
      <c r="Z20" s="128">
        <f>'6'!AA54</f>
        <v>4727197</v>
      </c>
      <c r="AA20" s="128">
        <f>'6'!AB54</f>
        <v>-479935</v>
      </c>
      <c r="AB20" s="128">
        <f>'6'!AC54</f>
        <v>64487267</v>
      </c>
      <c r="AC20" s="128">
        <f>'6'!AD54</f>
        <v>1478255</v>
      </c>
      <c r="AD20" s="128">
        <f>'6'!AE54</f>
        <v>121551529</v>
      </c>
      <c r="AE20" s="128">
        <f>'6'!AF54</f>
        <v>2711170</v>
      </c>
      <c r="AF20" s="128">
        <f>'6'!AG54</f>
        <v>24268967</v>
      </c>
      <c r="AG20" s="128">
        <f>'6'!AH54</f>
        <v>25799114</v>
      </c>
      <c r="AH20" s="128">
        <f>'6'!AI54</f>
        <v>31430850</v>
      </c>
      <c r="AI20" s="128">
        <f>'6'!AJ54</f>
        <v>6875847</v>
      </c>
      <c r="AJ20" s="128">
        <f>'6'!AK54</f>
        <v>0</v>
      </c>
      <c r="AK20" s="128">
        <f>'6'!AL54</f>
        <v>115306713</v>
      </c>
      <c r="AL20" s="128">
        <f>'6'!AM54</f>
        <v>77051556</v>
      </c>
    </row>
    <row r="21" spans="1:38" s="130" customFormat="1" ht="25.5" customHeight="1" x14ac:dyDescent="0.2">
      <c r="A21" s="131">
        <v>7</v>
      </c>
      <c r="B21" s="132" t="s">
        <v>905</v>
      </c>
      <c r="C21" s="128">
        <f>'7'!D54</f>
        <v>408204650</v>
      </c>
      <c r="D21" s="128">
        <f>'7'!E54</f>
        <v>74435523</v>
      </c>
      <c r="E21" s="128">
        <f>'7'!F54</f>
        <v>16535750</v>
      </c>
      <c r="F21" s="128">
        <f>'7'!G54</f>
        <v>16972995</v>
      </c>
      <c r="G21" s="128">
        <f>'7'!H54</f>
        <v>0</v>
      </c>
      <c r="H21" s="128">
        <f>'7'!I54</f>
        <v>140685842</v>
      </c>
      <c r="I21" s="128">
        <f>'7'!J54</f>
        <v>13551000</v>
      </c>
      <c r="J21" s="128">
        <f>'7'!K54</f>
        <v>77713530</v>
      </c>
      <c r="K21" s="128">
        <f>'7'!L54</f>
        <v>0</v>
      </c>
      <c r="L21" s="128">
        <f>'7'!M54</f>
        <v>73319091</v>
      </c>
      <c r="M21" s="128">
        <f>'7'!N54</f>
        <v>23785452</v>
      </c>
      <c r="N21" s="128">
        <f>'7'!O54</f>
        <v>4714212</v>
      </c>
      <c r="O21" s="128">
        <f>'7'!P54</f>
        <v>392090588</v>
      </c>
      <c r="P21" s="128">
        <f>'7'!Q54</f>
        <v>162073227</v>
      </c>
      <c r="Q21" s="128">
        <f>'7'!R54</f>
        <v>78702013</v>
      </c>
      <c r="R21" s="128">
        <f>'7'!S54</f>
        <v>880648</v>
      </c>
      <c r="S21" s="128">
        <f>'7'!T54</f>
        <v>0</v>
      </c>
      <c r="T21" s="128">
        <f>'7'!U54</f>
        <v>1216448</v>
      </c>
      <c r="U21" s="128">
        <f>'7'!V54</f>
        <v>372659</v>
      </c>
      <c r="V21" s="128">
        <f>'7'!W54</f>
        <v>22937686</v>
      </c>
      <c r="W21" s="128">
        <f>'7'!X54</f>
        <v>10307806</v>
      </c>
      <c r="X21" s="128">
        <f>'7'!Y54</f>
        <v>2165709</v>
      </c>
      <c r="Y21" s="128">
        <f>'7'!Z54</f>
        <v>106732272</v>
      </c>
      <c r="Z21" s="128">
        <f>'7'!AA54</f>
        <v>7666759</v>
      </c>
      <c r="AA21" s="128">
        <f>'7'!AB54</f>
        <v>-964639</v>
      </c>
      <c r="AB21" s="128">
        <f>'7'!AC54</f>
        <v>58113474</v>
      </c>
      <c r="AC21" s="128">
        <f>'7'!AD54</f>
        <v>4942007</v>
      </c>
      <c r="AD21" s="128">
        <f>'7'!AE54</f>
        <v>145264237</v>
      </c>
      <c r="AE21" s="128">
        <f>'7'!AF54</f>
        <v>2090807</v>
      </c>
      <c r="AF21" s="128">
        <f>'7'!AG54</f>
        <v>14101647</v>
      </c>
      <c r="AG21" s="128">
        <f>'7'!AH54</f>
        <v>23642514</v>
      </c>
      <c r="AH21" s="128">
        <f>'7'!AI54</f>
        <v>42209274</v>
      </c>
      <c r="AI21" s="128">
        <f>'7'!AJ54</f>
        <v>7184746</v>
      </c>
      <c r="AJ21" s="128">
        <f>'7'!AK54</f>
        <v>0</v>
      </c>
      <c r="AK21" s="128">
        <f>'7'!AL54</f>
        <v>93964844</v>
      </c>
      <c r="AL21" s="128">
        <f>'7'!AM54</f>
        <v>577038</v>
      </c>
    </row>
    <row r="22" spans="1:38" s="130" customFormat="1" ht="25.5" customHeight="1" x14ac:dyDescent="0.2">
      <c r="A22" s="131">
        <v>8</v>
      </c>
      <c r="B22" s="132" t="s">
        <v>906</v>
      </c>
      <c r="C22" s="128">
        <f>'8'!D54</f>
        <v>355396270</v>
      </c>
      <c r="D22" s="128">
        <f>'8'!E54</f>
        <v>177450321</v>
      </c>
      <c r="E22" s="128">
        <f>'8'!F54</f>
        <v>44056893</v>
      </c>
      <c r="F22" s="128">
        <f>'8'!G54</f>
        <v>55788741</v>
      </c>
      <c r="G22" s="128">
        <f>'8'!H54</f>
        <v>0</v>
      </c>
      <c r="H22" s="128">
        <f>'8'!I54</f>
        <v>81433187</v>
      </c>
      <c r="I22" s="128">
        <f>'8'!J54</f>
        <v>2813100</v>
      </c>
      <c r="J22" s="128">
        <f>'8'!K54</f>
        <v>36223700</v>
      </c>
      <c r="K22" s="128">
        <f>'8'!L54</f>
        <v>0</v>
      </c>
      <c r="L22" s="128">
        <f>'8'!M54</f>
        <v>20493403</v>
      </c>
      <c r="M22" s="128">
        <f>'8'!N54</f>
        <v>30238459</v>
      </c>
      <c r="N22" s="128">
        <f>'8'!O54</f>
        <v>6744100</v>
      </c>
      <c r="O22" s="128">
        <f>'8'!P54</f>
        <v>325841581</v>
      </c>
      <c r="P22" s="128">
        <f>'8'!Q54</f>
        <v>98976808</v>
      </c>
      <c r="Q22" s="128">
        <f>'8'!R54</f>
        <v>85670728</v>
      </c>
      <c r="R22" s="128">
        <f>'8'!S54</f>
        <v>162344</v>
      </c>
      <c r="S22" s="128">
        <f>'8'!T54</f>
        <v>355822</v>
      </c>
      <c r="T22" s="128">
        <f>'8'!U54</f>
        <v>0</v>
      </c>
      <c r="U22" s="128">
        <f>'8'!V54</f>
        <v>831279</v>
      </c>
      <c r="V22" s="128">
        <f>'8'!W54</f>
        <v>46496562</v>
      </c>
      <c r="W22" s="128">
        <f>'8'!X54</f>
        <v>7577601</v>
      </c>
      <c r="X22" s="128">
        <f>'8'!Y54</f>
        <v>6394980</v>
      </c>
      <c r="Y22" s="128">
        <f>'8'!Z54</f>
        <v>78691414</v>
      </c>
      <c r="Z22" s="128">
        <f>'8'!AA54</f>
        <v>1635343</v>
      </c>
      <c r="AA22" s="128">
        <f>'8'!AB54</f>
        <v>-951300</v>
      </c>
      <c r="AB22" s="128">
        <f>'8'!AC54</f>
        <v>58784909</v>
      </c>
      <c r="AC22" s="128">
        <f>'8'!AD54</f>
        <v>7055825</v>
      </c>
      <c r="AD22" s="128">
        <f>'8'!AE54</f>
        <v>87733002</v>
      </c>
      <c r="AE22" s="128">
        <f>'8'!AF54</f>
        <v>710897</v>
      </c>
      <c r="AF22" s="128">
        <f>'8'!AG54</f>
        <v>24000764</v>
      </c>
      <c r="AG22" s="128">
        <f>'8'!AH54</f>
        <v>17125895</v>
      </c>
      <c r="AH22" s="128">
        <f>'8'!AI54</f>
        <v>35508129</v>
      </c>
      <c r="AI22" s="128">
        <f>'8'!AJ54</f>
        <v>25624332</v>
      </c>
      <c r="AJ22" s="128">
        <f>'8'!AK54</f>
        <v>0</v>
      </c>
      <c r="AK22" s="128">
        <f>'8'!AL54</f>
        <v>61020254</v>
      </c>
      <c r="AL22" s="128">
        <f>'8'!AM54</f>
        <v>8277574</v>
      </c>
    </row>
    <row r="23" spans="1:38" s="130" customFormat="1" ht="25.5" customHeight="1" x14ac:dyDescent="0.2">
      <c r="A23" s="131">
        <v>9</v>
      </c>
      <c r="B23" s="132" t="s">
        <v>907</v>
      </c>
      <c r="C23" s="128">
        <f>'9'!D54</f>
        <v>242571469</v>
      </c>
      <c r="D23" s="128">
        <f>'9'!E54</f>
        <v>70226875</v>
      </c>
      <c r="E23" s="128">
        <f>'9'!F54</f>
        <v>16336822</v>
      </c>
      <c r="F23" s="128">
        <f>'9'!G54</f>
        <v>15223484</v>
      </c>
      <c r="G23" s="128">
        <f>'9'!H54</f>
        <v>0</v>
      </c>
      <c r="H23" s="128">
        <f>'9'!I54</f>
        <v>66181160</v>
      </c>
      <c r="I23" s="128">
        <f>'9'!J54</f>
        <v>8373000</v>
      </c>
      <c r="J23" s="128">
        <f>'9'!K54</f>
        <v>35826600</v>
      </c>
      <c r="K23" s="128">
        <f>'9'!L54</f>
        <v>0</v>
      </c>
      <c r="L23" s="128">
        <f>'9'!M54</f>
        <v>46145767</v>
      </c>
      <c r="M23" s="128">
        <f>'9'!N54</f>
        <v>12221513</v>
      </c>
      <c r="N23" s="128">
        <f>'9'!O54</f>
        <v>3596554</v>
      </c>
      <c r="O23" s="128">
        <f>'9'!P54</f>
        <v>226692396</v>
      </c>
      <c r="P23" s="128">
        <f>'9'!Q54</f>
        <v>80019502</v>
      </c>
      <c r="Q23" s="128">
        <f>'9'!R54</f>
        <v>36803862</v>
      </c>
      <c r="R23" s="128">
        <f>'9'!S54</f>
        <v>19386</v>
      </c>
      <c r="S23" s="128">
        <f>'9'!T54</f>
        <v>0</v>
      </c>
      <c r="T23" s="128">
        <f>'9'!U54</f>
        <v>0</v>
      </c>
      <c r="U23" s="128">
        <f>'9'!V54</f>
        <v>1867871</v>
      </c>
      <c r="V23" s="128">
        <f>'9'!W54</f>
        <v>10444101</v>
      </c>
      <c r="W23" s="128">
        <f>'9'!X54</f>
        <v>10205384</v>
      </c>
      <c r="X23" s="128">
        <f>'9'!Y54</f>
        <v>5030293</v>
      </c>
      <c r="Y23" s="128">
        <f>'9'!Z54</f>
        <v>82116349</v>
      </c>
      <c r="Z23" s="128">
        <f>'9'!AA54</f>
        <v>605790</v>
      </c>
      <c r="AA23" s="128">
        <f>'9'!AB54</f>
        <v>-420142</v>
      </c>
      <c r="AB23" s="128">
        <f>'9'!AC54</f>
        <v>41883370</v>
      </c>
      <c r="AC23" s="128">
        <f>'9'!AD54</f>
        <v>3788446</v>
      </c>
      <c r="AD23" s="128">
        <f>'9'!AE54</f>
        <v>64413873</v>
      </c>
      <c r="AE23" s="128">
        <f>'9'!AF54</f>
        <v>1021637</v>
      </c>
      <c r="AF23" s="128">
        <f>'9'!AG54</f>
        <v>12500662</v>
      </c>
      <c r="AG23" s="128">
        <f>'9'!AH54</f>
        <v>14969177</v>
      </c>
      <c r="AH23" s="128">
        <f>'9'!AI54</f>
        <v>12801551</v>
      </c>
      <c r="AI23" s="128">
        <f>'9'!AJ54</f>
        <v>2811206</v>
      </c>
      <c r="AJ23" s="128">
        <f>'9'!AK54</f>
        <v>0</v>
      </c>
      <c r="AK23" s="128">
        <f>'9'!AL54</f>
        <v>68016870</v>
      </c>
      <c r="AL23" s="128">
        <f>'9'!AM54</f>
        <v>4485604</v>
      </c>
    </row>
    <row r="24" spans="1:38" s="130" customFormat="1" ht="25.5" customHeight="1" x14ac:dyDescent="0.2">
      <c r="A24" s="131">
        <v>10</v>
      </c>
      <c r="B24" s="132" t="s">
        <v>908</v>
      </c>
      <c r="C24" s="128">
        <f>'10'!D54</f>
        <v>428104405</v>
      </c>
      <c r="D24" s="128">
        <f>'10'!E54</f>
        <v>108282837</v>
      </c>
      <c r="E24" s="128">
        <f>'10'!F54</f>
        <v>28530946</v>
      </c>
      <c r="F24" s="128">
        <f>'10'!G54</f>
        <v>29424665</v>
      </c>
      <c r="G24" s="128">
        <f>'10'!H54</f>
        <v>0</v>
      </c>
      <c r="H24" s="128">
        <f>'10'!I54</f>
        <v>134001113</v>
      </c>
      <c r="I24" s="128">
        <f>'10'!J54</f>
        <v>14094734</v>
      </c>
      <c r="J24" s="128">
        <f>'10'!K54</f>
        <v>71474330</v>
      </c>
      <c r="K24" s="128">
        <f>'10'!L54</f>
        <v>0</v>
      </c>
      <c r="L24" s="128">
        <f>'10'!M54</f>
        <v>72745785</v>
      </c>
      <c r="M24" s="128">
        <f>'10'!N54</f>
        <v>25563051</v>
      </c>
      <c r="N24" s="128">
        <f>'10'!O54</f>
        <v>1942555</v>
      </c>
      <c r="O24" s="128">
        <f>'10'!P54</f>
        <v>413286620</v>
      </c>
      <c r="P24" s="128">
        <f>'10'!Q54</f>
        <v>151258229</v>
      </c>
      <c r="Q24" s="128">
        <f>'10'!R54</f>
        <v>86458004</v>
      </c>
      <c r="R24" s="128">
        <f>'10'!S54</f>
        <v>52664</v>
      </c>
      <c r="S24" s="128">
        <f>'10'!T54</f>
        <v>9000</v>
      </c>
      <c r="T24" s="128">
        <f>'10'!U54</f>
        <v>1043546</v>
      </c>
      <c r="U24" s="128">
        <f>'10'!V54</f>
        <v>929389</v>
      </c>
      <c r="V24" s="128">
        <f>'10'!W54</f>
        <v>32376144</v>
      </c>
      <c r="W24" s="128">
        <f>'10'!X54</f>
        <v>22737267</v>
      </c>
      <c r="X24" s="128">
        <f>'10'!Y54</f>
        <v>2718989</v>
      </c>
      <c r="Y24" s="128">
        <f>'10'!Z54</f>
        <v>114669947</v>
      </c>
      <c r="Z24" s="128">
        <f>'10'!AA54</f>
        <v>1663970</v>
      </c>
      <c r="AA24" s="128">
        <f>'10'!AB54</f>
        <v>-630529</v>
      </c>
      <c r="AB24" s="128">
        <f>'10'!AC54</f>
        <v>67395982</v>
      </c>
      <c r="AC24" s="128">
        <f>'10'!AD54</f>
        <v>4344921</v>
      </c>
      <c r="AD24" s="128">
        <f>'10'!AE54</f>
        <v>125396190</v>
      </c>
      <c r="AE24" s="128">
        <f>'10'!AF54</f>
        <v>2817282</v>
      </c>
      <c r="AF24" s="128">
        <f>'10'!AG54</f>
        <v>13789225</v>
      </c>
      <c r="AG24" s="128">
        <f>'10'!AH54</f>
        <v>34514690</v>
      </c>
      <c r="AH24" s="128">
        <f>'10'!AI54</f>
        <v>46282681</v>
      </c>
      <c r="AI24" s="128">
        <f>'10'!AJ54</f>
        <v>20745199</v>
      </c>
      <c r="AJ24" s="128">
        <f>'10'!AK54</f>
        <v>0</v>
      </c>
      <c r="AK24" s="128">
        <f>'10'!AL54</f>
        <v>95321507</v>
      </c>
      <c r="AL24" s="128">
        <f>'10'!AM54</f>
        <v>2678943</v>
      </c>
    </row>
    <row r="25" spans="1:38" s="130" customFormat="1" ht="25.5" customHeight="1" x14ac:dyDescent="0.2">
      <c r="A25" s="131">
        <v>11</v>
      </c>
      <c r="B25" s="133" t="s">
        <v>909</v>
      </c>
      <c r="C25" s="128">
        <f>'11'!D54</f>
        <v>306792039</v>
      </c>
      <c r="D25" s="128">
        <f>'11'!E54</f>
        <v>68034137</v>
      </c>
      <c r="E25" s="128">
        <f>'11'!F54</f>
        <v>15090287</v>
      </c>
      <c r="F25" s="128">
        <f>'11'!G54</f>
        <v>13024438</v>
      </c>
      <c r="G25" s="128">
        <f>'11'!H54</f>
        <v>0</v>
      </c>
      <c r="H25" s="128">
        <f>'11'!I54</f>
        <v>79174706</v>
      </c>
      <c r="I25" s="128">
        <f>'11'!J54</f>
        <v>7295000</v>
      </c>
      <c r="J25" s="128">
        <f>'11'!K54</f>
        <v>66398220</v>
      </c>
      <c r="K25" s="128">
        <f>'11'!L54</f>
        <v>0</v>
      </c>
      <c r="L25" s="128">
        <f>'11'!M54</f>
        <v>44547874</v>
      </c>
      <c r="M25" s="128">
        <f>'11'!N54</f>
        <v>40277206</v>
      </c>
      <c r="N25" s="128">
        <f>'11'!O54</f>
        <v>1064896</v>
      </c>
      <c r="O25" s="128">
        <f>'11'!P54</f>
        <v>286671887</v>
      </c>
      <c r="P25" s="128">
        <f>'11'!Q54</f>
        <v>92989412</v>
      </c>
      <c r="Q25" s="128">
        <f>'11'!R54</f>
        <v>62717688</v>
      </c>
      <c r="R25" s="128">
        <f>'11'!S54</f>
        <v>425729</v>
      </c>
      <c r="S25" s="128">
        <f>'11'!T54</f>
        <v>0</v>
      </c>
      <c r="T25" s="128">
        <f>'11'!U54</f>
        <v>0</v>
      </c>
      <c r="U25" s="128">
        <f>'11'!V54</f>
        <v>716478</v>
      </c>
      <c r="V25" s="128">
        <f>'11'!W54</f>
        <v>55395578</v>
      </c>
      <c r="W25" s="128">
        <f>'11'!X54</f>
        <v>10619572</v>
      </c>
      <c r="X25" s="128">
        <f>'11'!Y54</f>
        <v>529249</v>
      </c>
      <c r="Y25" s="128">
        <f>'11'!Z54</f>
        <v>59034524</v>
      </c>
      <c r="Z25" s="128">
        <f>'11'!AA54</f>
        <v>4718230</v>
      </c>
      <c r="AA25" s="128">
        <f>'11'!AB54</f>
        <v>-474573</v>
      </c>
      <c r="AB25" s="128">
        <f>'11'!AC54</f>
        <v>55175427</v>
      </c>
      <c r="AC25" s="128">
        <f>'11'!AD54</f>
        <v>2169667</v>
      </c>
      <c r="AD25" s="128">
        <f>'11'!AE54</f>
        <v>67810188</v>
      </c>
      <c r="AE25" s="128">
        <f>'11'!AF54</f>
        <v>413408</v>
      </c>
      <c r="AF25" s="128">
        <f>'11'!AG54</f>
        <v>21621472</v>
      </c>
      <c r="AG25" s="128">
        <f>'11'!AH54</f>
        <v>18405413</v>
      </c>
      <c r="AH25" s="128">
        <f>'11'!AI54</f>
        <v>43345215</v>
      </c>
      <c r="AI25" s="128">
        <f>'11'!AJ54</f>
        <v>23338066</v>
      </c>
      <c r="AJ25" s="128">
        <f>'11'!AK54</f>
        <v>0</v>
      </c>
      <c r="AK25" s="128">
        <f>'11'!AL54</f>
        <v>48410766</v>
      </c>
      <c r="AL25" s="128">
        <f>'11'!AM54</f>
        <v>5982265</v>
      </c>
    </row>
    <row r="26" spans="1:38" s="130" customFormat="1" ht="25.5" customHeight="1" x14ac:dyDescent="0.2">
      <c r="A26" s="131">
        <v>12</v>
      </c>
      <c r="B26" s="132" t="s">
        <v>910</v>
      </c>
      <c r="C26" s="128">
        <f>'12'!D54</f>
        <v>347042398</v>
      </c>
      <c r="D26" s="128">
        <f>'12'!E54</f>
        <v>88886271</v>
      </c>
      <c r="E26" s="128">
        <f>'12'!F54</f>
        <v>26899358</v>
      </c>
      <c r="F26" s="128">
        <f>'12'!G54</f>
        <v>13907876</v>
      </c>
      <c r="G26" s="128">
        <f>'12'!H54</f>
        <v>0</v>
      </c>
      <c r="H26" s="128">
        <f>'12'!I54</f>
        <v>95297970</v>
      </c>
      <c r="I26" s="128">
        <f>'12'!J54</f>
        <v>4553770</v>
      </c>
      <c r="J26" s="128">
        <f>'12'!K54</f>
        <v>46907000</v>
      </c>
      <c r="K26" s="128">
        <f>'12'!L54</f>
        <v>0</v>
      </c>
      <c r="L26" s="128">
        <f>'12'!M54</f>
        <v>67964062</v>
      </c>
      <c r="M26" s="128">
        <f>'12'!N54</f>
        <v>35324044</v>
      </c>
      <c r="N26" s="128">
        <f>'12'!O54</f>
        <v>8109281</v>
      </c>
      <c r="O26" s="128">
        <f>'12'!P54</f>
        <v>340129088</v>
      </c>
      <c r="P26" s="128">
        <f>'12'!Q54</f>
        <v>104460758</v>
      </c>
      <c r="Q26" s="128">
        <f>'12'!R54</f>
        <v>72463405</v>
      </c>
      <c r="R26" s="128">
        <f>'12'!S54</f>
        <v>99931</v>
      </c>
      <c r="S26" s="128">
        <f>'12'!T54</f>
        <v>0</v>
      </c>
      <c r="T26" s="128">
        <f>'12'!U54</f>
        <v>1314882</v>
      </c>
      <c r="U26" s="128">
        <f>'12'!V54</f>
        <v>104017</v>
      </c>
      <c r="V26" s="128">
        <f>'12'!W54</f>
        <v>49896880</v>
      </c>
      <c r="W26" s="128">
        <f>'12'!X54</f>
        <v>20233927</v>
      </c>
      <c r="X26" s="128">
        <f>'12'!Y54</f>
        <v>1034220</v>
      </c>
      <c r="Y26" s="128">
        <f>'12'!Z54</f>
        <v>89714965</v>
      </c>
      <c r="Z26" s="128">
        <f>'12'!AA54</f>
        <v>1220388</v>
      </c>
      <c r="AA26" s="128">
        <f>'12'!AB54</f>
        <v>-414285</v>
      </c>
      <c r="AB26" s="128">
        <f>'12'!AC54</f>
        <v>55398823</v>
      </c>
      <c r="AC26" s="128">
        <f>'12'!AD54</f>
        <v>4312059</v>
      </c>
      <c r="AD26" s="128">
        <f>'12'!AE54</f>
        <v>106212699</v>
      </c>
      <c r="AE26" s="128">
        <f>'12'!AF54</f>
        <v>410753</v>
      </c>
      <c r="AF26" s="128">
        <f>'12'!AG54</f>
        <v>15070524</v>
      </c>
      <c r="AG26" s="128">
        <f>'12'!AH54</f>
        <v>27263951</v>
      </c>
      <c r="AH26" s="128">
        <f>'12'!AI54</f>
        <v>33996043</v>
      </c>
      <c r="AI26" s="128">
        <f>'12'!AJ54</f>
        <v>15866836</v>
      </c>
      <c r="AJ26" s="128">
        <f>'12'!AK54</f>
        <v>0</v>
      </c>
      <c r="AK26" s="128">
        <f>'12'!AL54</f>
        <v>75594319</v>
      </c>
      <c r="AL26" s="128">
        <f>'12'!AM54</f>
        <v>6003081</v>
      </c>
    </row>
    <row r="27" spans="1:38" s="130" customFormat="1" ht="25.5" customHeight="1" x14ac:dyDescent="0.2">
      <c r="A27" s="131">
        <v>13</v>
      </c>
      <c r="B27" s="132" t="s">
        <v>911</v>
      </c>
      <c r="C27" s="128">
        <f>'13'!D54</f>
        <v>542451217</v>
      </c>
      <c r="D27" s="128">
        <f>'13'!E54</f>
        <v>244963371</v>
      </c>
      <c r="E27" s="128">
        <f>'13'!F54</f>
        <v>48303571</v>
      </c>
      <c r="F27" s="128">
        <f>'13'!G54</f>
        <v>109253227</v>
      </c>
      <c r="G27" s="128">
        <f>'13'!H54</f>
        <v>0</v>
      </c>
      <c r="H27" s="128">
        <f>'13'!I54</f>
        <v>106486639</v>
      </c>
      <c r="I27" s="128">
        <f>'13'!J54</f>
        <v>8387285</v>
      </c>
      <c r="J27" s="128">
        <f>'13'!K54</f>
        <v>51965894</v>
      </c>
      <c r="K27" s="128">
        <f>'13'!L54</f>
        <v>0</v>
      </c>
      <c r="L27" s="128">
        <f>'13'!M54</f>
        <v>54334139</v>
      </c>
      <c r="M27" s="128">
        <f>'13'!N54</f>
        <v>72482093</v>
      </c>
      <c r="N27" s="128">
        <f>'13'!O54</f>
        <v>3831796</v>
      </c>
      <c r="O27" s="128">
        <f>'13'!P54</f>
        <v>521824860</v>
      </c>
      <c r="P27" s="128">
        <f>'13'!Q54</f>
        <v>129608438</v>
      </c>
      <c r="Q27" s="128">
        <f>'13'!R54</f>
        <v>117356800</v>
      </c>
      <c r="R27" s="128">
        <f>'13'!S54</f>
        <v>541923</v>
      </c>
      <c r="S27" s="128">
        <f>'13'!T54</f>
        <v>1725250</v>
      </c>
      <c r="T27" s="128">
        <f>'13'!U54</f>
        <v>1207570</v>
      </c>
      <c r="U27" s="128">
        <f>'13'!V54</f>
        <v>521887</v>
      </c>
      <c r="V27" s="128">
        <f>'13'!W54</f>
        <v>102863567</v>
      </c>
      <c r="W27" s="128">
        <f>'13'!X54</f>
        <v>16905386</v>
      </c>
      <c r="X27" s="128">
        <f>'13'!Y54</f>
        <v>5188022</v>
      </c>
      <c r="Y27" s="128">
        <f>'13'!Z54</f>
        <v>141544811</v>
      </c>
      <c r="Z27" s="128">
        <f>'13'!AA54</f>
        <v>4784042</v>
      </c>
      <c r="AA27" s="128">
        <f>'13'!AB54</f>
        <v>-422836</v>
      </c>
      <c r="AB27" s="128">
        <f>'13'!AC54</f>
        <v>91667077</v>
      </c>
      <c r="AC27" s="128">
        <f>'13'!AD54</f>
        <v>6813521</v>
      </c>
      <c r="AD27" s="128">
        <f>'13'!AE54</f>
        <v>105247957</v>
      </c>
      <c r="AE27" s="128">
        <f>'13'!AF54</f>
        <v>880104</v>
      </c>
      <c r="AF27" s="128">
        <f>'13'!AG54</f>
        <v>35425081</v>
      </c>
      <c r="AG27" s="128">
        <f>'13'!AH54</f>
        <v>34104332</v>
      </c>
      <c r="AH27" s="128">
        <f>'13'!AI54</f>
        <v>53918942</v>
      </c>
      <c r="AI27" s="128">
        <f>'13'!AJ54</f>
        <v>25028316</v>
      </c>
      <c r="AJ27" s="128">
        <f>'13'!AK54</f>
        <v>0</v>
      </c>
      <c r="AK27" s="128">
        <f>'13'!AL54</f>
        <v>145663790</v>
      </c>
      <c r="AL27" s="128">
        <f>'13'!AM54</f>
        <v>23075740</v>
      </c>
    </row>
    <row r="28" spans="1:38" s="130" customFormat="1" ht="25.5" customHeight="1" x14ac:dyDescent="0.2">
      <c r="A28" s="131">
        <v>14</v>
      </c>
      <c r="B28" s="132" t="s">
        <v>912</v>
      </c>
      <c r="C28" s="128">
        <f>'14'!D54</f>
        <v>533687495</v>
      </c>
      <c r="D28" s="128">
        <f>'14'!E54</f>
        <v>235003908</v>
      </c>
      <c r="E28" s="128">
        <f>'14'!F54</f>
        <v>39135179</v>
      </c>
      <c r="F28" s="128">
        <f>'14'!G54</f>
        <v>67552400</v>
      </c>
      <c r="G28" s="128">
        <f>'14'!H54</f>
        <v>0</v>
      </c>
      <c r="H28" s="128">
        <f>'14'!I54</f>
        <v>107578424</v>
      </c>
      <c r="I28" s="128">
        <f>'14'!J54</f>
        <v>15954249</v>
      </c>
      <c r="J28" s="128">
        <f>'14'!K54</f>
        <v>31746164</v>
      </c>
      <c r="K28" s="128">
        <f>'14'!L54</f>
        <v>0</v>
      </c>
      <c r="L28" s="128">
        <f>'14'!M54</f>
        <v>71698153</v>
      </c>
      <c r="M28" s="128">
        <f>'14'!N54</f>
        <v>62163949</v>
      </c>
      <c r="N28" s="128">
        <f>'14'!O54</f>
        <v>9542648</v>
      </c>
      <c r="O28" s="128">
        <f>'14'!P54</f>
        <v>508105791</v>
      </c>
      <c r="P28" s="128">
        <f>'14'!Q54</f>
        <v>130380144</v>
      </c>
      <c r="Q28" s="128">
        <f>'14'!R54</f>
        <v>140924192</v>
      </c>
      <c r="R28" s="128">
        <f>'14'!S54</f>
        <v>743885</v>
      </c>
      <c r="S28" s="128">
        <f>'14'!T54</f>
        <v>0</v>
      </c>
      <c r="T28" s="128">
        <f>'14'!U54</f>
        <v>2110925</v>
      </c>
      <c r="U28" s="128">
        <f>'14'!V54</f>
        <v>526944</v>
      </c>
      <c r="V28" s="128">
        <f>'14'!W54</f>
        <v>78885302</v>
      </c>
      <c r="W28" s="128">
        <f>'14'!X54</f>
        <v>12478570</v>
      </c>
      <c r="X28" s="128">
        <f>'14'!Y54</f>
        <v>2216308</v>
      </c>
      <c r="Y28" s="128">
        <f>'14'!Z54</f>
        <v>135385831</v>
      </c>
      <c r="Z28" s="128">
        <f>'14'!AA54</f>
        <v>4817496</v>
      </c>
      <c r="AA28" s="128">
        <f>'14'!AB54</f>
        <v>-363806</v>
      </c>
      <c r="AB28" s="128">
        <f>'14'!AC54</f>
        <v>82429109</v>
      </c>
      <c r="AC28" s="128">
        <f>'14'!AD54</f>
        <v>5040012</v>
      </c>
      <c r="AD28" s="128">
        <f>'14'!AE54</f>
        <v>142364819</v>
      </c>
      <c r="AE28" s="128">
        <f>'14'!AF54</f>
        <v>1116284</v>
      </c>
      <c r="AF28" s="128">
        <f>'14'!AG54</f>
        <v>22406190</v>
      </c>
      <c r="AG28" s="128">
        <f>'14'!AH54</f>
        <v>26283206</v>
      </c>
      <c r="AH28" s="128">
        <f>'14'!AI54</f>
        <v>113249868</v>
      </c>
      <c r="AI28" s="128">
        <f>'14'!AJ54</f>
        <v>27658166</v>
      </c>
      <c r="AJ28" s="128">
        <f>'14'!AK54</f>
        <v>207588</v>
      </c>
      <c r="AK28" s="128">
        <f>'14'!AL54</f>
        <v>75387870</v>
      </c>
      <c r="AL28" s="128">
        <f>'14'!AM54</f>
        <v>11962679</v>
      </c>
    </row>
    <row r="29" spans="1:38" s="130" customFormat="1" ht="25.5" customHeight="1" x14ac:dyDescent="0.2">
      <c r="A29" s="134">
        <v>15</v>
      </c>
      <c r="B29" s="132" t="s">
        <v>913</v>
      </c>
      <c r="C29" s="128">
        <f>'15'!D54</f>
        <v>207997861</v>
      </c>
      <c r="D29" s="128">
        <f>'15'!E54</f>
        <v>54562846</v>
      </c>
      <c r="E29" s="128">
        <f>'15'!F54</f>
        <v>12103374</v>
      </c>
      <c r="F29" s="128">
        <f>'15'!G54</f>
        <v>10657907</v>
      </c>
      <c r="G29" s="128">
        <f>'15'!H54</f>
        <v>0</v>
      </c>
      <c r="H29" s="128">
        <f>'15'!I54</f>
        <v>63208923</v>
      </c>
      <c r="I29" s="128">
        <f>'15'!J54</f>
        <v>8232983</v>
      </c>
      <c r="J29" s="128">
        <f>'15'!K54</f>
        <v>34298210</v>
      </c>
      <c r="K29" s="128">
        <f>'15'!L54</f>
        <v>0</v>
      </c>
      <c r="L29" s="128">
        <f>'15'!M54</f>
        <v>15046823</v>
      </c>
      <c r="M29" s="128">
        <f>'15'!N54</f>
        <v>26599747</v>
      </c>
      <c r="N29" s="128">
        <f>'15'!O54</f>
        <v>6048329</v>
      </c>
      <c r="O29" s="128">
        <f>'15'!P54</f>
        <v>189300164</v>
      </c>
      <c r="P29" s="128">
        <f>'15'!Q54</f>
        <v>74236245</v>
      </c>
      <c r="Q29" s="128">
        <f>'15'!R54</f>
        <v>41300949</v>
      </c>
      <c r="R29" s="128">
        <f>'15'!S54</f>
        <v>70349</v>
      </c>
      <c r="S29" s="128">
        <f>'15'!T54</f>
        <v>0</v>
      </c>
      <c r="T29" s="128">
        <f>'15'!U54</f>
        <v>0</v>
      </c>
      <c r="U29" s="128">
        <f>'15'!V54</f>
        <v>631252</v>
      </c>
      <c r="V29" s="128">
        <f>'15'!W54</f>
        <v>31864599</v>
      </c>
      <c r="W29" s="128">
        <f>'15'!X54</f>
        <v>5728931</v>
      </c>
      <c r="X29" s="128">
        <f>'15'!Y54</f>
        <v>1449696</v>
      </c>
      <c r="Y29" s="128">
        <f>'15'!Z54</f>
        <v>31165792</v>
      </c>
      <c r="Z29" s="128">
        <f>'15'!AA54</f>
        <v>3395650</v>
      </c>
      <c r="AA29" s="128">
        <f>'15'!AB54</f>
        <v>-543299</v>
      </c>
      <c r="AB29" s="128">
        <f>'15'!AC54</f>
        <v>33581770</v>
      </c>
      <c r="AC29" s="128">
        <f>'15'!AD54</f>
        <v>4590599</v>
      </c>
      <c r="AD29" s="128">
        <f>'15'!AE54</f>
        <v>60874987</v>
      </c>
      <c r="AE29" s="128">
        <f>'15'!AF54</f>
        <v>165292</v>
      </c>
      <c r="AF29" s="128">
        <f>'15'!AG54</f>
        <v>10189693</v>
      </c>
      <c r="AG29" s="128">
        <f>'15'!AH54</f>
        <v>11109034</v>
      </c>
      <c r="AH29" s="128">
        <f>'15'!AI54</f>
        <v>10832007</v>
      </c>
      <c r="AI29" s="128">
        <f>'15'!AJ54</f>
        <v>12275850</v>
      </c>
      <c r="AJ29" s="128">
        <f>'15'!AK54</f>
        <v>0</v>
      </c>
      <c r="AK29" s="128">
        <f>'15'!AL54</f>
        <v>41656411</v>
      </c>
      <c r="AL29" s="128">
        <f>'15'!AM54</f>
        <v>4024521</v>
      </c>
    </row>
    <row r="30" spans="1:38" s="130" customFormat="1" ht="25.5" customHeight="1" x14ac:dyDescent="0.2">
      <c r="A30" s="134">
        <v>16</v>
      </c>
      <c r="B30" s="132" t="s">
        <v>914</v>
      </c>
      <c r="C30" s="128">
        <f>'16'!D54</f>
        <v>552564892</v>
      </c>
      <c r="D30" s="128">
        <f>'16'!E54</f>
        <v>133436617</v>
      </c>
      <c r="E30" s="128">
        <f>'16'!F54</f>
        <v>39504213</v>
      </c>
      <c r="F30" s="128">
        <f>'16'!G54</f>
        <v>27401791</v>
      </c>
      <c r="G30" s="128">
        <f>'16'!H54</f>
        <v>0</v>
      </c>
      <c r="H30" s="128">
        <f>'16'!I54</f>
        <v>174211323</v>
      </c>
      <c r="I30" s="128">
        <f>'16'!J54</f>
        <v>1899872</v>
      </c>
      <c r="J30" s="128">
        <f>'16'!K54</f>
        <v>74290176</v>
      </c>
      <c r="K30" s="128">
        <f>'16'!L54</f>
        <v>0</v>
      </c>
      <c r="L30" s="128">
        <f>'16'!M54</f>
        <v>93374021</v>
      </c>
      <c r="M30" s="128">
        <f>'16'!N54</f>
        <v>58785054</v>
      </c>
      <c r="N30" s="128">
        <f>'16'!O54</f>
        <v>16567829</v>
      </c>
      <c r="O30" s="128">
        <f>'16'!P54</f>
        <v>535733514</v>
      </c>
      <c r="P30" s="128">
        <f>'16'!Q54</f>
        <v>188708736</v>
      </c>
      <c r="Q30" s="128">
        <f>'16'!R54</f>
        <v>80598374</v>
      </c>
      <c r="R30" s="128">
        <f>'16'!S54</f>
        <v>912958</v>
      </c>
      <c r="S30" s="128">
        <f>'16'!T54</f>
        <v>0</v>
      </c>
      <c r="T30" s="128">
        <f>'16'!U54</f>
        <v>2273636</v>
      </c>
      <c r="U30" s="128">
        <f>'16'!V54</f>
        <v>0</v>
      </c>
      <c r="V30" s="128">
        <f>'16'!W54</f>
        <v>78437963</v>
      </c>
      <c r="W30" s="128">
        <f>'16'!X54</f>
        <v>37195857</v>
      </c>
      <c r="X30" s="128">
        <f>'16'!Y54</f>
        <v>5198504</v>
      </c>
      <c r="Y30" s="128">
        <f>'16'!Z54</f>
        <v>133539030</v>
      </c>
      <c r="Z30" s="128">
        <f>'16'!AA54</f>
        <v>9894778</v>
      </c>
      <c r="AA30" s="128">
        <f>'16'!AB54</f>
        <v>-1026322</v>
      </c>
      <c r="AB30" s="128">
        <f>'16'!AC54</f>
        <v>95298576</v>
      </c>
      <c r="AC30" s="128">
        <f>'16'!AD54</f>
        <v>5894864</v>
      </c>
      <c r="AD30" s="128">
        <f>'16'!AE54</f>
        <v>166183879</v>
      </c>
      <c r="AE30" s="128">
        <f>'16'!AF54</f>
        <v>2104783</v>
      </c>
      <c r="AF30" s="128">
        <f>'16'!AG54</f>
        <v>24016690</v>
      </c>
      <c r="AG30" s="128">
        <f>'16'!AH54</f>
        <v>52525993</v>
      </c>
      <c r="AH30" s="128">
        <f>'16'!AI54</f>
        <v>39716241</v>
      </c>
      <c r="AI30" s="128">
        <f>'16'!AJ54</f>
        <v>23246517</v>
      </c>
      <c r="AJ30" s="128">
        <f>'16'!AK54</f>
        <v>0</v>
      </c>
      <c r="AK30" s="128">
        <f>'16'!AL54</f>
        <v>121019287</v>
      </c>
      <c r="AL30" s="128">
        <f>'16'!AM54</f>
        <v>5726684</v>
      </c>
    </row>
    <row r="31" spans="1:38" s="130" customFormat="1" ht="25.5" customHeight="1" x14ac:dyDescent="0.2">
      <c r="A31" s="134">
        <v>17</v>
      </c>
      <c r="B31" s="132" t="s">
        <v>915</v>
      </c>
      <c r="C31" s="128">
        <f>'17'!D54</f>
        <v>582749866</v>
      </c>
      <c r="D31" s="128">
        <f>'17'!E54</f>
        <v>161141524</v>
      </c>
      <c r="E31" s="128">
        <f>'17'!F54</f>
        <v>36027551</v>
      </c>
      <c r="F31" s="128">
        <f>'17'!G54</f>
        <v>57512036</v>
      </c>
      <c r="G31" s="128">
        <f>'17'!H54</f>
        <v>0</v>
      </c>
      <c r="H31" s="128">
        <f>'17'!I54</f>
        <v>157476854</v>
      </c>
      <c r="I31" s="128">
        <f>'17'!J54</f>
        <v>8478161</v>
      </c>
      <c r="J31" s="128">
        <f>'17'!K54</f>
        <v>73297110</v>
      </c>
      <c r="K31" s="128">
        <f>'17'!L54</f>
        <v>0</v>
      </c>
      <c r="L31" s="128">
        <f>'17'!M54</f>
        <v>71563087</v>
      </c>
      <c r="M31" s="128">
        <f>'17'!N54</f>
        <v>109238928</v>
      </c>
      <c r="N31" s="128">
        <f>'17'!O54</f>
        <v>1554202</v>
      </c>
      <c r="O31" s="128">
        <f>'17'!P54</f>
        <v>546588138</v>
      </c>
      <c r="P31" s="128">
        <f>'17'!Q54</f>
        <v>194462118</v>
      </c>
      <c r="Q31" s="128">
        <f>'17'!R54</f>
        <v>94478673</v>
      </c>
      <c r="R31" s="128">
        <f>'17'!S54</f>
        <v>378186</v>
      </c>
      <c r="S31" s="128">
        <f>'17'!T54</f>
        <v>0</v>
      </c>
      <c r="T31" s="128">
        <f>'17'!U54</f>
        <v>1235160</v>
      </c>
      <c r="U31" s="128">
        <f>'17'!V54</f>
        <v>348723</v>
      </c>
      <c r="V31" s="128">
        <f>'17'!W54</f>
        <v>118484554</v>
      </c>
      <c r="W31" s="128">
        <f>'17'!X54</f>
        <v>19383919</v>
      </c>
      <c r="X31" s="128">
        <f>'17'!Y54</f>
        <v>2443315</v>
      </c>
      <c r="Y31" s="128">
        <f>'17'!Z54</f>
        <v>116838966</v>
      </c>
      <c r="Z31" s="128">
        <f>'17'!AA54</f>
        <v>294000</v>
      </c>
      <c r="AA31" s="128">
        <f>'17'!AB54</f>
        <v>-1759476</v>
      </c>
      <c r="AB31" s="128">
        <f>'17'!AC54</f>
        <v>142129482</v>
      </c>
      <c r="AC31" s="128">
        <f>'17'!AD54</f>
        <v>4138787</v>
      </c>
      <c r="AD31" s="128">
        <f>'17'!AE54</f>
        <v>151158355</v>
      </c>
      <c r="AE31" s="128">
        <f>'17'!AF54</f>
        <v>2329991</v>
      </c>
      <c r="AF31" s="128">
        <f>'17'!AG54</f>
        <v>13904376</v>
      </c>
      <c r="AG31" s="128">
        <f>'17'!AH54</f>
        <v>31401293</v>
      </c>
      <c r="AH31" s="128">
        <f>'17'!AI54</f>
        <v>73860741</v>
      </c>
      <c r="AI31" s="128">
        <f>'17'!AJ54</f>
        <v>48554720</v>
      </c>
      <c r="AJ31" s="128">
        <f>'17'!AK54</f>
        <v>0</v>
      </c>
      <c r="AK31" s="128">
        <f>'17'!AL54</f>
        <v>75294415</v>
      </c>
      <c r="AL31" s="128">
        <f>'17'!AM54</f>
        <v>3815978</v>
      </c>
    </row>
    <row r="32" spans="1:38" s="130" customFormat="1" ht="25.5" customHeight="1" x14ac:dyDescent="0.2">
      <c r="A32" s="134">
        <v>18</v>
      </c>
      <c r="B32" s="132" t="s">
        <v>916</v>
      </c>
      <c r="C32" s="128">
        <f>'18'!D54</f>
        <v>440521301</v>
      </c>
      <c r="D32" s="128">
        <f>'18'!E54</f>
        <v>124654209</v>
      </c>
      <c r="E32" s="128">
        <f>'18'!F54</f>
        <v>20566783</v>
      </c>
      <c r="F32" s="128">
        <f>'18'!G54</f>
        <v>44541123</v>
      </c>
      <c r="G32" s="128">
        <f>'18'!H54</f>
        <v>0</v>
      </c>
      <c r="H32" s="128">
        <f>'18'!I54</f>
        <v>123490458</v>
      </c>
      <c r="I32" s="128">
        <f>'18'!J54</f>
        <v>9184955</v>
      </c>
      <c r="J32" s="128">
        <f>'18'!K54</f>
        <v>54870800</v>
      </c>
      <c r="K32" s="128">
        <f>'18'!L54</f>
        <v>0</v>
      </c>
      <c r="L32" s="128">
        <f>'18'!M54</f>
        <v>85679187</v>
      </c>
      <c r="M32" s="128">
        <f>'18'!N54</f>
        <v>36976017</v>
      </c>
      <c r="N32" s="128">
        <f>'18'!O54</f>
        <v>5665675</v>
      </c>
      <c r="O32" s="128">
        <f>'18'!P54</f>
        <v>418977304</v>
      </c>
      <c r="P32" s="128">
        <f>'18'!Q54</f>
        <v>140689396</v>
      </c>
      <c r="Q32" s="128">
        <f>'18'!R54</f>
        <v>74532878</v>
      </c>
      <c r="R32" s="128">
        <f>'18'!S54</f>
        <v>160545</v>
      </c>
      <c r="S32" s="128">
        <f>'18'!T54</f>
        <v>0</v>
      </c>
      <c r="T32" s="128">
        <f>'18'!U54</f>
        <v>138641</v>
      </c>
      <c r="U32" s="128">
        <f>'18'!V54</f>
        <v>527565</v>
      </c>
      <c r="V32" s="128">
        <f>'18'!W54</f>
        <v>40526072</v>
      </c>
      <c r="W32" s="128">
        <f>'18'!X54</f>
        <v>17164491</v>
      </c>
      <c r="X32" s="128">
        <f>'18'!Y54</f>
        <v>4690504</v>
      </c>
      <c r="Y32" s="128">
        <f>'18'!Z54</f>
        <v>139966807</v>
      </c>
      <c r="Z32" s="128">
        <f>'18'!AA54</f>
        <v>1260453</v>
      </c>
      <c r="AA32" s="128">
        <f>'18'!AB54</f>
        <v>-680048</v>
      </c>
      <c r="AB32" s="128">
        <f>'18'!AC54</f>
        <v>55067298</v>
      </c>
      <c r="AC32" s="128">
        <f>'18'!AD54</f>
        <v>6921477</v>
      </c>
      <c r="AD32" s="128">
        <f>'18'!AE54</f>
        <v>123383002</v>
      </c>
      <c r="AE32" s="128">
        <f>'18'!AF54</f>
        <v>1177498</v>
      </c>
      <c r="AF32" s="128">
        <f>'18'!AG54</f>
        <v>19534625</v>
      </c>
      <c r="AG32" s="128">
        <f>'18'!AH54</f>
        <v>28195678</v>
      </c>
      <c r="AH32" s="128">
        <f>'18'!AI54</f>
        <v>37380199</v>
      </c>
      <c r="AI32" s="128">
        <f>'18'!AJ54</f>
        <v>33822207</v>
      </c>
      <c r="AJ32" s="128">
        <f>'18'!AK54</f>
        <v>0</v>
      </c>
      <c r="AK32" s="128">
        <f>'18'!AL54</f>
        <v>110814516</v>
      </c>
      <c r="AL32" s="128">
        <f>'18'!AM54</f>
        <v>2680804</v>
      </c>
    </row>
    <row r="33" spans="1:38" s="130" customFormat="1" ht="25.5" customHeight="1" x14ac:dyDescent="0.2">
      <c r="A33" s="134">
        <v>19</v>
      </c>
      <c r="B33" s="132" t="s">
        <v>917</v>
      </c>
      <c r="C33" s="128">
        <f>'19'!D54</f>
        <v>390348956</v>
      </c>
      <c r="D33" s="128">
        <f>'19'!E54</f>
        <v>74788023</v>
      </c>
      <c r="E33" s="128">
        <f>'19'!F54</f>
        <v>25001044</v>
      </c>
      <c r="F33" s="128">
        <f>'19'!G54</f>
        <v>9650219</v>
      </c>
      <c r="G33" s="128">
        <f>'19'!H54</f>
        <v>0</v>
      </c>
      <c r="H33" s="128">
        <f>'19'!I54</f>
        <v>89010117</v>
      </c>
      <c r="I33" s="128">
        <f>'19'!J54</f>
        <v>13791719</v>
      </c>
      <c r="J33" s="128">
        <f>'19'!K54</f>
        <v>58416662</v>
      </c>
      <c r="K33" s="128">
        <f>'19'!L54</f>
        <v>0</v>
      </c>
      <c r="L33" s="128">
        <f>'19'!M54</f>
        <v>113252295</v>
      </c>
      <c r="M33" s="128">
        <f>'19'!N54</f>
        <v>37131838</v>
      </c>
      <c r="N33" s="128">
        <f>'19'!O54</f>
        <v>3958302</v>
      </c>
      <c r="O33" s="128">
        <f>'19'!P54</f>
        <v>391132746</v>
      </c>
      <c r="P33" s="128">
        <f>'19'!Q54</f>
        <v>101854294</v>
      </c>
      <c r="Q33" s="128">
        <f>'19'!R54</f>
        <v>63895673</v>
      </c>
      <c r="R33" s="128">
        <f>'19'!S54</f>
        <v>400321</v>
      </c>
      <c r="S33" s="128">
        <f>'19'!T54</f>
        <v>0</v>
      </c>
      <c r="T33" s="128">
        <f>'19'!U54</f>
        <v>0</v>
      </c>
      <c r="U33" s="128">
        <f>'19'!V54</f>
        <v>148965</v>
      </c>
      <c r="V33" s="128">
        <f>'19'!W54</f>
        <v>46965302</v>
      </c>
      <c r="W33" s="128">
        <f>'19'!X54</f>
        <v>11071473</v>
      </c>
      <c r="X33" s="128">
        <f>'19'!Y54</f>
        <v>2128999</v>
      </c>
      <c r="Y33" s="128">
        <f>'19'!Z54</f>
        <v>163908748</v>
      </c>
      <c r="Z33" s="128">
        <f>'19'!AA54</f>
        <v>1283641</v>
      </c>
      <c r="AA33" s="128">
        <f>'19'!AB54</f>
        <v>-524670</v>
      </c>
      <c r="AB33" s="128">
        <f>'19'!AC54</f>
        <v>48571296</v>
      </c>
      <c r="AC33" s="128">
        <f>'19'!AD54</f>
        <v>2447376</v>
      </c>
      <c r="AD33" s="128">
        <f>'19'!AE54</f>
        <v>88117805</v>
      </c>
      <c r="AE33" s="128">
        <f>'19'!AF54</f>
        <v>628638</v>
      </c>
      <c r="AF33" s="128">
        <f>'19'!AG54</f>
        <v>11251797</v>
      </c>
      <c r="AG33" s="128">
        <f>'19'!AH54</f>
        <v>26390616</v>
      </c>
      <c r="AH33" s="128">
        <f>'19'!AI54</f>
        <v>64098650</v>
      </c>
      <c r="AI33" s="128">
        <f>'19'!AJ54</f>
        <v>23977643</v>
      </c>
      <c r="AJ33" s="128">
        <f>'19'!AK54</f>
        <v>0</v>
      </c>
      <c r="AK33" s="128">
        <f>'19'!AL54</f>
        <v>123364953</v>
      </c>
      <c r="AL33" s="128">
        <f>'19'!AM54</f>
        <v>2283972</v>
      </c>
    </row>
    <row r="34" spans="1:38" s="130" customFormat="1" ht="25.5" customHeight="1" x14ac:dyDescent="0.2">
      <c r="A34" s="134">
        <v>20</v>
      </c>
      <c r="B34" s="132" t="s">
        <v>918</v>
      </c>
      <c r="C34" s="128">
        <f>'20'!D54</f>
        <v>335385905</v>
      </c>
      <c r="D34" s="128">
        <f>'20'!E54</f>
        <v>94685640</v>
      </c>
      <c r="E34" s="128">
        <f>'20'!F54</f>
        <v>34288279</v>
      </c>
      <c r="F34" s="128">
        <f>'20'!G54</f>
        <v>22786179</v>
      </c>
      <c r="G34" s="128">
        <f>'20'!H54</f>
        <v>0</v>
      </c>
      <c r="H34" s="128">
        <f>'20'!I54</f>
        <v>103986684</v>
      </c>
      <c r="I34" s="128">
        <f>'20'!J54</f>
        <v>7770998</v>
      </c>
      <c r="J34" s="128">
        <f>'20'!K54</f>
        <v>51165115</v>
      </c>
      <c r="K34" s="128">
        <f>'20'!L54</f>
        <v>0</v>
      </c>
      <c r="L34" s="128">
        <f>'20'!M54</f>
        <v>57139806</v>
      </c>
      <c r="M34" s="128">
        <f>'20'!N54</f>
        <v>16387484</v>
      </c>
      <c r="N34" s="128">
        <f>'20'!O54</f>
        <v>4250178</v>
      </c>
      <c r="O34" s="128">
        <f>'20'!P54</f>
        <v>327120739</v>
      </c>
      <c r="P34" s="128">
        <f>'20'!Q54</f>
        <v>142148745</v>
      </c>
      <c r="Q34" s="128">
        <f>'20'!R54</f>
        <v>64523117</v>
      </c>
      <c r="R34" s="128">
        <f>'20'!S54</f>
        <v>205766</v>
      </c>
      <c r="S34" s="128">
        <f>'20'!T54</f>
        <v>0</v>
      </c>
      <c r="T34" s="128">
        <f>'20'!U54</f>
        <v>83465</v>
      </c>
      <c r="U34" s="128">
        <f>'20'!V54</f>
        <v>358911</v>
      </c>
      <c r="V34" s="128">
        <f>'20'!W54</f>
        <v>14602308</v>
      </c>
      <c r="W34" s="128">
        <f>'20'!X54</f>
        <v>10106107</v>
      </c>
      <c r="X34" s="128">
        <f>'20'!Y54</f>
        <v>1720212</v>
      </c>
      <c r="Y34" s="128">
        <f>'20'!Z54</f>
        <v>91608862</v>
      </c>
      <c r="Z34" s="128">
        <f>'20'!AA54</f>
        <v>2405174</v>
      </c>
      <c r="AA34" s="128">
        <f>'20'!AB54</f>
        <v>-641928</v>
      </c>
      <c r="AB34" s="128">
        <f>'20'!AC54</f>
        <v>68308665</v>
      </c>
      <c r="AC34" s="128">
        <f>'20'!AD54</f>
        <v>1855034</v>
      </c>
      <c r="AD34" s="128">
        <f>'20'!AE54</f>
        <v>98890393</v>
      </c>
      <c r="AE34" s="128">
        <f>'20'!AF54</f>
        <v>1260773</v>
      </c>
      <c r="AF34" s="128">
        <f>'20'!AG54</f>
        <v>9355267</v>
      </c>
      <c r="AG34" s="128">
        <f>'20'!AH54</f>
        <v>23512717</v>
      </c>
      <c r="AH34" s="128">
        <f>'20'!AI54</f>
        <v>37752918</v>
      </c>
      <c r="AI34" s="128">
        <f>'20'!AJ54</f>
        <v>13089839</v>
      </c>
      <c r="AJ34" s="128">
        <f>'20'!AK54</f>
        <v>0</v>
      </c>
      <c r="AK34" s="128">
        <f>'20'!AL54</f>
        <v>70694314</v>
      </c>
      <c r="AL34" s="128">
        <f>'20'!AM54</f>
        <v>2400819</v>
      </c>
    </row>
    <row r="35" spans="1:38" s="130" customFormat="1" ht="25.5" customHeight="1" x14ac:dyDescent="0.2">
      <c r="A35" s="134">
        <v>21</v>
      </c>
      <c r="B35" s="132" t="s">
        <v>919</v>
      </c>
      <c r="C35" s="128">
        <f>'21'!D54</f>
        <v>391486171</v>
      </c>
      <c r="D35" s="128">
        <f>'21'!E54</f>
        <v>83569034</v>
      </c>
      <c r="E35" s="128">
        <f>'21'!F54</f>
        <v>21235859</v>
      </c>
      <c r="F35" s="128">
        <f>'21'!G54</f>
        <v>13900869</v>
      </c>
      <c r="G35" s="128">
        <f>'21'!H54</f>
        <v>0</v>
      </c>
      <c r="H35" s="128">
        <f>'21'!I54</f>
        <v>120958733</v>
      </c>
      <c r="I35" s="128">
        <f>'21'!J54</f>
        <v>14247485</v>
      </c>
      <c r="J35" s="128">
        <f>'21'!K54</f>
        <v>54250622</v>
      </c>
      <c r="K35" s="128">
        <f>'21'!L54</f>
        <v>0</v>
      </c>
      <c r="L35" s="128">
        <f>'21'!M54</f>
        <v>36647213</v>
      </c>
      <c r="M35" s="128">
        <f>'21'!N54</f>
        <v>69893434</v>
      </c>
      <c r="N35" s="128">
        <f>'21'!O54</f>
        <v>11919650</v>
      </c>
      <c r="O35" s="128">
        <f>'21'!P54</f>
        <v>388542066</v>
      </c>
      <c r="P35" s="128">
        <f>'21'!Q54</f>
        <v>136402091</v>
      </c>
      <c r="Q35" s="128">
        <f>'21'!R54</f>
        <v>65430012</v>
      </c>
      <c r="R35" s="128">
        <f>'21'!S54</f>
        <v>148550</v>
      </c>
      <c r="S35" s="128">
        <f>'21'!T54</f>
        <v>0</v>
      </c>
      <c r="T35" s="128">
        <f>'21'!U54</f>
        <v>1769846</v>
      </c>
      <c r="U35" s="128">
        <f>'21'!V54</f>
        <v>2822967</v>
      </c>
      <c r="V35" s="128">
        <f>'21'!W54</f>
        <v>110335632</v>
      </c>
      <c r="W35" s="128">
        <f>'21'!X54</f>
        <v>7151073</v>
      </c>
      <c r="X35" s="128">
        <f>'21'!Y54</f>
        <v>1553490</v>
      </c>
      <c r="Y35" s="128">
        <f>'21'!Z54</f>
        <v>59251297</v>
      </c>
      <c r="Z35" s="128">
        <f>'21'!AA54</f>
        <v>4683444</v>
      </c>
      <c r="AA35" s="128">
        <f>'21'!AB54</f>
        <v>-1006336</v>
      </c>
      <c r="AB35" s="128">
        <f>'21'!AC54</f>
        <v>50867018</v>
      </c>
      <c r="AC35" s="128">
        <f>'21'!AD54</f>
        <v>7570570</v>
      </c>
      <c r="AD35" s="128">
        <f>'21'!AE54</f>
        <v>117520050</v>
      </c>
      <c r="AE35" s="128">
        <f>'21'!AF54</f>
        <v>1616241</v>
      </c>
      <c r="AF35" s="128">
        <f>'21'!AG54</f>
        <v>20860829</v>
      </c>
      <c r="AG35" s="128">
        <f>'21'!AH54</f>
        <v>19536766</v>
      </c>
      <c r="AH35" s="128">
        <f>'21'!AI54</f>
        <v>28617244</v>
      </c>
      <c r="AI35" s="128">
        <f>'21'!AJ54</f>
        <v>26976348</v>
      </c>
      <c r="AJ35" s="128">
        <f>'21'!AK54</f>
        <v>0</v>
      </c>
      <c r="AK35" s="128">
        <f>'21'!AL54</f>
        <v>108144744</v>
      </c>
      <c r="AL35" s="128">
        <f>'21'!AM54</f>
        <v>6832256</v>
      </c>
    </row>
    <row r="36" spans="1:38" s="130" customFormat="1" ht="25.5" customHeight="1" x14ac:dyDescent="0.2">
      <c r="A36" s="134">
        <v>22</v>
      </c>
      <c r="B36" s="132" t="s">
        <v>920</v>
      </c>
      <c r="C36" s="128">
        <f>'22'!D54</f>
        <v>289948061</v>
      </c>
      <c r="D36" s="128">
        <f>'22'!E54</f>
        <v>75956601</v>
      </c>
      <c r="E36" s="128">
        <f>'22'!F54</f>
        <v>20346339</v>
      </c>
      <c r="F36" s="128">
        <f>'22'!G54</f>
        <v>24869238</v>
      </c>
      <c r="G36" s="128">
        <f>'22'!H54</f>
        <v>0</v>
      </c>
      <c r="H36" s="128">
        <f>'22'!I54</f>
        <v>62008869</v>
      </c>
      <c r="I36" s="128">
        <f>'22'!J54</f>
        <v>8296604</v>
      </c>
      <c r="J36" s="128">
        <f>'22'!K54</f>
        <v>49685900</v>
      </c>
      <c r="K36" s="128">
        <f>'22'!L54</f>
        <v>0</v>
      </c>
      <c r="L36" s="128">
        <f>'22'!M54</f>
        <v>43023851</v>
      </c>
      <c r="M36" s="128">
        <f>'22'!N54</f>
        <v>46653175</v>
      </c>
      <c r="N36" s="128">
        <f>'22'!O54</f>
        <v>4323061</v>
      </c>
      <c r="O36" s="128">
        <f>'22'!P54</f>
        <v>271288804</v>
      </c>
      <c r="P36" s="128">
        <f>'22'!Q54</f>
        <v>76223554</v>
      </c>
      <c r="Q36" s="128">
        <f>'22'!R54</f>
        <v>60007974</v>
      </c>
      <c r="R36" s="128">
        <f>'22'!S54</f>
        <v>683622</v>
      </c>
      <c r="S36" s="128">
        <f>'22'!T54</f>
        <v>185100</v>
      </c>
      <c r="T36" s="128">
        <f>'22'!U54</f>
        <v>200829</v>
      </c>
      <c r="U36" s="128">
        <f>'22'!V54</f>
        <v>123812</v>
      </c>
      <c r="V36" s="128">
        <f>'22'!W54</f>
        <v>56149427</v>
      </c>
      <c r="W36" s="128">
        <f>'22'!X54</f>
        <v>10771337</v>
      </c>
      <c r="X36" s="128">
        <f>'22'!Y54</f>
        <v>2597547</v>
      </c>
      <c r="Y36" s="128">
        <f>'22'!Z54</f>
        <v>60153697</v>
      </c>
      <c r="Z36" s="128">
        <f>'22'!AA54</f>
        <v>4584710</v>
      </c>
      <c r="AA36" s="128">
        <f>'22'!AB54</f>
        <v>-392805</v>
      </c>
      <c r="AB36" s="128">
        <f>'22'!AC54</f>
        <v>49352859</v>
      </c>
      <c r="AC36" s="128">
        <f>'22'!AD54</f>
        <v>1047838</v>
      </c>
      <c r="AD36" s="128">
        <f>'22'!AE54</f>
        <v>52669702</v>
      </c>
      <c r="AE36" s="128">
        <f>'22'!AF54</f>
        <v>645333</v>
      </c>
      <c r="AF36" s="128">
        <f>'22'!AG54</f>
        <v>22365133</v>
      </c>
      <c r="AG36" s="128">
        <f>'22'!AH54</f>
        <v>20354882</v>
      </c>
      <c r="AH36" s="128">
        <f>'22'!AI54</f>
        <v>35206628</v>
      </c>
      <c r="AI36" s="128">
        <f>'22'!AJ54</f>
        <v>12771631</v>
      </c>
      <c r="AJ36" s="128">
        <f>'22'!AK54</f>
        <v>200720</v>
      </c>
      <c r="AK36" s="128">
        <f>'22'!AL54</f>
        <v>62832983</v>
      </c>
      <c r="AL36" s="128">
        <f>'22'!AM54</f>
        <v>13841095</v>
      </c>
    </row>
    <row r="37" spans="1:38" s="130" customFormat="1" ht="25.5" customHeight="1" x14ac:dyDescent="0.2">
      <c r="A37" s="134">
        <v>23</v>
      </c>
      <c r="B37" s="132" t="s">
        <v>921</v>
      </c>
      <c r="C37" s="128">
        <f>'23'!D54</f>
        <v>253831871</v>
      </c>
      <c r="D37" s="128">
        <f>'23'!E54</f>
        <v>74738425</v>
      </c>
      <c r="E37" s="128">
        <f>'23'!F54</f>
        <v>19108021</v>
      </c>
      <c r="F37" s="128">
        <f>'23'!G54</f>
        <v>9438949</v>
      </c>
      <c r="G37" s="128">
        <f>'23'!H54</f>
        <v>0</v>
      </c>
      <c r="H37" s="128">
        <f>'23'!I54</f>
        <v>71580267</v>
      </c>
      <c r="I37" s="128">
        <f>'23'!J54</f>
        <v>13485226</v>
      </c>
      <c r="J37" s="128">
        <f>'23'!K54</f>
        <v>49277000</v>
      </c>
      <c r="K37" s="128">
        <f>'23'!L54</f>
        <v>0</v>
      </c>
      <c r="L37" s="128">
        <f>'23'!M54</f>
        <v>24816872</v>
      </c>
      <c r="M37" s="128">
        <f>'23'!N54</f>
        <v>17947341</v>
      </c>
      <c r="N37" s="128">
        <f>'23'!O54</f>
        <v>1986740</v>
      </c>
      <c r="O37" s="128">
        <f>'23'!P54</f>
        <v>221453423</v>
      </c>
      <c r="P37" s="128">
        <f>'23'!Q54</f>
        <v>85831361</v>
      </c>
      <c r="Q37" s="128">
        <f>'23'!R54</f>
        <v>52868497</v>
      </c>
      <c r="R37" s="128">
        <f>'23'!S54</f>
        <v>68634</v>
      </c>
      <c r="S37" s="128">
        <f>'23'!T54</f>
        <v>0</v>
      </c>
      <c r="T37" s="128">
        <f>'23'!U54</f>
        <v>30000</v>
      </c>
      <c r="U37" s="128">
        <f>'23'!V54</f>
        <v>1140853</v>
      </c>
      <c r="V37" s="128">
        <f>'23'!W54</f>
        <v>14198340</v>
      </c>
      <c r="W37" s="128">
        <f>'23'!X54</f>
        <v>10489120</v>
      </c>
      <c r="X37" s="128">
        <f>'23'!Y54</f>
        <v>318540</v>
      </c>
      <c r="Y37" s="128">
        <f>'23'!Z54</f>
        <v>56591253</v>
      </c>
      <c r="Z37" s="128">
        <f>'23'!AA54</f>
        <v>146194</v>
      </c>
      <c r="AA37" s="128">
        <f>'23'!AB54</f>
        <v>-229369</v>
      </c>
      <c r="AB37" s="128">
        <f>'23'!AC54</f>
        <v>42409873</v>
      </c>
      <c r="AC37" s="128">
        <f>'23'!AD54</f>
        <v>2750248</v>
      </c>
      <c r="AD37" s="128">
        <f>'23'!AE54</f>
        <v>66951830</v>
      </c>
      <c r="AE37" s="128">
        <f>'23'!AF54</f>
        <v>565088</v>
      </c>
      <c r="AF37" s="128">
        <f>'23'!AG54</f>
        <v>10360756</v>
      </c>
      <c r="AG37" s="128">
        <f>'23'!AH54</f>
        <v>17405763</v>
      </c>
      <c r="AH37" s="128">
        <f>'23'!AI54</f>
        <v>18381144</v>
      </c>
      <c r="AI37" s="128">
        <f>'23'!AJ54</f>
        <v>7815077</v>
      </c>
      <c r="AJ37" s="128">
        <f>'23'!AK54</f>
        <v>0</v>
      </c>
      <c r="AK37" s="128">
        <f>'23'!AL54</f>
        <v>53247262</v>
      </c>
      <c r="AL37" s="128">
        <f>'23'!AM54</f>
        <v>1566382</v>
      </c>
    </row>
    <row r="38" spans="1:38" s="130" customFormat="1" ht="25.5" customHeight="1" x14ac:dyDescent="0.2">
      <c r="A38" s="134">
        <v>24</v>
      </c>
      <c r="B38" s="132" t="s">
        <v>922</v>
      </c>
      <c r="C38" s="128">
        <f>'24'!D54</f>
        <v>709220192</v>
      </c>
      <c r="D38" s="128">
        <f>'24'!E54</f>
        <v>216603654</v>
      </c>
      <c r="E38" s="128">
        <f>'24'!F54</f>
        <v>38955809</v>
      </c>
      <c r="F38" s="128">
        <f>'24'!G54</f>
        <v>80143584</v>
      </c>
      <c r="G38" s="128">
        <f>'24'!H54</f>
        <v>0</v>
      </c>
      <c r="H38" s="128">
        <f>'24'!I54</f>
        <v>243086672</v>
      </c>
      <c r="I38" s="128">
        <f>'24'!J54</f>
        <v>3199919</v>
      </c>
      <c r="J38" s="128">
        <f>'24'!K54</f>
        <v>68900500</v>
      </c>
      <c r="K38" s="128">
        <f>'24'!L54</f>
        <v>0</v>
      </c>
      <c r="L38" s="128">
        <f>'24'!M54</f>
        <v>107498651</v>
      </c>
      <c r="M38" s="128">
        <f>'24'!N54</f>
        <v>63755525</v>
      </c>
      <c r="N38" s="128">
        <f>'24'!O54</f>
        <v>6175271</v>
      </c>
      <c r="O38" s="128">
        <f>'24'!P54</f>
        <v>650177512</v>
      </c>
      <c r="P38" s="128">
        <f>'24'!Q54</f>
        <v>266005503</v>
      </c>
      <c r="Q38" s="128">
        <f>'24'!R54</f>
        <v>115644880</v>
      </c>
      <c r="R38" s="128">
        <f>'24'!S54</f>
        <v>865170</v>
      </c>
      <c r="S38" s="128">
        <f>'24'!T54</f>
        <v>66880</v>
      </c>
      <c r="T38" s="128">
        <f>'24'!U54</f>
        <v>610038</v>
      </c>
      <c r="U38" s="128">
        <f>'24'!V54</f>
        <v>991148</v>
      </c>
      <c r="V38" s="128">
        <f>'24'!W54</f>
        <v>72574445</v>
      </c>
      <c r="W38" s="128">
        <f>'24'!X54</f>
        <v>21261348</v>
      </c>
      <c r="X38" s="128">
        <f>'24'!Y54</f>
        <v>4539885</v>
      </c>
      <c r="Y38" s="128">
        <f>'24'!Z54</f>
        <v>161234530</v>
      </c>
      <c r="Z38" s="128">
        <f>'24'!AA54</f>
        <v>7058311</v>
      </c>
      <c r="AA38" s="128">
        <f>'24'!AB54</f>
        <v>-674626</v>
      </c>
      <c r="AB38" s="128">
        <f>'24'!AC54</f>
        <v>102606410</v>
      </c>
      <c r="AC38" s="128">
        <f>'24'!AD54</f>
        <v>3792333</v>
      </c>
      <c r="AD38" s="128">
        <f>'24'!AE54</f>
        <v>242927786</v>
      </c>
      <c r="AE38" s="128">
        <f>'24'!AF54</f>
        <v>1594301</v>
      </c>
      <c r="AF38" s="128">
        <f>'24'!AG54</f>
        <v>25320833</v>
      </c>
      <c r="AG38" s="128">
        <f>'24'!AH54</f>
        <v>46788568</v>
      </c>
      <c r="AH38" s="128">
        <f>'24'!AI54</f>
        <v>75893836</v>
      </c>
      <c r="AI38" s="128">
        <f>'24'!AJ54</f>
        <v>13576687</v>
      </c>
      <c r="AJ38" s="128">
        <f>'24'!AK54</f>
        <v>0</v>
      </c>
      <c r="AK38" s="128">
        <f>'24'!AL54</f>
        <v>132567435</v>
      </c>
      <c r="AL38" s="128">
        <f>'24'!AM54</f>
        <v>5109323</v>
      </c>
    </row>
    <row r="39" spans="1:38" s="130" customFormat="1" ht="25.5" customHeight="1" x14ac:dyDescent="0.2">
      <c r="A39" s="134">
        <v>25</v>
      </c>
      <c r="B39" s="132" t="s">
        <v>923</v>
      </c>
      <c r="C39" s="128">
        <f>'25'!D54</f>
        <v>586879769</v>
      </c>
      <c r="D39" s="128">
        <f>'25'!E54</f>
        <v>358033407</v>
      </c>
      <c r="E39" s="128">
        <f>'25'!F54</f>
        <v>136421557</v>
      </c>
      <c r="F39" s="128">
        <f>'25'!G54</f>
        <v>82781712</v>
      </c>
      <c r="G39" s="128">
        <f>'25'!H54</f>
        <v>0</v>
      </c>
      <c r="H39" s="128">
        <f>'25'!I54</f>
        <v>99515205</v>
      </c>
      <c r="I39" s="128">
        <f>'25'!J54</f>
        <v>12882000</v>
      </c>
      <c r="J39" s="128">
        <f>'25'!K54</f>
        <v>13054120</v>
      </c>
      <c r="K39" s="128">
        <f>'25'!L54</f>
        <v>0</v>
      </c>
      <c r="L39" s="128">
        <f>'25'!M54</f>
        <v>40844009</v>
      </c>
      <c r="M39" s="128">
        <f>'25'!N54</f>
        <v>30952893</v>
      </c>
      <c r="N39" s="128">
        <f>'25'!O54</f>
        <v>31598135</v>
      </c>
      <c r="O39" s="128">
        <f>'25'!P54</f>
        <v>530493548</v>
      </c>
      <c r="P39" s="128">
        <f>'25'!Q54</f>
        <v>114503849</v>
      </c>
      <c r="Q39" s="128">
        <f>'25'!R54</f>
        <v>190360172</v>
      </c>
      <c r="R39" s="128">
        <f>'25'!S54</f>
        <v>6431962</v>
      </c>
      <c r="S39" s="128">
        <f>'25'!T54</f>
        <v>413320</v>
      </c>
      <c r="T39" s="128">
        <f>'25'!U54</f>
        <v>1293400</v>
      </c>
      <c r="U39" s="128">
        <f>'25'!V54</f>
        <v>5164286</v>
      </c>
      <c r="V39" s="128">
        <f>'25'!W54</f>
        <v>48005765</v>
      </c>
      <c r="W39" s="128">
        <f>'25'!X54</f>
        <v>9248467</v>
      </c>
      <c r="X39" s="128">
        <f>'25'!Y54</f>
        <v>15260395</v>
      </c>
      <c r="Y39" s="128">
        <f>'25'!Z54</f>
        <v>129518273</v>
      </c>
      <c r="Z39" s="128">
        <f>'25'!AA54</f>
        <v>11548717</v>
      </c>
      <c r="AA39" s="128">
        <f>'25'!AB54</f>
        <v>-1255058</v>
      </c>
      <c r="AB39" s="128">
        <f>'25'!AC54</f>
        <v>91677244</v>
      </c>
      <c r="AC39" s="128">
        <f>'25'!AD54</f>
        <v>6980481</v>
      </c>
      <c r="AD39" s="128">
        <f>'25'!AE54</f>
        <v>148542798</v>
      </c>
      <c r="AE39" s="128">
        <f>'25'!AF54</f>
        <v>3002285</v>
      </c>
      <c r="AF39" s="128">
        <f>'25'!AG54</f>
        <v>56536370</v>
      </c>
      <c r="AG39" s="128">
        <f>'25'!AH54</f>
        <v>32993601</v>
      </c>
      <c r="AH39" s="128">
        <f>'25'!AI54</f>
        <v>55586094</v>
      </c>
      <c r="AI39" s="128">
        <f>'25'!AJ54</f>
        <v>40312132</v>
      </c>
      <c r="AJ39" s="128">
        <f>'25'!AK54</f>
        <v>0</v>
      </c>
      <c r="AK39" s="128">
        <f>'25'!AL54</f>
        <v>93114835</v>
      </c>
      <c r="AL39" s="128">
        <f>'25'!AM54</f>
        <v>1747708</v>
      </c>
    </row>
    <row r="40" spans="1:38" s="130" customFormat="1" ht="25.5" customHeight="1" x14ac:dyDescent="0.2">
      <c r="A40" s="134">
        <v>26</v>
      </c>
      <c r="B40" s="132" t="s">
        <v>924</v>
      </c>
      <c r="C40" s="128">
        <f>'26'!D54</f>
        <v>407207559</v>
      </c>
      <c r="D40" s="128">
        <f>'26'!E54</f>
        <v>94451186</v>
      </c>
      <c r="E40" s="128">
        <f>'26'!F54</f>
        <v>20066790</v>
      </c>
      <c r="F40" s="128">
        <f>'26'!G54</f>
        <v>26428951</v>
      </c>
      <c r="G40" s="128">
        <f>'26'!H54</f>
        <v>0</v>
      </c>
      <c r="H40" s="128">
        <f>'26'!I54</f>
        <v>123651937</v>
      </c>
      <c r="I40" s="128">
        <f>'26'!J54</f>
        <v>0</v>
      </c>
      <c r="J40" s="128">
        <f>'26'!K54</f>
        <v>62221010</v>
      </c>
      <c r="K40" s="128">
        <f>'26'!L54</f>
        <v>0</v>
      </c>
      <c r="L40" s="128">
        <f>'26'!M54</f>
        <v>69198365</v>
      </c>
      <c r="M40" s="128">
        <f>'26'!N54</f>
        <v>53556783</v>
      </c>
      <c r="N40" s="128">
        <f>'26'!O54</f>
        <v>4128278</v>
      </c>
      <c r="O40" s="128">
        <f>'26'!P54</f>
        <v>406294386</v>
      </c>
      <c r="P40" s="128">
        <f>'26'!Q54</f>
        <v>143095649</v>
      </c>
      <c r="Q40" s="128">
        <f>'26'!R54</f>
        <v>81414503</v>
      </c>
      <c r="R40" s="128">
        <f>'26'!S54</f>
        <v>513183</v>
      </c>
      <c r="S40" s="128">
        <f>'26'!T54</f>
        <v>0</v>
      </c>
      <c r="T40" s="128">
        <f>'26'!U54</f>
        <v>322977</v>
      </c>
      <c r="U40" s="128">
        <f>'26'!V54</f>
        <v>124529</v>
      </c>
      <c r="V40" s="128">
        <f>'26'!W54</f>
        <v>84360283</v>
      </c>
      <c r="W40" s="128">
        <f>'26'!X54</f>
        <v>8397440</v>
      </c>
      <c r="X40" s="128">
        <f>'26'!Y54</f>
        <v>1791127</v>
      </c>
      <c r="Y40" s="128">
        <f>'26'!Z54</f>
        <v>78879821</v>
      </c>
      <c r="Z40" s="128">
        <f>'26'!AA54</f>
        <v>7572492</v>
      </c>
      <c r="AA40" s="128">
        <f>'26'!AB54</f>
        <v>-177618</v>
      </c>
      <c r="AB40" s="128">
        <f>'26'!AC54</f>
        <v>54936056</v>
      </c>
      <c r="AC40" s="128">
        <f>'26'!AD54</f>
        <v>2085477</v>
      </c>
      <c r="AD40" s="128">
        <f>'26'!AE54</f>
        <v>117453477</v>
      </c>
      <c r="AE40" s="128">
        <f>'26'!AF54</f>
        <v>1421587</v>
      </c>
      <c r="AF40" s="128">
        <f>'26'!AG54</f>
        <v>24507504</v>
      </c>
      <c r="AG40" s="128">
        <f>'26'!AH54</f>
        <v>33967920</v>
      </c>
      <c r="AH40" s="128">
        <f>'26'!AI54</f>
        <v>43162518</v>
      </c>
      <c r="AI40" s="128">
        <f>'26'!AJ54</f>
        <v>23179450</v>
      </c>
      <c r="AJ40" s="128">
        <f>'26'!AK54</f>
        <v>0</v>
      </c>
      <c r="AK40" s="128">
        <f>'26'!AL54</f>
        <v>95522723</v>
      </c>
      <c r="AL40" s="128">
        <f>'26'!AM54</f>
        <v>10057674</v>
      </c>
    </row>
    <row r="41" spans="1:38" s="130" customFormat="1" ht="25.5" customHeight="1" x14ac:dyDescent="0.2">
      <c r="A41" s="134">
        <v>27</v>
      </c>
      <c r="B41" s="132" t="s">
        <v>925</v>
      </c>
      <c r="C41" s="128">
        <f>'27'!D54</f>
        <v>327601092</v>
      </c>
      <c r="D41" s="128">
        <f>'27'!E54</f>
        <v>49847785</v>
      </c>
      <c r="E41" s="128">
        <f>'27'!F54</f>
        <v>14155994</v>
      </c>
      <c r="F41" s="128">
        <f>'27'!G54</f>
        <v>10357865</v>
      </c>
      <c r="G41" s="128">
        <f>'27'!H54</f>
        <v>0</v>
      </c>
      <c r="H41" s="128">
        <f>'27'!I54</f>
        <v>85483323</v>
      </c>
      <c r="I41" s="128">
        <f>'27'!J54</f>
        <v>16759849</v>
      </c>
      <c r="J41" s="128">
        <f>'27'!K54</f>
        <v>67769446</v>
      </c>
      <c r="K41" s="128">
        <f>'27'!L54</f>
        <v>0</v>
      </c>
      <c r="L41" s="128">
        <f>'27'!M54</f>
        <v>71963756</v>
      </c>
      <c r="M41" s="128">
        <f>'27'!N54</f>
        <v>33015544</v>
      </c>
      <c r="N41" s="128">
        <f>'27'!O54</f>
        <v>2761389</v>
      </c>
      <c r="O41" s="128">
        <f>'27'!P54</f>
        <v>314753738</v>
      </c>
      <c r="P41" s="128">
        <f>'27'!Q54</f>
        <v>94738870</v>
      </c>
      <c r="Q41" s="128">
        <f>'27'!R54</f>
        <v>49656264</v>
      </c>
      <c r="R41" s="128">
        <f>'27'!S54</f>
        <v>344288</v>
      </c>
      <c r="S41" s="128">
        <f>'27'!T54</f>
        <v>0</v>
      </c>
      <c r="T41" s="128">
        <f>'27'!U54</f>
        <v>0</v>
      </c>
      <c r="U41" s="128">
        <f>'27'!V54</f>
        <v>201923</v>
      </c>
      <c r="V41" s="128">
        <f>'27'!W54</f>
        <v>45974619</v>
      </c>
      <c r="W41" s="128">
        <f>'27'!X54</f>
        <v>18707099</v>
      </c>
      <c r="X41" s="128">
        <f>'27'!Y54</f>
        <v>1467218</v>
      </c>
      <c r="Y41" s="128">
        <f>'27'!Z54</f>
        <v>103238372</v>
      </c>
      <c r="Z41" s="128">
        <f>'27'!AA54</f>
        <v>1179480</v>
      </c>
      <c r="AA41" s="128">
        <f>'27'!AB54</f>
        <v>-754395</v>
      </c>
      <c r="AB41" s="128">
        <f>'27'!AC54</f>
        <v>54771338</v>
      </c>
      <c r="AC41" s="128">
        <f>'27'!AD54</f>
        <v>2501607</v>
      </c>
      <c r="AD41" s="128">
        <f>'27'!AE54</f>
        <v>73679990</v>
      </c>
      <c r="AE41" s="128">
        <f>'27'!AF54</f>
        <v>1133924</v>
      </c>
      <c r="AF41" s="128">
        <f>'27'!AG54</f>
        <v>8738474</v>
      </c>
      <c r="AG41" s="128">
        <f>'27'!AH54</f>
        <v>28525880</v>
      </c>
      <c r="AH41" s="128">
        <f>'27'!AI54</f>
        <v>37828726</v>
      </c>
      <c r="AI41" s="128">
        <f>'27'!AJ54</f>
        <v>15570773</v>
      </c>
      <c r="AJ41" s="128">
        <f>'27'!AK54</f>
        <v>0</v>
      </c>
      <c r="AK41" s="128">
        <f>'27'!AL54</f>
        <v>81983230</v>
      </c>
      <c r="AL41" s="128">
        <f>'27'!AM54</f>
        <v>10019796</v>
      </c>
    </row>
    <row r="42" spans="1:38" s="130" customFormat="1" ht="25.5" customHeight="1" x14ac:dyDescent="0.2">
      <c r="A42" s="134">
        <v>28</v>
      </c>
      <c r="B42" s="132" t="s">
        <v>926</v>
      </c>
      <c r="C42" s="128">
        <f>'28'!D54</f>
        <v>483455341</v>
      </c>
      <c r="D42" s="128">
        <f>'28'!E54</f>
        <v>181726142</v>
      </c>
      <c r="E42" s="128">
        <f>'28'!F54</f>
        <v>40984925</v>
      </c>
      <c r="F42" s="128">
        <f>'28'!G54</f>
        <v>53338700</v>
      </c>
      <c r="G42" s="128">
        <f>'28'!H54</f>
        <v>0</v>
      </c>
      <c r="H42" s="128">
        <f>'28'!I54</f>
        <v>134590450</v>
      </c>
      <c r="I42" s="128">
        <f>'28'!J54</f>
        <v>9878862</v>
      </c>
      <c r="J42" s="128">
        <f>'28'!K54</f>
        <v>60072160</v>
      </c>
      <c r="K42" s="128">
        <f>'28'!L54</f>
        <v>0</v>
      </c>
      <c r="L42" s="128">
        <f>'28'!M54</f>
        <v>36139379</v>
      </c>
      <c r="M42" s="128">
        <f>'28'!N54</f>
        <v>54172611</v>
      </c>
      <c r="N42" s="128">
        <f>'28'!O54</f>
        <v>6875737</v>
      </c>
      <c r="O42" s="128">
        <f>'28'!P54</f>
        <v>458156177</v>
      </c>
      <c r="P42" s="128">
        <f>'28'!Q54</f>
        <v>156142188</v>
      </c>
      <c r="Q42" s="128">
        <f>'28'!R54</f>
        <v>120837654</v>
      </c>
      <c r="R42" s="128">
        <f>'28'!S54</f>
        <v>442515</v>
      </c>
      <c r="S42" s="128">
        <f>'28'!T54</f>
        <v>31000</v>
      </c>
      <c r="T42" s="128">
        <f>'28'!U54</f>
        <v>1011600</v>
      </c>
      <c r="U42" s="128">
        <f>'28'!V54</f>
        <v>470228</v>
      </c>
      <c r="V42" s="128">
        <f>'28'!W54</f>
        <v>77384674</v>
      </c>
      <c r="W42" s="128">
        <f>'28'!X54</f>
        <v>18923681</v>
      </c>
      <c r="X42" s="128">
        <f>'28'!Y54</f>
        <v>6518487</v>
      </c>
      <c r="Y42" s="128">
        <f>'28'!Z54</f>
        <v>73587807</v>
      </c>
      <c r="Z42" s="128">
        <f>'28'!AA54</f>
        <v>3592416</v>
      </c>
      <c r="AA42" s="128">
        <f>'28'!AB54</f>
        <v>-786073</v>
      </c>
      <c r="AB42" s="128">
        <f>'28'!AC54</f>
        <v>86165427</v>
      </c>
      <c r="AC42" s="128">
        <f>'28'!AD54</f>
        <v>5819834</v>
      </c>
      <c r="AD42" s="128">
        <f>'28'!AE54</f>
        <v>131370212</v>
      </c>
      <c r="AE42" s="128">
        <f>'28'!AF54</f>
        <v>2629240</v>
      </c>
      <c r="AF42" s="128">
        <f>'28'!AG54</f>
        <v>32059193</v>
      </c>
      <c r="AG42" s="128">
        <f>'28'!AH54</f>
        <v>29191748</v>
      </c>
      <c r="AH42" s="128">
        <f>'28'!AI54</f>
        <v>38964389</v>
      </c>
      <c r="AI42" s="128">
        <f>'28'!AJ54</f>
        <v>28772474</v>
      </c>
      <c r="AJ42" s="128">
        <f>'28'!AK54</f>
        <v>0</v>
      </c>
      <c r="AK42" s="128">
        <f>'28'!AL54</f>
        <v>96786726</v>
      </c>
      <c r="AL42" s="128">
        <f>'28'!AM54</f>
        <v>6396934</v>
      </c>
    </row>
    <row r="43" spans="1:38" s="130" customFormat="1" ht="25.5" customHeight="1" x14ac:dyDescent="0.2">
      <c r="A43" s="134">
        <v>29</v>
      </c>
      <c r="B43" s="132" t="s">
        <v>927</v>
      </c>
      <c r="C43" s="128">
        <f>'29'!D54</f>
        <v>551194447</v>
      </c>
      <c r="D43" s="128">
        <f>'29'!E54</f>
        <v>124523978</v>
      </c>
      <c r="E43" s="128">
        <f>'29'!F54</f>
        <v>36208405</v>
      </c>
      <c r="F43" s="128">
        <f>'29'!G54</f>
        <v>25160299</v>
      </c>
      <c r="G43" s="128">
        <f>'29'!H54</f>
        <v>0</v>
      </c>
      <c r="H43" s="128">
        <f>'29'!I54</f>
        <v>170516575</v>
      </c>
      <c r="I43" s="128">
        <f>'29'!J54</f>
        <v>14574232</v>
      </c>
      <c r="J43" s="128">
        <f>'29'!K54</f>
        <v>85944040</v>
      </c>
      <c r="K43" s="128">
        <f>'29'!L54</f>
        <v>0</v>
      </c>
      <c r="L43" s="128">
        <f>'29'!M54</f>
        <v>116223907</v>
      </c>
      <c r="M43" s="128">
        <f>'29'!N54</f>
        <v>31649327</v>
      </c>
      <c r="N43" s="128">
        <f>'29'!O54</f>
        <v>7762388</v>
      </c>
      <c r="O43" s="128">
        <f>'29'!P54</f>
        <v>527051972</v>
      </c>
      <c r="P43" s="128">
        <f>'29'!Q54</f>
        <v>189554654</v>
      </c>
      <c r="Q43" s="128">
        <f>'29'!R54</f>
        <v>92642903</v>
      </c>
      <c r="R43" s="128">
        <f>'29'!S54</f>
        <v>761281</v>
      </c>
      <c r="S43" s="128">
        <f>'29'!T54</f>
        <v>0</v>
      </c>
      <c r="T43" s="128">
        <f>'29'!U54</f>
        <v>3180758</v>
      </c>
      <c r="U43" s="128">
        <f>'29'!V54</f>
        <v>1999826</v>
      </c>
      <c r="V43" s="128">
        <f>'29'!W54</f>
        <v>39173160</v>
      </c>
      <c r="W43" s="128">
        <f>'29'!X54</f>
        <v>24749568</v>
      </c>
      <c r="X43" s="128">
        <f>'29'!Y54</f>
        <v>5621221</v>
      </c>
      <c r="Y43" s="128">
        <f>'29'!Z54</f>
        <v>159515282</v>
      </c>
      <c r="Z43" s="128">
        <f>'29'!AA54</f>
        <v>11984098</v>
      </c>
      <c r="AA43" s="128">
        <f>'29'!AB54</f>
        <v>-2130779</v>
      </c>
      <c r="AB43" s="128">
        <f>'29'!AC54</f>
        <v>81594389</v>
      </c>
      <c r="AC43" s="128">
        <f>'29'!AD54</f>
        <v>8578122</v>
      </c>
      <c r="AD43" s="128">
        <f>'29'!AE54</f>
        <v>169105929</v>
      </c>
      <c r="AE43" s="128">
        <f>'29'!AF54</f>
        <v>4941093</v>
      </c>
      <c r="AF43" s="128">
        <f>'29'!AG54</f>
        <v>21840133</v>
      </c>
      <c r="AG43" s="128">
        <f>'29'!AH54</f>
        <v>33196613</v>
      </c>
      <c r="AH43" s="128">
        <f>'29'!AI54</f>
        <v>47289882</v>
      </c>
      <c r="AI43" s="128">
        <f>'29'!AJ54</f>
        <v>20701979</v>
      </c>
      <c r="AJ43" s="128">
        <f>'29'!AK54</f>
        <v>203668</v>
      </c>
      <c r="AK43" s="128">
        <f>'29'!AL54</f>
        <v>134912531</v>
      </c>
      <c r="AL43" s="128">
        <f>'29'!AM54</f>
        <v>4687633</v>
      </c>
    </row>
    <row r="44" spans="1:38" s="130" customFormat="1" ht="25.5" customHeight="1" x14ac:dyDescent="0.2">
      <c r="A44" s="134">
        <v>30</v>
      </c>
      <c r="B44" s="132" t="s">
        <v>928</v>
      </c>
      <c r="C44" s="128">
        <f>'30'!D54</f>
        <v>481414635</v>
      </c>
      <c r="D44" s="128">
        <f>'30'!E54</f>
        <v>89717144</v>
      </c>
      <c r="E44" s="128">
        <f>'30'!F54</f>
        <v>20851340</v>
      </c>
      <c r="F44" s="128">
        <f>'30'!G54</f>
        <v>26727683</v>
      </c>
      <c r="G44" s="128">
        <f>'30'!H54</f>
        <v>0</v>
      </c>
      <c r="H44" s="128">
        <f>'30'!I54</f>
        <v>140099005</v>
      </c>
      <c r="I44" s="128">
        <f>'30'!J54</f>
        <v>4998998</v>
      </c>
      <c r="J44" s="128">
        <f>'30'!K54</f>
        <v>107022070</v>
      </c>
      <c r="K44" s="128">
        <f>'30'!L54</f>
        <v>0</v>
      </c>
      <c r="L44" s="128">
        <f>'30'!M54</f>
        <v>70396238</v>
      </c>
      <c r="M44" s="128">
        <f>'30'!N54</f>
        <v>54886476</v>
      </c>
      <c r="N44" s="128">
        <f>'30'!O54</f>
        <v>14294704</v>
      </c>
      <c r="O44" s="128">
        <f>'30'!P54</f>
        <v>445119524</v>
      </c>
      <c r="P44" s="128">
        <f>'30'!Q54</f>
        <v>170585865</v>
      </c>
      <c r="Q44" s="128">
        <f>'30'!R54</f>
        <v>78538503</v>
      </c>
      <c r="R44" s="128">
        <f>'30'!S54</f>
        <v>190809</v>
      </c>
      <c r="S44" s="128">
        <f>'30'!T54</f>
        <v>0</v>
      </c>
      <c r="T44" s="128">
        <f>'30'!U54</f>
        <v>154065</v>
      </c>
      <c r="U44" s="128">
        <f>'30'!V54</f>
        <v>838000</v>
      </c>
      <c r="V44" s="128">
        <f>'30'!W54</f>
        <v>44083957</v>
      </c>
      <c r="W44" s="128">
        <f>'30'!X54</f>
        <v>24015768</v>
      </c>
      <c r="X44" s="128">
        <f>'30'!Y54</f>
        <v>848756</v>
      </c>
      <c r="Y44" s="128">
        <f>'30'!Z54</f>
        <v>124688531</v>
      </c>
      <c r="Z44" s="128">
        <f>'30'!AA54</f>
        <v>1705167</v>
      </c>
      <c r="AA44" s="128">
        <f>'30'!AB54</f>
        <v>-529897</v>
      </c>
      <c r="AB44" s="128">
        <f>'30'!AC54</f>
        <v>89120519</v>
      </c>
      <c r="AC44" s="128">
        <f>'30'!AD54</f>
        <v>5122199</v>
      </c>
      <c r="AD44" s="128">
        <f>'30'!AE54</f>
        <v>128525074</v>
      </c>
      <c r="AE44" s="128">
        <f>'30'!AF54</f>
        <v>2465642</v>
      </c>
      <c r="AF44" s="128">
        <f>'30'!AG54</f>
        <v>29991724</v>
      </c>
      <c r="AG44" s="128">
        <f>'30'!AH54</f>
        <v>37090871</v>
      </c>
      <c r="AH44" s="128">
        <f>'30'!AI54</f>
        <v>44138615</v>
      </c>
      <c r="AI44" s="128">
        <f>'30'!AJ54</f>
        <v>23941776</v>
      </c>
      <c r="AJ44" s="128">
        <f>'30'!AK54</f>
        <v>50000</v>
      </c>
      <c r="AK44" s="128">
        <f>'30'!AL54</f>
        <v>75457150</v>
      </c>
      <c r="AL44" s="128">
        <f>'30'!AM54</f>
        <v>9215954</v>
      </c>
    </row>
    <row r="45" spans="1:38" s="130" customFormat="1" ht="25.5" customHeight="1" x14ac:dyDescent="0.2">
      <c r="A45" s="134">
        <v>31</v>
      </c>
      <c r="B45" s="132" t="s">
        <v>929</v>
      </c>
      <c r="C45" s="128">
        <f>'31'!D54</f>
        <v>632866155</v>
      </c>
      <c r="D45" s="128">
        <f>'31'!E54</f>
        <v>304500846</v>
      </c>
      <c r="E45" s="128">
        <f>'31'!F54</f>
        <v>86350787</v>
      </c>
      <c r="F45" s="128">
        <f>'31'!G54</f>
        <v>85571153</v>
      </c>
      <c r="G45" s="128">
        <f>'31'!H54</f>
        <v>0</v>
      </c>
      <c r="H45" s="128">
        <f>'31'!I54</f>
        <v>189382740</v>
      </c>
      <c r="I45" s="128">
        <f>'31'!J54</f>
        <v>9960631</v>
      </c>
      <c r="J45" s="128">
        <f>'31'!K54</f>
        <v>57206170</v>
      </c>
      <c r="K45" s="128">
        <f>'31'!L54</f>
        <v>0</v>
      </c>
      <c r="L45" s="128">
        <f>'31'!M54</f>
        <v>39935033</v>
      </c>
      <c r="M45" s="128">
        <f>'31'!N54</f>
        <v>22729129</v>
      </c>
      <c r="N45" s="128">
        <f>'31'!O54</f>
        <v>9151606</v>
      </c>
      <c r="O45" s="128">
        <f>'31'!P54</f>
        <v>573708729</v>
      </c>
      <c r="P45" s="128">
        <f>'31'!Q54</f>
        <v>218919447</v>
      </c>
      <c r="Q45" s="128">
        <f>'31'!R54</f>
        <v>118540600</v>
      </c>
      <c r="R45" s="128">
        <f>'31'!S54</f>
        <v>1526726</v>
      </c>
      <c r="S45" s="128">
        <f>'31'!T54</f>
        <v>10949</v>
      </c>
      <c r="T45" s="128">
        <f>'31'!U54</f>
        <v>2083000</v>
      </c>
      <c r="U45" s="128">
        <f>'31'!V54</f>
        <v>2054223</v>
      </c>
      <c r="V45" s="128">
        <f>'31'!W54</f>
        <v>32279653</v>
      </c>
      <c r="W45" s="128">
        <f>'31'!X54</f>
        <v>25073336</v>
      </c>
      <c r="X45" s="128">
        <f>'31'!Y54</f>
        <v>6936195</v>
      </c>
      <c r="Y45" s="128">
        <f>'31'!Z54</f>
        <v>156130940</v>
      </c>
      <c r="Z45" s="128">
        <f>'31'!AA54</f>
        <v>12697995</v>
      </c>
      <c r="AA45" s="128">
        <f>'31'!AB54</f>
        <v>-2544335</v>
      </c>
      <c r="AB45" s="128">
        <f>'31'!AC54</f>
        <v>111447135</v>
      </c>
      <c r="AC45" s="128">
        <f>'31'!AD54</f>
        <v>11112058</v>
      </c>
      <c r="AD45" s="128">
        <f>'31'!AE54</f>
        <v>184427108</v>
      </c>
      <c r="AE45" s="128">
        <f>'31'!AF54</f>
        <v>3538449</v>
      </c>
      <c r="AF45" s="128">
        <f>'31'!AG54</f>
        <v>29256007</v>
      </c>
      <c r="AG45" s="128">
        <f>'31'!AH54</f>
        <v>50711326</v>
      </c>
      <c r="AH45" s="128">
        <f>'31'!AI54</f>
        <v>65474382</v>
      </c>
      <c r="AI45" s="128">
        <f>'31'!AJ54</f>
        <v>15514933</v>
      </c>
      <c r="AJ45" s="128">
        <f>'31'!AK54</f>
        <v>0</v>
      </c>
      <c r="AK45" s="128">
        <f>'31'!AL54</f>
        <v>97563154</v>
      </c>
      <c r="AL45" s="128">
        <f>'31'!AM54</f>
        <v>4664177</v>
      </c>
    </row>
    <row r="46" spans="1:38" s="130" customFormat="1" ht="25.5" customHeight="1" x14ac:dyDescent="0.2">
      <c r="A46" s="134">
        <v>32</v>
      </c>
      <c r="B46" s="132" t="s">
        <v>930</v>
      </c>
      <c r="C46" s="128">
        <f>'32'!D54</f>
        <v>359801458</v>
      </c>
      <c r="D46" s="128">
        <f>'32'!E54</f>
        <v>98685810</v>
      </c>
      <c r="E46" s="128">
        <f>'32'!F54</f>
        <v>24590618</v>
      </c>
      <c r="F46" s="128">
        <f>'32'!G54</f>
        <v>24572053</v>
      </c>
      <c r="G46" s="128">
        <f>'32'!H54</f>
        <v>0</v>
      </c>
      <c r="H46" s="128">
        <f>'32'!I54</f>
        <v>111057398</v>
      </c>
      <c r="I46" s="128">
        <f>'32'!J54</f>
        <v>0</v>
      </c>
      <c r="J46" s="128">
        <f>'32'!K54</f>
        <v>44268380</v>
      </c>
      <c r="K46" s="128">
        <f>'32'!L54</f>
        <v>0</v>
      </c>
      <c r="L46" s="128">
        <f>'32'!M54</f>
        <v>51199243</v>
      </c>
      <c r="M46" s="128">
        <f>'32'!N54</f>
        <v>49974076</v>
      </c>
      <c r="N46" s="128">
        <f>'32'!O54</f>
        <v>4616551</v>
      </c>
      <c r="O46" s="128">
        <f>'32'!P54</f>
        <v>342121372</v>
      </c>
      <c r="P46" s="128">
        <f>'32'!Q54</f>
        <v>134626113</v>
      </c>
      <c r="Q46" s="128">
        <f>'32'!R54</f>
        <v>62743493</v>
      </c>
      <c r="R46" s="128">
        <f>'32'!S54</f>
        <v>643683</v>
      </c>
      <c r="S46" s="128">
        <f>'32'!T54</f>
        <v>0</v>
      </c>
      <c r="T46" s="128">
        <f>'32'!U54</f>
        <v>2070018</v>
      </c>
      <c r="U46" s="128">
        <f>'32'!V54</f>
        <v>118814</v>
      </c>
      <c r="V46" s="128">
        <f>'32'!W54</f>
        <v>35164523</v>
      </c>
      <c r="W46" s="128">
        <f>'32'!X54</f>
        <v>11636220</v>
      </c>
      <c r="X46" s="128">
        <f>'32'!Y54</f>
        <v>4013036</v>
      </c>
      <c r="Y46" s="128">
        <f>'32'!Z54</f>
        <v>73212237</v>
      </c>
      <c r="Z46" s="128">
        <f>'32'!AA54</f>
        <v>18292585</v>
      </c>
      <c r="AA46" s="128">
        <f>'32'!AB54</f>
        <v>-399350</v>
      </c>
      <c r="AB46" s="128">
        <f>'32'!AC54</f>
        <v>55626043</v>
      </c>
      <c r="AC46" s="128">
        <f>'32'!AD54</f>
        <v>4469595</v>
      </c>
      <c r="AD46" s="128">
        <f>'32'!AE54</f>
        <v>98999538</v>
      </c>
      <c r="AE46" s="128">
        <f>'32'!AF54</f>
        <v>403820</v>
      </c>
      <c r="AF46" s="128">
        <f>'32'!AG54</f>
        <v>21171002</v>
      </c>
      <c r="AG46" s="128">
        <f>'32'!AH54</f>
        <v>31159243</v>
      </c>
      <c r="AH46" s="128">
        <f>'32'!AI54</f>
        <v>28936617</v>
      </c>
      <c r="AI46" s="128">
        <f>'32'!AJ54</f>
        <v>22734496</v>
      </c>
      <c r="AJ46" s="128">
        <f>'32'!AK54</f>
        <v>0</v>
      </c>
      <c r="AK46" s="128">
        <f>'32'!AL54</f>
        <v>65182350</v>
      </c>
      <c r="AL46" s="128">
        <f>'32'!AM54</f>
        <v>13438668</v>
      </c>
    </row>
    <row r="47" spans="1:38" s="130" customFormat="1" ht="25.5" customHeight="1" x14ac:dyDescent="0.2">
      <c r="A47" s="134">
        <v>33</v>
      </c>
      <c r="B47" s="132" t="s">
        <v>931</v>
      </c>
      <c r="C47" s="128">
        <f>'33'!D54</f>
        <v>373032470</v>
      </c>
      <c r="D47" s="128">
        <f>'33'!E54</f>
        <v>65158782</v>
      </c>
      <c r="E47" s="128">
        <f>'33'!F54</f>
        <v>15980076</v>
      </c>
      <c r="F47" s="128">
        <f>'33'!G54</f>
        <v>13261296</v>
      </c>
      <c r="G47" s="128">
        <f>'33'!H54</f>
        <v>0</v>
      </c>
      <c r="H47" s="128">
        <f>'33'!I54</f>
        <v>96881031</v>
      </c>
      <c r="I47" s="128">
        <f>'33'!J54</f>
        <v>10241905</v>
      </c>
      <c r="J47" s="128">
        <f>'33'!K54</f>
        <v>51165162</v>
      </c>
      <c r="K47" s="128">
        <f>'33'!L54</f>
        <v>0</v>
      </c>
      <c r="L47" s="128">
        <f>'33'!M54</f>
        <v>60874444</v>
      </c>
      <c r="M47" s="128">
        <f>'33'!N54</f>
        <v>81095759</v>
      </c>
      <c r="N47" s="128">
        <f>'33'!O54</f>
        <v>7615387</v>
      </c>
      <c r="O47" s="128">
        <f>'33'!P54</f>
        <v>329876556</v>
      </c>
      <c r="P47" s="128">
        <f>'33'!Q54</f>
        <v>110671341</v>
      </c>
      <c r="Q47" s="128">
        <f>'33'!R54</f>
        <v>49023149</v>
      </c>
      <c r="R47" s="128">
        <f>'33'!S54</f>
        <v>448924</v>
      </c>
      <c r="S47" s="128">
        <f>'33'!T54</f>
        <v>0</v>
      </c>
      <c r="T47" s="128">
        <f>'33'!U54</f>
        <v>12000</v>
      </c>
      <c r="U47" s="128">
        <f>'33'!V54</f>
        <v>1269174</v>
      </c>
      <c r="V47" s="128">
        <f>'33'!W54</f>
        <v>77447133</v>
      </c>
      <c r="W47" s="128">
        <f>'33'!X54</f>
        <v>10364854</v>
      </c>
      <c r="X47" s="128">
        <f>'33'!Y54</f>
        <v>1641629</v>
      </c>
      <c r="Y47" s="128">
        <f>'33'!Z54</f>
        <v>70199475</v>
      </c>
      <c r="Z47" s="128">
        <f>'33'!AA54</f>
        <v>9985820</v>
      </c>
      <c r="AA47" s="128">
        <f>'33'!AB54</f>
        <v>-1186943</v>
      </c>
      <c r="AB47" s="128">
        <f>'33'!AC54</f>
        <v>44316063</v>
      </c>
      <c r="AC47" s="128">
        <f>'33'!AD54</f>
        <v>2185179</v>
      </c>
      <c r="AD47" s="128">
        <f>'33'!AE54</f>
        <v>99711907</v>
      </c>
      <c r="AE47" s="128">
        <f>'33'!AF54</f>
        <v>2642410</v>
      </c>
      <c r="AF47" s="128">
        <f>'33'!AG54</f>
        <v>12955743</v>
      </c>
      <c r="AG47" s="128">
        <f>'33'!AH54</f>
        <v>26520342</v>
      </c>
      <c r="AH47" s="128">
        <f>'33'!AI54</f>
        <v>25124483</v>
      </c>
      <c r="AI47" s="128">
        <f>'33'!AJ54</f>
        <v>10273783</v>
      </c>
      <c r="AJ47" s="128">
        <f>'33'!AK54</f>
        <v>0</v>
      </c>
      <c r="AK47" s="128">
        <f>'33'!AL54</f>
        <v>69704240</v>
      </c>
      <c r="AL47" s="128">
        <f>'33'!AM54</f>
        <v>36442406</v>
      </c>
    </row>
    <row r="48" spans="1:38" s="130" customFormat="1" ht="25.5" customHeight="1" x14ac:dyDescent="0.2">
      <c r="A48" s="134">
        <v>34</v>
      </c>
      <c r="B48" s="132" t="s">
        <v>932</v>
      </c>
      <c r="C48" s="128">
        <f>'34'!D54</f>
        <v>329925989</v>
      </c>
      <c r="D48" s="128">
        <f>'34'!E54</f>
        <v>140920214</v>
      </c>
      <c r="E48" s="128">
        <f>'34'!F54</f>
        <v>25790505</v>
      </c>
      <c r="F48" s="128">
        <f>'34'!G54</f>
        <v>51442313</v>
      </c>
      <c r="G48" s="128">
        <f>'34'!H54</f>
        <v>0</v>
      </c>
      <c r="H48" s="128">
        <f>'34'!I54</f>
        <v>73834129</v>
      </c>
      <c r="I48" s="128">
        <f>'34'!J54</f>
        <v>0</v>
      </c>
      <c r="J48" s="128">
        <f>'34'!K54</f>
        <v>25769290</v>
      </c>
      <c r="K48" s="128">
        <f>'34'!L54</f>
        <v>0</v>
      </c>
      <c r="L48" s="128">
        <f>'34'!M54</f>
        <v>41475457</v>
      </c>
      <c r="M48" s="128">
        <f>'34'!N54</f>
        <v>45076397</v>
      </c>
      <c r="N48" s="128">
        <f>'34'!O54</f>
        <v>2850502</v>
      </c>
      <c r="O48" s="128">
        <f>'34'!P54</f>
        <v>312208407</v>
      </c>
      <c r="P48" s="128">
        <f>'34'!Q54</f>
        <v>83511298</v>
      </c>
      <c r="Q48" s="128">
        <f>'34'!R54</f>
        <v>67214277</v>
      </c>
      <c r="R48" s="128">
        <f>'34'!S54</f>
        <v>946213</v>
      </c>
      <c r="S48" s="128">
        <f>'34'!T54</f>
        <v>64065</v>
      </c>
      <c r="T48" s="128">
        <f>'34'!U54</f>
        <v>0</v>
      </c>
      <c r="U48" s="128">
        <f>'34'!V54</f>
        <v>586171</v>
      </c>
      <c r="V48" s="128">
        <f>'34'!W54</f>
        <v>59759374</v>
      </c>
      <c r="W48" s="128">
        <f>'34'!X54</f>
        <v>9428165</v>
      </c>
      <c r="X48" s="128">
        <f>'34'!Y54</f>
        <v>2691751</v>
      </c>
      <c r="Y48" s="128">
        <f>'34'!Z54</f>
        <v>84390469</v>
      </c>
      <c r="Z48" s="128">
        <f>'34'!AA54</f>
        <v>4164980</v>
      </c>
      <c r="AA48" s="128">
        <f>'34'!AB54</f>
        <v>-548356</v>
      </c>
      <c r="AB48" s="128">
        <f>'34'!AC54</f>
        <v>38805453</v>
      </c>
      <c r="AC48" s="128">
        <f>'34'!AD54</f>
        <v>5293718</v>
      </c>
      <c r="AD48" s="128">
        <f>'34'!AE54</f>
        <v>71649201</v>
      </c>
      <c r="AE48" s="128">
        <f>'34'!AF54</f>
        <v>2301459</v>
      </c>
      <c r="AF48" s="128">
        <f>'34'!AG54</f>
        <v>22098285</v>
      </c>
      <c r="AG48" s="128">
        <f>'34'!AH54</f>
        <v>14377857</v>
      </c>
      <c r="AH48" s="128">
        <f>'34'!AI54</f>
        <v>44868622</v>
      </c>
      <c r="AI48" s="128">
        <f>'34'!AJ54</f>
        <v>34038121</v>
      </c>
      <c r="AJ48" s="128">
        <f>'34'!AK54</f>
        <v>0</v>
      </c>
      <c r="AK48" s="128">
        <f>'34'!AL54</f>
        <v>63233167</v>
      </c>
      <c r="AL48" s="128">
        <f>'34'!AM54</f>
        <v>15542524</v>
      </c>
    </row>
    <row r="49" spans="1:38" s="130" customFormat="1" ht="25.5" customHeight="1" x14ac:dyDescent="0.2">
      <c r="A49" s="134">
        <v>35</v>
      </c>
      <c r="B49" s="132" t="s">
        <v>933</v>
      </c>
      <c r="C49" s="128">
        <f>'35'!D54</f>
        <v>641632635</v>
      </c>
      <c r="D49" s="128">
        <f>'35'!E54</f>
        <v>166508120</v>
      </c>
      <c r="E49" s="128">
        <f>'35'!F54</f>
        <v>39101071</v>
      </c>
      <c r="F49" s="128">
        <f>'35'!G54</f>
        <v>27764618</v>
      </c>
      <c r="G49" s="128">
        <f>'35'!H54</f>
        <v>0</v>
      </c>
      <c r="H49" s="128">
        <f>'35'!I54</f>
        <v>225789398</v>
      </c>
      <c r="I49" s="128">
        <f>'35'!J54</f>
        <v>0</v>
      </c>
      <c r="J49" s="128">
        <f>'35'!K54</f>
        <v>92630834</v>
      </c>
      <c r="K49" s="128">
        <f>'35'!L54</f>
        <v>0</v>
      </c>
      <c r="L49" s="128">
        <f>'35'!M54</f>
        <v>88740831</v>
      </c>
      <c r="M49" s="128">
        <f>'35'!N54</f>
        <v>60190141</v>
      </c>
      <c r="N49" s="128">
        <f>'35'!O54</f>
        <v>7773311</v>
      </c>
      <c r="O49" s="128">
        <f>'35'!P54</f>
        <v>615082174</v>
      </c>
      <c r="P49" s="128">
        <f>'35'!Q54</f>
        <v>247108908</v>
      </c>
      <c r="Q49" s="128">
        <f>'35'!R54</f>
        <v>113292970</v>
      </c>
      <c r="R49" s="128">
        <f>'35'!S54</f>
        <v>2882628</v>
      </c>
      <c r="S49" s="128">
        <f>'35'!T54</f>
        <v>40000</v>
      </c>
      <c r="T49" s="128">
        <f>'35'!U54</f>
        <v>1645997</v>
      </c>
      <c r="U49" s="128">
        <f>'35'!V54</f>
        <v>4088313</v>
      </c>
      <c r="V49" s="128">
        <f>'35'!W54</f>
        <v>59321098</v>
      </c>
      <c r="W49" s="128">
        <f>'35'!X54</f>
        <v>22404361</v>
      </c>
      <c r="X49" s="128">
        <f>'35'!Y54</f>
        <v>3402539</v>
      </c>
      <c r="Y49" s="128">
        <f>'35'!Z54</f>
        <v>138629375</v>
      </c>
      <c r="Z49" s="128">
        <f>'35'!AA54</f>
        <v>22812236</v>
      </c>
      <c r="AA49" s="128">
        <f>'35'!AB54</f>
        <v>-546251</v>
      </c>
      <c r="AB49" s="128">
        <f>'35'!AC54</f>
        <v>91836357</v>
      </c>
      <c r="AC49" s="128">
        <f>'35'!AD54</f>
        <v>4292432</v>
      </c>
      <c r="AD49" s="128">
        <f>'35'!AE54</f>
        <v>223066564</v>
      </c>
      <c r="AE49" s="128">
        <f>'35'!AF54</f>
        <v>2658169</v>
      </c>
      <c r="AF49" s="128">
        <f>'35'!AG54</f>
        <v>23645862</v>
      </c>
      <c r="AG49" s="128">
        <f>'35'!AH54</f>
        <v>44163967</v>
      </c>
      <c r="AH49" s="128">
        <f>'35'!AI54</f>
        <v>47223210</v>
      </c>
      <c r="AI49" s="128">
        <f>'35'!AJ54</f>
        <v>28751992</v>
      </c>
      <c r="AJ49" s="128">
        <f>'35'!AK54</f>
        <v>32833</v>
      </c>
      <c r="AK49" s="128">
        <f>'35'!AL54</f>
        <v>141726874</v>
      </c>
      <c r="AL49" s="128">
        <f>'35'!AM54</f>
        <v>7683914</v>
      </c>
    </row>
    <row r="50" spans="1:38" s="130" customFormat="1" ht="25.5" customHeight="1" x14ac:dyDescent="0.2">
      <c r="A50" s="134">
        <v>36</v>
      </c>
      <c r="B50" s="132" t="s">
        <v>934</v>
      </c>
      <c r="C50" s="128">
        <f>'36'!D54</f>
        <v>357259158</v>
      </c>
      <c r="D50" s="128">
        <f>'36'!E54</f>
        <v>87354960</v>
      </c>
      <c r="E50" s="128">
        <f>'36'!F54</f>
        <v>24124449</v>
      </c>
      <c r="F50" s="128">
        <f>'36'!G54</f>
        <v>18157835</v>
      </c>
      <c r="G50" s="128">
        <f>'36'!H54</f>
        <v>0</v>
      </c>
      <c r="H50" s="128">
        <f>'36'!I54</f>
        <v>113932354</v>
      </c>
      <c r="I50" s="128">
        <f>'36'!J54</f>
        <v>0</v>
      </c>
      <c r="J50" s="128">
        <f>'36'!K54</f>
        <v>88131630</v>
      </c>
      <c r="K50" s="128">
        <f>'36'!L54</f>
        <v>0</v>
      </c>
      <c r="L50" s="128">
        <f>'36'!M54</f>
        <v>31020022</v>
      </c>
      <c r="M50" s="128">
        <f>'36'!N54</f>
        <v>30723251</v>
      </c>
      <c r="N50" s="128">
        <f>'36'!O54</f>
        <v>6096941</v>
      </c>
      <c r="O50" s="128">
        <f>'36'!P54</f>
        <v>341349488</v>
      </c>
      <c r="P50" s="128">
        <f>'36'!Q54</f>
        <v>148157455</v>
      </c>
      <c r="Q50" s="128">
        <f>'36'!R54</f>
        <v>71950843</v>
      </c>
      <c r="R50" s="128">
        <f>'36'!S54</f>
        <v>296798</v>
      </c>
      <c r="S50" s="128">
        <f>'36'!T54</f>
        <v>0</v>
      </c>
      <c r="T50" s="128">
        <f>'36'!U54</f>
        <v>298000</v>
      </c>
      <c r="U50" s="128">
        <f>'36'!V54</f>
        <v>368687</v>
      </c>
      <c r="V50" s="128">
        <f>'36'!W54</f>
        <v>25177716</v>
      </c>
      <c r="W50" s="128">
        <f>'36'!X54</f>
        <v>19168159</v>
      </c>
      <c r="X50" s="128">
        <f>'36'!Y54</f>
        <v>3269763</v>
      </c>
      <c r="Y50" s="128">
        <f>'36'!Z54</f>
        <v>66807999</v>
      </c>
      <c r="Z50" s="128">
        <f>'36'!AA54</f>
        <v>6219174</v>
      </c>
      <c r="AA50" s="128">
        <f>'36'!AB54</f>
        <v>-365106</v>
      </c>
      <c r="AB50" s="128">
        <f>'36'!AC54</f>
        <v>82248283</v>
      </c>
      <c r="AC50" s="128">
        <f>'36'!AD54</f>
        <v>6092378</v>
      </c>
      <c r="AD50" s="128">
        <f>'36'!AE54</f>
        <v>99865667</v>
      </c>
      <c r="AE50" s="128">
        <f>'36'!AF54</f>
        <v>879794</v>
      </c>
      <c r="AF50" s="128">
        <f>'36'!AG54</f>
        <v>12100112</v>
      </c>
      <c r="AG50" s="128">
        <f>'36'!AH54</f>
        <v>33134290</v>
      </c>
      <c r="AH50" s="128">
        <f>'36'!AI54</f>
        <v>33637304</v>
      </c>
      <c r="AI50" s="128">
        <f>'36'!AJ54</f>
        <v>19810229</v>
      </c>
      <c r="AJ50" s="128">
        <f>'36'!AK54</f>
        <v>0</v>
      </c>
      <c r="AK50" s="128">
        <f>'36'!AL54</f>
        <v>46872117</v>
      </c>
      <c r="AL50" s="128">
        <f>'36'!AM54</f>
        <v>6709314</v>
      </c>
    </row>
    <row r="51" spans="1:38" s="130" customFormat="1" ht="25.5" customHeight="1" x14ac:dyDescent="0.2">
      <c r="A51" s="134">
        <v>37</v>
      </c>
      <c r="B51" s="132" t="s">
        <v>935</v>
      </c>
      <c r="C51" s="128">
        <f>'37'!D54</f>
        <v>698795574</v>
      </c>
      <c r="D51" s="128">
        <f>'37'!E54</f>
        <v>332762805</v>
      </c>
      <c r="E51" s="128">
        <f>'37'!F54</f>
        <v>77385029</v>
      </c>
      <c r="F51" s="128">
        <f>'37'!G54</f>
        <v>107801964</v>
      </c>
      <c r="G51" s="128">
        <f>'37'!H54</f>
        <v>0</v>
      </c>
      <c r="H51" s="128">
        <f>'37'!I54</f>
        <v>140241773</v>
      </c>
      <c r="I51" s="128">
        <f>'37'!J54</f>
        <v>10818704</v>
      </c>
      <c r="J51" s="128">
        <f>'37'!K54</f>
        <v>56866167</v>
      </c>
      <c r="K51" s="128">
        <f>'37'!L54</f>
        <v>0</v>
      </c>
      <c r="L51" s="128">
        <f>'37'!M54</f>
        <v>102059564</v>
      </c>
      <c r="M51" s="128">
        <f>'37'!N54</f>
        <v>52887127</v>
      </c>
      <c r="N51" s="128">
        <f>'37'!O54</f>
        <v>3159434</v>
      </c>
      <c r="O51" s="128">
        <f>'37'!P54</f>
        <v>673308228</v>
      </c>
      <c r="P51" s="128">
        <f>'37'!Q54</f>
        <v>167395805</v>
      </c>
      <c r="Q51" s="128">
        <f>'37'!R54</f>
        <v>170330812</v>
      </c>
      <c r="R51" s="128">
        <f>'37'!S54</f>
        <v>1326230</v>
      </c>
      <c r="S51" s="128">
        <f>'37'!T54</f>
        <v>1261388</v>
      </c>
      <c r="T51" s="128">
        <f>'37'!U54</f>
        <v>617324</v>
      </c>
      <c r="U51" s="128">
        <f>'37'!V54</f>
        <v>215311</v>
      </c>
      <c r="V51" s="128">
        <f>'37'!W54</f>
        <v>84831008</v>
      </c>
      <c r="W51" s="128">
        <f>'37'!X54</f>
        <v>14179045</v>
      </c>
      <c r="X51" s="128">
        <f>'37'!Y54</f>
        <v>3836010</v>
      </c>
      <c r="Y51" s="128">
        <f>'37'!Z54</f>
        <v>221269955</v>
      </c>
      <c r="Z51" s="128">
        <f>'37'!AA54</f>
        <v>8957981</v>
      </c>
      <c r="AA51" s="128">
        <f>'37'!AB54</f>
        <v>-912641</v>
      </c>
      <c r="AB51" s="128">
        <f>'37'!AC54</f>
        <v>109220379</v>
      </c>
      <c r="AC51" s="128">
        <f>'37'!AD54</f>
        <v>7389296</v>
      </c>
      <c r="AD51" s="128">
        <f>'37'!AE54</f>
        <v>138751827</v>
      </c>
      <c r="AE51" s="128">
        <f>'37'!AF54</f>
        <v>622788</v>
      </c>
      <c r="AF51" s="128">
        <f>'37'!AG54</f>
        <v>55705170</v>
      </c>
      <c r="AG51" s="128">
        <f>'37'!AH54</f>
        <v>31839843</v>
      </c>
      <c r="AH51" s="128">
        <f>'37'!AI54</f>
        <v>94212097</v>
      </c>
      <c r="AI51" s="128">
        <f>'37'!AJ54</f>
        <v>40946138</v>
      </c>
      <c r="AJ51" s="128">
        <f>'37'!AK54</f>
        <v>0</v>
      </c>
      <c r="AK51" s="128">
        <f>'37'!AL54</f>
        <v>189707830</v>
      </c>
      <c r="AL51" s="128">
        <f>'37'!AM54</f>
        <v>4912860</v>
      </c>
    </row>
    <row r="52" spans="1:38" s="130" customFormat="1" ht="25.5" customHeight="1" x14ac:dyDescent="0.2">
      <c r="A52" s="134">
        <v>38</v>
      </c>
      <c r="B52" s="132" t="s">
        <v>936</v>
      </c>
      <c r="C52" s="128">
        <f>'38'!D54</f>
        <v>267242928</v>
      </c>
      <c r="D52" s="128">
        <f>'38'!E54</f>
        <v>72303925</v>
      </c>
      <c r="E52" s="128">
        <f>'38'!F54</f>
        <v>15519504</v>
      </c>
      <c r="F52" s="128">
        <f>'38'!G54</f>
        <v>12409551</v>
      </c>
      <c r="G52" s="128">
        <f>'38'!H54</f>
        <v>0</v>
      </c>
      <c r="H52" s="128">
        <f>'38'!I54</f>
        <v>61117275</v>
      </c>
      <c r="I52" s="128">
        <f>'38'!J54</f>
        <v>0</v>
      </c>
      <c r="J52" s="128">
        <f>'38'!K54</f>
        <v>47321650</v>
      </c>
      <c r="K52" s="128">
        <f>'38'!L54</f>
        <v>0</v>
      </c>
      <c r="L52" s="128">
        <f>'38'!M54</f>
        <v>45650025</v>
      </c>
      <c r="M52" s="128">
        <f>'38'!N54</f>
        <v>38433884</v>
      </c>
      <c r="N52" s="128">
        <f>'38'!O54</f>
        <v>2416169</v>
      </c>
      <c r="O52" s="128">
        <f>'38'!P54</f>
        <v>266110420</v>
      </c>
      <c r="P52" s="128">
        <f>'38'!Q54</f>
        <v>76701412</v>
      </c>
      <c r="Q52" s="128">
        <f>'38'!R54</f>
        <v>56008525</v>
      </c>
      <c r="R52" s="128">
        <f>'38'!S54</f>
        <v>102825</v>
      </c>
      <c r="S52" s="128">
        <f>'38'!T54</f>
        <v>0</v>
      </c>
      <c r="T52" s="128">
        <f>'38'!U54</f>
        <v>91150</v>
      </c>
      <c r="U52" s="128">
        <f>'38'!V54</f>
        <v>130455</v>
      </c>
      <c r="V52" s="128">
        <f>'38'!W54</f>
        <v>57753655</v>
      </c>
      <c r="W52" s="128">
        <f>'38'!X54</f>
        <v>8321092</v>
      </c>
      <c r="X52" s="128">
        <f>'38'!Y54</f>
        <v>1743253</v>
      </c>
      <c r="Y52" s="128">
        <f>'38'!Z54</f>
        <v>65448209</v>
      </c>
      <c r="Z52" s="128">
        <f>'38'!AA54</f>
        <v>212501</v>
      </c>
      <c r="AA52" s="128">
        <f>'38'!AB54</f>
        <v>-402657</v>
      </c>
      <c r="AB52" s="128">
        <f>'38'!AC54</f>
        <v>50139168</v>
      </c>
      <c r="AC52" s="128">
        <f>'38'!AD54</f>
        <v>2569258</v>
      </c>
      <c r="AD52" s="128">
        <f>'38'!AE54</f>
        <v>60165168</v>
      </c>
      <c r="AE52" s="128">
        <f>'38'!AF54</f>
        <v>2949569</v>
      </c>
      <c r="AF52" s="128">
        <f>'38'!AG54</f>
        <v>13723284</v>
      </c>
      <c r="AG52" s="128">
        <f>'38'!AH54</f>
        <v>17257363</v>
      </c>
      <c r="AH52" s="128">
        <f>'38'!AI54</f>
        <v>34319232</v>
      </c>
      <c r="AI52" s="128">
        <f>'38'!AJ54</f>
        <v>15904548</v>
      </c>
      <c r="AJ52" s="128">
        <f>'38'!AK54</f>
        <v>0</v>
      </c>
      <c r="AK52" s="128">
        <f>'38'!AL54</f>
        <v>62195485</v>
      </c>
      <c r="AL52" s="128">
        <f>'38'!AM54</f>
        <v>6887345</v>
      </c>
    </row>
    <row r="53" spans="1:38" s="130" customFormat="1" ht="25.5" customHeight="1" x14ac:dyDescent="0.2">
      <c r="A53" s="134">
        <v>39</v>
      </c>
      <c r="B53" s="132" t="s">
        <v>937</v>
      </c>
      <c r="C53" s="128">
        <f>'39'!D54</f>
        <v>428305012</v>
      </c>
      <c r="D53" s="128">
        <f>'39'!E54</f>
        <v>64545108</v>
      </c>
      <c r="E53" s="128">
        <f>'39'!F54</f>
        <v>15301411</v>
      </c>
      <c r="F53" s="128">
        <f>'39'!G54</f>
        <v>14326820</v>
      </c>
      <c r="G53" s="128">
        <f>'39'!H54</f>
        <v>0</v>
      </c>
      <c r="H53" s="128">
        <f>'39'!I54</f>
        <v>140977085</v>
      </c>
      <c r="I53" s="128">
        <f>'39'!J54</f>
        <v>6197000</v>
      </c>
      <c r="J53" s="128">
        <f>'39'!K54</f>
        <v>97467600</v>
      </c>
      <c r="K53" s="128">
        <f>'39'!L54</f>
        <v>0</v>
      </c>
      <c r="L53" s="128">
        <f>'39'!M54</f>
        <v>72862278</v>
      </c>
      <c r="M53" s="128">
        <f>'39'!N54</f>
        <v>35358706</v>
      </c>
      <c r="N53" s="128">
        <f>'39'!O54</f>
        <v>10897235</v>
      </c>
      <c r="O53" s="128">
        <f>'39'!P54</f>
        <v>401482187</v>
      </c>
      <c r="P53" s="128">
        <f>'39'!Q54</f>
        <v>155788608</v>
      </c>
      <c r="Q53" s="128">
        <f>'39'!R54</f>
        <v>86400774</v>
      </c>
      <c r="R53" s="128">
        <f>'39'!S54</f>
        <v>411067</v>
      </c>
      <c r="S53" s="128">
        <f>'39'!T54</f>
        <v>0</v>
      </c>
      <c r="T53" s="128">
        <f>'39'!U54</f>
        <v>238963</v>
      </c>
      <c r="U53" s="128">
        <f>'39'!V54</f>
        <v>1599610</v>
      </c>
      <c r="V53" s="128">
        <f>'39'!W54</f>
        <v>20571890</v>
      </c>
      <c r="W53" s="128">
        <f>'39'!X54</f>
        <v>21882802</v>
      </c>
      <c r="X53" s="128">
        <f>'39'!Y54</f>
        <v>1183668</v>
      </c>
      <c r="Y53" s="128">
        <f>'39'!Z54</f>
        <v>107189489</v>
      </c>
      <c r="Z53" s="128">
        <f>'39'!AA54</f>
        <v>6571687</v>
      </c>
      <c r="AA53" s="128">
        <f>'39'!AB54</f>
        <v>-356371</v>
      </c>
      <c r="AB53" s="128">
        <f>'39'!AC54</f>
        <v>67513487</v>
      </c>
      <c r="AC53" s="128">
        <f>'39'!AD54</f>
        <v>5595106</v>
      </c>
      <c r="AD53" s="128">
        <f>'39'!AE54</f>
        <v>131644242</v>
      </c>
      <c r="AE53" s="128">
        <f>'39'!AF54</f>
        <v>1898360</v>
      </c>
      <c r="AF53" s="128">
        <f>'39'!AG54</f>
        <v>15464360</v>
      </c>
      <c r="AG53" s="128">
        <f>'39'!AH54</f>
        <v>34811568</v>
      </c>
      <c r="AH53" s="128">
        <f>'39'!AI54</f>
        <v>39186051</v>
      </c>
      <c r="AI53" s="128">
        <f>'39'!AJ54</f>
        <v>10350786</v>
      </c>
      <c r="AJ53" s="128">
        <f>'39'!AK54</f>
        <v>0</v>
      </c>
      <c r="AK53" s="128">
        <f>'39'!AL54</f>
        <v>92241203</v>
      </c>
      <c r="AL53" s="128">
        <f>'39'!AM54</f>
        <v>2777024</v>
      </c>
    </row>
    <row r="54" spans="1:38" s="130" customFormat="1" ht="25.5" customHeight="1" x14ac:dyDescent="0.2">
      <c r="A54" s="134">
        <v>40</v>
      </c>
      <c r="B54" s="132" t="s">
        <v>938</v>
      </c>
      <c r="C54" s="128">
        <f>'40'!D54</f>
        <v>464739099</v>
      </c>
      <c r="D54" s="128">
        <f>'40'!E54</f>
        <v>81489608</v>
      </c>
      <c r="E54" s="128">
        <f>'40'!F54</f>
        <v>19883336</v>
      </c>
      <c r="F54" s="128">
        <f>'40'!G54</f>
        <v>24001827</v>
      </c>
      <c r="G54" s="128">
        <f>'40'!H54</f>
        <v>0</v>
      </c>
      <c r="H54" s="128">
        <f>'40'!I54</f>
        <v>112994911</v>
      </c>
      <c r="I54" s="128">
        <f>'40'!J54</f>
        <v>5164787</v>
      </c>
      <c r="J54" s="128">
        <f>'40'!K54</f>
        <v>113272240</v>
      </c>
      <c r="K54" s="128">
        <f>'40'!L54</f>
        <v>0</v>
      </c>
      <c r="L54" s="128">
        <f>'40'!M54</f>
        <v>94179451</v>
      </c>
      <c r="M54" s="128">
        <f>'40'!N54</f>
        <v>46107891</v>
      </c>
      <c r="N54" s="128">
        <f>'40'!O54</f>
        <v>11530211</v>
      </c>
      <c r="O54" s="128">
        <f>'40'!P54</f>
        <v>477700430</v>
      </c>
      <c r="P54" s="128">
        <f>'40'!Q54</f>
        <v>132084981</v>
      </c>
      <c r="Q54" s="128">
        <f>'40'!R54</f>
        <v>64703717</v>
      </c>
      <c r="R54" s="128">
        <f>'40'!S54</f>
        <v>259288</v>
      </c>
      <c r="S54" s="128">
        <f>'40'!T54</f>
        <v>0</v>
      </c>
      <c r="T54" s="128">
        <f>'40'!U54</f>
        <v>489694</v>
      </c>
      <c r="U54" s="128">
        <f>'40'!V54</f>
        <v>860919</v>
      </c>
      <c r="V54" s="128">
        <f>'40'!W54</f>
        <v>39082358</v>
      </c>
      <c r="W54" s="128">
        <f>'40'!X54</f>
        <v>25248114</v>
      </c>
      <c r="X54" s="128">
        <f>'40'!Y54</f>
        <v>968527</v>
      </c>
      <c r="Y54" s="128">
        <f>'40'!Z54</f>
        <v>209436689</v>
      </c>
      <c r="Z54" s="128">
        <f>'40'!AA54</f>
        <v>4912081</v>
      </c>
      <c r="AA54" s="128">
        <f>'40'!AB54</f>
        <v>-345938</v>
      </c>
      <c r="AB54" s="128">
        <f>'40'!AC54</f>
        <v>66264776</v>
      </c>
      <c r="AC54" s="128">
        <f>'40'!AD54</f>
        <v>2631350</v>
      </c>
      <c r="AD54" s="128">
        <f>'40'!AE54</f>
        <v>86679766</v>
      </c>
      <c r="AE54" s="128">
        <f>'40'!AF54</f>
        <v>1718945</v>
      </c>
      <c r="AF54" s="128">
        <f>'40'!AG54</f>
        <v>39495352</v>
      </c>
      <c r="AG54" s="128">
        <f>'40'!AH54</f>
        <v>45972852</v>
      </c>
      <c r="AH54" s="128">
        <f>'40'!AI54</f>
        <v>55072681</v>
      </c>
      <c r="AI54" s="128">
        <f>'40'!AJ54</f>
        <v>15548233</v>
      </c>
      <c r="AJ54" s="128">
        <f>'40'!AK54</f>
        <v>0</v>
      </c>
      <c r="AK54" s="128">
        <f>'40'!AL54</f>
        <v>156611614</v>
      </c>
      <c r="AL54" s="128">
        <f>'40'!AM54</f>
        <v>7704861</v>
      </c>
    </row>
    <row r="55" spans="1:38" s="130" customFormat="1" ht="25.5" customHeight="1" x14ac:dyDescent="0.2">
      <c r="A55" s="134">
        <v>41</v>
      </c>
      <c r="B55" s="148" t="s">
        <v>939</v>
      </c>
      <c r="C55" s="128">
        <f>'41'!D54</f>
        <v>379467214</v>
      </c>
      <c r="D55" s="128">
        <f>'41'!E54</f>
        <v>80669622</v>
      </c>
      <c r="E55" s="128">
        <f>'41'!F54</f>
        <v>17214037</v>
      </c>
      <c r="F55" s="128">
        <f>'41'!G54</f>
        <v>16659951</v>
      </c>
      <c r="G55" s="128">
        <f>'41'!H54</f>
        <v>0</v>
      </c>
      <c r="H55" s="128">
        <f>'41'!I54</f>
        <v>122571283</v>
      </c>
      <c r="I55" s="128">
        <f>'41'!J54</f>
        <v>8241000</v>
      </c>
      <c r="J55" s="128">
        <f>'41'!K54</f>
        <v>70123140</v>
      </c>
      <c r="K55" s="128">
        <f>'41'!L54</f>
        <v>0</v>
      </c>
      <c r="L55" s="128">
        <f>'41'!M54</f>
        <v>49875344</v>
      </c>
      <c r="M55" s="128">
        <f>'41'!N54</f>
        <v>47714964</v>
      </c>
      <c r="N55" s="128">
        <f>'41'!O54</f>
        <v>271861</v>
      </c>
      <c r="O55" s="128">
        <f>'41'!P54</f>
        <v>352582277</v>
      </c>
      <c r="P55" s="128">
        <f>'41'!Q54</f>
        <v>141050092</v>
      </c>
      <c r="Q55" s="128">
        <f>'41'!R54</f>
        <v>67854446</v>
      </c>
      <c r="R55" s="128">
        <f>'41'!S54</f>
        <v>347424</v>
      </c>
      <c r="S55" s="128">
        <f>'41'!T54</f>
        <v>0</v>
      </c>
      <c r="T55" s="128">
        <f>'41'!U54</f>
        <v>655004</v>
      </c>
      <c r="U55" s="128">
        <f>'41'!V54</f>
        <v>2389505</v>
      </c>
      <c r="V55" s="128">
        <f>'41'!W54</f>
        <v>45429450</v>
      </c>
      <c r="W55" s="128">
        <f>'41'!X54</f>
        <v>19716082</v>
      </c>
      <c r="X55" s="128">
        <f>'41'!Y54</f>
        <v>1048627</v>
      </c>
      <c r="Y55" s="128">
        <f>'41'!Z54</f>
        <v>70638360</v>
      </c>
      <c r="Z55" s="128">
        <f>'41'!AA54</f>
        <v>3829505</v>
      </c>
      <c r="AA55" s="128">
        <f>'41'!AB54</f>
        <v>-376218</v>
      </c>
      <c r="AB55" s="128">
        <f>'41'!AC54</f>
        <v>68523287</v>
      </c>
      <c r="AC55" s="128">
        <f>'41'!AD54</f>
        <v>4932943</v>
      </c>
      <c r="AD55" s="128">
        <f>'41'!AE54</f>
        <v>117744300</v>
      </c>
      <c r="AE55" s="128">
        <f>'41'!AF54</f>
        <v>1859976</v>
      </c>
      <c r="AF55" s="128">
        <f>'41'!AG54</f>
        <v>9290202</v>
      </c>
      <c r="AG55" s="128">
        <f>'41'!AH54</f>
        <v>33702186</v>
      </c>
      <c r="AH55" s="128">
        <f>'41'!AI54</f>
        <v>32298942</v>
      </c>
      <c r="AI55" s="128">
        <f>'41'!AJ54</f>
        <v>9481002</v>
      </c>
      <c r="AJ55" s="128">
        <f>'41'!AK54</f>
        <v>0</v>
      </c>
      <c r="AK55" s="128">
        <f>'41'!AL54</f>
        <v>72113878</v>
      </c>
      <c r="AL55" s="128">
        <f>'41'!AM54</f>
        <v>2635561</v>
      </c>
    </row>
    <row r="56" spans="1:38" s="130" customFormat="1" ht="25.5" customHeight="1" x14ac:dyDescent="0.2">
      <c r="A56" s="147">
        <v>42</v>
      </c>
      <c r="B56" s="149" t="s">
        <v>940</v>
      </c>
      <c r="C56" s="150">
        <f>'42'!D54</f>
        <v>0</v>
      </c>
      <c r="D56" s="150">
        <f>'42'!E54</f>
        <v>0</v>
      </c>
      <c r="E56" s="150">
        <f>'42'!F54</f>
        <v>0</v>
      </c>
      <c r="F56" s="150">
        <f>'42'!G54</f>
        <v>0</v>
      </c>
      <c r="G56" s="150">
        <f>'42'!H54</f>
        <v>0</v>
      </c>
      <c r="H56" s="150">
        <f>'42'!I54</f>
        <v>0</v>
      </c>
      <c r="I56" s="150">
        <f>'42'!J54</f>
        <v>0</v>
      </c>
      <c r="J56" s="150">
        <f>'42'!K54</f>
        <v>0</v>
      </c>
      <c r="K56" s="150">
        <f>'42'!L54</f>
        <v>0</v>
      </c>
      <c r="L56" s="150">
        <f>'42'!M54</f>
        <v>0</v>
      </c>
      <c r="M56" s="150">
        <f>'42'!N54</f>
        <v>0</v>
      </c>
      <c r="N56" s="150">
        <f>'42'!O54</f>
        <v>0</v>
      </c>
      <c r="O56" s="150">
        <f>'42'!P54</f>
        <v>0</v>
      </c>
      <c r="P56" s="150">
        <f>'42'!Q54</f>
        <v>0</v>
      </c>
      <c r="Q56" s="150">
        <f>'42'!R54</f>
        <v>0</v>
      </c>
      <c r="R56" s="150">
        <f>'42'!S54</f>
        <v>0</v>
      </c>
      <c r="S56" s="150">
        <f>'42'!T54</f>
        <v>0</v>
      </c>
      <c r="T56" s="150">
        <f>'42'!U54</f>
        <v>0</v>
      </c>
      <c r="U56" s="150">
        <f>'42'!V54</f>
        <v>0</v>
      </c>
      <c r="V56" s="150">
        <f>'42'!W54</f>
        <v>0</v>
      </c>
      <c r="W56" s="150">
        <f>'42'!X54</f>
        <v>0</v>
      </c>
      <c r="X56" s="150">
        <f>'42'!Y54</f>
        <v>0</v>
      </c>
      <c r="Y56" s="150">
        <f>'42'!Z54</f>
        <v>0</v>
      </c>
      <c r="Z56" s="150">
        <f>'42'!AA54</f>
        <v>0</v>
      </c>
      <c r="AA56" s="150">
        <f>'42'!AB54</f>
        <v>0</v>
      </c>
      <c r="AB56" s="150">
        <f>'42'!AC54</f>
        <v>0</v>
      </c>
      <c r="AC56" s="150">
        <f>'42'!AD54</f>
        <v>0</v>
      </c>
      <c r="AD56" s="150">
        <f>'42'!AE54</f>
        <v>0</v>
      </c>
      <c r="AE56" s="150">
        <f>'42'!AF54</f>
        <v>0</v>
      </c>
      <c r="AF56" s="150">
        <f>'42'!AG54</f>
        <v>0</v>
      </c>
      <c r="AG56" s="150">
        <f>'42'!AH54</f>
        <v>0</v>
      </c>
      <c r="AH56" s="150">
        <f>'42'!AI54</f>
        <v>0</v>
      </c>
      <c r="AI56" s="150">
        <f>'42'!AJ54</f>
        <v>0</v>
      </c>
      <c r="AJ56" s="150">
        <f>'42'!AK54</f>
        <v>0</v>
      </c>
      <c r="AK56" s="150">
        <f>'42'!AL54</f>
        <v>0</v>
      </c>
      <c r="AL56" s="150">
        <f>'42'!AM54</f>
        <v>0</v>
      </c>
    </row>
  </sheetData>
  <sheetProtection selectLockedCells="1" selectUnlockedCells="1"/>
  <mergeCells count="15">
    <mergeCell ref="A13:B13"/>
    <mergeCell ref="A14:B14"/>
    <mergeCell ref="K9:K11"/>
    <mergeCell ref="L9:L11"/>
    <mergeCell ref="M9:M11"/>
    <mergeCell ref="N9:N11"/>
    <mergeCell ref="P9:Y10"/>
    <mergeCell ref="AB9:AL10"/>
    <mergeCell ref="A9:B12"/>
    <mergeCell ref="D9:F9"/>
    <mergeCell ref="G9:G11"/>
    <mergeCell ref="H9:H11"/>
    <mergeCell ref="I9:I11"/>
    <mergeCell ref="J9:J11"/>
    <mergeCell ref="E10:F10"/>
  </mergeCells>
  <pageMargins left="0.70866141732283472" right="0.31496062992125984" top="0.74803149606299213" bottom="0.74803149606299213" header="0.51181102362204722" footer="0.51181102362204722"/>
  <pageSetup paperSize="8" scale="55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AM65"/>
  <sheetViews>
    <sheetView zoomScaleSheetLayoutView="83" workbookViewId="0">
      <pane xSplit="2" ySplit="13" topLeftCell="V53" activePane="bottomRight" state="frozen"/>
      <selection pane="topRight" activeCell="C1" sqref="C1"/>
      <selection pane="bottomLeft" activeCell="A14" sqref="A14"/>
      <selection pane="bottomRight" activeCell="V54" sqref="V54"/>
    </sheetView>
  </sheetViews>
  <sheetFormatPr defaultRowHeight="12.75" x14ac:dyDescent="0.2"/>
  <cols>
    <col min="1" max="1" width="3.5703125" style="112" customWidth="1"/>
    <col min="2" max="2" width="13.85546875" style="112" customWidth="1"/>
    <col min="3" max="3" width="15.5703125" style="112" customWidth="1"/>
    <col min="4" max="4" width="15.7109375" style="112" customWidth="1"/>
    <col min="5" max="5" width="15.42578125" style="112" customWidth="1"/>
    <col min="6" max="6" width="14" style="112" customWidth="1"/>
    <col min="7" max="8" width="13.85546875" style="112" customWidth="1"/>
    <col min="9" max="9" width="12.42578125" style="112" customWidth="1"/>
    <col min="10" max="10" width="13.85546875" style="112" customWidth="1"/>
    <col min="11" max="11" width="16.7109375" style="112" customWidth="1"/>
    <col min="12" max="13" width="14.28515625" style="112" customWidth="1"/>
    <col min="14" max="14" width="14" style="112" customWidth="1"/>
    <col min="15" max="15" width="15.28515625" style="116" customWidth="1"/>
    <col min="16" max="16" width="15.5703125" style="112" customWidth="1"/>
    <col min="17" max="17" width="15.140625" style="112" customWidth="1"/>
    <col min="18" max="18" width="13.5703125" style="112" customWidth="1"/>
    <col min="19" max="20" width="14" style="112" customWidth="1"/>
    <col min="21" max="22" width="14.140625" style="112" customWidth="1"/>
    <col min="23" max="23" width="14.28515625" style="112" customWidth="1"/>
    <col min="24" max="24" width="12.140625" style="112" customWidth="1"/>
    <col min="25" max="25" width="14.5703125" style="112" customWidth="1"/>
    <col min="26" max="26" width="14.7109375" style="112" customWidth="1"/>
    <col min="27" max="27" width="13" style="112" customWidth="1"/>
    <col min="28" max="28" width="14.5703125" style="112" customWidth="1"/>
    <col min="29" max="29" width="12.28515625" style="112" customWidth="1"/>
    <col min="30" max="30" width="15.28515625" style="112" customWidth="1"/>
    <col min="31" max="31" width="12.85546875" style="112" customWidth="1"/>
    <col min="32" max="32" width="13.85546875" style="112" customWidth="1"/>
    <col min="33" max="33" width="14.5703125" style="112" customWidth="1"/>
    <col min="34" max="35" width="14.28515625" style="112" customWidth="1"/>
    <col min="36" max="36" width="14.5703125" style="112" customWidth="1"/>
    <col min="37" max="37" width="14.28515625" style="112" customWidth="1"/>
    <col min="38" max="38" width="12.5703125" style="112" customWidth="1"/>
    <col min="39" max="39" width="11" style="111" customWidth="1"/>
    <col min="40" max="256" width="9.140625" style="112"/>
    <col min="257" max="257" width="3.5703125" style="112" customWidth="1"/>
    <col min="258" max="258" width="13.85546875" style="112" customWidth="1"/>
    <col min="259" max="259" width="15.5703125" style="112" customWidth="1"/>
    <col min="260" max="260" width="15.7109375" style="112" customWidth="1"/>
    <col min="261" max="261" width="15.42578125" style="112" customWidth="1"/>
    <col min="262" max="262" width="14" style="112" customWidth="1"/>
    <col min="263" max="264" width="13.85546875" style="112" customWidth="1"/>
    <col min="265" max="265" width="12.42578125" style="112" customWidth="1"/>
    <col min="266" max="266" width="13.85546875" style="112" customWidth="1"/>
    <col min="267" max="267" width="16.7109375" style="112" customWidth="1"/>
    <col min="268" max="269" width="14.28515625" style="112" customWidth="1"/>
    <col min="270" max="270" width="14" style="112" customWidth="1"/>
    <col min="271" max="271" width="15.28515625" style="112" customWidth="1"/>
    <col min="272" max="272" width="15.5703125" style="112" customWidth="1"/>
    <col min="273" max="273" width="15.140625" style="112" customWidth="1"/>
    <col min="274" max="274" width="13.5703125" style="112" customWidth="1"/>
    <col min="275" max="276" width="14" style="112" customWidth="1"/>
    <col min="277" max="278" width="14.140625" style="112" customWidth="1"/>
    <col min="279" max="279" width="14.28515625" style="112" customWidth="1"/>
    <col min="280" max="280" width="12.140625" style="112" customWidth="1"/>
    <col min="281" max="281" width="14.5703125" style="112" customWidth="1"/>
    <col min="282" max="282" width="14.7109375" style="112" customWidth="1"/>
    <col min="283" max="283" width="13" style="112" customWidth="1"/>
    <col min="284" max="284" width="14.5703125" style="112" customWidth="1"/>
    <col min="285" max="285" width="12.28515625" style="112" customWidth="1"/>
    <col min="286" max="286" width="15.28515625" style="112" customWidth="1"/>
    <col min="287" max="287" width="12.85546875" style="112" customWidth="1"/>
    <col min="288" max="288" width="13.85546875" style="112" customWidth="1"/>
    <col min="289" max="289" width="14.5703125" style="112" customWidth="1"/>
    <col min="290" max="291" width="14.28515625" style="112" customWidth="1"/>
    <col min="292" max="292" width="14.5703125" style="112" customWidth="1"/>
    <col min="293" max="293" width="14.28515625" style="112" customWidth="1"/>
    <col min="294" max="294" width="12.5703125" style="112" customWidth="1"/>
    <col min="295" max="295" width="11" style="112" customWidth="1"/>
    <col min="296" max="512" width="9.140625" style="112"/>
    <col min="513" max="513" width="3.5703125" style="112" customWidth="1"/>
    <col min="514" max="514" width="13.85546875" style="112" customWidth="1"/>
    <col min="515" max="515" width="15.5703125" style="112" customWidth="1"/>
    <col min="516" max="516" width="15.7109375" style="112" customWidth="1"/>
    <col min="517" max="517" width="15.42578125" style="112" customWidth="1"/>
    <col min="518" max="518" width="14" style="112" customWidth="1"/>
    <col min="519" max="520" width="13.85546875" style="112" customWidth="1"/>
    <col min="521" max="521" width="12.42578125" style="112" customWidth="1"/>
    <col min="522" max="522" width="13.85546875" style="112" customWidth="1"/>
    <col min="523" max="523" width="16.7109375" style="112" customWidth="1"/>
    <col min="524" max="525" width="14.28515625" style="112" customWidth="1"/>
    <col min="526" max="526" width="14" style="112" customWidth="1"/>
    <col min="527" max="527" width="15.28515625" style="112" customWidth="1"/>
    <col min="528" max="528" width="15.5703125" style="112" customWidth="1"/>
    <col min="529" max="529" width="15.140625" style="112" customWidth="1"/>
    <col min="530" max="530" width="13.5703125" style="112" customWidth="1"/>
    <col min="531" max="532" width="14" style="112" customWidth="1"/>
    <col min="533" max="534" width="14.140625" style="112" customWidth="1"/>
    <col min="535" max="535" width="14.28515625" style="112" customWidth="1"/>
    <col min="536" max="536" width="12.140625" style="112" customWidth="1"/>
    <col min="537" max="537" width="14.5703125" style="112" customWidth="1"/>
    <col min="538" max="538" width="14.7109375" style="112" customWidth="1"/>
    <col min="539" max="539" width="13" style="112" customWidth="1"/>
    <col min="540" max="540" width="14.5703125" style="112" customWidth="1"/>
    <col min="541" max="541" width="12.28515625" style="112" customWidth="1"/>
    <col min="542" max="542" width="15.28515625" style="112" customWidth="1"/>
    <col min="543" max="543" width="12.85546875" style="112" customWidth="1"/>
    <col min="544" max="544" width="13.85546875" style="112" customWidth="1"/>
    <col min="545" max="545" width="14.5703125" style="112" customWidth="1"/>
    <col min="546" max="547" width="14.28515625" style="112" customWidth="1"/>
    <col min="548" max="548" width="14.5703125" style="112" customWidth="1"/>
    <col min="549" max="549" width="14.28515625" style="112" customWidth="1"/>
    <col min="550" max="550" width="12.5703125" style="112" customWidth="1"/>
    <col min="551" max="551" width="11" style="112" customWidth="1"/>
    <col min="552" max="768" width="9.140625" style="112"/>
    <col min="769" max="769" width="3.5703125" style="112" customWidth="1"/>
    <col min="770" max="770" width="13.85546875" style="112" customWidth="1"/>
    <col min="771" max="771" width="15.5703125" style="112" customWidth="1"/>
    <col min="772" max="772" width="15.7109375" style="112" customWidth="1"/>
    <col min="773" max="773" width="15.42578125" style="112" customWidth="1"/>
    <col min="774" max="774" width="14" style="112" customWidth="1"/>
    <col min="775" max="776" width="13.85546875" style="112" customWidth="1"/>
    <col min="777" max="777" width="12.42578125" style="112" customWidth="1"/>
    <col min="778" max="778" width="13.85546875" style="112" customWidth="1"/>
    <col min="779" max="779" width="16.7109375" style="112" customWidth="1"/>
    <col min="780" max="781" width="14.28515625" style="112" customWidth="1"/>
    <col min="782" max="782" width="14" style="112" customWidth="1"/>
    <col min="783" max="783" width="15.28515625" style="112" customWidth="1"/>
    <col min="784" max="784" width="15.5703125" style="112" customWidth="1"/>
    <col min="785" max="785" width="15.140625" style="112" customWidth="1"/>
    <col min="786" max="786" width="13.5703125" style="112" customWidth="1"/>
    <col min="787" max="788" width="14" style="112" customWidth="1"/>
    <col min="789" max="790" width="14.140625" style="112" customWidth="1"/>
    <col min="791" max="791" width="14.28515625" style="112" customWidth="1"/>
    <col min="792" max="792" width="12.140625" style="112" customWidth="1"/>
    <col min="793" max="793" width="14.5703125" style="112" customWidth="1"/>
    <col min="794" max="794" width="14.7109375" style="112" customWidth="1"/>
    <col min="795" max="795" width="13" style="112" customWidth="1"/>
    <col min="796" max="796" width="14.5703125" style="112" customWidth="1"/>
    <col min="797" max="797" width="12.28515625" style="112" customWidth="1"/>
    <col min="798" max="798" width="15.28515625" style="112" customWidth="1"/>
    <col min="799" max="799" width="12.85546875" style="112" customWidth="1"/>
    <col min="800" max="800" width="13.85546875" style="112" customWidth="1"/>
    <col min="801" max="801" width="14.5703125" style="112" customWidth="1"/>
    <col min="802" max="803" width="14.28515625" style="112" customWidth="1"/>
    <col min="804" max="804" width="14.5703125" style="112" customWidth="1"/>
    <col min="805" max="805" width="14.28515625" style="112" customWidth="1"/>
    <col min="806" max="806" width="12.5703125" style="112" customWidth="1"/>
    <col min="807" max="807" width="11" style="112" customWidth="1"/>
    <col min="808" max="1024" width="9.140625" style="112"/>
    <col min="1025" max="1025" width="3.5703125" style="112" customWidth="1"/>
    <col min="1026" max="1026" width="13.85546875" style="112" customWidth="1"/>
    <col min="1027" max="1027" width="15.5703125" style="112" customWidth="1"/>
    <col min="1028" max="1028" width="15.7109375" style="112" customWidth="1"/>
    <col min="1029" max="1029" width="15.42578125" style="112" customWidth="1"/>
    <col min="1030" max="1030" width="14" style="112" customWidth="1"/>
    <col min="1031" max="1032" width="13.85546875" style="112" customWidth="1"/>
    <col min="1033" max="1033" width="12.42578125" style="112" customWidth="1"/>
    <col min="1034" max="1034" width="13.85546875" style="112" customWidth="1"/>
    <col min="1035" max="1035" width="16.7109375" style="112" customWidth="1"/>
    <col min="1036" max="1037" width="14.28515625" style="112" customWidth="1"/>
    <col min="1038" max="1038" width="14" style="112" customWidth="1"/>
    <col min="1039" max="1039" width="15.28515625" style="112" customWidth="1"/>
    <col min="1040" max="1040" width="15.5703125" style="112" customWidth="1"/>
    <col min="1041" max="1041" width="15.140625" style="112" customWidth="1"/>
    <col min="1042" max="1042" width="13.5703125" style="112" customWidth="1"/>
    <col min="1043" max="1044" width="14" style="112" customWidth="1"/>
    <col min="1045" max="1046" width="14.140625" style="112" customWidth="1"/>
    <col min="1047" max="1047" width="14.28515625" style="112" customWidth="1"/>
    <col min="1048" max="1048" width="12.140625" style="112" customWidth="1"/>
    <col min="1049" max="1049" width="14.5703125" style="112" customWidth="1"/>
    <col min="1050" max="1050" width="14.7109375" style="112" customWidth="1"/>
    <col min="1051" max="1051" width="13" style="112" customWidth="1"/>
    <col min="1052" max="1052" width="14.5703125" style="112" customWidth="1"/>
    <col min="1053" max="1053" width="12.28515625" style="112" customWidth="1"/>
    <col min="1054" max="1054" width="15.28515625" style="112" customWidth="1"/>
    <col min="1055" max="1055" width="12.85546875" style="112" customWidth="1"/>
    <col min="1056" max="1056" width="13.85546875" style="112" customWidth="1"/>
    <col min="1057" max="1057" width="14.5703125" style="112" customWidth="1"/>
    <col min="1058" max="1059" width="14.28515625" style="112" customWidth="1"/>
    <col min="1060" max="1060" width="14.5703125" style="112" customWidth="1"/>
    <col min="1061" max="1061" width="14.28515625" style="112" customWidth="1"/>
    <col min="1062" max="1062" width="12.5703125" style="112" customWidth="1"/>
    <col min="1063" max="1063" width="11" style="112" customWidth="1"/>
    <col min="1064" max="1280" width="9.140625" style="112"/>
    <col min="1281" max="1281" width="3.5703125" style="112" customWidth="1"/>
    <col min="1282" max="1282" width="13.85546875" style="112" customWidth="1"/>
    <col min="1283" max="1283" width="15.5703125" style="112" customWidth="1"/>
    <col min="1284" max="1284" width="15.7109375" style="112" customWidth="1"/>
    <col min="1285" max="1285" width="15.42578125" style="112" customWidth="1"/>
    <col min="1286" max="1286" width="14" style="112" customWidth="1"/>
    <col min="1287" max="1288" width="13.85546875" style="112" customWidth="1"/>
    <col min="1289" max="1289" width="12.42578125" style="112" customWidth="1"/>
    <col min="1290" max="1290" width="13.85546875" style="112" customWidth="1"/>
    <col min="1291" max="1291" width="16.7109375" style="112" customWidth="1"/>
    <col min="1292" max="1293" width="14.28515625" style="112" customWidth="1"/>
    <col min="1294" max="1294" width="14" style="112" customWidth="1"/>
    <col min="1295" max="1295" width="15.28515625" style="112" customWidth="1"/>
    <col min="1296" max="1296" width="15.5703125" style="112" customWidth="1"/>
    <col min="1297" max="1297" width="15.140625" style="112" customWidth="1"/>
    <col min="1298" max="1298" width="13.5703125" style="112" customWidth="1"/>
    <col min="1299" max="1300" width="14" style="112" customWidth="1"/>
    <col min="1301" max="1302" width="14.140625" style="112" customWidth="1"/>
    <col min="1303" max="1303" width="14.28515625" style="112" customWidth="1"/>
    <col min="1304" max="1304" width="12.140625" style="112" customWidth="1"/>
    <col min="1305" max="1305" width="14.5703125" style="112" customWidth="1"/>
    <col min="1306" max="1306" width="14.7109375" style="112" customWidth="1"/>
    <col min="1307" max="1307" width="13" style="112" customWidth="1"/>
    <col min="1308" max="1308" width="14.5703125" style="112" customWidth="1"/>
    <col min="1309" max="1309" width="12.28515625" style="112" customWidth="1"/>
    <col min="1310" max="1310" width="15.28515625" style="112" customWidth="1"/>
    <col min="1311" max="1311" width="12.85546875" style="112" customWidth="1"/>
    <col min="1312" max="1312" width="13.85546875" style="112" customWidth="1"/>
    <col min="1313" max="1313" width="14.5703125" style="112" customWidth="1"/>
    <col min="1314" max="1315" width="14.28515625" style="112" customWidth="1"/>
    <col min="1316" max="1316" width="14.5703125" style="112" customWidth="1"/>
    <col min="1317" max="1317" width="14.28515625" style="112" customWidth="1"/>
    <col min="1318" max="1318" width="12.5703125" style="112" customWidth="1"/>
    <col min="1319" max="1319" width="11" style="112" customWidth="1"/>
    <col min="1320" max="1536" width="9.140625" style="112"/>
    <col min="1537" max="1537" width="3.5703125" style="112" customWidth="1"/>
    <col min="1538" max="1538" width="13.85546875" style="112" customWidth="1"/>
    <col min="1539" max="1539" width="15.5703125" style="112" customWidth="1"/>
    <col min="1540" max="1540" width="15.7109375" style="112" customWidth="1"/>
    <col min="1541" max="1541" width="15.42578125" style="112" customWidth="1"/>
    <col min="1542" max="1542" width="14" style="112" customWidth="1"/>
    <col min="1543" max="1544" width="13.85546875" style="112" customWidth="1"/>
    <col min="1545" max="1545" width="12.42578125" style="112" customWidth="1"/>
    <col min="1546" max="1546" width="13.85546875" style="112" customWidth="1"/>
    <col min="1547" max="1547" width="16.7109375" style="112" customWidth="1"/>
    <col min="1548" max="1549" width="14.28515625" style="112" customWidth="1"/>
    <col min="1550" max="1550" width="14" style="112" customWidth="1"/>
    <col min="1551" max="1551" width="15.28515625" style="112" customWidth="1"/>
    <col min="1552" max="1552" width="15.5703125" style="112" customWidth="1"/>
    <col min="1553" max="1553" width="15.140625" style="112" customWidth="1"/>
    <col min="1554" max="1554" width="13.5703125" style="112" customWidth="1"/>
    <col min="1555" max="1556" width="14" style="112" customWidth="1"/>
    <col min="1557" max="1558" width="14.140625" style="112" customWidth="1"/>
    <col min="1559" max="1559" width="14.28515625" style="112" customWidth="1"/>
    <col min="1560" max="1560" width="12.140625" style="112" customWidth="1"/>
    <col min="1561" max="1561" width="14.5703125" style="112" customWidth="1"/>
    <col min="1562" max="1562" width="14.7109375" style="112" customWidth="1"/>
    <col min="1563" max="1563" width="13" style="112" customWidth="1"/>
    <col min="1564" max="1564" width="14.5703125" style="112" customWidth="1"/>
    <col min="1565" max="1565" width="12.28515625" style="112" customWidth="1"/>
    <col min="1566" max="1566" width="15.28515625" style="112" customWidth="1"/>
    <col min="1567" max="1567" width="12.85546875" style="112" customWidth="1"/>
    <col min="1568" max="1568" width="13.85546875" style="112" customWidth="1"/>
    <col min="1569" max="1569" width="14.5703125" style="112" customWidth="1"/>
    <col min="1570" max="1571" width="14.28515625" style="112" customWidth="1"/>
    <col min="1572" max="1572" width="14.5703125" style="112" customWidth="1"/>
    <col min="1573" max="1573" width="14.28515625" style="112" customWidth="1"/>
    <col min="1574" max="1574" width="12.5703125" style="112" customWidth="1"/>
    <col min="1575" max="1575" width="11" style="112" customWidth="1"/>
    <col min="1576" max="1792" width="9.140625" style="112"/>
    <col min="1793" max="1793" width="3.5703125" style="112" customWidth="1"/>
    <col min="1794" max="1794" width="13.85546875" style="112" customWidth="1"/>
    <col min="1795" max="1795" width="15.5703125" style="112" customWidth="1"/>
    <col min="1796" max="1796" width="15.7109375" style="112" customWidth="1"/>
    <col min="1797" max="1797" width="15.42578125" style="112" customWidth="1"/>
    <col min="1798" max="1798" width="14" style="112" customWidth="1"/>
    <col min="1799" max="1800" width="13.85546875" style="112" customWidth="1"/>
    <col min="1801" max="1801" width="12.42578125" style="112" customWidth="1"/>
    <col min="1802" max="1802" width="13.85546875" style="112" customWidth="1"/>
    <col min="1803" max="1803" width="16.7109375" style="112" customWidth="1"/>
    <col min="1804" max="1805" width="14.28515625" style="112" customWidth="1"/>
    <col min="1806" max="1806" width="14" style="112" customWidth="1"/>
    <col min="1807" max="1807" width="15.28515625" style="112" customWidth="1"/>
    <col min="1808" max="1808" width="15.5703125" style="112" customWidth="1"/>
    <col min="1809" max="1809" width="15.140625" style="112" customWidth="1"/>
    <col min="1810" max="1810" width="13.5703125" style="112" customWidth="1"/>
    <col min="1811" max="1812" width="14" style="112" customWidth="1"/>
    <col min="1813" max="1814" width="14.140625" style="112" customWidth="1"/>
    <col min="1815" max="1815" width="14.28515625" style="112" customWidth="1"/>
    <col min="1816" max="1816" width="12.140625" style="112" customWidth="1"/>
    <col min="1817" max="1817" width="14.5703125" style="112" customWidth="1"/>
    <col min="1818" max="1818" width="14.7109375" style="112" customWidth="1"/>
    <col min="1819" max="1819" width="13" style="112" customWidth="1"/>
    <col min="1820" max="1820" width="14.5703125" style="112" customWidth="1"/>
    <col min="1821" max="1821" width="12.28515625" style="112" customWidth="1"/>
    <col min="1822" max="1822" width="15.28515625" style="112" customWidth="1"/>
    <col min="1823" max="1823" width="12.85546875" style="112" customWidth="1"/>
    <col min="1824" max="1824" width="13.85546875" style="112" customWidth="1"/>
    <col min="1825" max="1825" width="14.5703125" style="112" customWidth="1"/>
    <col min="1826" max="1827" width="14.28515625" style="112" customWidth="1"/>
    <col min="1828" max="1828" width="14.5703125" style="112" customWidth="1"/>
    <col min="1829" max="1829" width="14.28515625" style="112" customWidth="1"/>
    <col min="1830" max="1830" width="12.5703125" style="112" customWidth="1"/>
    <col min="1831" max="1831" width="11" style="112" customWidth="1"/>
    <col min="1832" max="2048" width="9.140625" style="112"/>
    <col min="2049" max="2049" width="3.5703125" style="112" customWidth="1"/>
    <col min="2050" max="2050" width="13.85546875" style="112" customWidth="1"/>
    <col min="2051" max="2051" width="15.5703125" style="112" customWidth="1"/>
    <col min="2052" max="2052" width="15.7109375" style="112" customWidth="1"/>
    <col min="2053" max="2053" width="15.42578125" style="112" customWidth="1"/>
    <col min="2054" max="2054" width="14" style="112" customWidth="1"/>
    <col min="2055" max="2056" width="13.85546875" style="112" customWidth="1"/>
    <col min="2057" max="2057" width="12.42578125" style="112" customWidth="1"/>
    <col min="2058" max="2058" width="13.85546875" style="112" customWidth="1"/>
    <col min="2059" max="2059" width="16.7109375" style="112" customWidth="1"/>
    <col min="2060" max="2061" width="14.28515625" style="112" customWidth="1"/>
    <col min="2062" max="2062" width="14" style="112" customWidth="1"/>
    <col min="2063" max="2063" width="15.28515625" style="112" customWidth="1"/>
    <col min="2064" max="2064" width="15.5703125" style="112" customWidth="1"/>
    <col min="2065" max="2065" width="15.140625" style="112" customWidth="1"/>
    <col min="2066" max="2066" width="13.5703125" style="112" customWidth="1"/>
    <col min="2067" max="2068" width="14" style="112" customWidth="1"/>
    <col min="2069" max="2070" width="14.140625" style="112" customWidth="1"/>
    <col min="2071" max="2071" width="14.28515625" style="112" customWidth="1"/>
    <col min="2072" max="2072" width="12.140625" style="112" customWidth="1"/>
    <col min="2073" max="2073" width="14.5703125" style="112" customWidth="1"/>
    <col min="2074" max="2074" width="14.7109375" style="112" customWidth="1"/>
    <col min="2075" max="2075" width="13" style="112" customWidth="1"/>
    <col min="2076" max="2076" width="14.5703125" style="112" customWidth="1"/>
    <col min="2077" max="2077" width="12.28515625" style="112" customWidth="1"/>
    <col min="2078" max="2078" width="15.28515625" style="112" customWidth="1"/>
    <col min="2079" max="2079" width="12.85546875" style="112" customWidth="1"/>
    <col min="2080" max="2080" width="13.85546875" style="112" customWidth="1"/>
    <col min="2081" max="2081" width="14.5703125" style="112" customWidth="1"/>
    <col min="2082" max="2083" width="14.28515625" style="112" customWidth="1"/>
    <col min="2084" max="2084" width="14.5703125" style="112" customWidth="1"/>
    <col min="2085" max="2085" width="14.28515625" style="112" customWidth="1"/>
    <col min="2086" max="2086" width="12.5703125" style="112" customWidth="1"/>
    <col min="2087" max="2087" width="11" style="112" customWidth="1"/>
    <col min="2088" max="2304" width="9.140625" style="112"/>
    <col min="2305" max="2305" width="3.5703125" style="112" customWidth="1"/>
    <col min="2306" max="2306" width="13.85546875" style="112" customWidth="1"/>
    <col min="2307" max="2307" width="15.5703125" style="112" customWidth="1"/>
    <col min="2308" max="2308" width="15.7109375" style="112" customWidth="1"/>
    <col min="2309" max="2309" width="15.42578125" style="112" customWidth="1"/>
    <col min="2310" max="2310" width="14" style="112" customWidth="1"/>
    <col min="2311" max="2312" width="13.85546875" style="112" customWidth="1"/>
    <col min="2313" max="2313" width="12.42578125" style="112" customWidth="1"/>
    <col min="2314" max="2314" width="13.85546875" style="112" customWidth="1"/>
    <col min="2315" max="2315" width="16.7109375" style="112" customWidth="1"/>
    <col min="2316" max="2317" width="14.28515625" style="112" customWidth="1"/>
    <col min="2318" max="2318" width="14" style="112" customWidth="1"/>
    <col min="2319" max="2319" width="15.28515625" style="112" customWidth="1"/>
    <col min="2320" max="2320" width="15.5703125" style="112" customWidth="1"/>
    <col min="2321" max="2321" width="15.140625" style="112" customWidth="1"/>
    <col min="2322" max="2322" width="13.5703125" style="112" customWidth="1"/>
    <col min="2323" max="2324" width="14" style="112" customWidth="1"/>
    <col min="2325" max="2326" width="14.140625" style="112" customWidth="1"/>
    <col min="2327" max="2327" width="14.28515625" style="112" customWidth="1"/>
    <col min="2328" max="2328" width="12.140625" style="112" customWidth="1"/>
    <col min="2329" max="2329" width="14.5703125" style="112" customWidth="1"/>
    <col min="2330" max="2330" width="14.7109375" style="112" customWidth="1"/>
    <col min="2331" max="2331" width="13" style="112" customWidth="1"/>
    <col min="2332" max="2332" width="14.5703125" style="112" customWidth="1"/>
    <col min="2333" max="2333" width="12.28515625" style="112" customWidth="1"/>
    <col min="2334" max="2334" width="15.28515625" style="112" customWidth="1"/>
    <col min="2335" max="2335" width="12.85546875" style="112" customWidth="1"/>
    <col min="2336" max="2336" width="13.85546875" style="112" customWidth="1"/>
    <col min="2337" max="2337" width="14.5703125" style="112" customWidth="1"/>
    <col min="2338" max="2339" width="14.28515625" style="112" customWidth="1"/>
    <col min="2340" max="2340" width="14.5703125" style="112" customWidth="1"/>
    <col min="2341" max="2341" width="14.28515625" style="112" customWidth="1"/>
    <col min="2342" max="2342" width="12.5703125" style="112" customWidth="1"/>
    <col min="2343" max="2343" width="11" style="112" customWidth="1"/>
    <col min="2344" max="2560" width="9.140625" style="112"/>
    <col min="2561" max="2561" width="3.5703125" style="112" customWidth="1"/>
    <col min="2562" max="2562" width="13.85546875" style="112" customWidth="1"/>
    <col min="2563" max="2563" width="15.5703125" style="112" customWidth="1"/>
    <col min="2564" max="2564" width="15.7109375" style="112" customWidth="1"/>
    <col min="2565" max="2565" width="15.42578125" style="112" customWidth="1"/>
    <col min="2566" max="2566" width="14" style="112" customWidth="1"/>
    <col min="2567" max="2568" width="13.85546875" style="112" customWidth="1"/>
    <col min="2569" max="2569" width="12.42578125" style="112" customWidth="1"/>
    <col min="2570" max="2570" width="13.85546875" style="112" customWidth="1"/>
    <col min="2571" max="2571" width="16.7109375" style="112" customWidth="1"/>
    <col min="2572" max="2573" width="14.28515625" style="112" customWidth="1"/>
    <col min="2574" max="2574" width="14" style="112" customWidth="1"/>
    <col min="2575" max="2575" width="15.28515625" style="112" customWidth="1"/>
    <col min="2576" max="2576" width="15.5703125" style="112" customWidth="1"/>
    <col min="2577" max="2577" width="15.140625" style="112" customWidth="1"/>
    <col min="2578" max="2578" width="13.5703125" style="112" customWidth="1"/>
    <col min="2579" max="2580" width="14" style="112" customWidth="1"/>
    <col min="2581" max="2582" width="14.140625" style="112" customWidth="1"/>
    <col min="2583" max="2583" width="14.28515625" style="112" customWidth="1"/>
    <col min="2584" max="2584" width="12.140625" style="112" customWidth="1"/>
    <col min="2585" max="2585" width="14.5703125" style="112" customWidth="1"/>
    <col min="2586" max="2586" width="14.7109375" style="112" customWidth="1"/>
    <col min="2587" max="2587" width="13" style="112" customWidth="1"/>
    <col min="2588" max="2588" width="14.5703125" style="112" customWidth="1"/>
    <col min="2589" max="2589" width="12.28515625" style="112" customWidth="1"/>
    <col min="2590" max="2590" width="15.28515625" style="112" customWidth="1"/>
    <col min="2591" max="2591" width="12.85546875" style="112" customWidth="1"/>
    <col min="2592" max="2592" width="13.85546875" style="112" customWidth="1"/>
    <col min="2593" max="2593" width="14.5703125" style="112" customWidth="1"/>
    <col min="2594" max="2595" width="14.28515625" style="112" customWidth="1"/>
    <col min="2596" max="2596" width="14.5703125" style="112" customWidth="1"/>
    <col min="2597" max="2597" width="14.28515625" style="112" customWidth="1"/>
    <col min="2598" max="2598" width="12.5703125" style="112" customWidth="1"/>
    <col min="2599" max="2599" width="11" style="112" customWidth="1"/>
    <col min="2600" max="2816" width="9.140625" style="112"/>
    <col min="2817" max="2817" width="3.5703125" style="112" customWidth="1"/>
    <col min="2818" max="2818" width="13.85546875" style="112" customWidth="1"/>
    <col min="2819" max="2819" width="15.5703125" style="112" customWidth="1"/>
    <col min="2820" max="2820" width="15.7109375" style="112" customWidth="1"/>
    <col min="2821" max="2821" width="15.42578125" style="112" customWidth="1"/>
    <col min="2822" max="2822" width="14" style="112" customWidth="1"/>
    <col min="2823" max="2824" width="13.85546875" style="112" customWidth="1"/>
    <col min="2825" max="2825" width="12.42578125" style="112" customWidth="1"/>
    <col min="2826" max="2826" width="13.85546875" style="112" customWidth="1"/>
    <col min="2827" max="2827" width="16.7109375" style="112" customWidth="1"/>
    <col min="2828" max="2829" width="14.28515625" style="112" customWidth="1"/>
    <col min="2830" max="2830" width="14" style="112" customWidth="1"/>
    <col min="2831" max="2831" width="15.28515625" style="112" customWidth="1"/>
    <col min="2832" max="2832" width="15.5703125" style="112" customWidth="1"/>
    <col min="2833" max="2833" width="15.140625" style="112" customWidth="1"/>
    <col min="2834" max="2834" width="13.5703125" style="112" customWidth="1"/>
    <col min="2835" max="2836" width="14" style="112" customWidth="1"/>
    <col min="2837" max="2838" width="14.140625" style="112" customWidth="1"/>
    <col min="2839" max="2839" width="14.28515625" style="112" customWidth="1"/>
    <col min="2840" max="2840" width="12.140625" style="112" customWidth="1"/>
    <col min="2841" max="2841" width="14.5703125" style="112" customWidth="1"/>
    <col min="2842" max="2842" width="14.7109375" style="112" customWidth="1"/>
    <col min="2843" max="2843" width="13" style="112" customWidth="1"/>
    <col min="2844" max="2844" width="14.5703125" style="112" customWidth="1"/>
    <col min="2845" max="2845" width="12.28515625" style="112" customWidth="1"/>
    <col min="2846" max="2846" width="15.28515625" style="112" customWidth="1"/>
    <col min="2847" max="2847" width="12.85546875" style="112" customWidth="1"/>
    <col min="2848" max="2848" width="13.85546875" style="112" customWidth="1"/>
    <col min="2849" max="2849" width="14.5703125" style="112" customWidth="1"/>
    <col min="2850" max="2851" width="14.28515625" style="112" customWidth="1"/>
    <col min="2852" max="2852" width="14.5703125" style="112" customWidth="1"/>
    <col min="2853" max="2853" width="14.28515625" style="112" customWidth="1"/>
    <col min="2854" max="2854" width="12.5703125" style="112" customWidth="1"/>
    <col min="2855" max="2855" width="11" style="112" customWidth="1"/>
    <col min="2856" max="3072" width="9.140625" style="112"/>
    <col min="3073" max="3073" width="3.5703125" style="112" customWidth="1"/>
    <col min="3074" max="3074" width="13.85546875" style="112" customWidth="1"/>
    <col min="3075" max="3075" width="15.5703125" style="112" customWidth="1"/>
    <col min="3076" max="3076" width="15.7109375" style="112" customWidth="1"/>
    <col min="3077" max="3077" width="15.42578125" style="112" customWidth="1"/>
    <col min="3078" max="3078" width="14" style="112" customWidth="1"/>
    <col min="3079" max="3080" width="13.85546875" style="112" customWidth="1"/>
    <col min="3081" max="3081" width="12.42578125" style="112" customWidth="1"/>
    <col min="3082" max="3082" width="13.85546875" style="112" customWidth="1"/>
    <col min="3083" max="3083" width="16.7109375" style="112" customWidth="1"/>
    <col min="3084" max="3085" width="14.28515625" style="112" customWidth="1"/>
    <col min="3086" max="3086" width="14" style="112" customWidth="1"/>
    <col min="3087" max="3087" width="15.28515625" style="112" customWidth="1"/>
    <col min="3088" max="3088" width="15.5703125" style="112" customWidth="1"/>
    <col min="3089" max="3089" width="15.140625" style="112" customWidth="1"/>
    <col min="3090" max="3090" width="13.5703125" style="112" customWidth="1"/>
    <col min="3091" max="3092" width="14" style="112" customWidth="1"/>
    <col min="3093" max="3094" width="14.140625" style="112" customWidth="1"/>
    <col min="3095" max="3095" width="14.28515625" style="112" customWidth="1"/>
    <col min="3096" max="3096" width="12.140625" style="112" customWidth="1"/>
    <col min="3097" max="3097" width="14.5703125" style="112" customWidth="1"/>
    <col min="3098" max="3098" width="14.7109375" style="112" customWidth="1"/>
    <col min="3099" max="3099" width="13" style="112" customWidth="1"/>
    <col min="3100" max="3100" width="14.5703125" style="112" customWidth="1"/>
    <col min="3101" max="3101" width="12.28515625" style="112" customWidth="1"/>
    <col min="3102" max="3102" width="15.28515625" style="112" customWidth="1"/>
    <col min="3103" max="3103" width="12.85546875" style="112" customWidth="1"/>
    <col min="3104" max="3104" width="13.85546875" style="112" customWidth="1"/>
    <col min="3105" max="3105" width="14.5703125" style="112" customWidth="1"/>
    <col min="3106" max="3107" width="14.28515625" style="112" customWidth="1"/>
    <col min="3108" max="3108" width="14.5703125" style="112" customWidth="1"/>
    <col min="3109" max="3109" width="14.28515625" style="112" customWidth="1"/>
    <col min="3110" max="3110" width="12.5703125" style="112" customWidth="1"/>
    <col min="3111" max="3111" width="11" style="112" customWidth="1"/>
    <col min="3112" max="3328" width="9.140625" style="112"/>
    <col min="3329" max="3329" width="3.5703125" style="112" customWidth="1"/>
    <col min="3330" max="3330" width="13.85546875" style="112" customWidth="1"/>
    <col min="3331" max="3331" width="15.5703125" style="112" customWidth="1"/>
    <col min="3332" max="3332" width="15.7109375" style="112" customWidth="1"/>
    <col min="3333" max="3333" width="15.42578125" style="112" customWidth="1"/>
    <col min="3334" max="3334" width="14" style="112" customWidth="1"/>
    <col min="3335" max="3336" width="13.85546875" style="112" customWidth="1"/>
    <col min="3337" max="3337" width="12.42578125" style="112" customWidth="1"/>
    <col min="3338" max="3338" width="13.85546875" style="112" customWidth="1"/>
    <col min="3339" max="3339" width="16.7109375" style="112" customWidth="1"/>
    <col min="3340" max="3341" width="14.28515625" style="112" customWidth="1"/>
    <col min="3342" max="3342" width="14" style="112" customWidth="1"/>
    <col min="3343" max="3343" width="15.28515625" style="112" customWidth="1"/>
    <col min="3344" max="3344" width="15.5703125" style="112" customWidth="1"/>
    <col min="3345" max="3345" width="15.140625" style="112" customWidth="1"/>
    <col min="3346" max="3346" width="13.5703125" style="112" customWidth="1"/>
    <col min="3347" max="3348" width="14" style="112" customWidth="1"/>
    <col min="3349" max="3350" width="14.140625" style="112" customWidth="1"/>
    <col min="3351" max="3351" width="14.28515625" style="112" customWidth="1"/>
    <col min="3352" max="3352" width="12.140625" style="112" customWidth="1"/>
    <col min="3353" max="3353" width="14.5703125" style="112" customWidth="1"/>
    <col min="3354" max="3354" width="14.7109375" style="112" customWidth="1"/>
    <col min="3355" max="3355" width="13" style="112" customWidth="1"/>
    <col min="3356" max="3356" width="14.5703125" style="112" customWidth="1"/>
    <col min="3357" max="3357" width="12.28515625" style="112" customWidth="1"/>
    <col min="3358" max="3358" width="15.28515625" style="112" customWidth="1"/>
    <col min="3359" max="3359" width="12.85546875" style="112" customWidth="1"/>
    <col min="3360" max="3360" width="13.85546875" style="112" customWidth="1"/>
    <col min="3361" max="3361" width="14.5703125" style="112" customWidth="1"/>
    <col min="3362" max="3363" width="14.28515625" style="112" customWidth="1"/>
    <col min="3364" max="3364" width="14.5703125" style="112" customWidth="1"/>
    <col min="3365" max="3365" width="14.28515625" style="112" customWidth="1"/>
    <col min="3366" max="3366" width="12.5703125" style="112" customWidth="1"/>
    <col min="3367" max="3367" width="11" style="112" customWidth="1"/>
    <col min="3368" max="3584" width="9.140625" style="112"/>
    <col min="3585" max="3585" width="3.5703125" style="112" customWidth="1"/>
    <col min="3586" max="3586" width="13.85546875" style="112" customWidth="1"/>
    <col min="3587" max="3587" width="15.5703125" style="112" customWidth="1"/>
    <col min="3588" max="3588" width="15.7109375" style="112" customWidth="1"/>
    <col min="3589" max="3589" width="15.42578125" style="112" customWidth="1"/>
    <col min="3590" max="3590" width="14" style="112" customWidth="1"/>
    <col min="3591" max="3592" width="13.85546875" style="112" customWidth="1"/>
    <col min="3593" max="3593" width="12.42578125" style="112" customWidth="1"/>
    <col min="3594" max="3594" width="13.85546875" style="112" customWidth="1"/>
    <col min="3595" max="3595" width="16.7109375" style="112" customWidth="1"/>
    <col min="3596" max="3597" width="14.28515625" style="112" customWidth="1"/>
    <col min="3598" max="3598" width="14" style="112" customWidth="1"/>
    <col min="3599" max="3599" width="15.28515625" style="112" customWidth="1"/>
    <col min="3600" max="3600" width="15.5703125" style="112" customWidth="1"/>
    <col min="3601" max="3601" width="15.140625" style="112" customWidth="1"/>
    <col min="3602" max="3602" width="13.5703125" style="112" customWidth="1"/>
    <col min="3603" max="3604" width="14" style="112" customWidth="1"/>
    <col min="3605" max="3606" width="14.140625" style="112" customWidth="1"/>
    <col min="3607" max="3607" width="14.28515625" style="112" customWidth="1"/>
    <col min="3608" max="3608" width="12.140625" style="112" customWidth="1"/>
    <col min="3609" max="3609" width="14.5703125" style="112" customWidth="1"/>
    <col min="3610" max="3610" width="14.7109375" style="112" customWidth="1"/>
    <col min="3611" max="3611" width="13" style="112" customWidth="1"/>
    <col min="3612" max="3612" width="14.5703125" style="112" customWidth="1"/>
    <col min="3613" max="3613" width="12.28515625" style="112" customWidth="1"/>
    <col min="3614" max="3614" width="15.28515625" style="112" customWidth="1"/>
    <col min="3615" max="3615" width="12.85546875" style="112" customWidth="1"/>
    <col min="3616" max="3616" width="13.85546875" style="112" customWidth="1"/>
    <col min="3617" max="3617" width="14.5703125" style="112" customWidth="1"/>
    <col min="3618" max="3619" width="14.28515625" style="112" customWidth="1"/>
    <col min="3620" max="3620" width="14.5703125" style="112" customWidth="1"/>
    <col min="3621" max="3621" width="14.28515625" style="112" customWidth="1"/>
    <col min="3622" max="3622" width="12.5703125" style="112" customWidth="1"/>
    <col min="3623" max="3623" width="11" style="112" customWidth="1"/>
    <col min="3624" max="3840" width="9.140625" style="112"/>
    <col min="3841" max="3841" width="3.5703125" style="112" customWidth="1"/>
    <col min="3842" max="3842" width="13.85546875" style="112" customWidth="1"/>
    <col min="3843" max="3843" width="15.5703125" style="112" customWidth="1"/>
    <col min="3844" max="3844" width="15.7109375" style="112" customWidth="1"/>
    <col min="3845" max="3845" width="15.42578125" style="112" customWidth="1"/>
    <col min="3846" max="3846" width="14" style="112" customWidth="1"/>
    <col min="3847" max="3848" width="13.85546875" style="112" customWidth="1"/>
    <col min="3849" max="3849" width="12.42578125" style="112" customWidth="1"/>
    <col min="3850" max="3850" width="13.85546875" style="112" customWidth="1"/>
    <col min="3851" max="3851" width="16.7109375" style="112" customWidth="1"/>
    <col min="3852" max="3853" width="14.28515625" style="112" customWidth="1"/>
    <col min="3854" max="3854" width="14" style="112" customWidth="1"/>
    <col min="3855" max="3855" width="15.28515625" style="112" customWidth="1"/>
    <col min="3856" max="3856" width="15.5703125" style="112" customWidth="1"/>
    <col min="3857" max="3857" width="15.140625" style="112" customWidth="1"/>
    <col min="3858" max="3858" width="13.5703125" style="112" customWidth="1"/>
    <col min="3859" max="3860" width="14" style="112" customWidth="1"/>
    <col min="3861" max="3862" width="14.140625" style="112" customWidth="1"/>
    <col min="3863" max="3863" width="14.28515625" style="112" customWidth="1"/>
    <col min="3864" max="3864" width="12.140625" style="112" customWidth="1"/>
    <col min="3865" max="3865" width="14.5703125" style="112" customWidth="1"/>
    <col min="3866" max="3866" width="14.7109375" style="112" customWidth="1"/>
    <col min="3867" max="3867" width="13" style="112" customWidth="1"/>
    <col min="3868" max="3868" width="14.5703125" style="112" customWidth="1"/>
    <col min="3869" max="3869" width="12.28515625" style="112" customWidth="1"/>
    <col min="3870" max="3870" width="15.28515625" style="112" customWidth="1"/>
    <col min="3871" max="3871" width="12.85546875" style="112" customWidth="1"/>
    <col min="3872" max="3872" width="13.85546875" style="112" customWidth="1"/>
    <col min="3873" max="3873" width="14.5703125" style="112" customWidth="1"/>
    <col min="3874" max="3875" width="14.28515625" style="112" customWidth="1"/>
    <col min="3876" max="3876" width="14.5703125" style="112" customWidth="1"/>
    <col min="3877" max="3877" width="14.28515625" style="112" customWidth="1"/>
    <col min="3878" max="3878" width="12.5703125" style="112" customWidth="1"/>
    <col min="3879" max="3879" width="11" style="112" customWidth="1"/>
    <col min="3880" max="4096" width="9.140625" style="112"/>
    <col min="4097" max="4097" width="3.5703125" style="112" customWidth="1"/>
    <col min="4098" max="4098" width="13.85546875" style="112" customWidth="1"/>
    <col min="4099" max="4099" width="15.5703125" style="112" customWidth="1"/>
    <col min="4100" max="4100" width="15.7109375" style="112" customWidth="1"/>
    <col min="4101" max="4101" width="15.42578125" style="112" customWidth="1"/>
    <col min="4102" max="4102" width="14" style="112" customWidth="1"/>
    <col min="4103" max="4104" width="13.85546875" style="112" customWidth="1"/>
    <col min="4105" max="4105" width="12.42578125" style="112" customWidth="1"/>
    <col min="4106" max="4106" width="13.85546875" style="112" customWidth="1"/>
    <col min="4107" max="4107" width="16.7109375" style="112" customWidth="1"/>
    <col min="4108" max="4109" width="14.28515625" style="112" customWidth="1"/>
    <col min="4110" max="4110" width="14" style="112" customWidth="1"/>
    <col min="4111" max="4111" width="15.28515625" style="112" customWidth="1"/>
    <col min="4112" max="4112" width="15.5703125" style="112" customWidth="1"/>
    <col min="4113" max="4113" width="15.140625" style="112" customWidth="1"/>
    <col min="4114" max="4114" width="13.5703125" style="112" customWidth="1"/>
    <col min="4115" max="4116" width="14" style="112" customWidth="1"/>
    <col min="4117" max="4118" width="14.140625" style="112" customWidth="1"/>
    <col min="4119" max="4119" width="14.28515625" style="112" customWidth="1"/>
    <col min="4120" max="4120" width="12.140625" style="112" customWidth="1"/>
    <col min="4121" max="4121" width="14.5703125" style="112" customWidth="1"/>
    <col min="4122" max="4122" width="14.7109375" style="112" customWidth="1"/>
    <col min="4123" max="4123" width="13" style="112" customWidth="1"/>
    <col min="4124" max="4124" width="14.5703125" style="112" customWidth="1"/>
    <col min="4125" max="4125" width="12.28515625" style="112" customWidth="1"/>
    <col min="4126" max="4126" width="15.28515625" style="112" customWidth="1"/>
    <col min="4127" max="4127" width="12.85546875" style="112" customWidth="1"/>
    <col min="4128" max="4128" width="13.85546875" style="112" customWidth="1"/>
    <col min="4129" max="4129" width="14.5703125" style="112" customWidth="1"/>
    <col min="4130" max="4131" width="14.28515625" style="112" customWidth="1"/>
    <col min="4132" max="4132" width="14.5703125" style="112" customWidth="1"/>
    <col min="4133" max="4133" width="14.28515625" style="112" customWidth="1"/>
    <col min="4134" max="4134" width="12.5703125" style="112" customWidth="1"/>
    <col min="4135" max="4135" width="11" style="112" customWidth="1"/>
    <col min="4136" max="4352" width="9.140625" style="112"/>
    <col min="4353" max="4353" width="3.5703125" style="112" customWidth="1"/>
    <col min="4354" max="4354" width="13.85546875" style="112" customWidth="1"/>
    <col min="4355" max="4355" width="15.5703125" style="112" customWidth="1"/>
    <col min="4356" max="4356" width="15.7109375" style="112" customWidth="1"/>
    <col min="4357" max="4357" width="15.42578125" style="112" customWidth="1"/>
    <col min="4358" max="4358" width="14" style="112" customWidth="1"/>
    <col min="4359" max="4360" width="13.85546875" style="112" customWidth="1"/>
    <col min="4361" max="4361" width="12.42578125" style="112" customWidth="1"/>
    <col min="4362" max="4362" width="13.85546875" style="112" customWidth="1"/>
    <col min="4363" max="4363" width="16.7109375" style="112" customWidth="1"/>
    <col min="4364" max="4365" width="14.28515625" style="112" customWidth="1"/>
    <col min="4366" max="4366" width="14" style="112" customWidth="1"/>
    <col min="4367" max="4367" width="15.28515625" style="112" customWidth="1"/>
    <col min="4368" max="4368" width="15.5703125" style="112" customWidth="1"/>
    <col min="4369" max="4369" width="15.140625" style="112" customWidth="1"/>
    <col min="4370" max="4370" width="13.5703125" style="112" customWidth="1"/>
    <col min="4371" max="4372" width="14" style="112" customWidth="1"/>
    <col min="4373" max="4374" width="14.140625" style="112" customWidth="1"/>
    <col min="4375" max="4375" width="14.28515625" style="112" customWidth="1"/>
    <col min="4376" max="4376" width="12.140625" style="112" customWidth="1"/>
    <col min="4377" max="4377" width="14.5703125" style="112" customWidth="1"/>
    <col min="4378" max="4378" width="14.7109375" style="112" customWidth="1"/>
    <col min="4379" max="4379" width="13" style="112" customWidth="1"/>
    <col min="4380" max="4380" width="14.5703125" style="112" customWidth="1"/>
    <col min="4381" max="4381" width="12.28515625" style="112" customWidth="1"/>
    <col min="4382" max="4382" width="15.28515625" style="112" customWidth="1"/>
    <col min="4383" max="4383" width="12.85546875" style="112" customWidth="1"/>
    <col min="4384" max="4384" width="13.85546875" style="112" customWidth="1"/>
    <col min="4385" max="4385" width="14.5703125" style="112" customWidth="1"/>
    <col min="4386" max="4387" width="14.28515625" style="112" customWidth="1"/>
    <col min="4388" max="4388" width="14.5703125" style="112" customWidth="1"/>
    <col min="4389" max="4389" width="14.28515625" style="112" customWidth="1"/>
    <col min="4390" max="4390" width="12.5703125" style="112" customWidth="1"/>
    <col min="4391" max="4391" width="11" style="112" customWidth="1"/>
    <col min="4392" max="4608" width="9.140625" style="112"/>
    <col min="4609" max="4609" width="3.5703125" style="112" customWidth="1"/>
    <col min="4610" max="4610" width="13.85546875" style="112" customWidth="1"/>
    <col min="4611" max="4611" width="15.5703125" style="112" customWidth="1"/>
    <col min="4612" max="4612" width="15.7109375" style="112" customWidth="1"/>
    <col min="4613" max="4613" width="15.42578125" style="112" customWidth="1"/>
    <col min="4614" max="4614" width="14" style="112" customWidth="1"/>
    <col min="4615" max="4616" width="13.85546875" style="112" customWidth="1"/>
    <col min="4617" max="4617" width="12.42578125" style="112" customWidth="1"/>
    <col min="4618" max="4618" width="13.85546875" style="112" customWidth="1"/>
    <col min="4619" max="4619" width="16.7109375" style="112" customWidth="1"/>
    <col min="4620" max="4621" width="14.28515625" style="112" customWidth="1"/>
    <col min="4622" max="4622" width="14" style="112" customWidth="1"/>
    <col min="4623" max="4623" width="15.28515625" style="112" customWidth="1"/>
    <col min="4624" max="4624" width="15.5703125" style="112" customWidth="1"/>
    <col min="4625" max="4625" width="15.140625" style="112" customWidth="1"/>
    <col min="4626" max="4626" width="13.5703125" style="112" customWidth="1"/>
    <col min="4627" max="4628" width="14" style="112" customWidth="1"/>
    <col min="4629" max="4630" width="14.140625" style="112" customWidth="1"/>
    <col min="4631" max="4631" width="14.28515625" style="112" customWidth="1"/>
    <col min="4632" max="4632" width="12.140625" style="112" customWidth="1"/>
    <col min="4633" max="4633" width="14.5703125" style="112" customWidth="1"/>
    <col min="4634" max="4634" width="14.7109375" style="112" customWidth="1"/>
    <col min="4635" max="4635" width="13" style="112" customWidth="1"/>
    <col min="4636" max="4636" width="14.5703125" style="112" customWidth="1"/>
    <col min="4637" max="4637" width="12.28515625" style="112" customWidth="1"/>
    <col min="4638" max="4638" width="15.28515625" style="112" customWidth="1"/>
    <col min="4639" max="4639" width="12.85546875" style="112" customWidth="1"/>
    <col min="4640" max="4640" width="13.85546875" style="112" customWidth="1"/>
    <col min="4641" max="4641" width="14.5703125" style="112" customWidth="1"/>
    <col min="4642" max="4643" width="14.28515625" style="112" customWidth="1"/>
    <col min="4644" max="4644" width="14.5703125" style="112" customWidth="1"/>
    <col min="4645" max="4645" width="14.28515625" style="112" customWidth="1"/>
    <col min="4646" max="4646" width="12.5703125" style="112" customWidth="1"/>
    <col min="4647" max="4647" width="11" style="112" customWidth="1"/>
    <col min="4648" max="4864" width="9.140625" style="112"/>
    <col min="4865" max="4865" width="3.5703125" style="112" customWidth="1"/>
    <col min="4866" max="4866" width="13.85546875" style="112" customWidth="1"/>
    <col min="4867" max="4867" width="15.5703125" style="112" customWidth="1"/>
    <col min="4868" max="4868" width="15.7109375" style="112" customWidth="1"/>
    <col min="4869" max="4869" width="15.42578125" style="112" customWidth="1"/>
    <col min="4870" max="4870" width="14" style="112" customWidth="1"/>
    <col min="4871" max="4872" width="13.85546875" style="112" customWidth="1"/>
    <col min="4873" max="4873" width="12.42578125" style="112" customWidth="1"/>
    <col min="4874" max="4874" width="13.85546875" style="112" customWidth="1"/>
    <col min="4875" max="4875" width="16.7109375" style="112" customWidth="1"/>
    <col min="4876" max="4877" width="14.28515625" style="112" customWidth="1"/>
    <col min="4878" max="4878" width="14" style="112" customWidth="1"/>
    <col min="4879" max="4879" width="15.28515625" style="112" customWidth="1"/>
    <col min="4880" max="4880" width="15.5703125" style="112" customWidth="1"/>
    <col min="4881" max="4881" width="15.140625" style="112" customWidth="1"/>
    <col min="4882" max="4882" width="13.5703125" style="112" customWidth="1"/>
    <col min="4883" max="4884" width="14" style="112" customWidth="1"/>
    <col min="4885" max="4886" width="14.140625" style="112" customWidth="1"/>
    <col min="4887" max="4887" width="14.28515625" style="112" customWidth="1"/>
    <col min="4888" max="4888" width="12.140625" style="112" customWidth="1"/>
    <col min="4889" max="4889" width="14.5703125" style="112" customWidth="1"/>
    <col min="4890" max="4890" width="14.7109375" style="112" customWidth="1"/>
    <col min="4891" max="4891" width="13" style="112" customWidth="1"/>
    <col min="4892" max="4892" width="14.5703125" style="112" customWidth="1"/>
    <col min="4893" max="4893" width="12.28515625" style="112" customWidth="1"/>
    <col min="4894" max="4894" width="15.28515625" style="112" customWidth="1"/>
    <col min="4895" max="4895" width="12.85546875" style="112" customWidth="1"/>
    <col min="4896" max="4896" width="13.85546875" style="112" customWidth="1"/>
    <col min="4897" max="4897" width="14.5703125" style="112" customWidth="1"/>
    <col min="4898" max="4899" width="14.28515625" style="112" customWidth="1"/>
    <col min="4900" max="4900" width="14.5703125" style="112" customWidth="1"/>
    <col min="4901" max="4901" width="14.28515625" style="112" customWidth="1"/>
    <col min="4902" max="4902" width="12.5703125" style="112" customWidth="1"/>
    <col min="4903" max="4903" width="11" style="112" customWidth="1"/>
    <col min="4904" max="5120" width="9.140625" style="112"/>
    <col min="5121" max="5121" width="3.5703125" style="112" customWidth="1"/>
    <col min="5122" max="5122" width="13.85546875" style="112" customWidth="1"/>
    <col min="5123" max="5123" width="15.5703125" style="112" customWidth="1"/>
    <col min="5124" max="5124" width="15.7109375" style="112" customWidth="1"/>
    <col min="5125" max="5125" width="15.42578125" style="112" customWidth="1"/>
    <col min="5126" max="5126" width="14" style="112" customWidth="1"/>
    <col min="5127" max="5128" width="13.85546875" style="112" customWidth="1"/>
    <col min="5129" max="5129" width="12.42578125" style="112" customWidth="1"/>
    <col min="5130" max="5130" width="13.85546875" style="112" customWidth="1"/>
    <col min="5131" max="5131" width="16.7109375" style="112" customWidth="1"/>
    <col min="5132" max="5133" width="14.28515625" style="112" customWidth="1"/>
    <col min="5134" max="5134" width="14" style="112" customWidth="1"/>
    <col min="5135" max="5135" width="15.28515625" style="112" customWidth="1"/>
    <col min="5136" max="5136" width="15.5703125" style="112" customWidth="1"/>
    <col min="5137" max="5137" width="15.140625" style="112" customWidth="1"/>
    <col min="5138" max="5138" width="13.5703125" style="112" customWidth="1"/>
    <col min="5139" max="5140" width="14" style="112" customWidth="1"/>
    <col min="5141" max="5142" width="14.140625" style="112" customWidth="1"/>
    <col min="5143" max="5143" width="14.28515625" style="112" customWidth="1"/>
    <col min="5144" max="5144" width="12.140625" style="112" customWidth="1"/>
    <col min="5145" max="5145" width="14.5703125" style="112" customWidth="1"/>
    <col min="5146" max="5146" width="14.7109375" style="112" customWidth="1"/>
    <col min="5147" max="5147" width="13" style="112" customWidth="1"/>
    <col min="5148" max="5148" width="14.5703125" style="112" customWidth="1"/>
    <col min="5149" max="5149" width="12.28515625" style="112" customWidth="1"/>
    <col min="5150" max="5150" width="15.28515625" style="112" customWidth="1"/>
    <col min="5151" max="5151" width="12.85546875" style="112" customWidth="1"/>
    <col min="5152" max="5152" width="13.85546875" style="112" customWidth="1"/>
    <col min="5153" max="5153" width="14.5703125" style="112" customWidth="1"/>
    <col min="5154" max="5155" width="14.28515625" style="112" customWidth="1"/>
    <col min="5156" max="5156" width="14.5703125" style="112" customWidth="1"/>
    <col min="5157" max="5157" width="14.28515625" style="112" customWidth="1"/>
    <col min="5158" max="5158" width="12.5703125" style="112" customWidth="1"/>
    <col min="5159" max="5159" width="11" style="112" customWidth="1"/>
    <col min="5160" max="5376" width="9.140625" style="112"/>
    <col min="5377" max="5377" width="3.5703125" style="112" customWidth="1"/>
    <col min="5378" max="5378" width="13.85546875" style="112" customWidth="1"/>
    <col min="5379" max="5379" width="15.5703125" style="112" customWidth="1"/>
    <col min="5380" max="5380" width="15.7109375" style="112" customWidth="1"/>
    <col min="5381" max="5381" width="15.42578125" style="112" customWidth="1"/>
    <col min="5382" max="5382" width="14" style="112" customWidth="1"/>
    <col min="5383" max="5384" width="13.85546875" style="112" customWidth="1"/>
    <col min="5385" max="5385" width="12.42578125" style="112" customWidth="1"/>
    <col min="5386" max="5386" width="13.85546875" style="112" customWidth="1"/>
    <col min="5387" max="5387" width="16.7109375" style="112" customWidth="1"/>
    <col min="5388" max="5389" width="14.28515625" style="112" customWidth="1"/>
    <col min="5390" max="5390" width="14" style="112" customWidth="1"/>
    <col min="5391" max="5391" width="15.28515625" style="112" customWidth="1"/>
    <col min="5392" max="5392" width="15.5703125" style="112" customWidth="1"/>
    <col min="5393" max="5393" width="15.140625" style="112" customWidth="1"/>
    <col min="5394" max="5394" width="13.5703125" style="112" customWidth="1"/>
    <col min="5395" max="5396" width="14" style="112" customWidth="1"/>
    <col min="5397" max="5398" width="14.140625" style="112" customWidth="1"/>
    <col min="5399" max="5399" width="14.28515625" style="112" customWidth="1"/>
    <col min="5400" max="5400" width="12.140625" style="112" customWidth="1"/>
    <col min="5401" max="5401" width="14.5703125" style="112" customWidth="1"/>
    <col min="5402" max="5402" width="14.7109375" style="112" customWidth="1"/>
    <col min="5403" max="5403" width="13" style="112" customWidth="1"/>
    <col min="5404" max="5404" width="14.5703125" style="112" customWidth="1"/>
    <col min="5405" max="5405" width="12.28515625" style="112" customWidth="1"/>
    <col min="5406" max="5406" width="15.28515625" style="112" customWidth="1"/>
    <col min="5407" max="5407" width="12.85546875" style="112" customWidth="1"/>
    <col min="5408" max="5408" width="13.85546875" style="112" customWidth="1"/>
    <col min="5409" max="5409" width="14.5703125" style="112" customWidth="1"/>
    <col min="5410" max="5411" width="14.28515625" style="112" customWidth="1"/>
    <col min="5412" max="5412" width="14.5703125" style="112" customWidth="1"/>
    <col min="5413" max="5413" width="14.28515625" style="112" customWidth="1"/>
    <col min="5414" max="5414" width="12.5703125" style="112" customWidth="1"/>
    <col min="5415" max="5415" width="11" style="112" customWidth="1"/>
    <col min="5416" max="5632" width="9.140625" style="112"/>
    <col min="5633" max="5633" width="3.5703125" style="112" customWidth="1"/>
    <col min="5634" max="5634" width="13.85546875" style="112" customWidth="1"/>
    <col min="5635" max="5635" width="15.5703125" style="112" customWidth="1"/>
    <col min="5636" max="5636" width="15.7109375" style="112" customWidth="1"/>
    <col min="5637" max="5637" width="15.42578125" style="112" customWidth="1"/>
    <col min="5638" max="5638" width="14" style="112" customWidth="1"/>
    <col min="5639" max="5640" width="13.85546875" style="112" customWidth="1"/>
    <col min="5641" max="5641" width="12.42578125" style="112" customWidth="1"/>
    <col min="5642" max="5642" width="13.85546875" style="112" customWidth="1"/>
    <col min="5643" max="5643" width="16.7109375" style="112" customWidth="1"/>
    <col min="5644" max="5645" width="14.28515625" style="112" customWidth="1"/>
    <col min="5646" max="5646" width="14" style="112" customWidth="1"/>
    <col min="5647" max="5647" width="15.28515625" style="112" customWidth="1"/>
    <col min="5648" max="5648" width="15.5703125" style="112" customWidth="1"/>
    <col min="5649" max="5649" width="15.140625" style="112" customWidth="1"/>
    <col min="5650" max="5650" width="13.5703125" style="112" customWidth="1"/>
    <col min="5651" max="5652" width="14" style="112" customWidth="1"/>
    <col min="5653" max="5654" width="14.140625" style="112" customWidth="1"/>
    <col min="5655" max="5655" width="14.28515625" style="112" customWidth="1"/>
    <col min="5656" max="5656" width="12.140625" style="112" customWidth="1"/>
    <col min="5657" max="5657" width="14.5703125" style="112" customWidth="1"/>
    <col min="5658" max="5658" width="14.7109375" style="112" customWidth="1"/>
    <col min="5659" max="5659" width="13" style="112" customWidth="1"/>
    <col min="5660" max="5660" width="14.5703125" style="112" customWidth="1"/>
    <col min="5661" max="5661" width="12.28515625" style="112" customWidth="1"/>
    <col min="5662" max="5662" width="15.28515625" style="112" customWidth="1"/>
    <col min="5663" max="5663" width="12.85546875" style="112" customWidth="1"/>
    <col min="5664" max="5664" width="13.85546875" style="112" customWidth="1"/>
    <col min="5665" max="5665" width="14.5703125" style="112" customWidth="1"/>
    <col min="5666" max="5667" width="14.28515625" style="112" customWidth="1"/>
    <col min="5668" max="5668" width="14.5703125" style="112" customWidth="1"/>
    <col min="5669" max="5669" width="14.28515625" style="112" customWidth="1"/>
    <col min="5670" max="5670" width="12.5703125" style="112" customWidth="1"/>
    <col min="5671" max="5671" width="11" style="112" customWidth="1"/>
    <col min="5672" max="5888" width="9.140625" style="112"/>
    <col min="5889" max="5889" width="3.5703125" style="112" customWidth="1"/>
    <col min="5890" max="5890" width="13.85546875" style="112" customWidth="1"/>
    <col min="5891" max="5891" width="15.5703125" style="112" customWidth="1"/>
    <col min="5892" max="5892" width="15.7109375" style="112" customWidth="1"/>
    <col min="5893" max="5893" width="15.42578125" style="112" customWidth="1"/>
    <col min="5894" max="5894" width="14" style="112" customWidth="1"/>
    <col min="5895" max="5896" width="13.85546875" style="112" customWidth="1"/>
    <col min="5897" max="5897" width="12.42578125" style="112" customWidth="1"/>
    <col min="5898" max="5898" width="13.85546875" style="112" customWidth="1"/>
    <col min="5899" max="5899" width="16.7109375" style="112" customWidth="1"/>
    <col min="5900" max="5901" width="14.28515625" style="112" customWidth="1"/>
    <col min="5902" max="5902" width="14" style="112" customWidth="1"/>
    <col min="5903" max="5903" width="15.28515625" style="112" customWidth="1"/>
    <col min="5904" max="5904" width="15.5703125" style="112" customWidth="1"/>
    <col min="5905" max="5905" width="15.140625" style="112" customWidth="1"/>
    <col min="5906" max="5906" width="13.5703125" style="112" customWidth="1"/>
    <col min="5907" max="5908" width="14" style="112" customWidth="1"/>
    <col min="5909" max="5910" width="14.140625" style="112" customWidth="1"/>
    <col min="5911" max="5911" width="14.28515625" style="112" customWidth="1"/>
    <col min="5912" max="5912" width="12.140625" style="112" customWidth="1"/>
    <col min="5913" max="5913" width="14.5703125" style="112" customWidth="1"/>
    <col min="5914" max="5914" width="14.7109375" style="112" customWidth="1"/>
    <col min="5915" max="5915" width="13" style="112" customWidth="1"/>
    <col min="5916" max="5916" width="14.5703125" style="112" customWidth="1"/>
    <col min="5917" max="5917" width="12.28515625" style="112" customWidth="1"/>
    <col min="5918" max="5918" width="15.28515625" style="112" customWidth="1"/>
    <col min="5919" max="5919" width="12.85546875" style="112" customWidth="1"/>
    <col min="5920" max="5920" width="13.85546875" style="112" customWidth="1"/>
    <col min="5921" max="5921" width="14.5703125" style="112" customWidth="1"/>
    <col min="5922" max="5923" width="14.28515625" style="112" customWidth="1"/>
    <col min="5924" max="5924" width="14.5703125" style="112" customWidth="1"/>
    <col min="5925" max="5925" width="14.28515625" style="112" customWidth="1"/>
    <col min="5926" max="5926" width="12.5703125" style="112" customWidth="1"/>
    <col min="5927" max="5927" width="11" style="112" customWidth="1"/>
    <col min="5928" max="6144" width="9.140625" style="112"/>
    <col min="6145" max="6145" width="3.5703125" style="112" customWidth="1"/>
    <col min="6146" max="6146" width="13.85546875" style="112" customWidth="1"/>
    <col min="6147" max="6147" width="15.5703125" style="112" customWidth="1"/>
    <col min="6148" max="6148" width="15.7109375" style="112" customWidth="1"/>
    <col min="6149" max="6149" width="15.42578125" style="112" customWidth="1"/>
    <col min="6150" max="6150" width="14" style="112" customWidth="1"/>
    <col min="6151" max="6152" width="13.85546875" style="112" customWidth="1"/>
    <col min="6153" max="6153" width="12.42578125" style="112" customWidth="1"/>
    <col min="6154" max="6154" width="13.85546875" style="112" customWidth="1"/>
    <col min="6155" max="6155" width="16.7109375" style="112" customWidth="1"/>
    <col min="6156" max="6157" width="14.28515625" style="112" customWidth="1"/>
    <col min="6158" max="6158" width="14" style="112" customWidth="1"/>
    <col min="6159" max="6159" width="15.28515625" style="112" customWidth="1"/>
    <col min="6160" max="6160" width="15.5703125" style="112" customWidth="1"/>
    <col min="6161" max="6161" width="15.140625" style="112" customWidth="1"/>
    <col min="6162" max="6162" width="13.5703125" style="112" customWidth="1"/>
    <col min="6163" max="6164" width="14" style="112" customWidth="1"/>
    <col min="6165" max="6166" width="14.140625" style="112" customWidth="1"/>
    <col min="6167" max="6167" width="14.28515625" style="112" customWidth="1"/>
    <col min="6168" max="6168" width="12.140625" style="112" customWidth="1"/>
    <col min="6169" max="6169" width="14.5703125" style="112" customWidth="1"/>
    <col min="6170" max="6170" width="14.7109375" style="112" customWidth="1"/>
    <col min="6171" max="6171" width="13" style="112" customWidth="1"/>
    <col min="6172" max="6172" width="14.5703125" style="112" customWidth="1"/>
    <col min="6173" max="6173" width="12.28515625" style="112" customWidth="1"/>
    <col min="6174" max="6174" width="15.28515625" style="112" customWidth="1"/>
    <col min="6175" max="6175" width="12.85546875" style="112" customWidth="1"/>
    <col min="6176" max="6176" width="13.85546875" style="112" customWidth="1"/>
    <col min="6177" max="6177" width="14.5703125" style="112" customWidth="1"/>
    <col min="6178" max="6179" width="14.28515625" style="112" customWidth="1"/>
    <col min="6180" max="6180" width="14.5703125" style="112" customWidth="1"/>
    <col min="6181" max="6181" width="14.28515625" style="112" customWidth="1"/>
    <col min="6182" max="6182" width="12.5703125" style="112" customWidth="1"/>
    <col min="6183" max="6183" width="11" style="112" customWidth="1"/>
    <col min="6184" max="6400" width="9.140625" style="112"/>
    <col min="6401" max="6401" width="3.5703125" style="112" customWidth="1"/>
    <col min="6402" max="6402" width="13.85546875" style="112" customWidth="1"/>
    <col min="6403" max="6403" width="15.5703125" style="112" customWidth="1"/>
    <col min="6404" max="6404" width="15.7109375" style="112" customWidth="1"/>
    <col min="6405" max="6405" width="15.42578125" style="112" customWidth="1"/>
    <col min="6406" max="6406" width="14" style="112" customWidth="1"/>
    <col min="6407" max="6408" width="13.85546875" style="112" customWidth="1"/>
    <col min="6409" max="6409" width="12.42578125" style="112" customWidth="1"/>
    <col min="6410" max="6410" width="13.85546875" style="112" customWidth="1"/>
    <col min="6411" max="6411" width="16.7109375" style="112" customWidth="1"/>
    <col min="6412" max="6413" width="14.28515625" style="112" customWidth="1"/>
    <col min="6414" max="6414" width="14" style="112" customWidth="1"/>
    <col min="6415" max="6415" width="15.28515625" style="112" customWidth="1"/>
    <col min="6416" max="6416" width="15.5703125" style="112" customWidth="1"/>
    <col min="6417" max="6417" width="15.140625" style="112" customWidth="1"/>
    <col min="6418" max="6418" width="13.5703125" style="112" customWidth="1"/>
    <col min="6419" max="6420" width="14" style="112" customWidth="1"/>
    <col min="6421" max="6422" width="14.140625" style="112" customWidth="1"/>
    <col min="6423" max="6423" width="14.28515625" style="112" customWidth="1"/>
    <col min="6424" max="6424" width="12.140625" style="112" customWidth="1"/>
    <col min="6425" max="6425" width="14.5703125" style="112" customWidth="1"/>
    <col min="6426" max="6426" width="14.7109375" style="112" customWidth="1"/>
    <col min="6427" max="6427" width="13" style="112" customWidth="1"/>
    <col min="6428" max="6428" width="14.5703125" style="112" customWidth="1"/>
    <col min="6429" max="6429" width="12.28515625" style="112" customWidth="1"/>
    <col min="6430" max="6430" width="15.28515625" style="112" customWidth="1"/>
    <col min="6431" max="6431" width="12.85546875" style="112" customWidth="1"/>
    <col min="6432" max="6432" width="13.85546875" style="112" customWidth="1"/>
    <col min="6433" max="6433" width="14.5703125" style="112" customWidth="1"/>
    <col min="6434" max="6435" width="14.28515625" style="112" customWidth="1"/>
    <col min="6436" max="6436" width="14.5703125" style="112" customWidth="1"/>
    <col min="6437" max="6437" width="14.28515625" style="112" customWidth="1"/>
    <col min="6438" max="6438" width="12.5703125" style="112" customWidth="1"/>
    <col min="6439" max="6439" width="11" style="112" customWidth="1"/>
    <col min="6440" max="6656" width="9.140625" style="112"/>
    <col min="6657" max="6657" width="3.5703125" style="112" customWidth="1"/>
    <col min="6658" max="6658" width="13.85546875" style="112" customWidth="1"/>
    <col min="6659" max="6659" width="15.5703125" style="112" customWidth="1"/>
    <col min="6660" max="6660" width="15.7109375" style="112" customWidth="1"/>
    <col min="6661" max="6661" width="15.42578125" style="112" customWidth="1"/>
    <col min="6662" max="6662" width="14" style="112" customWidth="1"/>
    <col min="6663" max="6664" width="13.85546875" style="112" customWidth="1"/>
    <col min="6665" max="6665" width="12.42578125" style="112" customWidth="1"/>
    <col min="6666" max="6666" width="13.85546875" style="112" customWidth="1"/>
    <col min="6667" max="6667" width="16.7109375" style="112" customWidth="1"/>
    <col min="6668" max="6669" width="14.28515625" style="112" customWidth="1"/>
    <col min="6670" max="6670" width="14" style="112" customWidth="1"/>
    <col min="6671" max="6671" width="15.28515625" style="112" customWidth="1"/>
    <col min="6672" max="6672" width="15.5703125" style="112" customWidth="1"/>
    <col min="6673" max="6673" width="15.140625" style="112" customWidth="1"/>
    <col min="6674" max="6674" width="13.5703125" style="112" customWidth="1"/>
    <col min="6675" max="6676" width="14" style="112" customWidth="1"/>
    <col min="6677" max="6678" width="14.140625" style="112" customWidth="1"/>
    <col min="6679" max="6679" width="14.28515625" style="112" customWidth="1"/>
    <col min="6680" max="6680" width="12.140625" style="112" customWidth="1"/>
    <col min="6681" max="6681" width="14.5703125" style="112" customWidth="1"/>
    <col min="6682" max="6682" width="14.7109375" style="112" customWidth="1"/>
    <col min="6683" max="6683" width="13" style="112" customWidth="1"/>
    <col min="6684" max="6684" width="14.5703125" style="112" customWidth="1"/>
    <col min="6685" max="6685" width="12.28515625" style="112" customWidth="1"/>
    <col min="6686" max="6686" width="15.28515625" style="112" customWidth="1"/>
    <col min="6687" max="6687" width="12.85546875" style="112" customWidth="1"/>
    <col min="6688" max="6688" width="13.85546875" style="112" customWidth="1"/>
    <col min="6689" max="6689" width="14.5703125" style="112" customWidth="1"/>
    <col min="6690" max="6691" width="14.28515625" style="112" customWidth="1"/>
    <col min="6692" max="6692" width="14.5703125" style="112" customWidth="1"/>
    <col min="6693" max="6693" width="14.28515625" style="112" customWidth="1"/>
    <col min="6694" max="6694" width="12.5703125" style="112" customWidth="1"/>
    <col min="6695" max="6695" width="11" style="112" customWidth="1"/>
    <col min="6696" max="6912" width="9.140625" style="112"/>
    <col min="6913" max="6913" width="3.5703125" style="112" customWidth="1"/>
    <col min="6914" max="6914" width="13.85546875" style="112" customWidth="1"/>
    <col min="6915" max="6915" width="15.5703125" style="112" customWidth="1"/>
    <col min="6916" max="6916" width="15.7109375" style="112" customWidth="1"/>
    <col min="6917" max="6917" width="15.42578125" style="112" customWidth="1"/>
    <col min="6918" max="6918" width="14" style="112" customWidth="1"/>
    <col min="6919" max="6920" width="13.85546875" style="112" customWidth="1"/>
    <col min="6921" max="6921" width="12.42578125" style="112" customWidth="1"/>
    <col min="6922" max="6922" width="13.85546875" style="112" customWidth="1"/>
    <col min="6923" max="6923" width="16.7109375" style="112" customWidth="1"/>
    <col min="6924" max="6925" width="14.28515625" style="112" customWidth="1"/>
    <col min="6926" max="6926" width="14" style="112" customWidth="1"/>
    <col min="6927" max="6927" width="15.28515625" style="112" customWidth="1"/>
    <col min="6928" max="6928" width="15.5703125" style="112" customWidth="1"/>
    <col min="6929" max="6929" width="15.140625" style="112" customWidth="1"/>
    <col min="6930" max="6930" width="13.5703125" style="112" customWidth="1"/>
    <col min="6931" max="6932" width="14" style="112" customWidth="1"/>
    <col min="6933" max="6934" width="14.140625" style="112" customWidth="1"/>
    <col min="6935" max="6935" width="14.28515625" style="112" customWidth="1"/>
    <col min="6936" max="6936" width="12.140625" style="112" customWidth="1"/>
    <col min="6937" max="6937" width="14.5703125" style="112" customWidth="1"/>
    <col min="6938" max="6938" width="14.7109375" style="112" customWidth="1"/>
    <col min="6939" max="6939" width="13" style="112" customWidth="1"/>
    <col min="6940" max="6940" width="14.5703125" style="112" customWidth="1"/>
    <col min="6941" max="6941" width="12.28515625" style="112" customWidth="1"/>
    <col min="6942" max="6942" width="15.28515625" style="112" customWidth="1"/>
    <col min="6943" max="6943" width="12.85546875" style="112" customWidth="1"/>
    <col min="6944" max="6944" width="13.85546875" style="112" customWidth="1"/>
    <col min="6945" max="6945" width="14.5703125" style="112" customWidth="1"/>
    <col min="6946" max="6947" width="14.28515625" style="112" customWidth="1"/>
    <col min="6948" max="6948" width="14.5703125" style="112" customWidth="1"/>
    <col min="6949" max="6949" width="14.28515625" style="112" customWidth="1"/>
    <col min="6950" max="6950" width="12.5703125" style="112" customWidth="1"/>
    <col min="6951" max="6951" width="11" style="112" customWidth="1"/>
    <col min="6952" max="7168" width="9.140625" style="112"/>
    <col min="7169" max="7169" width="3.5703125" style="112" customWidth="1"/>
    <col min="7170" max="7170" width="13.85546875" style="112" customWidth="1"/>
    <col min="7171" max="7171" width="15.5703125" style="112" customWidth="1"/>
    <col min="7172" max="7172" width="15.7109375" style="112" customWidth="1"/>
    <col min="7173" max="7173" width="15.42578125" style="112" customWidth="1"/>
    <col min="7174" max="7174" width="14" style="112" customWidth="1"/>
    <col min="7175" max="7176" width="13.85546875" style="112" customWidth="1"/>
    <col min="7177" max="7177" width="12.42578125" style="112" customWidth="1"/>
    <col min="7178" max="7178" width="13.85546875" style="112" customWidth="1"/>
    <col min="7179" max="7179" width="16.7109375" style="112" customWidth="1"/>
    <col min="7180" max="7181" width="14.28515625" style="112" customWidth="1"/>
    <col min="7182" max="7182" width="14" style="112" customWidth="1"/>
    <col min="7183" max="7183" width="15.28515625" style="112" customWidth="1"/>
    <col min="7184" max="7184" width="15.5703125" style="112" customWidth="1"/>
    <col min="7185" max="7185" width="15.140625" style="112" customWidth="1"/>
    <col min="7186" max="7186" width="13.5703125" style="112" customWidth="1"/>
    <col min="7187" max="7188" width="14" style="112" customWidth="1"/>
    <col min="7189" max="7190" width="14.140625" style="112" customWidth="1"/>
    <col min="7191" max="7191" width="14.28515625" style="112" customWidth="1"/>
    <col min="7192" max="7192" width="12.140625" style="112" customWidth="1"/>
    <col min="7193" max="7193" width="14.5703125" style="112" customWidth="1"/>
    <col min="7194" max="7194" width="14.7109375" style="112" customWidth="1"/>
    <col min="7195" max="7195" width="13" style="112" customWidth="1"/>
    <col min="7196" max="7196" width="14.5703125" style="112" customWidth="1"/>
    <col min="7197" max="7197" width="12.28515625" style="112" customWidth="1"/>
    <col min="7198" max="7198" width="15.28515625" style="112" customWidth="1"/>
    <col min="7199" max="7199" width="12.85546875" style="112" customWidth="1"/>
    <col min="7200" max="7200" width="13.85546875" style="112" customWidth="1"/>
    <col min="7201" max="7201" width="14.5703125" style="112" customWidth="1"/>
    <col min="7202" max="7203" width="14.28515625" style="112" customWidth="1"/>
    <col min="7204" max="7204" width="14.5703125" style="112" customWidth="1"/>
    <col min="7205" max="7205" width="14.28515625" style="112" customWidth="1"/>
    <col min="7206" max="7206" width="12.5703125" style="112" customWidth="1"/>
    <col min="7207" max="7207" width="11" style="112" customWidth="1"/>
    <col min="7208" max="7424" width="9.140625" style="112"/>
    <col min="7425" max="7425" width="3.5703125" style="112" customWidth="1"/>
    <col min="7426" max="7426" width="13.85546875" style="112" customWidth="1"/>
    <col min="7427" max="7427" width="15.5703125" style="112" customWidth="1"/>
    <col min="7428" max="7428" width="15.7109375" style="112" customWidth="1"/>
    <col min="7429" max="7429" width="15.42578125" style="112" customWidth="1"/>
    <col min="7430" max="7430" width="14" style="112" customWidth="1"/>
    <col min="7431" max="7432" width="13.85546875" style="112" customWidth="1"/>
    <col min="7433" max="7433" width="12.42578125" style="112" customWidth="1"/>
    <col min="7434" max="7434" width="13.85546875" style="112" customWidth="1"/>
    <col min="7435" max="7435" width="16.7109375" style="112" customWidth="1"/>
    <col min="7436" max="7437" width="14.28515625" style="112" customWidth="1"/>
    <col min="7438" max="7438" width="14" style="112" customWidth="1"/>
    <col min="7439" max="7439" width="15.28515625" style="112" customWidth="1"/>
    <col min="7440" max="7440" width="15.5703125" style="112" customWidth="1"/>
    <col min="7441" max="7441" width="15.140625" style="112" customWidth="1"/>
    <col min="7442" max="7442" width="13.5703125" style="112" customWidth="1"/>
    <col min="7443" max="7444" width="14" style="112" customWidth="1"/>
    <col min="7445" max="7446" width="14.140625" style="112" customWidth="1"/>
    <col min="7447" max="7447" width="14.28515625" style="112" customWidth="1"/>
    <col min="7448" max="7448" width="12.140625" style="112" customWidth="1"/>
    <col min="7449" max="7449" width="14.5703125" style="112" customWidth="1"/>
    <col min="7450" max="7450" width="14.7109375" style="112" customWidth="1"/>
    <col min="7451" max="7451" width="13" style="112" customWidth="1"/>
    <col min="7452" max="7452" width="14.5703125" style="112" customWidth="1"/>
    <col min="7453" max="7453" width="12.28515625" style="112" customWidth="1"/>
    <col min="7454" max="7454" width="15.28515625" style="112" customWidth="1"/>
    <col min="7455" max="7455" width="12.85546875" style="112" customWidth="1"/>
    <col min="7456" max="7456" width="13.85546875" style="112" customWidth="1"/>
    <col min="7457" max="7457" width="14.5703125" style="112" customWidth="1"/>
    <col min="7458" max="7459" width="14.28515625" style="112" customWidth="1"/>
    <col min="7460" max="7460" width="14.5703125" style="112" customWidth="1"/>
    <col min="7461" max="7461" width="14.28515625" style="112" customWidth="1"/>
    <col min="7462" max="7462" width="12.5703125" style="112" customWidth="1"/>
    <col min="7463" max="7463" width="11" style="112" customWidth="1"/>
    <col min="7464" max="7680" width="9.140625" style="112"/>
    <col min="7681" max="7681" width="3.5703125" style="112" customWidth="1"/>
    <col min="7682" max="7682" width="13.85546875" style="112" customWidth="1"/>
    <col min="7683" max="7683" width="15.5703125" style="112" customWidth="1"/>
    <col min="7684" max="7684" width="15.7109375" style="112" customWidth="1"/>
    <col min="7685" max="7685" width="15.42578125" style="112" customWidth="1"/>
    <col min="7686" max="7686" width="14" style="112" customWidth="1"/>
    <col min="7687" max="7688" width="13.85546875" style="112" customWidth="1"/>
    <col min="7689" max="7689" width="12.42578125" style="112" customWidth="1"/>
    <col min="7690" max="7690" width="13.85546875" style="112" customWidth="1"/>
    <col min="7691" max="7691" width="16.7109375" style="112" customWidth="1"/>
    <col min="7692" max="7693" width="14.28515625" style="112" customWidth="1"/>
    <col min="7694" max="7694" width="14" style="112" customWidth="1"/>
    <col min="7695" max="7695" width="15.28515625" style="112" customWidth="1"/>
    <col min="7696" max="7696" width="15.5703125" style="112" customWidth="1"/>
    <col min="7697" max="7697" width="15.140625" style="112" customWidth="1"/>
    <col min="7698" max="7698" width="13.5703125" style="112" customWidth="1"/>
    <col min="7699" max="7700" width="14" style="112" customWidth="1"/>
    <col min="7701" max="7702" width="14.140625" style="112" customWidth="1"/>
    <col min="7703" max="7703" width="14.28515625" style="112" customWidth="1"/>
    <col min="7704" max="7704" width="12.140625" style="112" customWidth="1"/>
    <col min="7705" max="7705" width="14.5703125" style="112" customWidth="1"/>
    <col min="7706" max="7706" width="14.7109375" style="112" customWidth="1"/>
    <col min="7707" max="7707" width="13" style="112" customWidth="1"/>
    <col min="7708" max="7708" width="14.5703125" style="112" customWidth="1"/>
    <col min="7709" max="7709" width="12.28515625" style="112" customWidth="1"/>
    <col min="7710" max="7710" width="15.28515625" style="112" customWidth="1"/>
    <col min="7711" max="7711" width="12.85546875" style="112" customWidth="1"/>
    <col min="7712" max="7712" width="13.85546875" style="112" customWidth="1"/>
    <col min="7713" max="7713" width="14.5703125" style="112" customWidth="1"/>
    <col min="7714" max="7715" width="14.28515625" style="112" customWidth="1"/>
    <col min="7716" max="7716" width="14.5703125" style="112" customWidth="1"/>
    <col min="7717" max="7717" width="14.28515625" style="112" customWidth="1"/>
    <col min="7718" max="7718" width="12.5703125" style="112" customWidth="1"/>
    <col min="7719" max="7719" width="11" style="112" customWidth="1"/>
    <col min="7720" max="7936" width="9.140625" style="112"/>
    <col min="7937" max="7937" width="3.5703125" style="112" customWidth="1"/>
    <col min="7938" max="7938" width="13.85546875" style="112" customWidth="1"/>
    <col min="7939" max="7939" width="15.5703125" style="112" customWidth="1"/>
    <col min="7940" max="7940" width="15.7109375" style="112" customWidth="1"/>
    <col min="7941" max="7941" width="15.42578125" style="112" customWidth="1"/>
    <col min="7942" max="7942" width="14" style="112" customWidth="1"/>
    <col min="7943" max="7944" width="13.85546875" style="112" customWidth="1"/>
    <col min="7945" max="7945" width="12.42578125" style="112" customWidth="1"/>
    <col min="7946" max="7946" width="13.85546875" style="112" customWidth="1"/>
    <col min="7947" max="7947" width="16.7109375" style="112" customWidth="1"/>
    <col min="7948" max="7949" width="14.28515625" style="112" customWidth="1"/>
    <col min="7950" max="7950" width="14" style="112" customWidth="1"/>
    <col min="7951" max="7951" width="15.28515625" style="112" customWidth="1"/>
    <col min="7952" max="7952" width="15.5703125" style="112" customWidth="1"/>
    <col min="7953" max="7953" width="15.140625" style="112" customWidth="1"/>
    <col min="7954" max="7954" width="13.5703125" style="112" customWidth="1"/>
    <col min="7955" max="7956" width="14" style="112" customWidth="1"/>
    <col min="7957" max="7958" width="14.140625" style="112" customWidth="1"/>
    <col min="7959" max="7959" width="14.28515625" style="112" customWidth="1"/>
    <col min="7960" max="7960" width="12.140625" style="112" customWidth="1"/>
    <col min="7961" max="7961" width="14.5703125" style="112" customWidth="1"/>
    <col min="7962" max="7962" width="14.7109375" style="112" customWidth="1"/>
    <col min="7963" max="7963" width="13" style="112" customWidth="1"/>
    <col min="7964" max="7964" width="14.5703125" style="112" customWidth="1"/>
    <col min="7965" max="7965" width="12.28515625" style="112" customWidth="1"/>
    <col min="7966" max="7966" width="15.28515625" style="112" customWidth="1"/>
    <col min="7967" max="7967" width="12.85546875" style="112" customWidth="1"/>
    <col min="7968" max="7968" width="13.85546875" style="112" customWidth="1"/>
    <col min="7969" max="7969" width="14.5703125" style="112" customWidth="1"/>
    <col min="7970" max="7971" width="14.28515625" style="112" customWidth="1"/>
    <col min="7972" max="7972" width="14.5703125" style="112" customWidth="1"/>
    <col min="7973" max="7973" width="14.28515625" style="112" customWidth="1"/>
    <col min="7974" max="7974" width="12.5703125" style="112" customWidth="1"/>
    <col min="7975" max="7975" width="11" style="112" customWidth="1"/>
    <col min="7976" max="8192" width="9.140625" style="112"/>
    <col min="8193" max="8193" width="3.5703125" style="112" customWidth="1"/>
    <col min="8194" max="8194" width="13.85546875" style="112" customWidth="1"/>
    <col min="8195" max="8195" width="15.5703125" style="112" customWidth="1"/>
    <col min="8196" max="8196" width="15.7109375" style="112" customWidth="1"/>
    <col min="8197" max="8197" width="15.42578125" style="112" customWidth="1"/>
    <col min="8198" max="8198" width="14" style="112" customWidth="1"/>
    <col min="8199" max="8200" width="13.85546875" style="112" customWidth="1"/>
    <col min="8201" max="8201" width="12.42578125" style="112" customWidth="1"/>
    <col min="8202" max="8202" width="13.85546875" style="112" customWidth="1"/>
    <col min="8203" max="8203" width="16.7109375" style="112" customWidth="1"/>
    <col min="8204" max="8205" width="14.28515625" style="112" customWidth="1"/>
    <col min="8206" max="8206" width="14" style="112" customWidth="1"/>
    <col min="8207" max="8207" width="15.28515625" style="112" customWidth="1"/>
    <col min="8208" max="8208" width="15.5703125" style="112" customWidth="1"/>
    <col min="8209" max="8209" width="15.140625" style="112" customWidth="1"/>
    <col min="8210" max="8210" width="13.5703125" style="112" customWidth="1"/>
    <col min="8211" max="8212" width="14" style="112" customWidth="1"/>
    <col min="8213" max="8214" width="14.140625" style="112" customWidth="1"/>
    <col min="8215" max="8215" width="14.28515625" style="112" customWidth="1"/>
    <col min="8216" max="8216" width="12.140625" style="112" customWidth="1"/>
    <col min="8217" max="8217" width="14.5703125" style="112" customWidth="1"/>
    <col min="8218" max="8218" width="14.7109375" style="112" customWidth="1"/>
    <col min="8219" max="8219" width="13" style="112" customWidth="1"/>
    <col min="8220" max="8220" width="14.5703125" style="112" customWidth="1"/>
    <col min="8221" max="8221" width="12.28515625" style="112" customWidth="1"/>
    <col min="8222" max="8222" width="15.28515625" style="112" customWidth="1"/>
    <col min="8223" max="8223" width="12.85546875" style="112" customWidth="1"/>
    <col min="8224" max="8224" width="13.85546875" style="112" customWidth="1"/>
    <col min="8225" max="8225" width="14.5703125" style="112" customWidth="1"/>
    <col min="8226" max="8227" width="14.28515625" style="112" customWidth="1"/>
    <col min="8228" max="8228" width="14.5703125" style="112" customWidth="1"/>
    <col min="8229" max="8229" width="14.28515625" style="112" customWidth="1"/>
    <col min="8230" max="8230" width="12.5703125" style="112" customWidth="1"/>
    <col min="8231" max="8231" width="11" style="112" customWidth="1"/>
    <col min="8232" max="8448" width="9.140625" style="112"/>
    <col min="8449" max="8449" width="3.5703125" style="112" customWidth="1"/>
    <col min="8450" max="8450" width="13.85546875" style="112" customWidth="1"/>
    <col min="8451" max="8451" width="15.5703125" style="112" customWidth="1"/>
    <col min="8452" max="8452" width="15.7109375" style="112" customWidth="1"/>
    <col min="8453" max="8453" width="15.42578125" style="112" customWidth="1"/>
    <col min="8454" max="8454" width="14" style="112" customWidth="1"/>
    <col min="8455" max="8456" width="13.85546875" style="112" customWidth="1"/>
    <col min="8457" max="8457" width="12.42578125" style="112" customWidth="1"/>
    <col min="8458" max="8458" width="13.85546875" style="112" customWidth="1"/>
    <col min="8459" max="8459" width="16.7109375" style="112" customWidth="1"/>
    <col min="8460" max="8461" width="14.28515625" style="112" customWidth="1"/>
    <col min="8462" max="8462" width="14" style="112" customWidth="1"/>
    <col min="8463" max="8463" width="15.28515625" style="112" customWidth="1"/>
    <col min="8464" max="8464" width="15.5703125" style="112" customWidth="1"/>
    <col min="8465" max="8465" width="15.140625" style="112" customWidth="1"/>
    <col min="8466" max="8466" width="13.5703125" style="112" customWidth="1"/>
    <col min="8467" max="8468" width="14" style="112" customWidth="1"/>
    <col min="8469" max="8470" width="14.140625" style="112" customWidth="1"/>
    <col min="8471" max="8471" width="14.28515625" style="112" customWidth="1"/>
    <col min="8472" max="8472" width="12.140625" style="112" customWidth="1"/>
    <col min="8473" max="8473" width="14.5703125" style="112" customWidth="1"/>
    <col min="8474" max="8474" width="14.7109375" style="112" customWidth="1"/>
    <col min="8475" max="8475" width="13" style="112" customWidth="1"/>
    <col min="8476" max="8476" width="14.5703125" style="112" customWidth="1"/>
    <col min="8477" max="8477" width="12.28515625" style="112" customWidth="1"/>
    <col min="8478" max="8478" width="15.28515625" style="112" customWidth="1"/>
    <col min="8479" max="8479" width="12.85546875" style="112" customWidth="1"/>
    <col min="8480" max="8480" width="13.85546875" style="112" customWidth="1"/>
    <col min="8481" max="8481" width="14.5703125" style="112" customWidth="1"/>
    <col min="8482" max="8483" width="14.28515625" style="112" customWidth="1"/>
    <col min="8484" max="8484" width="14.5703125" style="112" customWidth="1"/>
    <col min="8485" max="8485" width="14.28515625" style="112" customWidth="1"/>
    <col min="8486" max="8486" width="12.5703125" style="112" customWidth="1"/>
    <col min="8487" max="8487" width="11" style="112" customWidth="1"/>
    <col min="8488" max="8704" width="9.140625" style="112"/>
    <col min="8705" max="8705" width="3.5703125" style="112" customWidth="1"/>
    <col min="8706" max="8706" width="13.85546875" style="112" customWidth="1"/>
    <col min="8707" max="8707" width="15.5703125" style="112" customWidth="1"/>
    <col min="8708" max="8708" width="15.7109375" style="112" customWidth="1"/>
    <col min="8709" max="8709" width="15.42578125" style="112" customWidth="1"/>
    <col min="8710" max="8710" width="14" style="112" customWidth="1"/>
    <col min="8711" max="8712" width="13.85546875" style="112" customWidth="1"/>
    <col min="8713" max="8713" width="12.42578125" style="112" customWidth="1"/>
    <col min="8714" max="8714" width="13.85546875" style="112" customWidth="1"/>
    <col min="8715" max="8715" width="16.7109375" style="112" customWidth="1"/>
    <col min="8716" max="8717" width="14.28515625" style="112" customWidth="1"/>
    <col min="8718" max="8718" width="14" style="112" customWidth="1"/>
    <col min="8719" max="8719" width="15.28515625" style="112" customWidth="1"/>
    <col min="8720" max="8720" width="15.5703125" style="112" customWidth="1"/>
    <col min="8721" max="8721" width="15.140625" style="112" customWidth="1"/>
    <col min="8722" max="8722" width="13.5703125" style="112" customWidth="1"/>
    <col min="8723" max="8724" width="14" style="112" customWidth="1"/>
    <col min="8725" max="8726" width="14.140625" style="112" customWidth="1"/>
    <col min="8727" max="8727" width="14.28515625" style="112" customWidth="1"/>
    <col min="8728" max="8728" width="12.140625" style="112" customWidth="1"/>
    <col min="8729" max="8729" width="14.5703125" style="112" customWidth="1"/>
    <col min="8730" max="8730" width="14.7109375" style="112" customWidth="1"/>
    <col min="8731" max="8731" width="13" style="112" customWidth="1"/>
    <col min="8732" max="8732" width="14.5703125" style="112" customWidth="1"/>
    <col min="8733" max="8733" width="12.28515625" style="112" customWidth="1"/>
    <col min="8734" max="8734" width="15.28515625" style="112" customWidth="1"/>
    <col min="8735" max="8735" width="12.85546875" style="112" customWidth="1"/>
    <col min="8736" max="8736" width="13.85546875" style="112" customWidth="1"/>
    <col min="8737" max="8737" width="14.5703125" style="112" customWidth="1"/>
    <col min="8738" max="8739" width="14.28515625" style="112" customWidth="1"/>
    <col min="8740" max="8740" width="14.5703125" style="112" customWidth="1"/>
    <col min="8741" max="8741" width="14.28515625" style="112" customWidth="1"/>
    <col min="8742" max="8742" width="12.5703125" style="112" customWidth="1"/>
    <col min="8743" max="8743" width="11" style="112" customWidth="1"/>
    <col min="8744" max="8960" width="9.140625" style="112"/>
    <col min="8961" max="8961" width="3.5703125" style="112" customWidth="1"/>
    <col min="8962" max="8962" width="13.85546875" style="112" customWidth="1"/>
    <col min="8963" max="8963" width="15.5703125" style="112" customWidth="1"/>
    <col min="8964" max="8964" width="15.7109375" style="112" customWidth="1"/>
    <col min="8965" max="8965" width="15.42578125" style="112" customWidth="1"/>
    <col min="8966" max="8966" width="14" style="112" customWidth="1"/>
    <col min="8967" max="8968" width="13.85546875" style="112" customWidth="1"/>
    <col min="8969" max="8969" width="12.42578125" style="112" customWidth="1"/>
    <col min="8970" max="8970" width="13.85546875" style="112" customWidth="1"/>
    <col min="8971" max="8971" width="16.7109375" style="112" customWidth="1"/>
    <col min="8972" max="8973" width="14.28515625" style="112" customWidth="1"/>
    <col min="8974" max="8974" width="14" style="112" customWidth="1"/>
    <col min="8975" max="8975" width="15.28515625" style="112" customWidth="1"/>
    <col min="8976" max="8976" width="15.5703125" style="112" customWidth="1"/>
    <col min="8977" max="8977" width="15.140625" style="112" customWidth="1"/>
    <col min="8978" max="8978" width="13.5703125" style="112" customWidth="1"/>
    <col min="8979" max="8980" width="14" style="112" customWidth="1"/>
    <col min="8981" max="8982" width="14.140625" style="112" customWidth="1"/>
    <col min="8983" max="8983" width="14.28515625" style="112" customWidth="1"/>
    <col min="8984" max="8984" width="12.140625" style="112" customWidth="1"/>
    <col min="8985" max="8985" width="14.5703125" style="112" customWidth="1"/>
    <col min="8986" max="8986" width="14.7109375" style="112" customWidth="1"/>
    <col min="8987" max="8987" width="13" style="112" customWidth="1"/>
    <col min="8988" max="8988" width="14.5703125" style="112" customWidth="1"/>
    <col min="8989" max="8989" width="12.28515625" style="112" customWidth="1"/>
    <col min="8990" max="8990" width="15.28515625" style="112" customWidth="1"/>
    <col min="8991" max="8991" width="12.85546875" style="112" customWidth="1"/>
    <col min="8992" max="8992" width="13.85546875" style="112" customWidth="1"/>
    <col min="8993" max="8993" width="14.5703125" style="112" customWidth="1"/>
    <col min="8994" max="8995" width="14.28515625" style="112" customWidth="1"/>
    <col min="8996" max="8996" width="14.5703125" style="112" customWidth="1"/>
    <col min="8997" max="8997" width="14.28515625" style="112" customWidth="1"/>
    <col min="8998" max="8998" width="12.5703125" style="112" customWidth="1"/>
    <col min="8999" max="8999" width="11" style="112" customWidth="1"/>
    <col min="9000" max="9216" width="9.140625" style="112"/>
    <col min="9217" max="9217" width="3.5703125" style="112" customWidth="1"/>
    <col min="9218" max="9218" width="13.85546875" style="112" customWidth="1"/>
    <col min="9219" max="9219" width="15.5703125" style="112" customWidth="1"/>
    <col min="9220" max="9220" width="15.7109375" style="112" customWidth="1"/>
    <col min="9221" max="9221" width="15.42578125" style="112" customWidth="1"/>
    <col min="9222" max="9222" width="14" style="112" customWidth="1"/>
    <col min="9223" max="9224" width="13.85546875" style="112" customWidth="1"/>
    <col min="9225" max="9225" width="12.42578125" style="112" customWidth="1"/>
    <col min="9226" max="9226" width="13.85546875" style="112" customWidth="1"/>
    <col min="9227" max="9227" width="16.7109375" style="112" customWidth="1"/>
    <col min="9228" max="9229" width="14.28515625" style="112" customWidth="1"/>
    <col min="9230" max="9230" width="14" style="112" customWidth="1"/>
    <col min="9231" max="9231" width="15.28515625" style="112" customWidth="1"/>
    <col min="9232" max="9232" width="15.5703125" style="112" customWidth="1"/>
    <col min="9233" max="9233" width="15.140625" style="112" customWidth="1"/>
    <col min="9234" max="9234" width="13.5703125" style="112" customWidth="1"/>
    <col min="9235" max="9236" width="14" style="112" customWidth="1"/>
    <col min="9237" max="9238" width="14.140625" style="112" customWidth="1"/>
    <col min="9239" max="9239" width="14.28515625" style="112" customWidth="1"/>
    <col min="9240" max="9240" width="12.140625" style="112" customWidth="1"/>
    <col min="9241" max="9241" width="14.5703125" style="112" customWidth="1"/>
    <col min="9242" max="9242" width="14.7109375" style="112" customWidth="1"/>
    <col min="9243" max="9243" width="13" style="112" customWidth="1"/>
    <col min="9244" max="9244" width="14.5703125" style="112" customWidth="1"/>
    <col min="9245" max="9245" width="12.28515625" style="112" customWidth="1"/>
    <col min="9246" max="9246" width="15.28515625" style="112" customWidth="1"/>
    <col min="9247" max="9247" width="12.85546875" style="112" customWidth="1"/>
    <col min="9248" max="9248" width="13.85546875" style="112" customWidth="1"/>
    <col min="9249" max="9249" width="14.5703125" style="112" customWidth="1"/>
    <col min="9250" max="9251" width="14.28515625" style="112" customWidth="1"/>
    <col min="9252" max="9252" width="14.5703125" style="112" customWidth="1"/>
    <col min="9253" max="9253" width="14.28515625" style="112" customWidth="1"/>
    <col min="9254" max="9254" width="12.5703125" style="112" customWidth="1"/>
    <col min="9255" max="9255" width="11" style="112" customWidth="1"/>
    <col min="9256" max="9472" width="9.140625" style="112"/>
    <col min="9473" max="9473" width="3.5703125" style="112" customWidth="1"/>
    <col min="9474" max="9474" width="13.85546875" style="112" customWidth="1"/>
    <col min="9475" max="9475" width="15.5703125" style="112" customWidth="1"/>
    <col min="9476" max="9476" width="15.7109375" style="112" customWidth="1"/>
    <col min="9477" max="9477" width="15.42578125" style="112" customWidth="1"/>
    <col min="9478" max="9478" width="14" style="112" customWidth="1"/>
    <col min="9479" max="9480" width="13.85546875" style="112" customWidth="1"/>
    <col min="9481" max="9481" width="12.42578125" style="112" customWidth="1"/>
    <col min="9482" max="9482" width="13.85546875" style="112" customWidth="1"/>
    <col min="9483" max="9483" width="16.7109375" style="112" customWidth="1"/>
    <col min="9484" max="9485" width="14.28515625" style="112" customWidth="1"/>
    <col min="9486" max="9486" width="14" style="112" customWidth="1"/>
    <col min="9487" max="9487" width="15.28515625" style="112" customWidth="1"/>
    <col min="9488" max="9488" width="15.5703125" style="112" customWidth="1"/>
    <col min="9489" max="9489" width="15.140625" style="112" customWidth="1"/>
    <col min="9490" max="9490" width="13.5703125" style="112" customWidth="1"/>
    <col min="9491" max="9492" width="14" style="112" customWidth="1"/>
    <col min="9493" max="9494" width="14.140625" style="112" customWidth="1"/>
    <col min="9495" max="9495" width="14.28515625" style="112" customWidth="1"/>
    <col min="9496" max="9496" width="12.140625" style="112" customWidth="1"/>
    <col min="9497" max="9497" width="14.5703125" style="112" customWidth="1"/>
    <col min="9498" max="9498" width="14.7109375" style="112" customWidth="1"/>
    <col min="9499" max="9499" width="13" style="112" customWidth="1"/>
    <col min="9500" max="9500" width="14.5703125" style="112" customWidth="1"/>
    <col min="9501" max="9501" width="12.28515625" style="112" customWidth="1"/>
    <col min="9502" max="9502" width="15.28515625" style="112" customWidth="1"/>
    <col min="9503" max="9503" width="12.85546875" style="112" customWidth="1"/>
    <col min="9504" max="9504" width="13.85546875" style="112" customWidth="1"/>
    <col min="9505" max="9505" width="14.5703125" style="112" customWidth="1"/>
    <col min="9506" max="9507" width="14.28515625" style="112" customWidth="1"/>
    <col min="9508" max="9508" width="14.5703125" style="112" customWidth="1"/>
    <col min="9509" max="9509" width="14.28515625" style="112" customWidth="1"/>
    <col min="9510" max="9510" width="12.5703125" style="112" customWidth="1"/>
    <col min="9511" max="9511" width="11" style="112" customWidth="1"/>
    <col min="9512" max="9728" width="9.140625" style="112"/>
    <col min="9729" max="9729" width="3.5703125" style="112" customWidth="1"/>
    <col min="9730" max="9730" width="13.85546875" style="112" customWidth="1"/>
    <col min="9731" max="9731" width="15.5703125" style="112" customWidth="1"/>
    <col min="9732" max="9732" width="15.7109375" style="112" customWidth="1"/>
    <col min="9733" max="9733" width="15.42578125" style="112" customWidth="1"/>
    <col min="9734" max="9734" width="14" style="112" customWidth="1"/>
    <col min="9735" max="9736" width="13.85546875" style="112" customWidth="1"/>
    <col min="9737" max="9737" width="12.42578125" style="112" customWidth="1"/>
    <col min="9738" max="9738" width="13.85546875" style="112" customWidth="1"/>
    <col min="9739" max="9739" width="16.7109375" style="112" customWidth="1"/>
    <col min="9740" max="9741" width="14.28515625" style="112" customWidth="1"/>
    <col min="9742" max="9742" width="14" style="112" customWidth="1"/>
    <col min="9743" max="9743" width="15.28515625" style="112" customWidth="1"/>
    <col min="9744" max="9744" width="15.5703125" style="112" customWidth="1"/>
    <col min="9745" max="9745" width="15.140625" style="112" customWidth="1"/>
    <col min="9746" max="9746" width="13.5703125" style="112" customWidth="1"/>
    <col min="9747" max="9748" width="14" style="112" customWidth="1"/>
    <col min="9749" max="9750" width="14.140625" style="112" customWidth="1"/>
    <col min="9751" max="9751" width="14.28515625" style="112" customWidth="1"/>
    <col min="9752" max="9752" width="12.140625" style="112" customWidth="1"/>
    <col min="9753" max="9753" width="14.5703125" style="112" customWidth="1"/>
    <col min="9754" max="9754" width="14.7109375" style="112" customWidth="1"/>
    <col min="9755" max="9755" width="13" style="112" customWidth="1"/>
    <col min="9756" max="9756" width="14.5703125" style="112" customWidth="1"/>
    <col min="9757" max="9757" width="12.28515625" style="112" customWidth="1"/>
    <col min="9758" max="9758" width="15.28515625" style="112" customWidth="1"/>
    <col min="9759" max="9759" width="12.85546875" style="112" customWidth="1"/>
    <col min="9760" max="9760" width="13.85546875" style="112" customWidth="1"/>
    <col min="9761" max="9761" width="14.5703125" style="112" customWidth="1"/>
    <col min="9762" max="9763" width="14.28515625" style="112" customWidth="1"/>
    <col min="9764" max="9764" width="14.5703125" style="112" customWidth="1"/>
    <col min="9765" max="9765" width="14.28515625" style="112" customWidth="1"/>
    <col min="9766" max="9766" width="12.5703125" style="112" customWidth="1"/>
    <col min="9767" max="9767" width="11" style="112" customWidth="1"/>
    <col min="9768" max="9984" width="9.140625" style="112"/>
    <col min="9985" max="9985" width="3.5703125" style="112" customWidth="1"/>
    <col min="9986" max="9986" width="13.85546875" style="112" customWidth="1"/>
    <col min="9987" max="9987" width="15.5703125" style="112" customWidth="1"/>
    <col min="9988" max="9988" width="15.7109375" style="112" customWidth="1"/>
    <col min="9989" max="9989" width="15.42578125" style="112" customWidth="1"/>
    <col min="9990" max="9990" width="14" style="112" customWidth="1"/>
    <col min="9991" max="9992" width="13.85546875" style="112" customWidth="1"/>
    <col min="9993" max="9993" width="12.42578125" style="112" customWidth="1"/>
    <col min="9994" max="9994" width="13.85546875" style="112" customWidth="1"/>
    <col min="9995" max="9995" width="16.7109375" style="112" customWidth="1"/>
    <col min="9996" max="9997" width="14.28515625" style="112" customWidth="1"/>
    <col min="9998" max="9998" width="14" style="112" customWidth="1"/>
    <col min="9999" max="9999" width="15.28515625" style="112" customWidth="1"/>
    <col min="10000" max="10000" width="15.5703125" style="112" customWidth="1"/>
    <col min="10001" max="10001" width="15.140625" style="112" customWidth="1"/>
    <col min="10002" max="10002" width="13.5703125" style="112" customWidth="1"/>
    <col min="10003" max="10004" width="14" style="112" customWidth="1"/>
    <col min="10005" max="10006" width="14.140625" style="112" customWidth="1"/>
    <col min="10007" max="10007" width="14.28515625" style="112" customWidth="1"/>
    <col min="10008" max="10008" width="12.140625" style="112" customWidth="1"/>
    <col min="10009" max="10009" width="14.5703125" style="112" customWidth="1"/>
    <col min="10010" max="10010" width="14.7109375" style="112" customWidth="1"/>
    <col min="10011" max="10011" width="13" style="112" customWidth="1"/>
    <col min="10012" max="10012" width="14.5703125" style="112" customWidth="1"/>
    <col min="10013" max="10013" width="12.28515625" style="112" customWidth="1"/>
    <col min="10014" max="10014" width="15.28515625" style="112" customWidth="1"/>
    <col min="10015" max="10015" width="12.85546875" style="112" customWidth="1"/>
    <col min="10016" max="10016" width="13.85546875" style="112" customWidth="1"/>
    <col min="10017" max="10017" width="14.5703125" style="112" customWidth="1"/>
    <col min="10018" max="10019" width="14.28515625" style="112" customWidth="1"/>
    <col min="10020" max="10020" width="14.5703125" style="112" customWidth="1"/>
    <col min="10021" max="10021" width="14.28515625" style="112" customWidth="1"/>
    <col min="10022" max="10022" width="12.5703125" style="112" customWidth="1"/>
    <col min="10023" max="10023" width="11" style="112" customWidth="1"/>
    <col min="10024" max="10240" width="9.140625" style="112"/>
    <col min="10241" max="10241" width="3.5703125" style="112" customWidth="1"/>
    <col min="10242" max="10242" width="13.85546875" style="112" customWidth="1"/>
    <col min="10243" max="10243" width="15.5703125" style="112" customWidth="1"/>
    <col min="10244" max="10244" width="15.7109375" style="112" customWidth="1"/>
    <col min="10245" max="10245" width="15.42578125" style="112" customWidth="1"/>
    <col min="10246" max="10246" width="14" style="112" customWidth="1"/>
    <col min="10247" max="10248" width="13.85546875" style="112" customWidth="1"/>
    <col min="10249" max="10249" width="12.42578125" style="112" customWidth="1"/>
    <col min="10250" max="10250" width="13.85546875" style="112" customWidth="1"/>
    <col min="10251" max="10251" width="16.7109375" style="112" customWidth="1"/>
    <col min="10252" max="10253" width="14.28515625" style="112" customWidth="1"/>
    <col min="10254" max="10254" width="14" style="112" customWidth="1"/>
    <col min="10255" max="10255" width="15.28515625" style="112" customWidth="1"/>
    <col min="10256" max="10256" width="15.5703125" style="112" customWidth="1"/>
    <col min="10257" max="10257" width="15.140625" style="112" customWidth="1"/>
    <col min="10258" max="10258" width="13.5703125" style="112" customWidth="1"/>
    <col min="10259" max="10260" width="14" style="112" customWidth="1"/>
    <col min="10261" max="10262" width="14.140625" style="112" customWidth="1"/>
    <col min="10263" max="10263" width="14.28515625" style="112" customWidth="1"/>
    <col min="10264" max="10264" width="12.140625" style="112" customWidth="1"/>
    <col min="10265" max="10265" width="14.5703125" style="112" customWidth="1"/>
    <col min="10266" max="10266" width="14.7109375" style="112" customWidth="1"/>
    <col min="10267" max="10267" width="13" style="112" customWidth="1"/>
    <col min="10268" max="10268" width="14.5703125" style="112" customWidth="1"/>
    <col min="10269" max="10269" width="12.28515625" style="112" customWidth="1"/>
    <col min="10270" max="10270" width="15.28515625" style="112" customWidth="1"/>
    <col min="10271" max="10271" width="12.85546875" style="112" customWidth="1"/>
    <col min="10272" max="10272" width="13.85546875" style="112" customWidth="1"/>
    <col min="10273" max="10273" width="14.5703125" style="112" customWidth="1"/>
    <col min="10274" max="10275" width="14.28515625" style="112" customWidth="1"/>
    <col min="10276" max="10276" width="14.5703125" style="112" customWidth="1"/>
    <col min="10277" max="10277" width="14.28515625" style="112" customWidth="1"/>
    <col min="10278" max="10278" width="12.5703125" style="112" customWidth="1"/>
    <col min="10279" max="10279" width="11" style="112" customWidth="1"/>
    <col min="10280" max="10496" width="9.140625" style="112"/>
    <col min="10497" max="10497" width="3.5703125" style="112" customWidth="1"/>
    <col min="10498" max="10498" width="13.85546875" style="112" customWidth="1"/>
    <col min="10499" max="10499" width="15.5703125" style="112" customWidth="1"/>
    <col min="10500" max="10500" width="15.7109375" style="112" customWidth="1"/>
    <col min="10501" max="10501" width="15.42578125" style="112" customWidth="1"/>
    <col min="10502" max="10502" width="14" style="112" customWidth="1"/>
    <col min="10503" max="10504" width="13.85546875" style="112" customWidth="1"/>
    <col min="10505" max="10505" width="12.42578125" style="112" customWidth="1"/>
    <col min="10506" max="10506" width="13.85546875" style="112" customWidth="1"/>
    <col min="10507" max="10507" width="16.7109375" style="112" customWidth="1"/>
    <col min="10508" max="10509" width="14.28515625" style="112" customWidth="1"/>
    <col min="10510" max="10510" width="14" style="112" customWidth="1"/>
    <col min="10511" max="10511" width="15.28515625" style="112" customWidth="1"/>
    <col min="10512" max="10512" width="15.5703125" style="112" customWidth="1"/>
    <col min="10513" max="10513" width="15.140625" style="112" customWidth="1"/>
    <col min="10514" max="10514" width="13.5703125" style="112" customWidth="1"/>
    <col min="10515" max="10516" width="14" style="112" customWidth="1"/>
    <col min="10517" max="10518" width="14.140625" style="112" customWidth="1"/>
    <col min="10519" max="10519" width="14.28515625" style="112" customWidth="1"/>
    <col min="10520" max="10520" width="12.140625" style="112" customWidth="1"/>
    <col min="10521" max="10521" width="14.5703125" style="112" customWidth="1"/>
    <col min="10522" max="10522" width="14.7109375" style="112" customWidth="1"/>
    <col min="10523" max="10523" width="13" style="112" customWidth="1"/>
    <col min="10524" max="10524" width="14.5703125" style="112" customWidth="1"/>
    <col min="10525" max="10525" width="12.28515625" style="112" customWidth="1"/>
    <col min="10526" max="10526" width="15.28515625" style="112" customWidth="1"/>
    <col min="10527" max="10527" width="12.85546875" style="112" customWidth="1"/>
    <col min="10528" max="10528" width="13.85546875" style="112" customWidth="1"/>
    <col min="10529" max="10529" width="14.5703125" style="112" customWidth="1"/>
    <col min="10530" max="10531" width="14.28515625" style="112" customWidth="1"/>
    <col min="10532" max="10532" width="14.5703125" style="112" customWidth="1"/>
    <col min="10533" max="10533" width="14.28515625" style="112" customWidth="1"/>
    <col min="10534" max="10534" width="12.5703125" style="112" customWidth="1"/>
    <col min="10535" max="10535" width="11" style="112" customWidth="1"/>
    <col min="10536" max="10752" width="9.140625" style="112"/>
    <col min="10753" max="10753" width="3.5703125" style="112" customWidth="1"/>
    <col min="10754" max="10754" width="13.85546875" style="112" customWidth="1"/>
    <col min="10755" max="10755" width="15.5703125" style="112" customWidth="1"/>
    <col min="10756" max="10756" width="15.7109375" style="112" customWidth="1"/>
    <col min="10757" max="10757" width="15.42578125" style="112" customWidth="1"/>
    <col min="10758" max="10758" width="14" style="112" customWidth="1"/>
    <col min="10759" max="10760" width="13.85546875" style="112" customWidth="1"/>
    <col min="10761" max="10761" width="12.42578125" style="112" customWidth="1"/>
    <col min="10762" max="10762" width="13.85546875" style="112" customWidth="1"/>
    <col min="10763" max="10763" width="16.7109375" style="112" customWidth="1"/>
    <col min="10764" max="10765" width="14.28515625" style="112" customWidth="1"/>
    <col min="10766" max="10766" width="14" style="112" customWidth="1"/>
    <col min="10767" max="10767" width="15.28515625" style="112" customWidth="1"/>
    <col min="10768" max="10768" width="15.5703125" style="112" customWidth="1"/>
    <col min="10769" max="10769" width="15.140625" style="112" customWidth="1"/>
    <col min="10770" max="10770" width="13.5703125" style="112" customWidth="1"/>
    <col min="10771" max="10772" width="14" style="112" customWidth="1"/>
    <col min="10773" max="10774" width="14.140625" style="112" customWidth="1"/>
    <col min="10775" max="10775" width="14.28515625" style="112" customWidth="1"/>
    <col min="10776" max="10776" width="12.140625" style="112" customWidth="1"/>
    <col min="10777" max="10777" width="14.5703125" style="112" customWidth="1"/>
    <col min="10778" max="10778" width="14.7109375" style="112" customWidth="1"/>
    <col min="10779" max="10779" width="13" style="112" customWidth="1"/>
    <col min="10780" max="10780" width="14.5703125" style="112" customWidth="1"/>
    <col min="10781" max="10781" width="12.28515625" style="112" customWidth="1"/>
    <col min="10782" max="10782" width="15.28515625" style="112" customWidth="1"/>
    <col min="10783" max="10783" width="12.85546875" style="112" customWidth="1"/>
    <col min="10784" max="10784" width="13.85546875" style="112" customWidth="1"/>
    <col min="10785" max="10785" width="14.5703125" style="112" customWidth="1"/>
    <col min="10786" max="10787" width="14.28515625" style="112" customWidth="1"/>
    <col min="10788" max="10788" width="14.5703125" style="112" customWidth="1"/>
    <col min="10789" max="10789" width="14.28515625" style="112" customWidth="1"/>
    <col min="10790" max="10790" width="12.5703125" style="112" customWidth="1"/>
    <col min="10791" max="10791" width="11" style="112" customWidth="1"/>
    <col min="10792" max="11008" width="9.140625" style="112"/>
    <col min="11009" max="11009" width="3.5703125" style="112" customWidth="1"/>
    <col min="11010" max="11010" width="13.85546875" style="112" customWidth="1"/>
    <col min="11011" max="11011" width="15.5703125" style="112" customWidth="1"/>
    <col min="11012" max="11012" width="15.7109375" style="112" customWidth="1"/>
    <col min="11013" max="11013" width="15.42578125" style="112" customWidth="1"/>
    <col min="11014" max="11014" width="14" style="112" customWidth="1"/>
    <col min="11015" max="11016" width="13.85546875" style="112" customWidth="1"/>
    <col min="11017" max="11017" width="12.42578125" style="112" customWidth="1"/>
    <col min="11018" max="11018" width="13.85546875" style="112" customWidth="1"/>
    <col min="11019" max="11019" width="16.7109375" style="112" customWidth="1"/>
    <col min="11020" max="11021" width="14.28515625" style="112" customWidth="1"/>
    <col min="11022" max="11022" width="14" style="112" customWidth="1"/>
    <col min="11023" max="11023" width="15.28515625" style="112" customWidth="1"/>
    <col min="11024" max="11024" width="15.5703125" style="112" customWidth="1"/>
    <col min="11025" max="11025" width="15.140625" style="112" customWidth="1"/>
    <col min="11026" max="11026" width="13.5703125" style="112" customWidth="1"/>
    <col min="11027" max="11028" width="14" style="112" customWidth="1"/>
    <col min="11029" max="11030" width="14.140625" style="112" customWidth="1"/>
    <col min="11031" max="11031" width="14.28515625" style="112" customWidth="1"/>
    <col min="11032" max="11032" width="12.140625" style="112" customWidth="1"/>
    <col min="11033" max="11033" width="14.5703125" style="112" customWidth="1"/>
    <col min="11034" max="11034" width="14.7109375" style="112" customWidth="1"/>
    <col min="11035" max="11035" width="13" style="112" customWidth="1"/>
    <col min="11036" max="11036" width="14.5703125" style="112" customWidth="1"/>
    <col min="11037" max="11037" width="12.28515625" style="112" customWidth="1"/>
    <col min="11038" max="11038" width="15.28515625" style="112" customWidth="1"/>
    <col min="11039" max="11039" width="12.85546875" style="112" customWidth="1"/>
    <col min="11040" max="11040" width="13.85546875" style="112" customWidth="1"/>
    <col min="11041" max="11041" width="14.5703125" style="112" customWidth="1"/>
    <col min="11042" max="11043" width="14.28515625" style="112" customWidth="1"/>
    <col min="11044" max="11044" width="14.5703125" style="112" customWidth="1"/>
    <col min="11045" max="11045" width="14.28515625" style="112" customWidth="1"/>
    <col min="11046" max="11046" width="12.5703125" style="112" customWidth="1"/>
    <col min="11047" max="11047" width="11" style="112" customWidth="1"/>
    <col min="11048" max="11264" width="9.140625" style="112"/>
    <col min="11265" max="11265" width="3.5703125" style="112" customWidth="1"/>
    <col min="11266" max="11266" width="13.85546875" style="112" customWidth="1"/>
    <col min="11267" max="11267" width="15.5703125" style="112" customWidth="1"/>
    <col min="11268" max="11268" width="15.7109375" style="112" customWidth="1"/>
    <col min="11269" max="11269" width="15.42578125" style="112" customWidth="1"/>
    <col min="11270" max="11270" width="14" style="112" customWidth="1"/>
    <col min="11271" max="11272" width="13.85546875" style="112" customWidth="1"/>
    <col min="11273" max="11273" width="12.42578125" style="112" customWidth="1"/>
    <col min="11274" max="11274" width="13.85546875" style="112" customWidth="1"/>
    <col min="11275" max="11275" width="16.7109375" style="112" customWidth="1"/>
    <col min="11276" max="11277" width="14.28515625" style="112" customWidth="1"/>
    <col min="11278" max="11278" width="14" style="112" customWidth="1"/>
    <col min="11279" max="11279" width="15.28515625" style="112" customWidth="1"/>
    <col min="11280" max="11280" width="15.5703125" style="112" customWidth="1"/>
    <col min="11281" max="11281" width="15.140625" style="112" customWidth="1"/>
    <col min="11282" max="11282" width="13.5703125" style="112" customWidth="1"/>
    <col min="11283" max="11284" width="14" style="112" customWidth="1"/>
    <col min="11285" max="11286" width="14.140625" style="112" customWidth="1"/>
    <col min="11287" max="11287" width="14.28515625" style="112" customWidth="1"/>
    <col min="11288" max="11288" width="12.140625" style="112" customWidth="1"/>
    <col min="11289" max="11289" width="14.5703125" style="112" customWidth="1"/>
    <col min="11290" max="11290" width="14.7109375" style="112" customWidth="1"/>
    <col min="11291" max="11291" width="13" style="112" customWidth="1"/>
    <col min="11292" max="11292" width="14.5703125" style="112" customWidth="1"/>
    <col min="11293" max="11293" width="12.28515625" style="112" customWidth="1"/>
    <col min="11294" max="11294" width="15.28515625" style="112" customWidth="1"/>
    <col min="11295" max="11295" width="12.85546875" style="112" customWidth="1"/>
    <col min="11296" max="11296" width="13.85546875" style="112" customWidth="1"/>
    <col min="11297" max="11297" width="14.5703125" style="112" customWidth="1"/>
    <col min="11298" max="11299" width="14.28515625" style="112" customWidth="1"/>
    <col min="11300" max="11300" width="14.5703125" style="112" customWidth="1"/>
    <col min="11301" max="11301" width="14.28515625" style="112" customWidth="1"/>
    <col min="11302" max="11302" width="12.5703125" style="112" customWidth="1"/>
    <col min="11303" max="11303" width="11" style="112" customWidth="1"/>
    <col min="11304" max="11520" width="9.140625" style="112"/>
    <col min="11521" max="11521" width="3.5703125" style="112" customWidth="1"/>
    <col min="11522" max="11522" width="13.85546875" style="112" customWidth="1"/>
    <col min="11523" max="11523" width="15.5703125" style="112" customWidth="1"/>
    <col min="11524" max="11524" width="15.7109375" style="112" customWidth="1"/>
    <col min="11525" max="11525" width="15.42578125" style="112" customWidth="1"/>
    <col min="11526" max="11526" width="14" style="112" customWidth="1"/>
    <col min="11527" max="11528" width="13.85546875" style="112" customWidth="1"/>
    <col min="11529" max="11529" width="12.42578125" style="112" customWidth="1"/>
    <col min="11530" max="11530" width="13.85546875" style="112" customWidth="1"/>
    <col min="11531" max="11531" width="16.7109375" style="112" customWidth="1"/>
    <col min="11532" max="11533" width="14.28515625" style="112" customWidth="1"/>
    <col min="11534" max="11534" width="14" style="112" customWidth="1"/>
    <col min="11535" max="11535" width="15.28515625" style="112" customWidth="1"/>
    <col min="11536" max="11536" width="15.5703125" style="112" customWidth="1"/>
    <col min="11537" max="11537" width="15.140625" style="112" customWidth="1"/>
    <col min="11538" max="11538" width="13.5703125" style="112" customWidth="1"/>
    <col min="11539" max="11540" width="14" style="112" customWidth="1"/>
    <col min="11541" max="11542" width="14.140625" style="112" customWidth="1"/>
    <col min="11543" max="11543" width="14.28515625" style="112" customWidth="1"/>
    <col min="11544" max="11544" width="12.140625" style="112" customWidth="1"/>
    <col min="11545" max="11545" width="14.5703125" style="112" customWidth="1"/>
    <col min="11546" max="11546" width="14.7109375" style="112" customWidth="1"/>
    <col min="11547" max="11547" width="13" style="112" customWidth="1"/>
    <col min="11548" max="11548" width="14.5703125" style="112" customWidth="1"/>
    <col min="11549" max="11549" width="12.28515625" style="112" customWidth="1"/>
    <col min="11550" max="11550" width="15.28515625" style="112" customWidth="1"/>
    <col min="11551" max="11551" width="12.85546875" style="112" customWidth="1"/>
    <col min="11552" max="11552" width="13.85546875" style="112" customWidth="1"/>
    <col min="11553" max="11553" width="14.5703125" style="112" customWidth="1"/>
    <col min="11554" max="11555" width="14.28515625" style="112" customWidth="1"/>
    <col min="11556" max="11556" width="14.5703125" style="112" customWidth="1"/>
    <col min="11557" max="11557" width="14.28515625" style="112" customWidth="1"/>
    <col min="11558" max="11558" width="12.5703125" style="112" customWidth="1"/>
    <col min="11559" max="11559" width="11" style="112" customWidth="1"/>
    <col min="11560" max="11776" width="9.140625" style="112"/>
    <col min="11777" max="11777" width="3.5703125" style="112" customWidth="1"/>
    <col min="11778" max="11778" width="13.85546875" style="112" customWidth="1"/>
    <col min="11779" max="11779" width="15.5703125" style="112" customWidth="1"/>
    <col min="11780" max="11780" width="15.7109375" style="112" customWidth="1"/>
    <col min="11781" max="11781" width="15.42578125" style="112" customWidth="1"/>
    <col min="11782" max="11782" width="14" style="112" customWidth="1"/>
    <col min="11783" max="11784" width="13.85546875" style="112" customWidth="1"/>
    <col min="11785" max="11785" width="12.42578125" style="112" customWidth="1"/>
    <col min="11786" max="11786" width="13.85546875" style="112" customWidth="1"/>
    <col min="11787" max="11787" width="16.7109375" style="112" customWidth="1"/>
    <col min="11788" max="11789" width="14.28515625" style="112" customWidth="1"/>
    <col min="11790" max="11790" width="14" style="112" customWidth="1"/>
    <col min="11791" max="11791" width="15.28515625" style="112" customWidth="1"/>
    <col min="11792" max="11792" width="15.5703125" style="112" customWidth="1"/>
    <col min="11793" max="11793" width="15.140625" style="112" customWidth="1"/>
    <col min="11794" max="11794" width="13.5703125" style="112" customWidth="1"/>
    <col min="11795" max="11796" width="14" style="112" customWidth="1"/>
    <col min="11797" max="11798" width="14.140625" style="112" customWidth="1"/>
    <col min="11799" max="11799" width="14.28515625" style="112" customWidth="1"/>
    <col min="11800" max="11800" width="12.140625" style="112" customWidth="1"/>
    <col min="11801" max="11801" width="14.5703125" style="112" customWidth="1"/>
    <col min="11802" max="11802" width="14.7109375" style="112" customWidth="1"/>
    <col min="11803" max="11803" width="13" style="112" customWidth="1"/>
    <col min="11804" max="11804" width="14.5703125" style="112" customWidth="1"/>
    <col min="11805" max="11805" width="12.28515625" style="112" customWidth="1"/>
    <col min="11806" max="11806" width="15.28515625" style="112" customWidth="1"/>
    <col min="11807" max="11807" width="12.85546875" style="112" customWidth="1"/>
    <col min="11808" max="11808" width="13.85546875" style="112" customWidth="1"/>
    <col min="11809" max="11809" width="14.5703125" style="112" customWidth="1"/>
    <col min="11810" max="11811" width="14.28515625" style="112" customWidth="1"/>
    <col min="11812" max="11812" width="14.5703125" style="112" customWidth="1"/>
    <col min="11813" max="11813" width="14.28515625" style="112" customWidth="1"/>
    <col min="11814" max="11814" width="12.5703125" style="112" customWidth="1"/>
    <col min="11815" max="11815" width="11" style="112" customWidth="1"/>
    <col min="11816" max="12032" width="9.140625" style="112"/>
    <col min="12033" max="12033" width="3.5703125" style="112" customWidth="1"/>
    <col min="12034" max="12034" width="13.85546875" style="112" customWidth="1"/>
    <col min="12035" max="12035" width="15.5703125" style="112" customWidth="1"/>
    <col min="12036" max="12036" width="15.7109375" style="112" customWidth="1"/>
    <col min="12037" max="12037" width="15.42578125" style="112" customWidth="1"/>
    <col min="12038" max="12038" width="14" style="112" customWidth="1"/>
    <col min="12039" max="12040" width="13.85546875" style="112" customWidth="1"/>
    <col min="12041" max="12041" width="12.42578125" style="112" customWidth="1"/>
    <col min="12042" max="12042" width="13.85546875" style="112" customWidth="1"/>
    <col min="12043" max="12043" width="16.7109375" style="112" customWidth="1"/>
    <col min="12044" max="12045" width="14.28515625" style="112" customWidth="1"/>
    <col min="12046" max="12046" width="14" style="112" customWidth="1"/>
    <col min="12047" max="12047" width="15.28515625" style="112" customWidth="1"/>
    <col min="12048" max="12048" width="15.5703125" style="112" customWidth="1"/>
    <col min="12049" max="12049" width="15.140625" style="112" customWidth="1"/>
    <col min="12050" max="12050" width="13.5703125" style="112" customWidth="1"/>
    <col min="12051" max="12052" width="14" style="112" customWidth="1"/>
    <col min="12053" max="12054" width="14.140625" style="112" customWidth="1"/>
    <col min="12055" max="12055" width="14.28515625" style="112" customWidth="1"/>
    <col min="12056" max="12056" width="12.140625" style="112" customWidth="1"/>
    <col min="12057" max="12057" width="14.5703125" style="112" customWidth="1"/>
    <col min="12058" max="12058" width="14.7109375" style="112" customWidth="1"/>
    <col min="12059" max="12059" width="13" style="112" customWidth="1"/>
    <col min="12060" max="12060" width="14.5703125" style="112" customWidth="1"/>
    <col min="12061" max="12061" width="12.28515625" style="112" customWidth="1"/>
    <col min="12062" max="12062" width="15.28515625" style="112" customWidth="1"/>
    <col min="12063" max="12063" width="12.85546875" style="112" customWidth="1"/>
    <col min="12064" max="12064" width="13.85546875" style="112" customWidth="1"/>
    <col min="12065" max="12065" width="14.5703125" style="112" customWidth="1"/>
    <col min="12066" max="12067" width="14.28515625" style="112" customWidth="1"/>
    <col min="12068" max="12068" width="14.5703125" style="112" customWidth="1"/>
    <col min="12069" max="12069" width="14.28515625" style="112" customWidth="1"/>
    <col min="12070" max="12070" width="12.5703125" style="112" customWidth="1"/>
    <col min="12071" max="12071" width="11" style="112" customWidth="1"/>
    <col min="12072" max="12288" width="9.140625" style="112"/>
    <col min="12289" max="12289" width="3.5703125" style="112" customWidth="1"/>
    <col min="12290" max="12290" width="13.85546875" style="112" customWidth="1"/>
    <col min="12291" max="12291" width="15.5703125" style="112" customWidth="1"/>
    <col min="12292" max="12292" width="15.7109375" style="112" customWidth="1"/>
    <col min="12293" max="12293" width="15.42578125" style="112" customWidth="1"/>
    <col min="12294" max="12294" width="14" style="112" customWidth="1"/>
    <col min="12295" max="12296" width="13.85546875" style="112" customWidth="1"/>
    <col min="12297" max="12297" width="12.42578125" style="112" customWidth="1"/>
    <col min="12298" max="12298" width="13.85546875" style="112" customWidth="1"/>
    <col min="12299" max="12299" width="16.7109375" style="112" customWidth="1"/>
    <col min="12300" max="12301" width="14.28515625" style="112" customWidth="1"/>
    <col min="12302" max="12302" width="14" style="112" customWidth="1"/>
    <col min="12303" max="12303" width="15.28515625" style="112" customWidth="1"/>
    <col min="12304" max="12304" width="15.5703125" style="112" customWidth="1"/>
    <col min="12305" max="12305" width="15.140625" style="112" customWidth="1"/>
    <col min="12306" max="12306" width="13.5703125" style="112" customWidth="1"/>
    <col min="12307" max="12308" width="14" style="112" customWidth="1"/>
    <col min="12309" max="12310" width="14.140625" style="112" customWidth="1"/>
    <col min="12311" max="12311" width="14.28515625" style="112" customWidth="1"/>
    <col min="12312" max="12312" width="12.140625" style="112" customWidth="1"/>
    <col min="12313" max="12313" width="14.5703125" style="112" customWidth="1"/>
    <col min="12314" max="12314" width="14.7109375" style="112" customWidth="1"/>
    <col min="12315" max="12315" width="13" style="112" customWidth="1"/>
    <col min="12316" max="12316" width="14.5703125" style="112" customWidth="1"/>
    <col min="12317" max="12317" width="12.28515625" style="112" customWidth="1"/>
    <col min="12318" max="12318" width="15.28515625" style="112" customWidth="1"/>
    <col min="12319" max="12319" width="12.85546875" style="112" customWidth="1"/>
    <col min="12320" max="12320" width="13.85546875" style="112" customWidth="1"/>
    <col min="12321" max="12321" width="14.5703125" style="112" customWidth="1"/>
    <col min="12322" max="12323" width="14.28515625" style="112" customWidth="1"/>
    <col min="12324" max="12324" width="14.5703125" style="112" customWidth="1"/>
    <col min="12325" max="12325" width="14.28515625" style="112" customWidth="1"/>
    <col min="12326" max="12326" width="12.5703125" style="112" customWidth="1"/>
    <col min="12327" max="12327" width="11" style="112" customWidth="1"/>
    <col min="12328" max="12544" width="9.140625" style="112"/>
    <col min="12545" max="12545" width="3.5703125" style="112" customWidth="1"/>
    <col min="12546" max="12546" width="13.85546875" style="112" customWidth="1"/>
    <col min="12547" max="12547" width="15.5703125" style="112" customWidth="1"/>
    <col min="12548" max="12548" width="15.7109375" style="112" customWidth="1"/>
    <col min="12549" max="12549" width="15.42578125" style="112" customWidth="1"/>
    <col min="12550" max="12550" width="14" style="112" customWidth="1"/>
    <col min="12551" max="12552" width="13.85546875" style="112" customWidth="1"/>
    <col min="12553" max="12553" width="12.42578125" style="112" customWidth="1"/>
    <col min="12554" max="12554" width="13.85546875" style="112" customWidth="1"/>
    <col min="12555" max="12555" width="16.7109375" style="112" customWidth="1"/>
    <col min="12556" max="12557" width="14.28515625" style="112" customWidth="1"/>
    <col min="12558" max="12558" width="14" style="112" customWidth="1"/>
    <col min="12559" max="12559" width="15.28515625" style="112" customWidth="1"/>
    <col min="12560" max="12560" width="15.5703125" style="112" customWidth="1"/>
    <col min="12561" max="12561" width="15.140625" style="112" customWidth="1"/>
    <col min="12562" max="12562" width="13.5703125" style="112" customWidth="1"/>
    <col min="12563" max="12564" width="14" style="112" customWidth="1"/>
    <col min="12565" max="12566" width="14.140625" style="112" customWidth="1"/>
    <col min="12567" max="12567" width="14.28515625" style="112" customWidth="1"/>
    <col min="12568" max="12568" width="12.140625" style="112" customWidth="1"/>
    <col min="12569" max="12569" width="14.5703125" style="112" customWidth="1"/>
    <col min="12570" max="12570" width="14.7109375" style="112" customWidth="1"/>
    <col min="12571" max="12571" width="13" style="112" customWidth="1"/>
    <col min="12572" max="12572" width="14.5703125" style="112" customWidth="1"/>
    <col min="12573" max="12573" width="12.28515625" style="112" customWidth="1"/>
    <col min="12574" max="12574" width="15.28515625" style="112" customWidth="1"/>
    <col min="12575" max="12575" width="12.85546875" style="112" customWidth="1"/>
    <col min="12576" max="12576" width="13.85546875" style="112" customWidth="1"/>
    <col min="12577" max="12577" width="14.5703125" style="112" customWidth="1"/>
    <col min="12578" max="12579" width="14.28515625" style="112" customWidth="1"/>
    <col min="12580" max="12580" width="14.5703125" style="112" customWidth="1"/>
    <col min="12581" max="12581" width="14.28515625" style="112" customWidth="1"/>
    <col min="12582" max="12582" width="12.5703125" style="112" customWidth="1"/>
    <col min="12583" max="12583" width="11" style="112" customWidth="1"/>
    <col min="12584" max="12800" width="9.140625" style="112"/>
    <col min="12801" max="12801" width="3.5703125" style="112" customWidth="1"/>
    <col min="12802" max="12802" width="13.85546875" style="112" customWidth="1"/>
    <col min="12803" max="12803" width="15.5703125" style="112" customWidth="1"/>
    <col min="12804" max="12804" width="15.7109375" style="112" customWidth="1"/>
    <col min="12805" max="12805" width="15.42578125" style="112" customWidth="1"/>
    <col min="12806" max="12806" width="14" style="112" customWidth="1"/>
    <col min="12807" max="12808" width="13.85546875" style="112" customWidth="1"/>
    <col min="12809" max="12809" width="12.42578125" style="112" customWidth="1"/>
    <col min="12810" max="12810" width="13.85546875" style="112" customWidth="1"/>
    <col min="12811" max="12811" width="16.7109375" style="112" customWidth="1"/>
    <col min="12812" max="12813" width="14.28515625" style="112" customWidth="1"/>
    <col min="12814" max="12814" width="14" style="112" customWidth="1"/>
    <col min="12815" max="12815" width="15.28515625" style="112" customWidth="1"/>
    <col min="12816" max="12816" width="15.5703125" style="112" customWidth="1"/>
    <col min="12817" max="12817" width="15.140625" style="112" customWidth="1"/>
    <col min="12818" max="12818" width="13.5703125" style="112" customWidth="1"/>
    <col min="12819" max="12820" width="14" style="112" customWidth="1"/>
    <col min="12821" max="12822" width="14.140625" style="112" customWidth="1"/>
    <col min="12823" max="12823" width="14.28515625" style="112" customWidth="1"/>
    <col min="12824" max="12824" width="12.140625" style="112" customWidth="1"/>
    <col min="12825" max="12825" width="14.5703125" style="112" customWidth="1"/>
    <col min="12826" max="12826" width="14.7109375" style="112" customWidth="1"/>
    <col min="12827" max="12827" width="13" style="112" customWidth="1"/>
    <col min="12828" max="12828" width="14.5703125" style="112" customWidth="1"/>
    <col min="12829" max="12829" width="12.28515625" style="112" customWidth="1"/>
    <col min="12830" max="12830" width="15.28515625" style="112" customWidth="1"/>
    <col min="12831" max="12831" width="12.85546875" style="112" customWidth="1"/>
    <col min="12832" max="12832" width="13.85546875" style="112" customWidth="1"/>
    <col min="12833" max="12833" width="14.5703125" style="112" customWidth="1"/>
    <col min="12834" max="12835" width="14.28515625" style="112" customWidth="1"/>
    <col min="12836" max="12836" width="14.5703125" style="112" customWidth="1"/>
    <col min="12837" max="12837" width="14.28515625" style="112" customWidth="1"/>
    <col min="12838" max="12838" width="12.5703125" style="112" customWidth="1"/>
    <col min="12839" max="12839" width="11" style="112" customWidth="1"/>
    <col min="12840" max="13056" width="9.140625" style="112"/>
    <col min="13057" max="13057" width="3.5703125" style="112" customWidth="1"/>
    <col min="13058" max="13058" width="13.85546875" style="112" customWidth="1"/>
    <col min="13059" max="13059" width="15.5703125" style="112" customWidth="1"/>
    <col min="13060" max="13060" width="15.7109375" style="112" customWidth="1"/>
    <col min="13061" max="13061" width="15.42578125" style="112" customWidth="1"/>
    <col min="13062" max="13062" width="14" style="112" customWidth="1"/>
    <col min="13063" max="13064" width="13.85546875" style="112" customWidth="1"/>
    <col min="13065" max="13065" width="12.42578125" style="112" customWidth="1"/>
    <col min="13066" max="13066" width="13.85546875" style="112" customWidth="1"/>
    <col min="13067" max="13067" width="16.7109375" style="112" customWidth="1"/>
    <col min="13068" max="13069" width="14.28515625" style="112" customWidth="1"/>
    <col min="13070" max="13070" width="14" style="112" customWidth="1"/>
    <col min="13071" max="13071" width="15.28515625" style="112" customWidth="1"/>
    <col min="13072" max="13072" width="15.5703125" style="112" customWidth="1"/>
    <col min="13073" max="13073" width="15.140625" style="112" customWidth="1"/>
    <col min="13074" max="13074" width="13.5703125" style="112" customWidth="1"/>
    <col min="13075" max="13076" width="14" style="112" customWidth="1"/>
    <col min="13077" max="13078" width="14.140625" style="112" customWidth="1"/>
    <col min="13079" max="13079" width="14.28515625" style="112" customWidth="1"/>
    <col min="13080" max="13080" width="12.140625" style="112" customWidth="1"/>
    <col min="13081" max="13081" width="14.5703125" style="112" customWidth="1"/>
    <col min="13082" max="13082" width="14.7109375" style="112" customWidth="1"/>
    <col min="13083" max="13083" width="13" style="112" customWidth="1"/>
    <col min="13084" max="13084" width="14.5703125" style="112" customWidth="1"/>
    <col min="13085" max="13085" width="12.28515625" style="112" customWidth="1"/>
    <col min="13086" max="13086" width="15.28515625" style="112" customWidth="1"/>
    <col min="13087" max="13087" width="12.85546875" style="112" customWidth="1"/>
    <col min="13088" max="13088" width="13.85546875" style="112" customWidth="1"/>
    <col min="13089" max="13089" width="14.5703125" style="112" customWidth="1"/>
    <col min="13090" max="13091" width="14.28515625" style="112" customWidth="1"/>
    <col min="13092" max="13092" width="14.5703125" style="112" customWidth="1"/>
    <col min="13093" max="13093" width="14.28515625" style="112" customWidth="1"/>
    <col min="13094" max="13094" width="12.5703125" style="112" customWidth="1"/>
    <col min="13095" max="13095" width="11" style="112" customWidth="1"/>
    <col min="13096" max="13312" width="9.140625" style="112"/>
    <col min="13313" max="13313" width="3.5703125" style="112" customWidth="1"/>
    <col min="13314" max="13314" width="13.85546875" style="112" customWidth="1"/>
    <col min="13315" max="13315" width="15.5703125" style="112" customWidth="1"/>
    <col min="13316" max="13316" width="15.7109375" style="112" customWidth="1"/>
    <col min="13317" max="13317" width="15.42578125" style="112" customWidth="1"/>
    <col min="13318" max="13318" width="14" style="112" customWidth="1"/>
    <col min="13319" max="13320" width="13.85546875" style="112" customWidth="1"/>
    <col min="13321" max="13321" width="12.42578125" style="112" customWidth="1"/>
    <col min="13322" max="13322" width="13.85546875" style="112" customWidth="1"/>
    <col min="13323" max="13323" width="16.7109375" style="112" customWidth="1"/>
    <col min="13324" max="13325" width="14.28515625" style="112" customWidth="1"/>
    <col min="13326" max="13326" width="14" style="112" customWidth="1"/>
    <col min="13327" max="13327" width="15.28515625" style="112" customWidth="1"/>
    <col min="13328" max="13328" width="15.5703125" style="112" customWidth="1"/>
    <col min="13329" max="13329" width="15.140625" style="112" customWidth="1"/>
    <col min="13330" max="13330" width="13.5703125" style="112" customWidth="1"/>
    <col min="13331" max="13332" width="14" style="112" customWidth="1"/>
    <col min="13333" max="13334" width="14.140625" style="112" customWidth="1"/>
    <col min="13335" max="13335" width="14.28515625" style="112" customWidth="1"/>
    <col min="13336" max="13336" width="12.140625" style="112" customWidth="1"/>
    <col min="13337" max="13337" width="14.5703125" style="112" customWidth="1"/>
    <col min="13338" max="13338" width="14.7109375" style="112" customWidth="1"/>
    <col min="13339" max="13339" width="13" style="112" customWidth="1"/>
    <col min="13340" max="13340" width="14.5703125" style="112" customWidth="1"/>
    <col min="13341" max="13341" width="12.28515625" style="112" customWidth="1"/>
    <col min="13342" max="13342" width="15.28515625" style="112" customWidth="1"/>
    <col min="13343" max="13343" width="12.85546875" style="112" customWidth="1"/>
    <col min="13344" max="13344" width="13.85546875" style="112" customWidth="1"/>
    <col min="13345" max="13345" width="14.5703125" style="112" customWidth="1"/>
    <col min="13346" max="13347" width="14.28515625" style="112" customWidth="1"/>
    <col min="13348" max="13348" width="14.5703125" style="112" customWidth="1"/>
    <col min="13349" max="13349" width="14.28515625" style="112" customWidth="1"/>
    <col min="13350" max="13350" width="12.5703125" style="112" customWidth="1"/>
    <col min="13351" max="13351" width="11" style="112" customWidth="1"/>
    <col min="13352" max="13568" width="9.140625" style="112"/>
    <col min="13569" max="13569" width="3.5703125" style="112" customWidth="1"/>
    <col min="13570" max="13570" width="13.85546875" style="112" customWidth="1"/>
    <col min="13571" max="13571" width="15.5703125" style="112" customWidth="1"/>
    <col min="13572" max="13572" width="15.7109375" style="112" customWidth="1"/>
    <col min="13573" max="13573" width="15.42578125" style="112" customWidth="1"/>
    <col min="13574" max="13574" width="14" style="112" customWidth="1"/>
    <col min="13575" max="13576" width="13.85546875" style="112" customWidth="1"/>
    <col min="13577" max="13577" width="12.42578125" style="112" customWidth="1"/>
    <col min="13578" max="13578" width="13.85546875" style="112" customWidth="1"/>
    <col min="13579" max="13579" width="16.7109375" style="112" customWidth="1"/>
    <col min="13580" max="13581" width="14.28515625" style="112" customWidth="1"/>
    <col min="13582" max="13582" width="14" style="112" customWidth="1"/>
    <col min="13583" max="13583" width="15.28515625" style="112" customWidth="1"/>
    <col min="13584" max="13584" width="15.5703125" style="112" customWidth="1"/>
    <col min="13585" max="13585" width="15.140625" style="112" customWidth="1"/>
    <col min="13586" max="13586" width="13.5703125" style="112" customWidth="1"/>
    <col min="13587" max="13588" width="14" style="112" customWidth="1"/>
    <col min="13589" max="13590" width="14.140625" style="112" customWidth="1"/>
    <col min="13591" max="13591" width="14.28515625" style="112" customWidth="1"/>
    <col min="13592" max="13592" width="12.140625" style="112" customWidth="1"/>
    <col min="13593" max="13593" width="14.5703125" style="112" customWidth="1"/>
    <col min="13594" max="13594" width="14.7109375" style="112" customWidth="1"/>
    <col min="13595" max="13595" width="13" style="112" customWidth="1"/>
    <col min="13596" max="13596" width="14.5703125" style="112" customWidth="1"/>
    <col min="13597" max="13597" width="12.28515625" style="112" customWidth="1"/>
    <col min="13598" max="13598" width="15.28515625" style="112" customWidth="1"/>
    <col min="13599" max="13599" width="12.85546875" style="112" customWidth="1"/>
    <col min="13600" max="13600" width="13.85546875" style="112" customWidth="1"/>
    <col min="13601" max="13601" width="14.5703125" style="112" customWidth="1"/>
    <col min="13602" max="13603" width="14.28515625" style="112" customWidth="1"/>
    <col min="13604" max="13604" width="14.5703125" style="112" customWidth="1"/>
    <col min="13605" max="13605" width="14.28515625" style="112" customWidth="1"/>
    <col min="13606" max="13606" width="12.5703125" style="112" customWidth="1"/>
    <col min="13607" max="13607" width="11" style="112" customWidth="1"/>
    <col min="13608" max="13824" width="9.140625" style="112"/>
    <col min="13825" max="13825" width="3.5703125" style="112" customWidth="1"/>
    <col min="13826" max="13826" width="13.85546875" style="112" customWidth="1"/>
    <col min="13827" max="13827" width="15.5703125" style="112" customWidth="1"/>
    <col min="13828" max="13828" width="15.7109375" style="112" customWidth="1"/>
    <col min="13829" max="13829" width="15.42578125" style="112" customWidth="1"/>
    <col min="13830" max="13830" width="14" style="112" customWidth="1"/>
    <col min="13831" max="13832" width="13.85546875" style="112" customWidth="1"/>
    <col min="13833" max="13833" width="12.42578125" style="112" customWidth="1"/>
    <col min="13834" max="13834" width="13.85546875" style="112" customWidth="1"/>
    <col min="13835" max="13835" width="16.7109375" style="112" customWidth="1"/>
    <col min="13836" max="13837" width="14.28515625" style="112" customWidth="1"/>
    <col min="13838" max="13838" width="14" style="112" customWidth="1"/>
    <col min="13839" max="13839" width="15.28515625" style="112" customWidth="1"/>
    <col min="13840" max="13840" width="15.5703125" style="112" customWidth="1"/>
    <col min="13841" max="13841" width="15.140625" style="112" customWidth="1"/>
    <col min="13842" max="13842" width="13.5703125" style="112" customWidth="1"/>
    <col min="13843" max="13844" width="14" style="112" customWidth="1"/>
    <col min="13845" max="13846" width="14.140625" style="112" customWidth="1"/>
    <col min="13847" max="13847" width="14.28515625" style="112" customWidth="1"/>
    <col min="13848" max="13848" width="12.140625" style="112" customWidth="1"/>
    <col min="13849" max="13849" width="14.5703125" style="112" customWidth="1"/>
    <col min="13850" max="13850" width="14.7109375" style="112" customWidth="1"/>
    <col min="13851" max="13851" width="13" style="112" customWidth="1"/>
    <col min="13852" max="13852" width="14.5703125" style="112" customWidth="1"/>
    <col min="13853" max="13853" width="12.28515625" style="112" customWidth="1"/>
    <col min="13854" max="13854" width="15.28515625" style="112" customWidth="1"/>
    <col min="13855" max="13855" width="12.85546875" style="112" customWidth="1"/>
    <col min="13856" max="13856" width="13.85546875" style="112" customWidth="1"/>
    <col min="13857" max="13857" width="14.5703125" style="112" customWidth="1"/>
    <col min="13858" max="13859" width="14.28515625" style="112" customWidth="1"/>
    <col min="13860" max="13860" width="14.5703125" style="112" customWidth="1"/>
    <col min="13861" max="13861" width="14.28515625" style="112" customWidth="1"/>
    <col min="13862" max="13862" width="12.5703125" style="112" customWidth="1"/>
    <col min="13863" max="13863" width="11" style="112" customWidth="1"/>
    <col min="13864" max="14080" width="9.140625" style="112"/>
    <col min="14081" max="14081" width="3.5703125" style="112" customWidth="1"/>
    <col min="14082" max="14082" width="13.85546875" style="112" customWidth="1"/>
    <col min="14083" max="14083" width="15.5703125" style="112" customWidth="1"/>
    <col min="14084" max="14084" width="15.7109375" style="112" customWidth="1"/>
    <col min="14085" max="14085" width="15.42578125" style="112" customWidth="1"/>
    <col min="14086" max="14086" width="14" style="112" customWidth="1"/>
    <col min="14087" max="14088" width="13.85546875" style="112" customWidth="1"/>
    <col min="14089" max="14089" width="12.42578125" style="112" customWidth="1"/>
    <col min="14090" max="14090" width="13.85546875" style="112" customWidth="1"/>
    <col min="14091" max="14091" width="16.7109375" style="112" customWidth="1"/>
    <col min="14092" max="14093" width="14.28515625" style="112" customWidth="1"/>
    <col min="14094" max="14094" width="14" style="112" customWidth="1"/>
    <col min="14095" max="14095" width="15.28515625" style="112" customWidth="1"/>
    <col min="14096" max="14096" width="15.5703125" style="112" customWidth="1"/>
    <col min="14097" max="14097" width="15.140625" style="112" customWidth="1"/>
    <col min="14098" max="14098" width="13.5703125" style="112" customWidth="1"/>
    <col min="14099" max="14100" width="14" style="112" customWidth="1"/>
    <col min="14101" max="14102" width="14.140625" style="112" customWidth="1"/>
    <col min="14103" max="14103" width="14.28515625" style="112" customWidth="1"/>
    <col min="14104" max="14104" width="12.140625" style="112" customWidth="1"/>
    <col min="14105" max="14105" width="14.5703125" style="112" customWidth="1"/>
    <col min="14106" max="14106" width="14.7109375" style="112" customWidth="1"/>
    <col min="14107" max="14107" width="13" style="112" customWidth="1"/>
    <col min="14108" max="14108" width="14.5703125" style="112" customWidth="1"/>
    <col min="14109" max="14109" width="12.28515625" style="112" customWidth="1"/>
    <col min="14110" max="14110" width="15.28515625" style="112" customWidth="1"/>
    <col min="14111" max="14111" width="12.85546875" style="112" customWidth="1"/>
    <col min="14112" max="14112" width="13.85546875" style="112" customWidth="1"/>
    <col min="14113" max="14113" width="14.5703125" style="112" customWidth="1"/>
    <col min="14114" max="14115" width="14.28515625" style="112" customWidth="1"/>
    <col min="14116" max="14116" width="14.5703125" style="112" customWidth="1"/>
    <col min="14117" max="14117" width="14.28515625" style="112" customWidth="1"/>
    <col min="14118" max="14118" width="12.5703125" style="112" customWidth="1"/>
    <col min="14119" max="14119" width="11" style="112" customWidth="1"/>
    <col min="14120" max="14336" width="9.140625" style="112"/>
    <col min="14337" max="14337" width="3.5703125" style="112" customWidth="1"/>
    <col min="14338" max="14338" width="13.85546875" style="112" customWidth="1"/>
    <col min="14339" max="14339" width="15.5703125" style="112" customWidth="1"/>
    <col min="14340" max="14340" width="15.7109375" style="112" customWidth="1"/>
    <col min="14341" max="14341" width="15.42578125" style="112" customWidth="1"/>
    <col min="14342" max="14342" width="14" style="112" customWidth="1"/>
    <col min="14343" max="14344" width="13.85546875" style="112" customWidth="1"/>
    <col min="14345" max="14345" width="12.42578125" style="112" customWidth="1"/>
    <col min="14346" max="14346" width="13.85546875" style="112" customWidth="1"/>
    <col min="14347" max="14347" width="16.7109375" style="112" customWidth="1"/>
    <col min="14348" max="14349" width="14.28515625" style="112" customWidth="1"/>
    <col min="14350" max="14350" width="14" style="112" customWidth="1"/>
    <col min="14351" max="14351" width="15.28515625" style="112" customWidth="1"/>
    <col min="14352" max="14352" width="15.5703125" style="112" customWidth="1"/>
    <col min="14353" max="14353" width="15.140625" style="112" customWidth="1"/>
    <col min="14354" max="14354" width="13.5703125" style="112" customWidth="1"/>
    <col min="14355" max="14356" width="14" style="112" customWidth="1"/>
    <col min="14357" max="14358" width="14.140625" style="112" customWidth="1"/>
    <col min="14359" max="14359" width="14.28515625" style="112" customWidth="1"/>
    <col min="14360" max="14360" width="12.140625" style="112" customWidth="1"/>
    <col min="14361" max="14361" width="14.5703125" style="112" customWidth="1"/>
    <col min="14362" max="14362" width="14.7109375" style="112" customWidth="1"/>
    <col min="14363" max="14363" width="13" style="112" customWidth="1"/>
    <col min="14364" max="14364" width="14.5703125" style="112" customWidth="1"/>
    <col min="14365" max="14365" width="12.28515625" style="112" customWidth="1"/>
    <col min="14366" max="14366" width="15.28515625" style="112" customWidth="1"/>
    <col min="14367" max="14367" width="12.85546875" style="112" customWidth="1"/>
    <col min="14368" max="14368" width="13.85546875" style="112" customWidth="1"/>
    <col min="14369" max="14369" width="14.5703125" style="112" customWidth="1"/>
    <col min="14370" max="14371" width="14.28515625" style="112" customWidth="1"/>
    <col min="14372" max="14372" width="14.5703125" style="112" customWidth="1"/>
    <col min="14373" max="14373" width="14.28515625" style="112" customWidth="1"/>
    <col min="14374" max="14374" width="12.5703125" style="112" customWidth="1"/>
    <col min="14375" max="14375" width="11" style="112" customWidth="1"/>
    <col min="14376" max="14592" width="9.140625" style="112"/>
    <col min="14593" max="14593" width="3.5703125" style="112" customWidth="1"/>
    <col min="14594" max="14594" width="13.85546875" style="112" customWidth="1"/>
    <col min="14595" max="14595" width="15.5703125" style="112" customWidth="1"/>
    <col min="14596" max="14596" width="15.7109375" style="112" customWidth="1"/>
    <col min="14597" max="14597" width="15.42578125" style="112" customWidth="1"/>
    <col min="14598" max="14598" width="14" style="112" customWidth="1"/>
    <col min="14599" max="14600" width="13.85546875" style="112" customWidth="1"/>
    <col min="14601" max="14601" width="12.42578125" style="112" customWidth="1"/>
    <col min="14602" max="14602" width="13.85546875" style="112" customWidth="1"/>
    <col min="14603" max="14603" width="16.7109375" style="112" customWidth="1"/>
    <col min="14604" max="14605" width="14.28515625" style="112" customWidth="1"/>
    <col min="14606" max="14606" width="14" style="112" customWidth="1"/>
    <col min="14607" max="14607" width="15.28515625" style="112" customWidth="1"/>
    <col min="14608" max="14608" width="15.5703125" style="112" customWidth="1"/>
    <col min="14609" max="14609" width="15.140625" style="112" customWidth="1"/>
    <col min="14610" max="14610" width="13.5703125" style="112" customWidth="1"/>
    <col min="14611" max="14612" width="14" style="112" customWidth="1"/>
    <col min="14613" max="14614" width="14.140625" style="112" customWidth="1"/>
    <col min="14615" max="14615" width="14.28515625" style="112" customWidth="1"/>
    <col min="14616" max="14616" width="12.140625" style="112" customWidth="1"/>
    <col min="14617" max="14617" width="14.5703125" style="112" customWidth="1"/>
    <col min="14618" max="14618" width="14.7109375" style="112" customWidth="1"/>
    <col min="14619" max="14619" width="13" style="112" customWidth="1"/>
    <col min="14620" max="14620" width="14.5703125" style="112" customWidth="1"/>
    <col min="14621" max="14621" width="12.28515625" style="112" customWidth="1"/>
    <col min="14622" max="14622" width="15.28515625" style="112" customWidth="1"/>
    <col min="14623" max="14623" width="12.85546875" style="112" customWidth="1"/>
    <col min="14624" max="14624" width="13.85546875" style="112" customWidth="1"/>
    <col min="14625" max="14625" width="14.5703125" style="112" customWidth="1"/>
    <col min="14626" max="14627" width="14.28515625" style="112" customWidth="1"/>
    <col min="14628" max="14628" width="14.5703125" style="112" customWidth="1"/>
    <col min="14629" max="14629" width="14.28515625" style="112" customWidth="1"/>
    <col min="14630" max="14630" width="12.5703125" style="112" customWidth="1"/>
    <col min="14631" max="14631" width="11" style="112" customWidth="1"/>
    <col min="14632" max="14848" width="9.140625" style="112"/>
    <col min="14849" max="14849" width="3.5703125" style="112" customWidth="1"/>
    <col min="14850" max="14850" width="13.85546875" style="112" customWidth="1"/>
    <col min="14851" max="14851" width="15.5703125" style="112" customWidth="1"/>
    <col min="14852" max="14852" width="15.7109375" style="112" customWidth="1"/>
    <col min="14853" max="14853" width="15.42578125" style="112" customWidth="1"/>
    <col min="14854" max="14854" width="14" style="112" customWidth="1"/>
    <col min="14855" max="14856" width="13.85546875" style="112" customWidth="1"/>
    <col min="14857" max="14857" width="12.42578125" style="112" customWidth="1"/>
    <col min="14858" max="14858" width="13.85546875" style="112" customWidth="1"/>
    <col min="14859" max="14859" width="16.7109375" style="112" customWidth="1"/>
    <col min="14860" max="14861" width="14.28515625" style="112" customWidth="1"/>
    <col min="14862" max="14862" width="14" style="112" customWidth="1"/>
    <col min="14863" max="14863" width="15.28515625" style="112" customWidth="1"/>
    <col min="14864" max="14864" width="15.5703125" style="112" customWidth="1"/>
    <col min="14865" max="14865" width="15.140625" style="112" customWidth="1"/>
    <col min="14866" max="14866" width="13.5703125" style="112" customWidth="1"/>
    <col min="14867" max="14868" width="14" style="112" customWidth="1"/>
    <col min="14869" max="14870" width="14.140625" style="112" customWidth="1"/>
    <col min="14871" max="14871" width="14.28515625" style="112" customWidth="1"/>
    <col min="14872" max="14872" width="12.140625" style="112" customWidth="1"/>
    <col min="14873" max="14873" width="14.5703125" style="112" customWidth="1"/>
    <col min="14874" max="14874" width="14.7109375" style="112" customWidth="1"/>
    <col min="14875" max="14875" width="13" style="112" customWidth="1"/>
    <col min="14876" max="14876" width="14.5703125" style="112" customWidth="1"/>
    <col min="14877" max="14877" width="12.28515625" style="112" customWidth="1"/>
    <col min="14878" max="14878" width="15.28515625" style="112" customWidth="1"/>
    <col min="14879" max="14879" width="12.85546875" style="112" customWidth="1"/>
    <col min="14880" max="14880" width="13.85546875" style="112" customWidth="1"/>
    <col min="14881" max="14881" width="14.5703125" style="112" customWidth="1"/>
    <col min="14882" max="14883" width="14.28515625" style="112" customWidth="1"/>
    <col min="14884" max="14884" width="14.5703125" style="112" customWidth="1"/>
    <col min="14885" max="14885" width="14.28515625" style="112" customWidth="1"/>
    <col min="14886" max="14886" width="12.5703125" style="112" customWidth="1"/>
    <col min="14887" max="14887" width="11" style="112" customWidth="1"/>
    <col min="14888" max="15104" width="9.140625" style="112"/>
    <col min="15105" max="15105" width="3.5703125" style="112" customWidth="1"/>
    <col min="15106" max="15106" width="13.85546875" style="112" customWidth="1"/>
    <col min="15107" max="15107" width="15.5703125" style="112" customWidth="1"/>
    <col min="15108" max="15108" width="15.7109375" style="112" customWidth="1"/>
    <col min="15109" max="15109" width="15.42578125" style="112" customWidth="1"/>
    <col min="15110" max="15110" width="14" style="112" customWidth="1"/>
    <col min="15111" max="15112" width="13.85546875" style="112" customWidth="1"/>
    <col min="15113" max="15113" width="12.42578125" style="112" customWidth="1"/>
    <col min="15114" max="15114" width="13.85546875" style="112" customWidth="1"/>
    <col min="15115" max="15115" width="16.7109375" style="112" customWidth="1"/>
    <col min="15116" max="15117" width="14.28515625" style="112" customWidth="1"/>
    <col min="15118" max="15118" width="14" style="112" customWidth="1"/>
    <col min="15119" max="15119" width="15.28515625" style="112" customWidth="1"/>
    <col min="15120" max="15120" width="15.5703125" style="112" customWidth="1"/>
    <col min="15121" max="15121" width="15.140625" style="112" customWidth="1"/>
    <col min="15122" max="15122" width="13.5703125" style="112" customWidth="1"/>
    <col min="15123" max="15124" width="14" style="112" customWidth="1"/>
    <col min="15125" max="15126" width="14.140625" style="112" customWidth="1"/>
    <col min="15127" max="15127" width="14.28515625" style="112" customWidth="1"/>
    <col min="15128" max="15128" width="12.140625" style="112" customWidth="1"/>
    <col min="15129" max="15129" width="14.5703125" style="112" customWidth="1"/>
    <col min="15130" max="15130" width="14.7109375" style="112" customWidth="1"/>
    <col min="15131" max="15131" width="13" style="112" customWidth="1"/>
    <col min="15132" max="15132" width="14.5703125" style="112" customWidth="1"/>
    <col min="15133" max="15133" width="12.28515625" style="112" customWidth="1"/>
    <col min="15134" max="15134" width="15.28515625" style="112" customWidth="1"/>
    <col min="15135" max="15135" width="12.85546875" style="112" customWidth="1"/>
    <col min="15136" max="15136" width="13.85546875" style="112" customWidth="1"/>
    <col min="15137" max="15137" width="14.5703125" style="112" customWidth="1"/>
    <col min="15138" max="15139" width="14.28515625" style="112" customWidth="1"/>
    <col min="15140" max="15140" width="14.5703125" style="112" customWidth="1"/>
    <col min="15141" max="15141" width="14.28515625" style="112" customWidth="1"/>
    <col min="15142" max="15142" width="12.5703125" style="112" customWidth="1"/>
    <col min="15143" max="15143" width="11" style="112" customWidth="1"/>
    <col min="15144" max="15360" width="9.140625" style="112"/>
    <col min="15361" max="15361" width="3.5703125" style="112" customWidth="1"/>
    <col min="15362" max="15362" width="13.85546875" style="112" customWidth="1"/>
    <col min="15363" max="15363" width="15.5703125" style="112" customWidth="1"/>
    <col min="15364" max="15364" width="15.7109375" style="112" customWidth="1"/>
    <col min="15365" max="15365" width="15.42578125" style="112" customWidth="1"/>
    <col min="15366" max="15366" width="14" style="112" customWidth="1"/>
    <col min="15367" max="15368" width="13.85546875" style="112" customWidth="1"/>
    <col min="15369" max="15369" width="12.42578125" style="112" customWidth="1"/>
    <col min="15370" max="15370" width="13.85546875" style="112" customWidth="1"/>
    <col min="15371" max="15371" width="16.7109375" style="112" customWidth="1"/>
    <col min="15372" max="15373" width="14.28515625" style="112" customWidth="1"/>
    <col min="15374" max="15374" width="14" style="112" customWidth="1"/>
    <col min="15375" max="15375" width="15.28515625" style="112" customWidth="1"/>
    <col min="15376" max="15376" width="15.5703125" style="112" customWidth="1"/>
    <col min="15377" max="15377" width="15.140625" style="112" customWidth="1"/>
    <col min="15378" max="15378" width="13.5703125" style="112" customWidth="1"/>
    <col min="15379" max="15380" width="14" style="112" customWidth="1"/>
    <col min="15381" max="15382" width="14.140625" style="112" customWidth="1"/>
    <col min="15383" max="15383" width="14.28515625" style="112" customWidth="1"/>
    <col min="15384" max="15384" width="12.140625" style="112" customWidth="1"/>
    <col min="15385" max="15385" width="14.5703125" style="112" customWidth="1"/>
    <col min="15386" max="15386" width="14.7109375" style="112" customWidth="1"/>
    <col min="15387" max="15387" width="13" style="112" customWidth="1"/>
    <col min="15388" max="15388" width="14.5703125" style="112" customWidth="1"/>
    <col min="15389" max="15389" width="12.28515625" style="112" customWidth="1"/>
    <col min="15390" max="15390" width="15.28515625" style="112" customWidth="1"/>
    <col min="15391" max="15391" width="12.85546875" style="112" customWidth="1"/>
    <col min="15392" max="15392" width="13.85546875" style="112" customWidth="1"/>
    <col min="15393" max="15393" width="14.5703125" style="112" customWidth="1"/>
    <col min="15394" max="15395" width="14.28515625" style="112" customWidth="1"/>
    <col min="15396" max="15396" width="14.5703125" style="112" customWidth="1"/>
    <col min="15397" max="15397" width="14.28515625" style="112" customWidth="1"/>
    <col min="15398" max="15398" width="12.5703125" style="112" customWidth="1"/>
    <col min="15399" max="15399" width="11" style="112" customWidth="1"/>
    <col min="15400" max="15616" width="9.140625" style="112"/>
    <col min="15617" max="15617" width="3.5703125" style="112" customWidth="1"/>
    <col min="15618" max="15618" width="13.85546875" style="112" customWidth="1"/>
    <col min="15619" max="15619" width="15.5703125" style="112" customWidth="1"/>
    <col min="15620" max="15620" width="15.7109375" style="112" customWidth="1"/>
    <col min="15621" max="15621" width="15.42578125" style="112" customWidth="1"/>
    <col min="15622" max="15622" width="14" style="112" customWidth="1"/>
    <col min="15623" max="15624" width="13.85546875" style="112" customWidth="1"/>
    <col min="15625" max="15625" width="12.42578125" style="112" customWidth="1"/>
    <col min="15626" max="15626" width="13.85546875" style="112" customWidth="1"/>
    <col min="15627" max="15627" width="16.7109375" style="112" customWidth="1"/>
    <col min="15628" max="15629" width="14.28515625" style="112" customWidth="1"/>
    <col min="15630" max="15630" width="14" style="112" customWidth="1"/>
    <col min="15631" max="15631" width="15.28515625" style="112" customWidth="1"/>
    <col min="15632" max="15632" width="15.5703125" style="112" customWidth="1"/>
    <col min="15633" max="15633" width="15.140625" style="112" customWidth="1"/>
    <col min="15634" max="15634" width="13.5703125" style="112" customWidth="1"/>
    <col min="15635" max="15636" width="14" style="112" customWidth="1"/>
    <col min="15637" max="15638" width="14.140625" style="112" customWidth="1"/>
    <col min="15639" max="15639" width="14.28515625" style="112" customWidth="1"/>
    <col min="15640" max="15640" width="12.140625" style="112" customWidth="1"/>
    <col min="15641" max="15641" width="14.5703125" style="112" customWidth="1"/>
    <col min="15642" max="15642" width="14.7109375" style="112" customWidth="1"/>
    <col min="15643" max="15643" width="13" style="112" customWidth="1"/>
    <col min="15644" max="15644" width="14.5703125" style="112" customWidth="1"/>
    <col min="15645" max="15645" width="12.28515625" style="112" customWidth="1"/>
    <col min="15646" max="15646" width="15.28515625" style="112" customWidth="1"/>
    <col min="15647" max="15647" width="12.85546875" style="112" customWidth="1"/>
    <col min="15648" max="15648" width="13.85546875" style="112" customWidth="1"/>
    <col min="15649" max="15649" width="14.5703125" style="112" customWidth="1"/>
    <col min="15650" max="15651" width="14.28515625" style="112" customWidth="1"/>
    <col min="15652" max="15652" width="14.5703125" style="112" customWidth="1"/>
    <col min="15653" max="15653" width="14.28515625" style="112" customWidth="1"/>
    <col min="15654" max="15654" width="12.5703125" style="112" customWidth="1"/>
    <col min="15655" max="15655" width="11" style="112" customWidth="1"/>
    <col min="15656" max="15872" width="9.140625" style="112"/>
    <col min="15873" max="15873" width="3.5703125" style="112" customWidth="1"/>
    <col min="15874" max="15874" width="13.85546875" style="112" customWidth="1"/>
    <col min="15875" max="15875" width="15.5703125" style="112" customWidth="1"/>
    <col min="15876" max="15876" width="15.7109375" style="112" customWidth="1"/>
    <col min="15877" max="15877" width="15.42578125" style="112" customWidth="1"/>
    <col min="15878" max="15878" width="14" style="112" customWidth="1"/>
    <col min="15879" max="15880" width="13.85546875" style="112" customWidth="1"/>
    <col min="15881" max="15881" width="12.42578125" style="112" customWidth="1"/>
    <col min="15882" max="15882" width="13.85546875" style="112" customWidth="1"/>
    <col min="15883" max="15883" width="16.7109375" style="112" customWidth="1"/>
    <col min="15884" max="15885" width="14.28515625" style="112" customWidth="1"/>
    <col min="15886" max="15886" width="14" style="112" customWidth="1"/>
    <col min="15887" max="15887" width="15.28515625" style="112" customWidth="1"/>
    <col min="15888" max="15888" width="15.5703125" style="112" customWidth="1"/>
    <col min="15889" max="15889" width="15.140625" style="112" customWidth="1"/>
    <col min="15890" max="15890" width="13.5703125" style="112" customWidth="1"/>
    <col min="15891" max="15892" width="14" style="112" customWidth="1"/>
    <col min="15893" max="15894" width="14.140625" style="112" customWidth="1"/>
    <col min="15895" max="15895" width="14.28515625" style="112" customWidth="1"/>
    <col min="15896" max="15896" width="12.140625" style="112" customWidth="1"/>
    <col min="15897" max="15897" width="14.5703125" style="112" customWidth="1"/>
    <col min="15898" max="15898" width="14.7109375" style="112" customWidth="1"/>
    <col min="15899" max="15899" width="13" style="112" customWidth="1"/>
    <col min="15900" max="15900" width="14.5703125" style="112" customWidth="1"/>
    <col min="15901" max="15901" width="12.28515625" style="112" customWidth="1"/>
    <col min="15902" max="15902" width="15.28515625" style="112" customWidth="1"/>
    <col min="15903" max="15903" width="12.85546875" style="112" customWidth="1"/>
    <col min="15904" max="15904" width="13.85546875" style="112" customWidth="1"/>
    <col min="15905" max="15905" width="14.5703125" style="112" customWidth="1"/>
    <col min="15906" max="15907" width="14.28515625" style="112" customWidth="1"/>
    <col min="15908" max="15908" width="14.5703125" style="112" customWidth="1"/>
    <col min="15909" max="15909" width="14.28515625" style="112" customWidth="1"/>
    <col min="15910" max="15910" width="12.5703125" style="112" customWidth="1"/>
    <col min="15911" max="15911" width="11" style="112" customWidth="1"/>
    <col min="15912" max="16128" width="9.140625" style="112"/>
    <col min="16129" max="16129" width="3.5703125" style="112" customWidth="1"/>
    <col min="16130" max="16130" width="13.85546875" style="112" customWidth="1"/>
    <col min="16131" max="16131" width="15.5703125" style="112" customWidth="1"/>
    <col min="16132" max="16132" width="15.7109375" style="112" customWidth="1"/>
    <col min="16133" max="16133" width="15.42578125" style="112" customWidth="1"/>
    <col min="16134" max="16134" width="14" style="112" customWidth="1"/>
    <col min="16135" max="16136" width="13.85546875" style="112" customWidth="1"/>
    <col min="16137" max="16137" width="12.42578125" style="112" customWidth="1"/>
    <col min="16138" max="16138" width="13.85546875" style="112" customWidth="1"/>
    <col min="16139" max="16139" width="16.7109375" style="112" customWidth="1"/>
    <col min="16140" max="16141" width="14.28515625" style="112" customWidth="1"/>
    <col min="16142" max="16142" width="14" style="112" customWidth="1"/>
    <col min="16143" max="16143" width="15.28515625" style="112" customWidth="1"/>
    <col min="16144" max="16144" width="15.5703125" style="112" customWidth="1"/>
    <col min="16145" max="16145" width="15.140625" style="112" customWidth="1"/>
    <col min="16146" max="16146" width="13.5703125" style="112" customWidth="1"/>
    <col min="16147" max="16148" width="14" style="112" customWidth="1"/>
    <col min="16149" max="16150" width="14.140625" style="112" customWidth="1"/>
    <col min="16151" max="16151" width="14.28515625" style="112" customWidth="1"/>
    <col min="16152" max="16152" width="12.140625" style="112" customWidth="1"/>
    <col min="16153" max="16153" width="14.5703125" style="112" customWidth="1"/>
    <col min="16154" max="16154" width="14.7109375" style="112" customWidth="1"/>
    <col min="16155" max="16155" width="13" style="112" customWidth="1"/>
    <col min="16156" max="16156" width="14.5703125" style="112" customWidth="1"/>
    <col min="16157" max="16157" width="12.28515625" style="112" customWidth="1"/>
    <col min="16158" max="16158" width="15.28515625" style="112" customWidth="1"/>
    <col min="16159" max="16159" width="12.85546875" style="112" customWidth="1"/>
    <col min="16160" max="16160" width="13.85546875" style="112" customWidth="1"/>
    <col min="16161" max="16161" width="14.5703125" style="112" customWidth="1"/>
    <col min="16162" max="16163" width="14.28515625" style="112" customWidth="1"/>
    <col min="16164" max="16164" width="14.5703125" style="112" customWidth="1"/>
    <col min="16165" max="16165" width="14.28515625" style="112" customWidth="1"/>
    <col min="16166" max="16166" width="12.5703125" style="112" customWidth="1"/>
    <col min="16167" max="16167" width="11" style="112" customWidth="1"/>
    <col min="16168" max="16384" width="9.140625" style="112"/>
  </cols>
  <sheetData>
    <row r="1" spans="1:39" s="95" customFormat="1" ht="15" x14ac:dyDescent="0.25">
      <c r="A1" s="91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3" t="s">
        <v>0</v>
      </c>
      <c r="AK1" s="93"/>
      <c r="AL1" s="91"/>
      <c r="AM1" s="94"/>
    </row>
    <row r="2" spans="1:39" s="95" customFormat="1" ht="15" x14ac:dyDescent="0.25">
      <c r="A2" s="91"/>
      <c r="B2" s="92" t="s">
        <v>944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4"/>
    </row>
    <row r="3" spans="1:39" s="95" customFormat="1" ht="15" x14ac:dyDescent="0.25">
      <c r="A3" s="91"/>
      <c r="B3" s="92" t="s">
        <v>941</v>
      </c>
      <c r="C3" s="96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7"/>
      <c r="R3" s="91"/>
      <c r="S3" s="91"/>
      <c r="T3" s="91"/>
      <c r="U3" s="91"/>
      <c r="V3" s="91"/>
      <c r="W3" s="91"/>
      <c r="X3" s="91"/>
      <c r="Y3" s="91"/>
      <c r="Z3" s="91"/>
      <c r="AA3" s="97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4"/>
    </row>
    <row r="4" spans="1:39" s="95" customFormat="1" ht="15" x14ac:dyDescent="0.25">
      <c r="A4" s="91"/>
      <c r="B4" s="91"/>
      <c r="C4" s="96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4"/>
    </row>
    <row r="5" spans="1:39" s="95" customFormat="1" ht="15" x14ac:dyDescent="0.25">
      <c r="A5" s="98"/>
      <c r="B5" s="98"/>
      <c r="C5" s="92"/>
      <c r="D5" s="99"/>
      <c r="H5" s="100" t="s">
        <v>2</v>
      </c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4"/>
    </row>
    <row r="6" spans="1:39" s="104" customFormat="1" x14ac:dyDescent="0.2">
      <c r="A6" s="101"/>
      <c r="B6" s="101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3"/>
    </row>
    <row r="7" spans="1:39" s="103" customFormat="1" ht="11.25" x14ac:dyDescent="0.2">
      <c r="A7" s="105"/>
      <c r="B7" s="105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</row>
    <row r="8" spans="1:39" x14ac:dyDescent="0.2">
      <c r="A8" s="106"/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7"/>
      <c r="AG8" s="108"/>
      <c r="AH8" s="109"/>
      <c r="AI8" s="109"/>
      <c r="AJ8" s="108"/>
      <c r="AK8" s="108"/>
      <c r="AL8" s="110" t="s">
        <v>3</v>
      </c>
    </row>
    <row r="9" spans="1:39" s="116" customFormat="1" ht="16.5" customHeight="1" x14ac:dyDescent="0.2">
      <c r="A9" s="648" t="s">
        <v>4</v>
      </c>
      <c r="B9" s="648"/>
      <c r="C9" s="113" t="s">
        <v>5</v>
      </c>
      <c r="D9" s="650" t="s">
        <v>6</v>
      </c>
      <c r="E9" s="650"/>
      <c r="F9" s="650"/>
      <c r="G9" s="647" t="s">
        <v>7</v>
      </c>
      <c r="H9" s="647" t="s">
        <v>8</v>
      </c>
      <c r="I9" s="647" t="s">
        <v>9</v>
      </c>
      <c r="J9" s="647" t="s">
        <v>10</v>
      </c>
      <c r="K9" s="647" t="s">
        <v>11</v>
      </c>
      <c r="L9" s="647" t="s">
        <v>12</v>
      </c>
      <c r="M9" s="647" t="s">
        <v>895</v>
      </c>
      <c r="N9" s="647" t="s">
        <v>14</v>
      </c>
      <c r="O9" s="113" t="s">
        <v>15</v>
      </c>
      <c r="P9" s="648" t="s">
        <v>16</v>
      </c>
      <c r="Q9" s="648"/>
      <c r="R9" s="648"/>
      <c r="S9" s="648"/>
      <c r="T9" s="648"/>
      <c r="U9" s="648"/>
      <c r="V9" s="648"/>
      <c r="W9" s="648"/>
      <c r="X9" s="648"/>
      <c r="Y9" s="648"/>
      <c r="Z9" s="114"/>
      <c r="AA9" s="114"/>
      <c r="AB9" s="649" t="s">
        <v>17</v>
      </c>
      <c r="AC9" s="649"/>
      <c r="AD9" s="649"/>
      <c r="AE9" s="649"/>
      <c r="AF9" s="649"/>
      <c r="AG9" s="649"/>
      <c r="AH9" s="649"/>
      <c r="AI9" s="649"/>
      <c r="AJ9" s="649"/>
      <c r="AK9" s="649"/>
      <c r="AL9" s="649"/>
      <c r="AM9" s="115"/>
    </row>
    <row r="10" spans="1:39" s="116" customFormat="1" ht="21" customHeight="1" x14ac:dyDescent="0.2">
      <c r="A10" s="648"/>
      <c r="B10" s="648"/>
      <c r="C10" s="117" t="s">
        <v>18</v>
      </c>
      <c r="D10" s="118"/>
      <c r="E10" s="649" t="s">
        <v>19</v>
      </c>
      <c r="F10" s="649"/>
      <c r="G10" s="647"/>
      <c r="H10" s="647"/>
      <c r="I10" s="647"/>
      <c r="J10" s="647"/>
      <c r="K10" s="647"/>
      <c r="L10" s="647"/>
      <c r="M10" s="647"/>
      <c r="N10" s="647"/>
      <c r="O10" s="117" t="s">
        <v>18</v>
      </c>
      <c r="P10" s="648"/>
      <c r="Q10" s="648"/>
      <c r="R10" s="648"/>
      <c r="S10" s="648"/>
      <c r="T10" s="648"/>
      <c r="U10" s="648"/>
      <c r="V10" s="648"/>
      <c r="W10" s="648"/>
      <c r="X10" s="648"/>
      <c r="Y10" s="648"/>
      <c r="Z10" s="119"/>
      <c r="AA10" s="119"/>
      <c r="AB10" s="649"/>
      <c r="AC10" s="649"/>
      <c r="AD10" s="649"/>
      <c r="AE10" s="649"/>
      <c r="AF10" s="649"/>
      <c r="AG10" s="649"/>
      <c r="AH10" s="649"/>
      <c r="AI10" s="649"/>
      <c r="AJ10" s="649"/>
      <c r="AK10" s="649"/>
      <c r="AL10" s="649"/>
      <c r="AM10" s="115"/>
    </row>
    <row r="11" spans="1:39" s="116" customFormat="1" ht="103.5" customHeight="1" x14ac:dyDescent="0.2">
      <c r="A11" s="648"/>
      <c r="B11" s="648"/>
      <c r="C11" s="120" t="s">
        <v>20</v>
      </c>
      <c r="D11" s="121" t="s">
        <v>21</v>
      </c>
      <c r="E11" s="122" t="s">
        <v>22</v>
      </c>
      <c r="F11" s="122" t="s">
        <v>23</v>
      </c>
      <c r="G11" s="647"/>
      <c r="H11" s="647"/>
      <c r="I11" s="647"/>
      <c r="J11" s="647"/>
      <c r="K11" s="647"/>
      <c r="L11" s="647"/>
      <c r="M11" s="647"/>
      <c r="N11" s="647"/>
      <c r="O11" s="120" t="s">
        <v>24</v>
      </c>
      <c r="P11" s="122" t="s">
        <v>25</v>
      </c>
      <c r="Q11" s="122" t="s">
        <v>26</v>
      </c>
      <c r="R11" s="122" t="s">
        <v>27</v>
      </c>
      <c r="S11" s="122" t="s">
        <v>12</v>
      </c>
      <c r="T11" s="122" t="s">
        <v>28</v>
      </c>
      <c r="U11" s="122" t="s">
        <v>29</v>
      </c>
      <c r="V11" s="122" t="s">
        <v>30</v>
      </c>
      <c r="W11" s="122" t="s">
        <v>31</v>
      </c>
      <c r="X11" s="122" t="s">
        <v>32</v>
      </c>
      <c r="Y11" s="122" t="s">
        <v>33</v>
      </c>
      <c r="Z11" s="121" t="s">
        <v>34</v>
      </c>
      <c r="AA11" s="121" t="s">
        <v>35</v>
      </c>
      <c r="AB11" s="122" t="s">
        <v>36</v>
      </c>
      <c r="AC11" s="122" t="s">
        <v>37</v>
      </c>
      <c r="AD11" s="122" t="s">
        <v>38</v>
      </c>
      <c r="AE11" s="122" t="s">
        <v>39</v>
      </c>
      <c r="AF11" s="122" t="s">
        <v>40</v>
      </c>
      <c r="AG11" s="122" t="s">
        <v>41</v>
      </c>
      <c r="AH11" s="122" t="s">
        <v>896</v>
      </c>
      <c r="AI11" s="122" t="s">
        <v>43</v>
      </c>
      <c r="AJ11" s="122" t="s">
        <v>44</v>
      </c>
      <c r="AK11" s="122" t="s">
        <v>45</v>
      </c>
      <c r="AL11" s="123" t="s">
        <v>32</v>
      </c>
      <c r="AM11" s="115"/>
    </row>
    <row r="12" spans="1:39" s="116" customFormat="1" x14ac:dyDescent="0.2">
      <c r="A12" s="648"/>
      <c r="B12" s="648"/>
      <c r="C12" s="124" t="s">
        <v>46</v>
      </c>
      <c r="D12" s="124" t="s">
        <v>47</v>
      </c>
      <c r="E12" s="124" t="s">
        <v>48</v>
      </c>
      <c r="F12" s="124" t="s">
        <v>49</v>
      </c>
      <c r="G12" s="124" t="s">
        <v>50</v>
      </c>
      <c r="H12" s="124" t="s">
        <v>51</v>
      </c>
      <c r="I12" s="124" t="s">
        <v>52</v>
      </c>
      <c r="J12" s="124" t="s">
        <v>53</v>
      </c>
      <c r="K12" s="124" t="s">
        <v>54</v>
      </c>
      <c r="L12" s="124" t="s">
        <v>55</v>
      </c>
      <c r="M12" s="124" t="s">
        <v>897</v>
      </c>
      <c r="N12" s="124"/>
      <c r="O12" s="124" t="s">
        <v>56</v>
      </c>
      <c r="P12" s="124" t="s">
        <v>57</v>
      </c>
      <c r="Q12" s="124">
        <v>20</v>
      </c>
      <c r="R12" s="124">
        <v>30</v>
      </c>
      <c r="S12" s="124" t="s">
        <v>58</v>
      </c>
      <c r="T12" s="124">
        <v>51</v>
      </c>
      <c r="U12" s="124" t="s">
        <v>59</v>
      </c>
      <c r="V12" s="124">
        <v>56</v>
      </c>
      <c r="W12" s="124" t="s">
        <v>60</v>
      </c>
      <c r="X12" s="124">
        <v>59</v>
      </c>
      <c r="Y12" s="124">
        <v>70</v>
      </c>
      <c r="Z12" s="124">
        <v>79</v>
      </c>
      <c r="AA12" s="124">
        <v>84</v>
      </c>
      <c r="AB12" s="124" t="s">
        <v>56</v>
      </c>
      <c r="AC12" s="124" t="s">
        <v>61</v>
      </c>
      <c r="AD12" s="124" t="s">
        <v>62</v>
      </c>
      <c r="AE12" s="124" t="s">
        <v>63</v>
      </c>
      <c r="AF12" s="124" t="s">
        <v>64</v>
      </c>
      <c r="AG12" s="124" t="s">
        <v>65</v>
      </c>
      <c r="AH12" s="124" t="s">
        <v>898</v>
      </c>
      <c r="AI12" s="124" t="s">
        <v>78</v>
      </c>
      <c r="AJ12" s="124" t="s">
        <v>67</v>
      </c>
      <c r="AK12" s="124" t="s">
        <v>68</v>
      </c>
      <c r="AL12" s="125"/>
      <c r="AM12" s="115"/>
    </row>
    <row r="13" spans="1:39" s="116" customFormat="1" x14ac:dyDescent="0.2">
      <c r="A13" s="651" t="s">
        <v>69</v>
      </c>
      <c r="B13" s="651"/>
      <c r="C13" s="126">
        <v>1</v>
      </c>
      <c r="D13" s="126">
        <v>2</v>
      </c>
      <c r="E13" s="126">
        <v>3</v>
      </c>
      <c r="F13" s="126">
        <v>4</v>
      </c>
      <c r="G13" s="126">
        <v>5</v>
      </c>
      <c r="H13" s="126">
        <v>6</v>
      </c>
      <c r="I13" s="126">
        <v>7</v>
      </c>
      <c r="J13" s="126">
        <v>8</v>
      </c>
      <c r="K13" s="126">
        <v>9</v>
      </c>
      <c r="L13" s="126">
        <v>10</v>
      </c>
      <c r="M13" s="126">
        <v>11</v>
      </c>
      <c r="N13" s="126">
        <v>12</v>
      </c>
      <c r="O13" s="126">
        <v>13</v>
      </c>
      <c r="P13" s="126">
        <v>14</v>
      </c>
      <c r="Q13" s="126">
        <v>15</v>
      </c>
      <c r="R13" s="126">
        <v>16</v>
      </c>
      <c r="S13" s="126">
        <v>17</v>
      </c>
      <c r="T13" s="126">
        <v>18</v>
      </c>
      <c r="U13" s="126">
        <v>19</v>
      </c>
      <c r="V13" s="126">
        <v>20</v>
      </c>
      <c r="W13" s="126">
        <v>21</v>
      </c>
      <c r="X13" s="126">
        <v>22</v>
      </c>
      <c r="Y13" s="126">
        <v>23</v>
      </c>
      <c r="Z13" s="126">
        <v>24</v>
      </c>
      <c r="AA13" s="126">
        <v>25</v>
      </c>
      <c r="AB13" s="126">
        <v>26</v>
      </c>
      <c r="AC13" s="126">
        <v>27</v>
      </c>
      <c r="AD13" s="126">
        <v>28</v>
      </c>
      <c r="AE13" s="126">
        <v>29</v>
      </c>
      <c r="AF13" s="126">
        <v>30</v>
      </c>
      <c r="AG13" s="126">
        <v>31</v>
      </c>
      <c r="AH13" s="126">
        <v>32</v>
      </c>
      <c r="AI13" s="126">
        <v>33</v>
      </c>
      <c r="AJ13" s="126">
        <v>34</v>
      </c>
      <c r="AK13" s="126">
        <v>35</v>
      </c>
      <c r="AL13" s="127">
        <v>36</v>
      </c>
      <c r="AM13" s="115"/>
    </row>
    <row r="14" spans="1:39" s="130" customFormat="1" ht="25.5" customHeight="1" x14ac:dyDescent="0.2">
      <c r="A14" s="652" t="s">
        <v>21</v>
      </c>
      <c r="B14" s="652"/>
      <c r="C14" s="128">
        <f>SUM(C15:C56)</f>
        <v>5370153622</v>
      </c>
      <c r="D14" s="128">
        <f t="shared" ref="D14:AL14" si="0">SUM(D15:D56)</f>
        <v>2330230033</v>
      </c>
      <c r="E14" s="128">
        <f t="shared" si="0"/>
        <v>931100284</v>
      </c>
      <c r="F14" s="128">
        <f t="shared" si="0"/>
        <v>268234479</v>
      </c>
      <c r="G14" s="128">
        <f t="shared" si="0"/>
        <v>0</v>
      </c>
      <c r="H14" s="128">
        <f t="shared" si="0"/>
        <v>1538137972</v>
      </c>
      <c r="I14" s="128">
        <f t="shared" si="0"/>
        <v>35320875</v>
      </c>
      <c r="J14" s="128">
        <f t="shared" si="0"/>
        <v>385344494</v>
      </c>
      <c r="K14" s="128">
        <f t="shared" si="0"/>
        <v>0</v>
      </c>
      <c r="L14" s="128">
        <f t="shared" si="0"/>
        <v>442173223</v>
      </c>
      <c r="M14" s="128">
        <f t="shared" si="0"/>
        <v>576408104</v>
      </c>
      <c r="N14" s="128">
        <f t="shared" si="0"/>
        <v>62538921</v>
      </c>
      <c r="O14" s="128">
        <f t="shared" si="0"/>
        <v>5210218992</v>
      </c>
      <c r="P14" s="128">
        <f t="shared" si="0"/>
        <v>1751535326</v>
      </c>
      <c r="Q14" s="128">
        <f t="shared" si="0"/>
        <v>1119709732</v>
      </c>
      <c r="R14" s="128">
        <f t="shared" si="0"/>
        <v>47150698</v>
      </c>
      <c r="S14" s="128">
        <f t="shared" si="0"/>
        <v>4067441</v>
      </c>
      <c r="T14" s="128">
        <f t="shared" si="0"/>
        <v>126521444</v>
      </c>
      <c r="U14" s="128">
        <f t="shared" si="0"/>
        <v>30648853</v>
      </c>
      <c r="V14" s="128">
        <f t="shared" si="0"/>
        <v>965151283</v>
      </c>
      <c r="W14" s="128">
        <f t="shared" si="0"/>
        <v>119363812</v>
      </c>
      <c r="X14" s="128">
        <f t="shared" si="0"/>
        <v>59173967</v>
      </c>
      <c r="Y14" s="128">
        <f t="shared" si="0"/>
        <v>900947810</v>
      </c>
      <c r="Z14" s="128">
        <f t="shared" si="0"/>
        <v>93823046</v>
      </c>
      <c r="AA14" s="128">
        <f t="shared" si="0"/>
        <v>-7874420</v>
      </c>
      <c r="AB14" s="128">
        <f t="shared" si="0"/>
        <v>695184666</v>
      </c>
      <c r="AC14" s="128">
        <f t="shared" si="0"/>
        <v>72494271</v>
      </c>
      <c r="AD14" s="128">
        <f t="shared" si="0"/>
        <v>1630156308</v>
      </c>
      <c r="AE14" s="128">
        <f t="shared" si="0"/>
        <v>144900381</v>
      </c>
      <c r="AF14" s="128">
        <f t="shared" si="0"/>
        <v>354577938</v>
      </c>
      <c r="AG14" s="128">
        <f t="shared" si="0"/>
        <v>298040325</v>
      </c>
      <c r="AH14" s="128">
        <f t="shared" si="0"/>
        <v>676784262</v>
      </c>
      <c r="AI14" s="128">
        <f t="shared" si="0"/>
        <v>242508013</v>
      </c>
      <c r="AJ14" s="128">
        <f t="shared" si="0"/>
        <v>22369629</v>
      </c>
      <c r="AK14" s="128">
        <f t="shared" si="0"/>
        <v>960018513</v>
      </c>
      <c r="AL14" s="128">
        <f t="shared" si="0"/>
        <v>113184686</v>
      </c>
      <c r="AM14" s="129"/>
    </row>
    <row r="15" spans="1:39" s="130" customFormat="1" ht="25.5" customHeight="1" x14ac:dyDescent="0.2">
      <c r="A15" s="131">
        <v>1</v>
      </c>
      <c r="B15" s="132" t="s">
        <v>899</v>
      </c>
      <c r="C15" s="128">
        <f>'1'!D33</f>
        <v>164990416</v>
      </c>
      <c r="D15" s="128">
        <f>'1'!E33</f>
        <v>47515395</v>
      </c>
      <c r="E15" s="128">
        <f>'1'!F33</f>
        <v>21666811</v>
      </c>
      <c r="F15" s="128">
        <f>'1'!G33</f>
        <v>7134720</v>
      </c>
      <c r="G15" s="128">
        <f>'1'!H33</f>
        <v>0</v>
      </c>
      <c r="H15" s="128">
        <f>'1'!I33</f>
        <v>47356184</v>
      </c>
      <c r="I15" s="128">
        <f>'1'!J33</f>
        <v>450000</v>
      </c>
      <c r="J15" s="128">
        <f>'1'!K33</f>
        <v>13379110</v>
      </c>
      <c r="K15" s="128">
        <f>'1'!L33</f>
        <v>0</v>
      </c>
      <c r="L15" s="128">
        <f>'1'!M33</f>
        <v>35658550</v>
      </c>
      <c r="M15" s="128">
        <f>'1'!N33</f>
        <v>17168796</v>
      </c>
      <c r="N15" s="128">
        <f>'1'!O33</f>
        <v>3462381</v>
      </c>
      <c r="O15" s="128">
        <f>'1'!P33</f>
        <v>161602559</v>
      </c>
      <c r="P15" s="128">
        <f>'1'!Q33</f>
        <v>53981724</v>
      </c>
      <c r="Q15" s="128">
        <f>'1'!R33</f>
        <v>22669811</v>
      </c>
      <c r="R15" s="128">
        <f>'1'!S33</f>
        <v>93777</v>
      </c>
      <c r="S15" s="128">
        <f>'1'!T33</f>
        <v>0</v>
      </c>
      <c r="T15" s="128">
        <f>'1'!U33</f>
        <v>8947715</v>
      </c>
      <c r="U15" s="128">
        <f>'1'!V33</f>
        <v>140678</v>
      </c>
      <c r="V15" s="128">
        <f>'1'!W33</f>
        <v>27537230</v>
      </c>
      <c r="W15" s="128">
        <f>'1'!X33</f>
        <v>3592170</v>
      </c>
      <c r="X15" s="128">
        <f>'1'!Y33</f>
        <v>2082834</v>
      </c>
      <c r="Y15" s="128">
        <f>'1'!Z33</f>
        <v>41905734</v>
      </c>
      <c r="Z15" s="128">
        <f>'1'!AA33</f>
        <v>795871</v>
      </c>
      <c r="AA15" s="128">
        <f>'1'!AB33</f>
        <v>-144985</v>
      </c>
      <c r="AB15" s="128">
        <f>'1'!AC33</f>
        <v>11448282</v>
      </c>
      <c r="AC15" s="128">
        <f>'1'!AD33</f>
        <v>2500245</v>
      </c>
      <c r="AD15" s="128">
        <f>'1'!AE33</f>
        <v>49637408</v>
      </c>
      <c r="AE15" s="128">
        <f>'1'!AF33</f>
        <v>13522984</v>
      </c>
      <c r="AF15" s="128">
        <f>'1'!AG33</f>
        <v>8826654</v>
      </c>
      <c r="AG15" s="128">
        <f>'1'!AH33</f>
        <v>8025657</v>
      </c>
      <c r="AH15" s="128">
        <f>'1'!AI33</f>
        <v>17800951</v>
      </c>
      <c r="AI15" s="128">
        <f>'1'!AJ33</f>
        <v>16807464</v>
      </c>
      <c r="AJ15" s="128">
        <f>'1'!AK33</f>
        <v>0</v>
      </c>
      <c r="AK15" s="128">
        <f>'1'!AL33</f>
        <v>31352419</v>
      </c>
      <c r="AL15" s="128">
        <f>'1'!AM33</f>
        <v>1680495</v>
      </c>
      <c r="AM15" s="129"/>
    </row>
    <row r="16" spans="1:39" s="130" customFormat="1" ht="25.5" customHeight="1" x14ac:dyDescent="0.2">
      <c r="A16" s="131">
        <v>2</v>
      </c>
      <c r="B16" s="132" t="s">
        <v>900</v>
      </c>
      <c r="C16" s="128">
        <f>'2'!D33</f>
        <v>203204621</v>
      </c>
      <c r="D16" s="128">
        <f>'2'!E33</f>
        <v>93755209</v>
      </c>
      <c r="E16" s="128">
        <f>'2'!F33</f>
        <v>43372619</v>
      </c>
      <c r="F16" s="128">
        <f>'2'!G33</f>
        <v>6220896</v>
      </c>
      <c r="G16" s="128">
        <f>'2'!H33</f>
        <v>0</v>
      </c>
      <c r="H16" s="128">
        <f>'2'!I33</f>
        <v>54096658</v>
      </c>
      <c r="I16" s="128">
        <f>'2'!J33</f>
        <v>1758000</v>
      </c>
      <c r="J16" s="128">
        <f>'2'!K33</f>
        <v>9953250</v>
      </c>
      <c r="K16" s="128">
        <f>'2'!L33</f>
        <v>0</v>
      </c>
      <c r="L16" s="128">
        <f>'2'!M33</f>
        <v>13180795</v>
      </c>
      <c r="M16" s="128">
        <f>'2'!N33</f>
        <v>25471589</v>
      </c>
      <c r="N16" s="128">
        <f>'2'!O33</f>
        <v>4989120</v>
      </c>
      <c r="O16" s="128">
        <f>'2'!P33</f>
        <v>202707487</v>
      </c>
      <c r="P16" s="128">
        <f>'2'!Q33</f>
        <v>68096179</v>
      </c>
      <c r="Q16" s="128">
        <f>'2'!R33</f>
        <v>45388038</v>
      </c>
      <c r="R16" s="128">
        <f>'2'!S33</f>
        <v>1264531</v>
      </c>
      <c r="S16" s="128">
        <f>'2'!T33</f>
        <v>29696</v>
      </c>
      <c r="T16" s="128">
        <f>'2'!U33</f>
        <v>4296755</v>
      </c>
      <c r="U16" s="128">
        <f>'2'!V33</f>
        <v>221960</v>
      </c>
      <c r="V16" s="128">
        <f>'2'!W33</f>
        <v>38495899</v>
      </c>
      <c r="W16" s="128">
        <f>'2'!X33</f>
        <v>2819812</v>
      </c>
      <c r="X16" s="128">
        <f>'2'!Y33</f>
        <v>5329219</v>
      </c>
      <c r="Y16" s="128">
        <f>'2'!Z33</f>
        <v>33922545</v>
      </c>
      <c r="Z16" s="128">
        <f>'2'!AA33</f>
        <v>3315821</v>
      </c>
      <c r="AA16" s="128">
        <f>'2'!AB33</f>
        <v>-472968</v>
      </c>
      <c r="AB16" s="128">
        <f>'2'!AC33</f>
        <v>32561405</v>
      </c>
      <c r="AC16" s="128">
        <f>'2'!AD33</f>
        <v>2333681</v>
      </c>
      <c r="AD16" s="128">
        <f>'2'!AE33</f>
        <v>56891789</v>
      </c>
      <c r="AE16" s="128">
        <f>'2'!AF33</f>
        <v>4573653</v>
      </c>
      <c r="AF16" s="128">
        <f>'2'!AG33</f>
        <v>12445806</v>
      </c>
      <c r="AG16" s="128">
        <f>'2'!AH33</f>
        <v>9744034</v>
      </c>
      <c r="AH16" s="128">
        <f>'2'!AI33</f>
        <v>19121909</v>
      </c>
      <c r="AI16" s="128">
        <f>'2'!AJ33</f>
        <v>8496927</v>
      </c>
      <c r="AJ16" s="128">
        <f>'2'!AK33</f>
        <v>0</v>
      </c>
      <c r="AK16" s="128">
        <f>'2'!AL33</f>
        <v>55286426</v>
      </c>
      <c r="AL16" s="128">
        <f>'2'!AM33</f>
        <v>1251857</v>
      </c>
      <c r="AM16" s="129"/>
    </row>
    <row r="17" spans="1:39" s="130" customFormat="1" ht="25.5" customHeight="1" x14ac:dyDescent="0.2">
      <c r="A17" s="131">
        <v>3</v>
      </c>
      <c r="B17" s="132" t="s">
        <v>901</v>
      </c>
      <c r="C17" s="128">
        <f>'3'!D33</f>
        <v>187111937</v>
      </c>
      <c r="D17" s="128">
        <f>'3'!E33</f>
        <v>123892970</v>
      </c>
      <c r="E17" s="128">
        <f>'3'!F33</f>
        <v>78758560</v>
      </c>
      <c r="F17" s="128">
        <f>'3'!G33</f>
        <v>3268132</v>
      </c>
      <c r="G17" s="128">
        <f>'3'!H33</f>
        <v>0</v>
      </c>
      <c r="H17" s="128">
        <f>'3'!I33</f>
        <v>52867760</v>
      </c>
      <c r="I17" s="128">
        <f>'3'!J33</f>
        <v>0</v>
      </c>
      <c r="J17" s="128">
        <f>'3'!K33</f>
        <v>2779280</v>
      </c>
      <c r="K17" s="128">
        <f>'3'!L33</f>
        <v>0</v>
      </c>
      <c r="L17" s="128">
        <f>'3'!M33</f>
        <v>4428277</v>
      </c>
      <c r="M17" s="128">
        <f>'3'!N33</f>
        <v>3031555</v>
      </c>
      <c r="N17" s="128">
        <f>'3'!O33</f>
        <v>112095</v>
      </c>
      <c r="O17" s="128">
        <f>'3'!P33</f>
        <v>166689953</v>
      </c>
      <c r="P17" s="128">
        <f>'3'!Q33</f>
        <v>58735559</v>
      </c>
      <c r="Q17" s="128">
        <f>'3'!R33</f>
        <v>42348577</v>
      </c>
      <c r="R17" s="128">
        <f>'3'!S33</f>
        <v>95394</v>
      </c>
      <c r="S17" s="128">
        <f>'3'!T33</f>
        <v>0</v>
      </c>
      <c r="T17" s="128">
        <f>'3'!U33</f>
        <v>5649638</v>
      </c>
      <c r="U17" s="128">
        <f>'3'!V33</f>
        <v>223610</v>
      </c>
      <c r="V17" s="128">
        <f>'3'!W33</f>
        <v>10411372</v>
      </c>
      <c r="W17" s="128">
        <f>'3'!X33</f>
        <v>2554628</v>
      </c>
      <c r="X17" s="128">
        <f>'3'!Y33</f>
        <v>8910230</v>
      </c>
      <c r="Y17" s="128">
        <f>'3'!Z33</f>
        <v>36924698</v>
      </c>
      <c r="Z17" s="128">
        <f>'3'!AA33</f>
        <v>1137838</v>
      </c>
      <c r="AA17" s="128">
        <f>'3'!AB33</f>
        <v>-301591</v>
      </c>
      <c r="AB17" s="128">
        <f>'3'!AC33</f>
        <v>14900612</v>
      </c>
      <c r="AC17" s="128">
        <f>'3'!AD33</f>
        <v>2345428</v>
      </c>
      <c r="AD17" s="128">
        <f>'3'!AE33</f>
        <v>55243337</v>
      </c>
      <c r="AE17" s="128">
        <f>'3'!AF33</f>
        <v>6948577</v>
      </c>
      <c r="AF17" s="128">
        <f>'3'!AG33</f>
        <v>30279128</v>
      </c>
      <c r="AG17" s="128">
        <f>'3'!AH33</f>
        <v>6961318</v>
      </c>
      <c r="AH17" s="128">
        <f>'3'!AI33</f>
        <v>21119241</v>
      </c>
      <c r="AI17" s="128">
        <f>'3'!AJ33</f>
        <v>9680386</v>
      </c>
      <c r="AJ17" s="128">
        <f>'3'!AK33</f>
        <v>672431</v>
      </c>
      <c r="AK17" s="128">
        <f>'3'!AL33</f>
        <v>17699477</v>
      </c>
      <c r="AL17" s="128">
        <f>'3'!AM33</f>
        <v>840018</v>
      </c>
      <c r="AM17" s="129"/>
    </row>
    <row r="18" spans="1:39" s="130" customFormat="1" ht="25.5" customHeight="1" x14ac:dyDescent="0.2">
      <c r="A18" s="131">
        <v>4</v>
      </c>
      <c r="B18" s="132" t="s">
        <v>902</v>
      </c>
      <c r="C18" s="128">
        <f>'4'!D33</f>
        <v>164563485</v>
      </c>
      <c r="D18" s="128">
        <f>'4'!E33</f>
        <v>42241145</v>
      </c>
      <c r="E18" s="128">
        <f>'4'!F33</f>
        <v>16408927</v>
      </c>
      <c r="F18" s="128">
        <f>'4'!G33</f>
        <v>3595641</v>
      </c>
      <c r="G18" s="128">
        <f>'4'!H33</f>
        <v>0</v>
      </c>
      <c r="H18" s="128">
        <f>'4'!I33</f>
        <v>45822946</v>
      </c>
      <c r="I18" s="128">
        <f>'4'!J33</f>
        <v>0</v>
      </c>
      <c r="J18" s="128">
        <f>'4'!K33</f>
        <v>8035320</v>
      </c>
      <c r="K18" s="128">
        <f>'4'!L33</f>
        <v>0</v>
      </c>
      <c r="L18" s="128">
        <f>'4'!M33</f>
        <v>21244424</v>
      </c>
      <c r="M18" s="128">
        <f>'4'!N33</f>
        <v>44540879</v>
      </c>
      <c r="N18" s="128">
        <f>'4'!O33</f>
        <v>2678771</v>
      </c>
      <c r="O18" s="128">
        <f>'4'!P33</f>
        <v>168908969</v>
      </c>
      <c r="P18" s="128">
        <f>'4'!Q33</f>
        <v>51493037</v>
      </c>
      <c r="Q18" s="128">
        <f>'4'!R33</f>
        <v>23192736</v>
      </c>
      <c r="R18" s="128">
        <f>'4'!S33</f>
        <v>736496</v>
      </c>
      <c r="S18" s="128">
        <f>'4'!T33</f>
        <v>59310</v>
      </c>
      <c r="T18" s="128">
        <f>'4'!U33</f>
        <v>1924437</v>
      </c>
      <c r="U18" s="128">
        <f>'4'!V33</f>
        <v>765308</v>
      </c>
      <c r="V18" s="128">
        <f>'4'!W33</f>
        <v>75169895</v>
      </c>
      <c r="W18" s="128">
        <f>'4'!X33</f>
        <v>3809276</v>
      </c>
      <c r="X18" s="128">
        <f>'4'!Y33</f>
        <v>620554</v>
      </c>
      <c r="Y18" s="128">
        <f>'4'!Z33</f>
        <v>9653042</v>
      </c>
      <c r="Z18" s="128">
        <f>'4'!AA33</f>
        <v>1582336</v>
      </c>
      <c r="AA18" s="128">
        <f>'4'!AB33</f>
        <v>-97458</v>
      </c>
      <c r="AB18" s="128">
        <f>'4'!AC33</f>
        <v>13359586</v>
      </c>
      <c r="AC18" s="128">
        <f>'4'!AD33</f>
        <v>2278990</v>
      </c>
      <c r="AD18" s="128">
        <f>'4'!AE33</f>
        <v>43065778</v>
      </c>
      <c r="AE18" s="128">
        <f>'4'!AF33</f>
        <v>14475279</v>
      </c>
      <c r="AF18" s="128">
        <f>'4'!AG33</f>
        <v>4628546</v>
      </c>
      <c r="AG18" s="128">
        <f>'4'!AH33</f>
        <v>7049193</v>
      </c>
      <c r="AH18" s="128">
        <f>'4'!AI33</f>
        <v>14926400</v>
      </c>
      <c r="AI18" s="128">
        <f>'4'!AJ33</f>
        <v>5795842</v>
      </c>
      <c r="AJ18" s="128">
        <f>'4'!AK33</f>
        <v>0</v>
      </c>
      <c r="AK18" s="128">
        <f>'4'!AL33</f>
        <v>49308654</v>
      </c>
      <c r="AL18" s="128">
        <f>'4'!AM33</f>
        <v>14020701</v>
      </c>
      <c r="AM18" s="129"/>
    </row>
    <row r="19" spans="1:39" s="130" customFormat="1" ht="25.5" customHeight="1" x14ac:dyDescent="0.2">
      <c r="A19" s="131">
        <v>5</v>
      </c>
      <c r="B19" s="132" t="s">
        <v>903</v>
      </c>
      <c r="C19" s="128">
        <f>'5'!D33</f>
        <v>92882548</v>
      </c>
      <c r="D19" s="128">
        <f>'5'!E33</f>
        <v>37037045</v>
      </c>
      <c r="E19" s="128">
        <f>'5'!F33</f>
        <v>14589428</v>
      </c>
      <c r="F19" s="128">
        <f>'5'!G33</f>
        <v>8951823</v>
      </c>
      <c r="G19" s="128">
        <f>'5'!H33</f>
        <v>0</v>
      </c>
      <c r="H19" s="128">
        <f>'5'!I33</f>
        <v>39162176</v>
      </c>
      <c r="I19" s="128">
        <f>'5'!J33</f>
        <v>300000</v>
      </c>
      <c r="J19" s="128">
        <f>'5'!K33</f>
        <v>8522440</v>
      </c>
      <c r="K19" s="128">
        <f>'5'!L33</f>
        <v>0</v>
      </c>
      <c r="L19" s="128">
        <f>'5'!M33</f>
        <v>4786831</v>
      </c>
      <c r="M19" s="128">
        <f>'5'!N33</f>
        <v>2941639</v>
      </c>
      <c r="N19" s="128">
        <f>'5'!O33</f>
        <v>132417</v>
      </c>
      <c r="O19" s="128">
        <f>'5'!P33</f>
        <v>90800598</v>
      </c>
      <c r="P19" s="128">
        <f>'5'!Q33</f>
        <v>42015420</v>
      </c>
      <c r="Q19" s="128">
        <f>'5'!R33</f>
        <v>19360620</v>
      </c>
      <c r="R19" s="128">
        <f>'5'!S33</f>
        <v>205412</v>
      </c>
      <c r="S19" s="128">
        <f>'5'!T33</f>
        <v>0</v>
      </c>
      <c r="T19" s="128">
        <f>'5'!U33</f>
        <v>1528742</v>
      </c>
      <c r="U19" s="128">
        <f>'5'!V33</f>
        <v>0</v>
      </c>
      <c r="V19" s="128">
        <f>'5'!W33</f>
        <v>7529823</v>
      </c>
      <c r="W19" s="128">
        <f>'5'!X33</f>
        <v>1747871</v>
      </c>
      <c r="X19" s="128">
        <f>'5'!Y33</f>
        <v>1694897</v>
      </c>
      <c r="Y19" s="128">
        <f>'5'!Z33</f>
        <v>16489746</v>
      </c>
      <c r="Z19" s="128">
        <f>'5'!AA33</f>
        <v>500362</v>
      </c>
      <c r="AA19" s="128">
        <f>'5'!AB33</f>
        <v>-272295</v>
      </c>
      <c r="AB19" s="128">
        <f>'5'!AC33</f>
        <v>11307376</v>
      </c>
      <c r="AC19" s="128">
        <f>'5'!AD33</f>
        <v>249184</v>
      </c>
      <c r="AD19" s="128">
        <f>'5'!AE33</f>
        <v>41957225</v>
      </c>
      <c r="AE19" s="128">
        <f>'5'!AF33</f>
        <v>1374467</v>
      </c>
      <c r="AF19" s="128">
        <f>'5'!AG33</f>
        <v>5254114</v>
      </c>
      <c r="AG19" s="128">
        <f>'5'!AH33</f>
        <v>5996888</v>
      </c>
      <c r="AH19" s="128">
        <f>'5'!AI33</f>
        <v>9113714</v>
      </c>
      <c r="AI19" s="128">
        <f>'5'!AJ33</f>
        <v>3256652</v>
      </c>
      <c r="AJ19" s="128">
        <f>'5'!AK33</f>
        <v>0</v>
      </c>
      <c r="AK19" s="128">
        <f>'5'!AL33</f>
        <v>9657122</v>
      </c>
      <c r="AL19" s="128">
        <f>'5'!AM33</f>
        <v>2633856</v>
      </c>
      <c r="AM19" s="129"/>
    </row>
    <row r="20" spans="1:39" s="130" customFormat="1" ht="25.5" customHeight="1" x14ac:dyDescent="0.2">
      <c r="A20" s="131">
        <v>6</v>
      </c>
      <c r="B20" s="132" t="s">
        <v>904</v>
      </c>
      <c r="C20" s="128">
        <f>'6'!D33</f>
        <v>83389741</v>
      </c>
      <c r="D20" s="128">
        <f>'6'!E33</f>
        <v>22932491</v>
      </c>
      <c r="E20" s="128">
        <f>'6'!F33</f>
        <v>10304737</v>
      </c>
      <c r="F20" s="128">
        <f>'6'!G33</f>
        <v>1088064</v>
      </c>
      <c r="G20" s="128">
        <f>'6'!H33</f>
        <v>0</v>
      </c>
      <c r="H20" s="128">
        <f>'6'!I33</f>
        <v>35364354</v>
      </c>
      <c r="I20" s="128">
        <f>'6'!J33</f>
        <v>700000</v>
      </c>
      <c r="J20" s="128">
        <f>'6'!K33</f>
        <v>3437000</v>
      </c>
      <c r="K20" s="128">
        <f>'6'!L33</f>
        <v>0</v>
      </c>
      <c r="L20" s="128">
        <f>'6'!M33</f>
        <v>5704611</v>
      </c>
      <c r="M20" s="128">
        <f>'6'!N33</f>
        <v>15245085</v>
      </c>
      <c r="N20" s="128">
        <f>'6'!O33</f>
        <v>6200</v>
      </c>
      <c r="O20" s="128">
        <f>'6'!P33</f>
        <v>83927441</v>
      </c>
      <c r="P20" s="128">
        <f>'6'!Q33</f>
        <v>35807818</v>
      </c>
      <c r="Q20" s="128">
        <f>'6'!R33</f>
        <v>13076539</v>
      </c>
      <c r="R20" s="128">
        <f>'6'!S33</f>
        <v>234203</v>
      </c>
      <c r="S20" s="128">
        <f>'6'!T33</f>
        <v>21420</v>
      </c>
      <c r="T20" s="128">
        <f>'6'!U33</f>
        <v>2093290</v>
      </c>
      <c r="U20" s="128">
        <f>'6'!V33</f>
        <v>200000</v>
      </c>
      <c r="V20" s="128">
        <f>'6'!W33</f>
        <v>19542031</v>
      </c>
      <c r="W20" s="128">
        <f>'6'!X33</f>
        <v>2413641</v>
      </c>
      <c r="X20" s="128">
        <f>'6'!Y33</f>
        <v>642434</v>
      </c>
      <c r="Y20" s="128">
        <f>'6'!Z33</f>
        <v>8622168</v>
      </c>
      <c r="Z20" s="128">
        <f>'6'!AA33</f>
        <v>1282173</v>
      </c>
      <c r="AA20" s="128">
        <f>'6'!AB33</f>
        <v>-8276</v>
      </c>
      <c r="AB20" s="128">
        <f>'6'!AC33</f>
        <v>9142366</v>
      </c>
      <c r="AC20" s="128">
        <f>'6'!AD33</f>
        <v>378692</v>
      </c>
      <c r="AD20" s="128">
        <f>'6'!AE33</f>
        <v>50547691</v>
      </c>
      <c r="AE20" s="128">
        <f>'6'!AF33</f>
        <v>3101541</v>
      </c>
      <c r="AF20" s="128">
        <f>'6'!AG33</f>
        <v>5105500</v>
      </c>
      <c r="AG20" s="128">
        <f>'6'!AH33</f>
        <v>3599157</v>
      </c>
      <c r="AH20" s="128">
        <f>'6'!AI33</f>
        <v>3857435</v>
      </c>
      <c r="AI20" s="128">
        <f>'6'!AJ33</f>
        <v>1367156</v>
      </c>
      <c r="AJ20" s="128">
        <f>'6'!AK33</f>
        <v>0</v>
      </c>
      <c r="AK20" s="128">
        <f>'6'!AL33</f>
        <v>6664790</v>
      </c>
      <c r="AL20" s="128">
        <f>'6'!AM33</f>
        <v>163113</v>
      </c>
      <c r="AM20" s="129"/>
    </row>
    <row r="21" spans="1:39" s="130" customFormat="1" ht="25.5" customHeight="1" x14ac:dyDescent="0.2">
      <c r="A21" s="131">
        <v>7</v>
      </c>
      <c r="B21" s="132" t="s">
        <v>905</v>
      </c>
      <c r="C21" s="128">
        <f>'7'!D33</f>
        <v>84205979</v>
      </c>
      <c r="D21" s="128">
        <f>'7'!E33</f>
        <v>16917978</v>
      </c>
      <c r="E21" s="128">
        <f>'7'!F33</f>
        <v>5545148</v>
      </c>
      <c r="F21" s="128">
        <f>'7'!G33</f>
        <v>2457800</v>
      </c>
      <c r="G21" s="128">
        <f>'7'!H33</f>
        <v>0</v>
      </c>
      <c r="H21" s="128">
        <f>'7'!I33</f>
        <v>29433326</v>
      </c>
      <c r="I21" s="128">
        <f>'7'!J33</f>
        <v>1835878</v>
      </c>
      <c r="J21" s="128">
        <f>'7'!K33</f>
        <v>17620000</v>
      </c>
      <c r="K21" s="128">
        <f>'7'!L33</f>
        <v>0</v>
      </c>
      <c r="L21" s="128">
        <f>'7'!M33</f>
        <v>13895296</v>
      </c>
      <c r="M21" s="128">
        <f>'7'!N33</f>
        <v>4339424</v>
      </c>
      <c r="N21" s="128">
        <f>'7'!O33</f>
        <v>164077</v>
      </c>
      <c r="O21" s="128">
        <f>'7'!P33</f>
        <v>80020757</v>
      </c>
      <c r="P21" s="128">
        <f>'7'!Q33</f>
        <v>33423640</v>
      </c>
      <c r="Q21" s="128">
        <f>'7'!R33</f>
        <v>11623064</v>
      </c>
      <c r="R21" s="128">
        <f>'7'!S33</f>
        <v>311920</v>
      </c>
      <c r="S21" s="128">
        <f>'7'!T33</f>
        <v>0</v>
      </c>
      <c r="T21" s="128">
        <f>'7'!U33</f>
        <v>2557662</v>
      </c>
      <c r="U21" s="128">
        <f>'7'!V33</f>
        <v>4032</v>
      </c>
      <c r="V21" s="128">
        <f>'7'!W33</f>
        <v>6620123</v>
      </c>
      <c r="W21" s="128">
        <f>'7'!X33</f>
        <v>1620813</v>
      </c>
      <c r="X21" s="128">
        <f>'7'!Y33</f>
        <v>876657</v>
      </c>
      <c r="Y21" s="128">
        <f>'7'!Z33</f>
        <v>22045509</v>
      </c>
      <c r="Z21" s="128">
        <f>'7'!AA33</f>
        <v>972825</v>
      </c>
      <c r="AA21" s="128">
        <f>'7'!AB33</f>
        <v>-35488</v>
      </c>
      <c r="AB21" s="128">
        <f>'7'!AC33</f>
        <v>10924432</v>
      </c>
      <c r="AC21" s="128">
        <f>'7'!AD33</f>
        <v>884968</v>
      </c>
      <c r="AD21" s="128">
        <f>'7'!AE33</f>
        <v>31003588</v>
      </c>
      <c r="AE21" s="128">
        <f>'7'!AF33</f>
        <v>1424527</v>
      </c>
      <c r="AF21" s="128">
        <f>'7'!AG33</f>
        <v>7411437</v>
      </c>
      <c r="AG21" s="128">
        <f>'7'!AH33</f>
        <v>4854867</v>
      </c>
      <c r="AH21" s="128">
        <f>'7'!AI33</f>
        <v>4832498</v>
      </c>
      <c r="AI21" s="128">
        <f>'7'!AJ33</f>
        <v>1519101</v>
      </c>
      <c r="AJ21" s="128">
        <f>'7'!AK33</f>
        <v>0</v>
      </c>
      <c r="AK21" s="128">
        <f>'7'!AL33</f>
        <v>17165339</v>
      </c>
      <c r="AL21" s="128">
        <f>'7'!AM33</f>
        <v>0</v>
      </c>
      <c r="AM21" s="129"/>
    </row>
    <row r="22" spans="1:39" s="130" customFormat="1" ht="25.5" customHeight="1" x14ac:dyDescent="0.2">
      <c r="A22" s="131">
        <v>8</v>
      </c>
      <c r="B22" s="132" t="s">
        <v>906</v>
      </c>
      <c r="C22" s="128">
        <f>'8'!D33</f>
        <v>179710676</v>
      </c>
      <c r="D22" s="128">
        <f>'8'!E33</f>
        <v>94205887</v>
      </c>
      <c r="E22" s="128">
        <f>'8'!F33</f>
        <v>33595100</v>
      </c>
      <c r="F22" s="128">
        <f>'8'!G33</f>
        <v>14591920</v>
      </c>
      <c r="G22" s="128">
        <f>'8'!H33</f>
        <v>0</v>
      </c>
      <c r="H22" s="128">
        <f>'8'!I33</f>
        <v>37445030</v>
      </c>
      <c r="I22" s="128">
        <f>'8'!J33</f>
        <v>0</v>
      </c>
      <c r="J22" s="128">
        <f>'8'!K33</f>
        <v>12344310</v>
      </c>
      <c r="K22" s="128">
        <f>'8'!L33</f>
        <v>0</v>
      </c>
      <c r="L22" s="128">
        <f>'8'!M33</f>
        <v>11199537</v>
      </c>
      <c r="M22" s="128">
        <f>'8'!N33</f>
        <v>19892512</v>
      </c>
      <c r="N22" s="128">
        <f>'8'!O33</f>
        <v>4623400</v>
      </c>
      <c r="O22" s="128">
        <f>'8'!P33</f>
        <v>171428432</v>
      </c>
      <c r="P22" s="128">
        <f>'8'!Q33</f>
        <v>43136002</v>
      </c>
      <c r="Q22" s="128">
        <f>'8'!R33</f>
        <v>40316966</v>
      </c>
      <c r="R22" s="128">
        <f>'8'!S33</f>
        <v>1647085</v>
      </c>
      <c r="S22" s="128">
        <f>'8'!T33</f>
        <v>56970</v>
      </c>
      <c r="T22" s="128">
        <f>'8'!U33</f>
        <v>1889702</v>
      </c>
      <c r="U22" s="128">
        <f>'8'!V33</f>
        <v>440904</v>
      </c>
      <c r="V22" s="128">
        <f>'8'!W33</f>
        <v>31153926</v>
      </c>
      <c r="W22" s="128">
        <f>'8'!X33</f>
        <v>2964104</v>
      </c>
      <c r="X22" s="128">
        <f>'8'!Y33</f>
        <v>2895939</v>
      </c>
      <c r="Y22" s="128">
        <f>'8'!Z33</f>
        <v>44454393</v>
      </c>
      <c r="Z22" s="128">
        <f>'8'!AA33</f>
        <v>2849274</v>
      </c>
      <c r="AA22" s="128">
        <f>'8'!AB33</f>
        <v>-376833</v>
      </c>
      <c r="AB22" s="128">
        <f>'8'!AC33</f>
        <v>21960430</v>
      </c>
      <c r="AC22" s="128">
        <f>'8'!AD33</f>
        <v>1998245</v>
      </c>
      <c r="AD22" s="128">
        <f>'8'!AE33</f>
        <v>39204718</v>
      </c>
      <c r="AE22" s="128">
        <f>'8'!AF33</f>
        <v>4045039</v>
      </c>
      <c r="AF22" s="128">
        <f>'8'!AG33</f>
        <v>24424524</v>
      </c>
      <c r="AG22" s="128">
        <f>'8'!AH33</f>
        <v>5943416</v>
      </c>
      <c r="AH22" s="128">
        <f>'8'!AI33</f>
        <v>18406505</v>
      </c>
      <c r="AI22" s="128">
        <f>'8'!AJ33</f>
        <v>11099336</v>
      </c>
      <c r="AJ22" s="128">
        <f>'8'!AK33</f>
        <v>0</v>
      </c>
      <c r="AK22" s="128">
        <f>'8'!AL33</f>
        <v>37775132</v>
      </c>
      <c r="AL22" s="128">
        <f>'8'!AM33</f>
        <v>6571087</v>
      </c>
      <c r="AM22" s="129"/>
    </row>
    <row r="23" spans="1:39" s="130" customFormat="1" ht="25.5" customHeight="1" x14ac:dyDescent="0.2">
      <c r="A23" s="131">
        <v>9</v>
      </c>
      <c r="B23" s="132" t="s">
        <v>907</v>
      </c>
      <c r="C23" s="128">
        <f>'9'!D33</f>
        <v>48796417</v>
      </c>
      <c r="D23" s="128">
        <f>'9'!E33</f>
        <v>16709095</v>
      </c>
      <c r="E23" s="128">
        <f>'9'!F33</f>
        <v>5414406</v>
      </c>
      <c r="F23" s="128">
        <f>'9'!G33</f>
        <v>2392658</v>
      </c>
      <c r="G23" s="128">
        <f>'9'!H33</f>
        <v>0</v>
      </c>
      <c r="H23" s="128">
        <f>'9'!I33</f>
        <v>15945000</v>
      </c>
      <c r="I23" s="128">
        <f>'9'!J33</f>
        <v>1450000</v>
      </c>
      <c r="J23" s="128">
        <f>'9'!K33</f>
        <v>6463000</v>
      </c>
      <c r="K23" s="128">
        <f>'9'!L33</f>
        <v>0</v>
      </c>
      <c r="L23" s="128">
        <f>'9'!M33</f>
        <v>6453341</v>
      </c>
      <c r="M23" s="128">
        <f>'9'!N33</f>
        <v>1488239</v>
      </c>
      <c r="N23" s="128">
        <f>'9'!O33</f>
        <v>287742</v>
      </c>
      <c r="O23" s="128">
        <f>'9'!P33</f>
        <v>45015161</v>
      </c>
      <c r="P23" s="128">
        <f>'9'!Q33</f>
        <v>17875426</v>
      </c>
      <c r="Q23" s="128">
        <f>'9'!R33</f>
        <v>8140970</v>
      </c>
      <c r="R23" s="128">
        <f>'9'!S33</f>
        <v>67000</v>
      </c>
      <c r="S23" s="128">
        <f>'9'!T33</f>
        <v>0</v>
      </c>
      <c r="T23" s="128">
        <f>'9'!U33</f>
        <v>753396</v>
      </c>
      <c r="U23" s="128">
        <f>'9'!V33</f>
        <v>38449</v>
      </c>
      <c r="V23" s="128">
        <f>'9'!W33</f>
        <v>4004394</v>
      </c>
      <c r="W23" s="128">
        <f>'9'!X33</f>
        <v>1051835</v>
      </c>
      <c r="X23" s="128">
        <f>'9'!Y33</f>
        <v>732880</v>
      </c>
      <c r="Y23" s="128">
        <f>'9'!Z33</f>
        <v>12151358</v>
      </c>
      <c r="Z23" s="128">
        <f>'9'!AA33</f>
        <v>213000</v>
      </c>
      <c r="AA23" s="128">
        <f>'9'!AB33</f>
        <v>-13547</v>
      </c>
      <c r="AB23" s="128">
        <f>'9'!AC33</f>
        <v>9171949</v>
      </c>
      <c r="AC23" s="128">
        <f>'9'!AD33</f>
        <v>678173</v>
      </c>
      <c r="AD23" s="128">
        <f>'9'!AE33</f>
        <v>15112173</v>
      </c>
      <c r="AE23" s="128">
        <f>'9'!AF33</f>
        <v>667179</v>
      </c>
      <c r="AF23" s="128">
        <f>'9'!AG33</f>
        <v>1421316</v>
      </c>
      <c r="AG23" s="128">
        <f>'9'!AH33</f>
        <v>3033858</v>
      </c>
      <c r="AH23" s="128">
        <f>'9'!AI33</f>
        <v>1013201</v>
      </c>
      <c r="AI23" s="128">
        <f>'9'!AJ33</f>
        <v>1804648</v>
      </c>
      <c r="AJ23" s="128">
        <f>'9'!AK33</f>
        <v>0</v>
      </c>
      <c r="AK23" s="128">
        <f>'9'!AL33</f>
        <v>11893849</v>
      </c>
      <c r="AL23" s="128">
        <f>'9'!AM33</f>
        <v>218815</v>
      </c>
      <c r="AM23" s="129"/>
    </row>
    <row r="24" spans="1:39" s="130" customFormat="1" ht="25.5" customHeight="1" x14ac:dyDescent="0.2">
      <c r="A24" s="131">
        <v>10</v>
      </c>
      <c r="B24" s="132" t="s">
        <v>908</v>
      </c>
      <c r="C24" s="128">
        <f>'10'!D33</f>
        <v>43265320</v>
      </c>
      <c r="D24" s="128">
        <f>'10'!E33</f>
        <v>13627208</v>
      </c>
      <c r="E24" s="128">
        <f>'10'!F33</f>
        <v>5017128</v>
      </c>
      <c r="F24" s="128">
        <f>'10'!G33</f>
        <v>2718067</v>
      </c>
      <c r="G24" s="128">
        <f>'10'!H33</f>
        <v>0</v>
      </c>
      <c r="H24" s="128">
        <f>'10'!I33</f>
        <v>16709365</v>
      </c>
      <c r="I24" s="128">
        <f>'10'!J33</f>
        <v>600000</v>
      </c>
      <c r="J24" s="128">
        <f>'10'!K33</f>
        <v>7308290</v>
      </c>
      <c r="K24" s="128">
        <f>'10'!L33</f>
        <v>0</v>
      </c>
      <c r="L24" s="128">
        <f>'10'!M33</f>
        <v>4539636</v>
      </c>
      <c r="M24" s="128">
        <f>'10'!N33</f>
        <v>403321</v>
      </c>
      <c r="N24" s="128">
        <f>'10'!O33</f>
        <v>77500</v>
      </c>
      <c r="O24" s="128">
        <f>'10'!P33</f>
        <v>40463664</v>
      </c>
      <c r="P24" s="128">
        <f>'10'!Q33</f>
        <v>17887907</v>
      </c>
      <c r="Q24" s="128">
        <f>'10'!R33</f>
        <v>9316406</v>
      </c>
      <c r="R24" s="128">
        <f>'10'!S33</f>
        <v>0</v>
      </c>
      <c r="S24" s="128">
        <f>'10'!T33</f>
        <v>76365</v>
      </c>
      <c r="T24" s="128">
        <f>'10'!U33</f>
        <v>666849</v>
      </c>
      <c r="U24" s="128">
        <f>'10'!V33</f>
        <v>2069084</v>
      </c>
      <c r="V24" s="128">
        <f>'10'!W33</f>
        <v>431792</v>
      </c>
      <c r="W24" s="128">
        <f>'10'!X33</f>
        <v>1876682</v>
      </c>
      <c r="X24" s="128">
        <f>'10'!Y33</f>
        <v>127502</v>
      </c>
      <c r="Y24" s="128">
        <f>'10'!Z33</f>
        <v>8026525</v>
      </c>
      <c r="Z24" s="128">
        <f>'10'!AA33</f>
        <v>0</v>
      </c>
      <c r="AA24" s="128">
        <f>'10'!AB33</f>
        <v>-15448</v>
      </c>
      <c r="AB24" s="128">
        <f>'10'!AC33</f>
        <v>5635468</v>
      </c>
      <c r="AC24" s="128">
        <f>'10'!AD33</f>
        <v>292659</v>
      </c>
      <c r="AD24" s="128">
        <f>'10'!AE33</f>
        <v>15371017</v>
      </c>
      <c r="AE24" s="128">
        <f>'10'!AF33</f>
        <v>498948</v>
      </c>
      <c r="AF24" s="128">
        <f>'10'!AG33</f>
        <v>896575</v>
      </c>
      <c r="AG24" s="128">
        <f>'10'!AH33</f>
        <v>2761569</v>
      </c>
      <c r="AH24" s="128">
        <f>'10'!AI33</f>
        <v>9664962</v>
      </c>
      <c r="AI24" s="128">
        <f>'10'!AJ33</f>
        <v>958210</v>
      </c>
      <c r="AJ24" s="128">
        <f>'10'!AK33</f>
        <v>0</v>
      </c>
      <c r="AK24" s="128">
        <f>'10'!AL33</f>
        <v>4281455</v>
      </c>
      <c r="AL24" s="128">
        <f>'10'!AM33</f>
        <v>102801</v>
      </c>
      <c r="AM24" s="129"/>
    </row>
    <row r="25" spans="1:39" s="130" customFormat="1" ht="25.5" customHeight="1" x14ac:dyDescent="0.2">
      <c r="A25" s="131">
        <v>11</v>
      </c>
      <c r="B25" s="133" t="s">
        <v>909</v>
      </c>
      <c r="C25" s="128">
        <f>'11'!D33</f>
        <v>147585083</v>
      </c>
      <c r="D25" s="128">
        <f>'11'!E33</f>
        <v>37582942</v>
      </c>
      <c r="E25" s="128">
        <f>'11'!F33</f>
        <v>16828060</v>
      </c>
      <c r="F25" s="128">
        <f>'11'!G33</f>
        <v>2341149</v>
      </c>
      <c r="G25" s="128">
        <f>'11'!H33</f>
        <v>0</v>
      </c>
      <c r="H25" s="128">
        <f>'11'!I33</f>
        <v>50462162</v>
      </c>
      <c r="I25" s="128">
        <f>'11'!J33</f>
        <v>100000</v>
      </c>
      <c r="J25" s="128">
        <f>'11'!K33</f>
        <v>15193790</v>
      </c>
      <c r="K25" s="128">
        <f>'11'!L33</f>
        <v>0</v>
      </c>
      <c r="L25" s="128">
        <f>'11'!M33</f>
        <v>14050863</v>
      </c>
      <c r="M25" s="128">
        <f>'11'!N33</f>
        <v>30141455</v>
      </c>
      <c r="N25" s="128">
        <f>'11'!O33</f>
        <v>53871</v>
      </c>
      <c r="O25" s="128">
        <f>'11'!P33</f>
        <v>143825914</v>
      </c>
      <c r="P25" s="128">
        <f>'11'!Q33</f>
        <v>54789293</v>
      </c>
      <c r="Q25" s="128">
        <f>'11'!R33</f>
        <v>24995560</v>
      </c>
      <c r="R25" s="128">
        <f>'11'!S33</f>
        <v>1140405</v>
      </c>
      <c r="S25" s="128">
        <f>'11'!T33</f>
        <v>0</v>
      </c>
      <c r="T25" s="128">
        <f>'11'!U33</f>
        <v>3769162</v>
      </c>
      <c r="U25" s="128">
        <f>'11'!V33</f>
        <v>954394</v>
      </c>
      <c r="V25" s="128">
        <f>'11'!W33</f>
        <v>36719996</v>
      </c>
      <c r="W25" s="128">
        <f>'11'!X33</f>
        <v>4532910</v>
      </c>
      <c r="X25" s="128">
        <f>'11'!Y33</f>
        <v>498376</v>
      </c>
      <c r="Y25" s="128">
        <f>'11'!Z33</f>
        <v>14648537</v>
      </c>
      <c r="Z25" s="128">
        <f>'11'!AA33</f>
        <v>1887630</v>
      </c>
      <c r="AA25" s="128">
        <f>'11'!AB33</f>
        <v>-110349</v>
      </c>
      <c r="AB25" s="128">
        <f>'11'!AC33</f>
        <v>13880497</v>
      </c>
      <c r="AC25" s="128">
        <f>'11'!AD33</f>
        <v>2105831</v>
      </c>
      <c r="AD25" s="128">
        <f>'11'!AE33</f>
        <v>56062977</v>
      </c>
      <c r="AE25" s="128">
        <f>'11'!AF33</f>
        <v>4018555</v>
      </c>
      <c r="AF25" s="128">
        <f>'11'!AG33</f>
        <v>6252530</v>
      </c>
      <c r="AG25" s="128">
        <f>'11'!AH33</f>
        <v>9985481</v>
      </c>
      <c r="AH25" s="128">
        <f>'11'!AI33</f>
        <v>37896532</v>
      </c>
      <c r="AI25" s="128">
        <f>'11'!AJ33</f>
        <v>3057006</v>
      </c>
      <c r="AJ25" s="128">
        <f>'11'!AK33</f>
        <v>0</v>
      </c>
      <c r="AK25" s="128">
        <f>'11'!AL33</f>
        <v>8693797</v>
      </c>
      <c r="AL25" s="128">
        <f>'11'!AM33</f>
        <v>1872708</v>
      </c>
      <c r="AM25" s="129"/>
    </row>
    <row r="26" spans="1:39" s="130" customFormat="1" ht="25.5" customHeight="1" x14ac:dyDescent="0.2">
      <c r="A26" s="131">
        <v>12</v>
      </c>
      <c r="B26" s="132" t="s">
        <v>910</v>
      </c>
      <c r="C26" s="128">
        <f>'12'!D33</f>
        <v>60348964</v>
      </c>
      <c r="D26" s="128">
        <f>'12'!E33</f>
        <v>16591665</v>
      </c>
      <c r="E26" s="128">
        <f>'12'!F33</f>
        <v>6269249</v>
      </c>
      <c r="F26" s="128">
        <f>'12'!G33</f>
        <v>1015008</v>
      </c>
      <c r="G26" s="128">
        <f>'12'!H33</f>
        <v>0</v>
      </c>
      <c r="H26" s="128">
        <f>'12'!I33</f>
        <v>15092890</v>
      </c>
      <c r="I26" s="128">
        <f>'12'!J33</f>
        <v>480000</v>
      </c>
      <c r="J26" s="128">
        <f>'12'!K33</f>
        <v>4391560</v>
      </c>
      <c r="K26" s="128">
        <f>'12'!L33</f>
        <v>0</v>
      </c>
      <c r="L26" s="128">
        <f>'12'!M33</f>
        <v>8077006</v>
      </c>
      <c r="M26" s="128">
        <f>'12'!N33</f>
        <v>14485343</v>
      </c>
      <c r="N26" s="128">
        <f>'12'!O33</f>
        <v>1230500</v>
      </c>
      <c r="O26" s="128">
        <f>'12'!P33</f>
        <v>57135900</v>
      </c>
      <c r="P26" s="128">
        <f>'12'!Q33</f>
        <v>15759803</v>
      </c>
      <c r="Q26" s="128">
        <f>'12'!R33</f>
        <v>10096277</v>
      </c>
      <c r="R26" s="128">
        <f>'12'!S33</f>
        <v>188503</v>
      </c>
      <c r="S26" s="128">
        <f>'12'!T33</f>
        <v>0</v>
      </c>
      <c r="T26" s="128">
        <f>'12'!U33</f>
        <v>221000</v>
      </c>
      <c r="U26" s="128">
        <f>'12'!V33</f>
        <v>0</v>
      </c>
      <c r="V26" s="128">
        <f>'12'!W33</f>
        <v>20664472</v>
      </c>
      <c r="W26" s="128">
        <f>'12'!X33</f>
        <v>2237872</v>
      </c>
      <c r="X26" s="128">
        <f>'12'!Y33</f>
        <v>19581</v>
      </c>
      <c r="Y26" s="128">
        <f>'12'!Z33</f>
        <v>7740527</v>
      </c>
      <c r="Z26" s="128">
        <f>'12'!AA33</f>
        <v>402014</v>
      </c>
      <c r="AA26" s="128">
        <f>'12'!AB33</f>
        <v>-194149</v>
      </c>
      <c r="AB26" s="128">
        <f>'12'!AC33</f>
        <v>7852645</v>
      </c>
      <c r="AC26" s="128">
        <f>'12'!AD33</f>
        <v>338904</v>
      </c>
      <c r="AD26" s="128">
        <f>'12'!AE33</f>
        <v>28397338</v>
      </c>
      <c r="AE26" s="128">
        <f>'12'!AF33</f>
        <v>5969545</v>
      </c>
      <c r="AF26" s="128">
        <f>'12'!AG33</f>
        <v>1598465</v>
      </c>
      <c r="AG26" s="128">
        <f>'12'!AH33</f>
        <v>2635504</v>
      </c>
      <c r="AH26" s="128">
        <f>'12'!AI33</f>
        <v>2768647</v>
      </c>
      <c r="AI26" s="128">
        <f>'12'!AJ33</f>
        <v>1024489</v>
      </c>
      <c r="AJ26" s="128">
        <f>'12'!AK33</f>
        <v>0</v>
      </c>
      <c r="AK26" s="128">
        <f>'12'!AL33</f>
        <v>6550363</v>
      </c>
      <c r="AL26" s="128">
        <f>'12'!AM33</f>
        <v>0</v>
      </c>
      <c r="AM26" s="129"/>
    </row>
    <row r="27" spans="1:39" s="130" customFormat="1" ht="25.5" customHeight="1" x14ac:dyDescent="0.2">
      <c r="A27" s="131">
        <v>13</v>
      </c>
      <c r="B27" s="132" t="s">
        <v>911</v>
      </c>
      <c r="C27" s="128">
        <f>'13'!D33</f>
        <v>19148676</v>
      </c>
      <c r="D27" s="128">
        <f>'13'!E33</f>
        <v>8720995</v>
      </c>
      <c r="E27" s="128">
        <f>'13'!F33</f>
        <v>3278948</v>
      </c>
      <c r="F27" s="128">
        <f>'13'!G33</f>
        <v>1794138</v>
      </c>
      <c r="G27" s="128">
        <f>'13'!H33</f>
        <v>0</v>
      </c>
      <c r="H27" s="128">
        <f>'13'!I33</f>
        <v>8011895</v>
      </c>
      <c r="I27" s="128">
        <f>'13'!J33</f>
        <v>0</v>
      </c>
      <c r="J27" s="128">
        <f>'13'!K33</f>
        <v>2088000</v>
      </c>
      <c r="K27" s="128">
        <f>'13'!L33</f>
        <v>0</v>
      </c>
      <c r="L27" s="128">
        <f>'13'!M33</f>
        <v>13086</v>
      </c>
      <c r="M27" s="128">
        <f>'13'!N33</f>
        <v>0</v>
      </c>
      <c r="N27" s="128">
        <f>'13'!O33</f>
        <v>314700</v>
      </c>
      <c r="O27" s="128">
        <f>'13'!P33</f>
        <v>18095594</v>
      </c>
      <c r="P27" s="128">
        <f>'13'!Q33</f>
        <v>8398563</v>
      </c>
      <c r="Q27" s="128">
        <f>'13'!R33</f>
        <v>3223365</v>
      </c>
      <c r="R27" s="128">
        <f>'13'!S33</f>
        <v>0</v>
      </c>
      <c r="S27" s="128">
        <f>'13'!T33</f>
        <v>0</v>
      </c>
      <c r="T27" s="128">
        <f>'13'!U33</f>
        <v>111912</v>
      </c>
      <c r="U27" s="128">
        <f>'13'!V33</f>
        <v>0</v>
      </c>
      <c r="V27" s="128">
        <f>'13'!W33</f>
        <v>0</v>
      </c>
      <c r="W27" s="128">
        <f>'13'!X33</f>
        <v>548689</v>
      </c>
      <c r="X27" s="128">
        <f>'13'!Y33</f>
        <v>259151</v>
      </c>
      <c r="Y27" s="128">
        <f>'13'!Z33</f>
        <v>5553914</v>
      </c>
      <c r="Z27" s="128">
        <f>'13'!AA33</f>
        <v>0</v>
      </c>
      <c r="AA27" s="128">
        <f>'13'!AB33</f>
        <v>0</v>
      </c>
      <c r="AB27" s="128">
        <f>'13'!AC33</f>
        <v>3276001</v>
      </c>
      <c r="AC27" s="128">
        <f>'13'!AD33</f>
        <v>121488</v>
      </c>
      <c r="AD27" s="128">
        <f>'13'!AE33</f>
        <v>7768656</v>
      </c>
      <c r="AE27" s="128">
        <f>'13'!AF33</f>
        <v>615069</v>
      </c>
      <c r="AF27" s="128">
        <f>'13'!AG33</f>
        <v>892391</v>
      </c>
      <c r="AG27" s="128">
        <f>'13'!AH33</f>
        <v>854407</v>
      </c>
      <c r="AH27" s="128">
        <f>'13'!AI33</f>
        <v>587072</v>
      </c>
      <c r="AI27" s="128">
        <f>'13'!AJ33</f>
        <v>63108</v>
      </c>
      <c r="AJ27" s="128">
        <f>'13'!AK33</f>
        <v>0</v>
      </c>
      <c r="AK27" s="128">
        <f>'13'!AL33</f>
        <v>3895986</v>
      </c>
      <c r="AL27" s="128">
        <f>'13'!AM33</f>
        <v>21416</v>
      </c>
      <c r="AM27" s="129"/>
    </row>
    <row r="28" spans="1:39" s="130" customFormat="1" ht="25.5" customHeight="1" x14ac:dyDescent="0.2">
      <c r="A28" s="131">
        <v>14</v>
      </c>
      <c r="B28" s="132" t="s">
        <v>912</v>
      </c>
      <c r="C28" s="128">
        <f>'14'!D33</f>
        <v>359132948</v>
      </c>
      <c r="D28" s="128">
        <f>'14'!E33</f>
        <v>192411535</v>
      </c>
      <c r="E28" s="128">
        <f>'14'!F33</f>
        <v>52365423</v>
      </c>
      <c r="F28" s="128">
        <f>'14'!G33</f>
        <v>30277410</v>
      </c>
      <c r="G28" s="128">
        <f>'14'!H33</f>
        <v>0</v>
      </c>
      <c r="H28" s="128">
        <f>'14'!I33</f>
        <v>61584143</v>
      </c>
      <c r="I28" s="128">
        <f>'14'!J33</f>
        <v>1306020</v>
      </c>
      <c r="J28" s="128">
        <f>'14'!K33</f>
        <v>6226145</v>
      </c>
      <c r="K28" s="128">
        <f>'14'!L33</f>
        <v>0</v>
      </c>
      <c r="L28" s="128">
        <f>'14'!M33</f>
        <v>28534806</v>
      </c>
      <c r="M28" s="128">
        <f>'14'!N33</f>
        <v>68648151</v>
      </c>
      <c r="N28" s="128">
        <f>'14'!O33</f>
        <v>422148</v>
      </c>
      <c r="O28" s="128">
        <f>'14'!P33</f>
        <v>347790337</v>
      </c>
      <c r="P28" s="128">
        <f>'14'!Q33</f>
        <v>85186643</v>
      </c>
      <c r="Q28" s="128">
        <f>'14'!R33</f>
        <v>99123630</v>
      </c>
      <c r="R28" s="128">
        <f>'14'!S33</f>
        <v>2603482</v>
      </c>
      <c r="S28" s="128">
        <f>'14'!T33</f>
        <v>1144953</v>
      </c>
      <c r="T28" s="128">
        <f>'14'!U33</f>
        <v>6631089</v>
      </c>
      <c r="U28" s="128">
        <f>'14'!V33</f>
        <v>3273716</v>
      </c>
      <c r="V28" s="128">
        <f>'14'!W33</f>
        <v>98581332</v>
      </c>
      <c r="W28" s="128">
        <f>'14'!X33</f>
        <v>7398048</v>
      </c>
      <c r="X28" s="128">
        <f>'14'!Y33</f>
        <v>2797728</v>
      </c>
      <c r="Y28" s="128">
        <f>'14'!Z33</f>
        <v>26985043</v>
      </c>
      <c r="Z28" s="128">
        <f>'14'!AA33</f>
        <v>14216352</v>
      </c>
      <c r="AA28" s="128">
        <f>'14'!AB33</f>
        <v>-151679</v>
      </c>
      <c r="AB28" s="128">
        <f>'14'!AC33</f>
        <v>35984832</v>
      </c>
      <c r="AC28" s="128">
        <f>'14'!AD33</f>
        <v>6885741</v>
      </c>
      <c r="AD28" s="128">
        <f>'14'!AE33</f>
        <v>58089205</v>
      </c>
      <c r="AE28" s="128">
        <f>'14'!AF33</f>
        <v>3128235</v>
      </c>
      <c r="AF28" s="128">
        <f>'14'!AG33</f>
        <v>27536703</v>
      </c>
      <c r="AG28" s="128">
        <f>'14'!AH33</f>
        <v>19651210</v>
      </c>
      <c r="AH28" s="128">
        <f>'14'!AI33</f>
        <v>80533079</v>
      </c>
      <c r="AI28" s="128">
        <f>'14'!AJ33</f>
        <v>14665001</v>
      </c>
      <c r="AJ28" s="128">
        <f>'14'!AK33</f>
        <v>13553521</v>
      </c>
      <c r="AK28" s="128">
        <f>'14'!AL33</f>
        <v>86608679</v>
      </c>
      <c r="AL28" s="128">
        <f>'14'!AM33</f>
        <v>1154131</v>
      </c>
      <c r="AM28" s="129"/>
    </row>
    <row r="29" spans="1:39" s="130" customFormat="1" ht="25.5" customHeight="1" x14ac:dyDescent="0.2">
      <c r="A29" s="134">
        <v>15</v>
      </c>
      <c r="B29" s="132" t="s">
        <v>913</v>
      </c>
      <c r="C29" s="128">
        <f>'15'!D33</f>
        <v>67290734</v>
      </c>
      <c r="D29" s="128">
        <f>'15'!E33</f>
        <v>18985760</v>
      </c>
      <c r="E29" s="128">
        <f>'15'!F33</f>
        <v>7532583</v>
      </c>
      <c r="F29" s="128">
        <f>'15'!G33</f>
        <v>1072647</v>
      </c>
      <c r="G29" s="128">
        <f>'15'!H33</f>
        <v>0</v>
      </c>
      <c r="H29" s="128">
        <f>'15'!I33</f>
        <v>24059584</v>
      </c>
      <c r="I29" s="128">
        <f>'15'!J33</f>
        <v>998443</v>
      </c>
      <c r="J29" s="128">
        <f>'15'!K33</f>
        <v>4852650</v>
      </c>
      <c r="K29" s="128">
        <f>'15'!L33</f>
        <v>0</v>
      </c>
      <c r="L29" s="128">
        <f>'15'!M33</f>
        <v>8038955</v>
      </c>
      <c r="M29" s="128">
        <f>'15'!N33</f>
        <v>10079955</v>
      </c>
      <c r="N29" s="128">
        <f>'15'!O33</f>
        <v>275387</v>
      </c>
      <c r="O29" s="128">
        <f>'15'!P33</f>
        <v>66865281</v>
      </c>
      <c r="P29" s="128">
        <f>'15'!Q33</f>
        <v>26495779</v>
      </c>
      <c r="Q29" s="128">
        <f>'15'!R33</f>
        <v>12235169</v>
      </c>
      <c r="R29" s="128">
        <f>'15'!S33</f>
        <v>257673</v>
      </c>
      <c r="S29" s="128">
        <f>'15'!T33</f>
        <v>219659</v>
      </c>
      <c r="T29" s="128">
        <f>'15'!U33</f>
        <v>646860</v>
      </c>
      <c r="U29" s="128">
        <f>'15'!V33</f>
        <v>324566</v>
      </c>
      <c r="V29" s="128">
        <f>'15'!W33</f>
        <v>16119915</v>
      </c>
      <c r="W29" s="128">
        <f>'15'!X33</f>
        <v>1008284</v>
      </c>
      <c r="X29" s="128">
        <f>'15'!Y33</f>
        <v>527370</v>
      </c>
      <c r="Y29" s="128">
        <f>'15'!Z33</f>
        <v>8810704</v>
      </c>
      <c r="Z29" s="128">
        <f>'15'!AA33</f>
        <v>249375</v>
      </c>
      <c r="AA29" s="128">
        <f>'15'!AB33</f>
        <v>-30073</v>
      </c>
      <c r="AB29" s="128">
        <f>'15'!AC33</f>
        <v>7080812</v>
      </c>
      <c r="AC29" s="128">
        <f>'15'!AD33</f>
        <v>416639</v>
      </c>
      <c r="AD29" s="128">
        <f>'15'!AE33</f>
        <v>23820606</v>
      </c>
      <c r="AE29" s="128">
        <f>'15'!AF33</f>
        <v>371171</v>
      </c>
      <c r="AF29" s="128">
        <f>'15'!AG33</f>
        <v>2828575</v>
      </c>
      <c r="AG29" s="128">
        <f>'15'!AH33</f>
        <v>2528401</v>
      </c>
      <c r="AH29" s="128">
        <f>'15'!AI33</f>
        <v>5866770</v>
      </c>
      <c r="AI29" s="128">
        <f>'15'!AJ33</f>
        <v>1175090</v>
      </c>
      <c r="AJ29" s="128">
        <f>'15'!AK33</f>
        <v>2108872</v>
      </c>
      <c r="AK29" s="128">
        <f>'15'!AL33</f>
        <v>19923734</v>
      </c>
      <c r="AL29" s="128">
        <f>'15'!AM33</f>
        <v>744611</v>
      </c>
      <c r="AM29" s="129"/>
    </row>
    <row r="30" spans="1:39" s="130" customFormat="1" ht="25.5" customHeight="1" x14ac:dyDescent="0.2">
      <c r="A30" s="134">
        <v>16</v>
      </c>
      <c r="B30" s="132" t="s">
        <v>914</v>
      </c>
      <c r="C30" s="128">
        <f>'16'!D33</f>
        <v>137898555</v>
      </c>
      <c r="D30" s="128">
        <f>'16'!E33</f>
        <v>55446979</v>
      </c>
      <c r="E30" s="128">
        <f>'16'!F33</f>
        <v>25332483</v>
      </c>
      <c r="F30" s="128">
        <f>'16'!G33</f>
        <v>1943878</v>
      </c>
      <c r="G30" s="128">
        <f>'16'!H33</f>
        <v>0</v>
      </c>
      <c r="H30" s="128">
        <f>'16'!I33</f>
        <v>48230550</v>
      </c>
      <c r="I30" s="128">
        <f>'16'!J33</f>
        <v>0</v>
      </c>
      <c r="J30" s="128">
        <f>'16'!K33</f>
        <v>5249150</v>
      </c>
      <c r="K30" s="128">
        <f>'16'!L33</f>
        <v>0</v>
      </c>
      <c r="L30" s="128">
        <f>'16'!M33</f>
        <v>9941464</v>
      </c>
      <c r="M30" s="128">
        <f>'16'!N33</f>
        <v>17673502</v>
      </c>
      <c r="N30" s="128">
        <f>'16'!O33</f>
        <v>1356910</v>
      </c>
      <c r="O30" s="128">
        <f>'16'!P33</f>
        <v>137805534</v>
      </c>
      <c r="P30" s="128">
        <f>'16'!Q33</f>
        <v>52944684</v>
      </c>
      <c r="Q30" s="128">
        <f>'16'!R33</f>
        <v>29836948</v>
      </c>
      <c r="R30" s="128">
        <f>'16'!S33</f>
        <v>652960</v>
      </c>
      <c r="S30" s="128">
        <f>'16'!T33</f>
        <v>0</v>
      </c>
      <c r="T30" s="128">
        <f>'16'!U33</f>
        <v>293992</v>
      </c>
      <c r="U30" s="128">
        <f>'16'!V33</f>
        <v>0</v>
      </c>
      <c r="V30" s="128">
        <f>'16'!W33</f>
        <v>29338931</v>
      </c>
      <c r="W30" s="128">
        <f>'16'!X33</f>
        <v>4913904</v>
      </c>
      <c r="X30" s="128">
        <f>'16'!Y33</f>
        <v>1354356</v>
      </c>
      <c r="Y30" s="128">
        <f>'16'!Z33</f>
        <v>17048436</v>
      </c>
      <c r="Z30" s="128">
        <f>'16'!AA33</f>
        <v>1614888</v>
      </c>
      <c r="AA30" s="128">
        <f>'16'!AB33</f>
        <v>-193565</v>
      </c>
      <c r="AB30" s="128">
        <f>'16'!AC33</f>
        <v>15721630</v>
      </c>
      <c r="AC30" s="128">
        <f>'16'!AD33</f>
        <v>1882269</v>
      </c>
      <c r="AD30" s="128">
        <f>'16'!AE33</f>
        <v>54640506</v>
      </c>
      <c r="AE30" s="128">
        <f>'16'!AF33</f>
        <v>2625949</v>
      </c>
      <c r="AF30" s="128">
        <f>'16'!AG33</f>
        <v>7610388</v>
      </c>
      <c r="AG30" s="128">
        <f>'16'!AH33</f>
        <v>9633798</v>
      </c>
      <c r="AH30" s="128">
        <f>'16'!AI33</f>
        <v>13830288</v>
      </c>
      <c r="AI30" s="128">
        <f>'16'!AJ33</f>
        <v>2453771</v>
      </c>
      <c r="AJ30" s="128">
        <f>'16'!AK33</f>
        <v>0</v>
      </c>
      <c r="AK30" s="128">
        <f>'16'!AL33</f>
        <v>28903577</v>
      </c>
      <c r="AL30" s="128">
        <f>'16'!AM33</f>
        <v>503358</v>
      </c>
      <c r="AM30" s="129"/>
    </row>
    <row r="31" spans="1:39" s="130" customFormat="1" ht="25.5" customHeight="1" x14ac:dyDescent="0.2">
      <c r="A31" s="134">
        <v>17</v>
      </c>
      <c r="B31" s="132" t="s">
        <v>915</v>
      </c>
      <c r="C31" s="128">
        <f>'17'!D33</f>
        <v>84128113</v>
      </c>
      <c r="D31" s="128">
        <f>'17'!E33</f>
        <v>24953690</v>
      </c>
      <c r="E31" s="128">
        <f>'17'!F33</f>
        <v>8062781</v>
      </c>
      <c r="F31" s="128">
        <f>'17'!G33</f>
        <v>4979318</v>
      </c>
      <c r="G31" s="128">
        <f>'17'!H33</f>
        <v>0</v>
      </c>
      <c r="H31" s="128">
        <f>'17'!I33</f>
        <v>27533688</v>
      </c>
      <c r="I31" s="128">
        <f>'17'!J33</f>
        <v>374476</v>
      </c>
      <c r="J31" s="128">
        <f>'17'!K33</f>
        <v>6869710</v>
      </c>
      <c r="K31" s="128">
        <f>'17'!L33</f>
        <v>0</v>
      </c>
      <c r="L31" s="128">
        <f>'17'!M33</f>
        <v>5208416</v>
      </c>
      <c r="M31" s="128">
        <f>'17'!N33</f>
        <v>19041222</v>
      </c>
      <c r="N31" s="128">
        <f>'17'!O33</f>
        <v>146911</v>
      </c>
      <c r="O31" s="128">
        <f>'17'!P33</f>
        <v>78866491</v>
      </c>
      <c r="P31" s="128">
        <f>'17'!Q33</f>
        <v>31664091</v>
      </c>
      <c r="Q31" s="128">
        <f>'17'!R33</f>
        <v>12349832</v>
      </c>
      <c r="R31" s="128">
        <f>'17'!S33</f>
        <v>20889</v>
      </c>
      <c r="S31" s="128">
        <f>'17'!T33</f>
        <v>0</v>
      </c>
      <c r="T31" s="128">
        <f>'17'!U33</f>
        <v>1154329</v>
      </c>
      <c r="U31" s="128">
        <f>'17'!V33</f>
        <v>27342</v>
      </c>
      <c r="V31" s="128">
        <f>'17'!W33</f>
        <v>26808076</v>
      </c>
      <c r="W31" s="128">
        <f>'17'!X33</f>
        <v>1470401</v>
      </c>
      <c r="X31" s="128">
        <f>'17'!Y33</f>
        <v>519990</v>
      </c>
      <c r="Y31" s="128">
        <f>'17'!Z33</f>
        <v>4930462</v>
      </c>
      <c r="Z31" s="128">
        <f>'17'!AA33</f>
        <v>184368</v>
      </c>
      <c r="AA31" s="128">
        <f>'17'!AB33</f>
        <v>-263289</v>
      </c>
      <c r="AB31" s="128">
        <f>'17'!AC33</f>
        <v>26100170</v>
      </c>
      <c r="AC31" s="128">
        <f>'17'!AD33</f>
        <v>847570</v>
      </c>
      <c r="AD31" s="128">
        <f>'17'!AE33</f>
        <v>28268279</v>
      </c>
      <c r="AE31" s="128">
        <f>'17'!AF33</f>
        <v>1561122</v>
      </c>
      <c r="AF31" s="128">
        <f>'17'!AG33</f>
        <v>3270504</v>
      </c>
      <c r="AG31" s="128">
        <f>'17'!AH33</f>
        <v>2730951</v>
      </c>
      <c r="AH31" s="128">
        <f>'17'!AI33</f>
        <v>8516552</v>
      </c>
      <c r="AI31" s="128">
        <f>'17'!AJ33</f>
        <v>480024</v>
      </c>
      <c r="AJ31" s="128">
        <f>'17'!AK33</f>
        <v>0</v>
      </c>
      <c r="AK31" s="128">
        <f>'17'!AL33</f>
        <v>6930069</v>
      </c>
      <c r="AL31" s="128">
        <f>'17'!AM33</f>
        <v>161250</v>
      </c>
      <c r="AM31" s="129"/>
    </row>
    <row r="32" spans="1:39" s="130" customFormat="1" ht="25.5" customHeight="1" x14ac:dyDescent="0.2">
      <c r="A32" s="134">
        <v>18</v>
      </c>
      <c r="B32" s="132" t="s">
        <v>916</v>
      </c>
      <c r="C32" s="128">
        <f>'18'!D33</f>
        <v>23561838</v>
      </c>
      <c r="D32" s="128">
        <f>'18'!E33</f>
        <v>10948338</v>
      </c>
      <c r="E32" s="128">
        <f>'18'!F33</f>
        <v>1811619</v>
      </c>
      <c r="F32" s="128">
        <f>'18'!G33</f>
        <v>6570354</v>
      </c>
      <c r="G32" s="128">
        <f>'18'!H33</f>
        <v>0</v>
      </c>
      <c r="H32" s="128">
        <f>'18'!I33</f>
        <v>7543224</v>
      </c>
      <c r="I32" s="128">
        <f>'18'!J33</f>
        <v>1223053</v>
      </c>
      <c r="J32" s="128">
        <f>'18'!K33</f>
        <v>2169320</v>
      </c>
      <c r="K32" s="128">
        <f>'18'!L33</f>
        <v>0</v>
      </c>
      <c r="L32" s="128">
        <f>'18'!M33</f>
        <v>348945</v>
      </c>
      <c r="M32" s="128">
        <f>'18'!N33</f>
        <v>1328958</v>
      </c>
      <c r="N32" s="128">
        <f>'18'!O33</f>
        <v>0</v>
      </c>
      <c r="O32" s="128">
        <f>'18'!P33</f>
        <v>22270357</v>
      </c>
      <c r="P32" s="128">
        <f>'18'!Q33</f>
        <v>8374413</v>
      </c>
      <c r="Q32" s="128">
        <f>'18'!R33</f>
        <v>4171721</v>
      </c>
      <c r="R32" s="128">
        <f>'18'!S33</f>
        <v>11300</v>
      </c>
      <c r="S32" s="128">
        <f>'18'!T33</f>
        <v>0</v>
      </c>
      <c r="T32" s="128">
        <f>'18'!U33</f>
        <v>0</v>
      </c>
      <c r="U32" s="128">
        <f>'18'!V33</f>
        <v>100953</v>
      </c>
      <c r="V32" s="128">
        <f>'18'!W33</f>
        <v>1842977</v>
      </c>
      <c r="W32" s="128">
        <f>'18'!X33</f>
        <v>543062</v>
      </c>
      <c r="X32" s="128">
        <f>'18'!Y33</f>
        <v>222000</v>
      </c>
      <c r="Y32" s="128">
        <f>'18'!Z33</f>
        <v>6949637</v>
      </c>
      <c r="Z32" s="128">
        <f>'18'!AA33</f>
        <v>73674</v>
      </c>
      <c r="AA32" s="128">
        <f>'18'!AB33</f>
        <v>-19380</v>
      </c>
      <c r="AB32" s="128">
        <f>'18'!AC33</f>
        <v>2404922</v>
      </c>
      <c r="AC32" s="128">
        <f>'18'!AD33</f>
        <v>128911</v>
      </c>
      <c r="AD32" s="128">
        <f>'18'!AE33</f>
        <v>9801331</v>
      </c>
      <c r="AE32" s="128">
        <f>'18'!AF33</f>
        <v>67687</v>
      </c>
      <c r="AF32" s="128">
        <f>'18'!AG33</f>
        <v>958247</v>
      </c>
      <c r="AG32" s="128">
        <f>'18'!AH33</f>
        <v>1029850</v>
      </c>
      <c r="AH32" s="128">
        <f>'18'!AI33</f>
        <v>1635066</v>
      </c>
      <c r="AI32" s="128">
        <f>'18'!AJ33</f>
        <v>620194</v>
      </c>
      <c r="AJ32" s="128">
        <f>'18'!AK33</f>
        <v>0</v>
      </c>
      <c r="AK32" s="128">
        <f>'18'!AL33</f>
        <v>5575761</v>
      </c>
      <c r="AL32" s="128">
        <f>'18'!AM33</f>
        <v>48388</v>
      </c>
      <c r="AM32" s="129"/>
    </row>
    <row r="33" spans="1:39" s="130" customFormat="1" ht="25.5" customHeight="1" x14ac:dyDescent="0.2">
      <c r="A33" s="134">
        <v>19</v>
      </c>
      <c r="B33" s="132" t="s">
        <v>917</v>
      </c>
      <c r="C33" s="128">
        <f>'19'!D33</f>
        <v>30933035</v>
      </c>
      <c r="D33" s="128">
        <f>'19'!E33</f>
        <v>13681862</v>
      </c>
      <c r="E33" s="128">
        <f>'19'!F33</f>
        <v>5852997</v>
      </c>
      <c r="F33" s="128">
        <f>'19'!G33</f>
        <v>417795</v>
      </c>
      <c r="G33" s="128">
        <f>'19'!H33</f>
        <v>0</v>
      </c>
      <c r="H33" s="128">
        <f>'19'!I33</f>
        <v>13013863</v>
      </c>
      <c r="I33" s="128">
        <f>'19'!J33</f>
        <v>23587</v>
      </c>
      <c r="J33" s="128">
        <f>'19'!K33</f>
        <v>2138100</v>
      </c>
      <c r="K33" s="128">
        <f>'19'!L33</f>
        <v>0</v>
      </c>
      <c r="L33" s="128">
        <f>'19'!M33</f>
        <v>2068423</v>
      </c>
      <c r="M33" s="128">
        <f>'19'!N33</f>
        <v>0</v>
      </c>
      <c r="N33" s="128">
        <f>'19'!O33</f>
        <v>7200</v>
      </c>
      <c r="O33" s="128">
        <f>'19'!P33</f>
        <v>25616897</v>
      </c>
      <c r="P33" s="128">
        <f>'19'!Q33</f>
        <v>12767626</v>
      </c>
      <c r="Q33" s="128">
        <f>'19'!R33</f>
        <v>6842285</v>
      </c>
      <c r="R33" s="128">
        <f>'19'!S33</f>
        <v>0</v>
      </c>
      <c r="S33" s="128">
        <f>'19'!T33</f>
        <v>0</v>
      </c>
      <c r="T33" s="128">
        <f>'19'!U33</f>
        <v>35000</v>
      </c>
      <c r="U33" s="128">
        <f>'19'!V33</f>
        <v>0</v>
      </c>
      <c r="V33" s="128">
        <f>'19'!W33</f>
        <v>0</v>
      </c>
      <c r="W33" s="128">
        <f>'19'!X33</f>
        <v>1240176</v>
      </c>
      <c r="X33" s="128">
        <f>'19'!Y33</f>
        <v>473300</v>
      </c>
      <c r="Y33" s="128">
        <f>'19'!Z33</f>
        <v>4262076</v>
      </c>
      <c r="Z33" s="128">
        <f>'19'!AA33</f>
        <v>0</v>
      </c>
      <c r="AA33" s="128">
        <f>'19'!AB33</f>
        <v>-3566</v>
      </c>
      <c r="AB33" s="128">
        <f>'19'!AC33</f>
        <v>3449444</v>
      </c>
      <c r="AC33" s="128">
        <f>'19'!AD33</f>
        <v>176174</v>
      </c>
      <c r="AD33" s="128">
        <f>'19'!AE33</f>
        <v>11629571</v>
      </c>
      <c r="AE33" s="128">
        <f>'19'!AF33</f>
        <v>112170</v>
      </c>
      <c r="AF33" s="128">
        <f>'19'!AG33</f>
        <v>500716</v>
      </c>
      <c r="AG33" s="128">
        <f>'19'!AH33</f>
        <v>2111762</v>
      </c>
      <c r="AH33" s="128">
        <f>'19'!AI33</f>
        <v>3284464</v>
      </c>
      <c r="AI33" s="128">
        <f>'19'!AJ33</f>
        <v>382881</v>
      </c>
      <c r="AJ33" s="128">
        <f>'19'!AK33</f>
        <v>0</v>
      </c>
      <c r="AK33" s="128">
        <f>'19'!AL33</f>
        <v>3903616</v>
      </c>
      <c r="AL33" s="128">
        <f>'19'!AM33</f>
        <v>66099</v>
      </c>
      <c r="AM33" s="129"/>
    </row>
    <row r="34" spans="1:39" s="130" customFormat="1" ht="25.5" customHeight="1" x14ac:dyDescent="0.2">
      <c r="A34" s="134">
        <v>20</v>
      </c>
      <c r="B34" s="132" t="s">
        <v>918</v>
      </c>
      <c r="C34" s="128">
        <f>'20'!D33</f>
        <v>122992621</v>
      </c>
      <c r="D34" s="128">
        <f>'20'!E33</f>
        <v>54739268</v>
      </c>
      <c r="E34" s="128">
        <f>'20'!F33</f>
        <v>28630821</v>
      </c>
      <c r="F34" s="128">
        <f>'20'!G33</f>
        <v>4156268</v>
      </c>
      <c r="G34" s="128">
        <f>'20'!H33</f>
        <v>0</v>
      </c>
      <c r="H34" s="128">
        <f>'20'!I33</f>
        <v>40905390</v>
      </c>
      <c r="I34" s="128">
        <f>'20'!J33</f>
        <v>916000</v>
      </c>
      <c r="J34" s="128">
        <f>'20'!K33</f>
        <v>8732800</v>
      </c>
      <c r="K34" s="128">
        <f>'20'!L33</f>
        <v>0</v>
      </c>
      <c r="L34" s="128">
        <f>'20'!M33</f>
        <v>8522154</v>
      </c>
      <c r="M34" s="128">
        <f>'20'!N33</f>
        <v>8827982</v>
      </c>
      <c r="N34" s="128">
        <f>'20'!O33</f>
        <v>349027</v>
      </c>
      <c r="O34" s="128">
        <f>'20'!P33</f>
        <v>120397390</v>
      </c>
      <c r="P34" s="128">
        <f>'20'!Q33</f>
        <v>53190171</v>
      </c>
      <c r="Q34" s="128">
        <f>'20'!R33</f>
        <v>23957206</v>
      </c>
      <c r="R34" s="128">
        <f>'20'!S33</f>
        <v>45171</v>
      </c>
      <c r="S34" s="128">
        <f>'20'!T33</f>
        <v>0</v>
      </c>
      <c r="T34" s="128">
        <f>'20'!U33</f>
        <v>5832072</v>
      </c>
      <c r="U34" s="128">
        <f>'20'!V33</f>
        <v>0</v>
      </c>
      <c r="V34" s="128">
        <f>'20'!W33</f>
        <v>15558206</v>
      </c>
      <c r="W34" s="128">
        <f>'20'!X33</f>
        <v>2241613</v>
      </c>
      <c r="X34" s="128">
        <f>'20'!Y33</f>
        <v>4477670</v>
      </c>
      <c r="Y34" s="128">
        <f>'20'!Z33</f>
        <v>15085211</v>
      </c>
      <c r="Z34" s="128">
        <f>'20'!AA33</f>
        <v>214012</v>
      </c>
      <c r="AA34" s="128">
        <f>'20'!AB33</f>
        <v>-203942</v>
      </c>
      <c r="AB34" s="128">
        <f>'20'!AC33</f>
        <v>17424433</v>
      </c>
      <c r="AC34" s="128">
        <f>'20'!AD33</f>
        <v>2706899</v>
      </c>
      <c r="AD34" s="128">
        <f>'20'!AE33</f>
        <v>49488455</v>
      </c>
      <c r="AE34" s="128">
        <f>'20'!AF33</f>
        <v>11596375</v>
      </c>
      <c r="AF34" s="128">
        <f>'20'!AG33</f>
        <v>5739819</v>
      </c>
      <c r="AG34" s="128">
        <f>'20'!AH33</f>
        <v>8033756</v>
      </c>
      <c r="AH34" s="128">
        <f>'20'!AI33</f>
        <v>10223610</v>
      </c>
      <c r="AI34" s="128">
        <f>'20'!AJ33</f>
        <v>3524778</v>
      </c>
      <c r="AJ34" s="128">
        <f>'20'!AK33</f>
        <v>62774</v>
      </c>
      <c r="AK34" s="128">
        <f>'20'!AL33</f>
        <v>11006264</v>
      </c>
      <c r="AL34" s="128">
        <f>'20'!AM33</f>
        <v>590227</v>
      </c>
      <c r="AM34" s="129"/>
    </row>
    <row r="35" spans="1:39" s="130" customFormat="1" ht="25.5" customHeight="1" x14ac:dyDescent="0.2">
      <c r="A35" s="134">
        <v>21</v>
      </c>
      <c r="B35" s="132" t="s">
        <v>919</v>
      </c>
      <c r="C35" s="128">
        <f>'21'!D33</f>
        <v>78608366</v>
      </c>
      <c r="D35" s="128">
        <f>'21'!E33</f>
        <v>21936397</v>
      </c>
      <c r="E35" s="128">
        <f>'21'!F33</f>
        <v>7909189</v>
      </c>
      <c r="F35" s="128">
        <f>'21'!G33</f>
        <v>3192180</v>
      </c>
      <c r="G35" s="128">
        <f>'21'!H33</f>
        <v>0</v>
      </c>
      <c r="H35" s="128">
        <f>'21'!I33</f>
        <v>26061177</v>
      </c>
      <c r="I35" s="128">
        <f>'21'!J33</f>
        <v>850000</v>
      </c>
      <c r="J35" s="128">
        <f>'21'!K33</f>
        <v>11006880</v>
      </c>
      <c r="K35" s="128">
        <f>'21'!L33</f>
        <v>0</v>
      </c>
      <c r="L35" s="128">
        <f>'21'!M33</f>
        <v>5008478</v>
      </c>
      <c r="M35" s="128">
        <f>'21'!N33</f>
        <v>12605665</v>
      </c>
      <c r="N35" s="128">
        <f>'21'!O33</f>
        <v>1139769</v>
      </c>
      <c r="O35" s="128">
        <f>'21'!P33</f>
        <v>74382482</v>
      </c>
      <c r="P35" s="128">
        <f>'21'!Q33</f>
        <v>29080746</v>
      </c>
      <c r="Q35" s="128">
        <f>'21'!R33</f>
        <v>12504107</v>
      </c>
      <c r="R35" s="128">
        <f>'21'!S33</f>
        <v>183500</v>
      </c>
      <c r="S35" s="128">
        <f>'21'!T33</f>
        <v>15649</v>
      </c>
      <c r="T35" s="128">
        <f>'21'!U33</f>
        <v>118010</v>
      </c>
      <c r="U35" s="128">
        <f>'21'!V33</f>
        <v>9205</v>
      </c>
      <c r="V35" s="128">
        <f>'21'!W33</f>
        <v>17639356</v>
      </c>
      <c r="W35" s="128">
        <f>'21'!X33</f>
        <v>1155348</v>
      </c>
      <c r="X35" s="128">
        <f>'21'!Y33</f>
        <v>264492</v>
      </c>
      <c r="Y35" s="128">
        <f>'21'!Z33</f>
        <v>12915728</v>
      </c>
      <c r="Z35" s="128">
        <f>'21'!AA33</f>
        <v>526000</v>
      </c>
      <c r="AA35" s="128">
        <f>'21'!AB33</f>
        <v>-29659</v>
      </c>
      <c r="AB35" s="128">
        <f>'21'!AC33</f>
        <v>15611690</v>
      </c>
      <c r="AC35" s="128">
        <f>'21'!AD33</f>
        <v>338441</v>
      </c>
      <c r="AD35" s="128">
        <f>'21'!AE33</f>
        <v>26572611</v>
      </c>
      <c r="AE35" s="128">
        <f>'21'!AF33</f>
        <v>231061</v>
      </c>
      <c r="AF35" s="128">
        <f>'21'!AG33</f>
        <v>3019796</v>
      </c>
      <c r="AG35" s="128">
        <f>'21'!AH33</f>
        <v>2684514</v>
      </c>
      <c r="AH35" s="128">
        <f>'21'!AI33</f>
        <v>7353355</v>
      </c>
      <c r="AI35" s="128">
        <f>'21'!AJ33</f>
        <v>1553881</v>
      </c>
      <c r="AJ35" s="128">
        <f>'21'!AK33</f>
        <v>307942</v>
      </c>
      <c r="AK35" s="128">
        <f>'21'!AL33</f>
        <v>13813040</v>
      </c>
      <c r="AL35" s="128">
        <f>'21'!AM33</f>
        <v>2896151</v>
      </c>
      <c r="AM35" s="129"/>
    </row>
    <row r="36" spans="1:39" s="130" customFormat="1" ht="25.5" customHeight="1" x14ac:dyDescent="0.2">
      <c r="A36" s="134">
        <v>22</v>
      </c>
      <c r="B36" s="132" t="s">
        <v>920</v>
      </c>
      <c r="C36" s="128">
        <f>'22'!D33</f>
        <v>180109591</v>
      </c>
      <c r="D36" s="128">
        <f>'22'!E33</f>
        <v>50944813</v>
      </c>
      <c r="E36" s="128">
        <f>'22'!F33</f>
        <v>22830619</v>
      </c>
      <c r="F36" s="128">
        <f>'22'!G33</f>
        <v>6154331</v>
      </c>
      <c r="G36" s="128">
        <f>'22'!H33</f>
        <v>0</v>
      </c>
      <c r="H36" s="128">
        <f>'22'!I33</f>
        <v>57073829</v>
      </c>
      <c r="I36" s="128">
        <f>'22'!J33</f>
        <v>1130777</v>
      </c>
      <c r="J36" s="128">
        <f>'22'!K33</f>
        <v>13785080</v>
      </c>
      <c r="K36" s="128">
        <f>'22'!L33</f>
        <v>0</v>
      </c>
      <c r="L36" s="128">
        <f>'22'!M33</f>
        <v>23051960</v>
      </c>
      <c r="M36" s="128">
        <f>'22'!N33</f>
        <v>31033868</v>
      </c>
      <c r="N36" s="128">
        <f>'22'!O33</f>
        <v>3089264</v>
      </c>
      <c r="O36" s="128">
        <f>'22'!P33</f>
        <v>178085939</v>
      </c>
      <c r="P36" s="128">
        <f>'22'!Q33</f>
        <v>64572846</v>
      </c>
      <c r="Q36" s="128">
        <f>'22'!R33</f>
        <v>29502080</v>
      </c>
      <c r="R36" s="128">
        <f>'22'!S33</f>
        <v>388466</v>
      </c>
      <c r="S36" s="128">
        <f>'22'!T33</f>
        <v>25344</v>
      </c>
      <c r="T36" s="128">
        <f>'22'!U33</f>
        <v>1738404</v>
      </c>
      <c r="U36" s="128">
        <f>'22'!V33</f>
        <v>532361</v>
      </c>
      <c r="V36" s="128">
        <f>'22'!W33</f>
        <v>51545011</v>
      </c>
      <c r="W36" s="128">
        <f>'22'!X33</f>
        <v>5822323</v>
      </c>
      <c r="X36" s="128">
        <f>'22'!Y33</f>
        <v>1886817</v>
      </c>
      <c r="Y36" s="128">
        <f>'22'!Z33</f>
        <v>20642269</v>
      </c>
      <c r="Z36" s="128">
        <f>'22'!AA33</f>
        <v>1460748</v>
      </c>
      <c r="AA36" s="128">
        <f>'22'!AB33</f>
        <v>-30730</v>
      </c>
      <c r="AB36" s="128">
        <f>'22'!AC33</f>
        <v>18119807</v>
      </c>
      <c r="AC36" s="128">
        <f>'22'!AD33</f>
        <v>2231571</v>
      </c>
      <c r="AD36" s="128">
        <f>'22'!AE33</f>
        <v>52556329</v>
      </c>
      <c r="AE36" s="128">
        <f>'22'!AF33</f>
        <v>11439040</v>
      </c>
      <c r="AF36" s="128">
        <f>'22'!AG33</f>
        <v>6232542</v>
      </c>
      <c r="AG36" s="128">
        <f>'22'!AH33</f>
        <v>12244897</v>
      </c>
      <c r="AH36" s="128">
        <f>'22'!AI33</f>
        <v>32441932</v>
      </c>
      <c r="AI36" s="128">
        <f>'22'!AJ33</f>
        <v>6091280</v>
      </c>
      <c r="AJ36" s="128">
        <f>'22'!AK33</f>
        <v>0</v>
      </c>
      <c r="AK36" s="128">
        <f>'22'!AL33</f>
        <v>35689694</v>
      </c>
      <c r="AL36" s="128">
        <f>'22'!AM33</f>
        <v>1038847</v>
      </c>
      <c r="AM36" s="129"/>
    </row>
    <row r="37" spans="1:39" s="130" customFormat="1" ht="25.5" customHeight="1" x14ac:dyDescent="0.2">
      <c r="A37" s="134">
        <v>23</v>
      </c>
      <c r="B37" s="132" t="s">
        <v>921</v>
      </c>
      <c r="C37" s="128">
        <f>'23'!D33</f>
        <v>59171025</v>
      </c>
      <c r="D37" s="128">
        <f>'23'!E33</f>
        <v>19404632</v>
      </c>
      <c r="E37" s="128">
        <f>'23'!F33</f>
        <v>5708104</v>
      </c>
      <c r="F37" s="128">
        <f>'23'!G33</f>
        <v>2198157</v>
      </c>
      <c r="G37" s="128">
        <f>'23'!H33</f>
        <v>0</v>
      </c>
      <c r="H37" s="128">
        <f>'23'!I33</f>
        <v>16581339</v>
      </c>
      <c r="I37" s="128">
        <f>'23'!J33</f>
        <v>950000</v>
      </c>
      <c r="J37" s="128">
        <f>'23'!K33</f>
        <v>13599101</v>
      </c>
      <c r="K37" s="128">
        <f>'23'!L33</f>
        <v>0</v>
      </c>
      <c r="L37" s="128">
        <f>'23'!M33</f>
        <v>5277227</v>
      </c>
      <c r="M37" s="128">
        <f>'23'!N33</f>
        <v>2957267</v>
      </c>
      <c r="N37" s="128">
        <f>'23'!O33</f>
        <v>401459</v>
      </c>
      <c r="O37" s="128">
        <f>'23'!P33</f>
        <v>48226897</v>
      </c>
      <c r="P37" s="128">
        <f>'23'!Q33</f>
        <v>18722965</v>
      </c>
      <c r="Q37" s="128">
        <f>'23'!R33</f>
        <v>9471224</v>
      </c>
      <c r="R37" s="128">
        <f>'23'!S33</f>
        <v>12311</v>
      </c>
      <c r="S37" s="128">
        <f>'23'!T33</f>
        <v>0</v>
      </c>
      <c r="T37" s="128">
        <f>'23'!U33</f>
        <v>4217365</v>
      </c>
      <c r="U37" s="128">
        <f>'23'!V33</f>
        <v>214373</v>
      </c>
      <c r="V37" s="128">
        <f>'23'!W33</f>
        <v>5231811</v>
      </c>
      <c r="W37" s="128">
        <f>'23'!X33</f>
        <v>1535578</v>
      </c>
      <c r="X37" s="128">
        <f>'23'!Y33</f>
        <v>71507</v>
      </c>
      <c r="Y37" s="128">
        <f>'23'!Z33</f>
        <v>9073193</v>
      </c>
      <c r="Z37" s="128">
        <f>'23'!AA33</f>
        <v>0</v>
      </c>
      <c r="AA37" s="128">
        <f>'23'!AB33</f>
        <v>-323430</v>
      </c>
      <c r="AB37" s="128">
        <f>'23'!AC33</f>
        <v>6818224</v>
      </c>
      <c r="AC37" s="128">
        <f>'23'!AD33</f>
        <v>795133</v>
      </c>
      <c r="AD37" s="128">
        <f>'23'!AE33</f>
        <v>17441049</v>
      </c>
      <c r="AE37" s="128">
        <f>'23'!AF33</f>
        <v>845290</v>
      </c>
      <c r="AF37" s="128">
        <f>'23'!AG33</f>
        <v>1766692</v>
      </c>
      <c r="AG37" s="128">
        <f>'23'!AH33</f>
        <v>3055882</v>
      </c>
      <c r="AH37" s="128">
        <f>'23'!AI33</f>
        <v>6583867</v>
      </c>
      <c r="AI37" s="128">
        <f>'23'!AJ33</f>
        <v>928484</v>
      </c>
      <c r="AJ37" s="128">
        <f>'23'!AK33</f>
        <v>0</v>
      </c>
      <c r="AK37" s="128">
        <f>'23'!AL33</f>
        <v>6521930</v>
      </c>
      <c r="AL37" s="128">
        <f>'23'!AM33</f>
        <v>3470346</v>
      </c>
      <c r="AM37" s="129"/>
    </row>
    <row r="38" spans="1:39" s="130" customFormat="1" ht="25.5" customHeight="1" x14ac:dyDescent="0.2">
      <c r="A38" s="134">
        <v>24</v>
      </c>
      <c r="B38" s="132" t="s">
        <v>922</v>
      </c>
      <c r="C38" s="128">
        <f>'24'!D33</f>
        <v>68271751</v>
      </c>
      <c r="D38" s="128">
        <f>'24'!E33</f>
        <v>19474193</v>
      </c>
      <c r="E38" s="128">
        <f>'24'!F33</f>
        <v>7146633</v>
      </c>
      <c r="F38" s="128">
        <f>'24'!G33</f>
        <v>4620463</v>
      </c>
      <c r="G38" s="128">
        <f>'24'!H33</f>
        <v>0</v>
      </c>
      <c r="H38" s="128">
        <f>'24'!I33</f>
        <v>32910242</v>
      </c>
      <c r="I38" s="128">
        <f>'24'!J33</f>
        <v>200000</v>
      </c>
      <c r="J38" s="128">
        <f>'24'!K33</f>
        <v>2790090</v>
      </c>
      <c r="K38" s="128">
        <f>'24'!L33</f>
        <v>0</v>
      </c>
      <c r="L38" s="128">
        <f>'24'!M33</f>
        <v>3534528</v>
      </c>
      <c r="M38" s="128">
        <f>'24'!N33</f>
        <v>9297248</v>
      </c>
      <c r="N38" s="128">
        <f>'24'!O33</f>
        <v>65450</v>
      </c>
      <c r="O38" s="128">
        <f>'24'!P33</f>
        <v>67191079</v>
      </c>
      <c r="P38" s="128">
        <f>'24'!Q33</f>
        <v>34801533</v>
      </c>
      <c r="Q38" s="128">
        <f>'24'!R33</f>
        <v>10283221</v>
      </c>
      <c r="R38" s="128">
        <f>'24'!S33</f>
        <v>237085</v>
      </c>
      <c r="S38" s="128">
        <f>'24'!T33</f>
        <v>0</v>
      </c>
      <c r="T38" s="128">
        <f>'24'!U33</f>
        <v>1199942</v>
      </c>
      <c r="U38" s="128">
        <f>'24'!V33</f>
        <v>29086</v>
      </c>
      <c r="V38" s="128">
        <f>'24'!W33</f>
        <v>10957596</v>
      </c>
      <c r="W38" s="128">
        <f>'24'!X33</f>
        <v>1548288</v>
      </c>
      <c r="X38" s="128">
        <f>'24'!Y33</f>
        <v>332443</v>
      </c>
      <c r="Y38" s="128">
        <f>'24'!Z33</f>
        <v>7349587</v>
      </c>
      <c r="Z38" s="128">
        <f>'24'!AA33</f>
        <v>512840</v>
      </c>
      <c r="AA38" s="128">
        <f>'24'!AB33</f>
        <v>-60542</v>
      </c>
      <c r="AB38" s="128">
        <f>'24'!AC33</f>
        <v>12024051</v>
      </c>
      <c r="AC38" s="128">
        <f>'24'!AD33</f>
        <v>960204</v>
      </c>
      <c r="AD38" s="128">
        <f>'24'!AE33</f>
        <v>35693434</v>
      </c>
      <c r="AE38" s="128">
        <f>'24'!AF33</f>
        <v>1171244</v>
      </c>
      <c r="AF38" s="128">
        <f>'24'!AG33</f>
        <v>2229244</v>
      </c>
      <c r="AG38" s="128">
        <f>'24'!AH33</f>
        <v>5326597</v>
      </c>
      <c r="AH38" s="128">
        <f>'24'!AI33</f>
        <v>5384314</v>
      </c>
      <c r="AI38" s="128">
        <f>'24'!AJ33</f>
        <v>787068</v>
      </c>
      <c r="AJ38" s="128">
        <f>'24'!AK33</f>
        <v>0</v>
      </c>
      <c r="AK38" s="128">
        <f>'24'!AL33</f>
        <v>3554956</v>
      </c>
      <c r="AL38" s="128">
        <f>'24'!AM33</f>
        <v>59967</v>
      </c>
      <c r="AM38" s="129"/>
    </row>
    <row r="39" spans="1:39" s="130" customFormat="1" ht="25.5" customHeight="1" x14ac:dyDescent="0.2">
      <c r="A39" s="134">
        <v>25</v>
      </c>
      <c r="B39" s="132" t="s">
        <v>923</v>
      </c>
      <c r="C39" s="128">
        <f>'25'!D33</f>
        <v>694700750</v>
      </c>
      <c r="D39" s="128">
        <f>'25'!E33</f>
        <v>509421652</v>
      </c>
      <c r="E39" s="128">
        <f>'25'!F33</f>
        <v>229899629</v>
      </c>
      <c r="F39" s="128">
        <f>'25'!G33</f>
        <v>40442285</v>
      </c>
      <c r="G39" s="128">
        <f>'25'!H33</f>
        <v>0</v>
      </c>
      <c r="H39" s="128">
        <f>'25'!I33</f>
        <v>64733533</v>
      </c>
      <c r="I39" s="128">
        <f>'25'!J33</f>
        <v>0</v>
      </c>
      <c r="J39" s="128">
        <f>'25'!K33</f>
        <v>2836150</v>
      </c>
      <c r="K39" s="128">
        <f>'25'!L33</f>
        <v>0</v>
      </c>
      <c r="L39" s="128">
        <f>'25'!M33</f>
        <v>41152935</v>
      </c>
      <c r="M39" s="128">
        <f>'25'!N33</f>
        <v>59046407</v>
      </c>
      <c r="N39" s="128">
        <f>'25'!O33</f>
        <v>17510073</v>
      </c>
      <c r="O39" s="128">
        <f>'25'!P33</f>
        <v>672155950</v>
      </c>
      <c r="P39" s="128">
        <f>'25'!Q33</f>
        <v>78019488</v>
      </c>
      <c r="Q39" s="128">
        <f>'25'!R33</f>
        <v>188128155</v>
      </c>
      <c r="R39" s="128">
        <f>'25'!S33</f>
        <v>21854546</v>
      </c>
      <c r="S39" s="128">
        <f>'25'!T33</f>
        <v>1726467</v>
      </c>
      <c r="T39" s="128">
        <f>'25'!U33</f>
        <v>32317696</v>
      </c>
      <c r="U39" s="128">
        <f>'25'!V33</f>
        <v>12756106</v>
      </c>
      <c r="V39" s="128">
        <f>'25'!W33</f>
        <v>163483429</v>
      </c>
      <c r="W39" s="128">
        <f>'25'!X33</f>
        <v>6048622</v>
      </c>
      <c r="X39" s="128">
        <f>'25'!Y33</f>
        <v>3821397</v>
      </c>
      <c r="Y39" s="128">
        <f>'25'!Z33</f>
        <v>146807840</v>
      </c>
      <c r="Z39" s="128">
        <f>'25'!AA33</f>
        <v>17558702</v>
      </c>
      <c r="AA39" s="128">
        <f>'25'!AB33</f>
        <v>-366498</v>
      </c>
      <c r="AB39" s="128">
        <f>'25'!AC33</f>
        <v>88185747</v>
      </c>
      <c r="AC39" s="128">
        <f>'25'!AD33</f>
        <v>9236630</v>
      </c>
      <c r="AD39" s="128">
        <f>'25'!AE33</f>
        <v>101584220</v>
      </c>
      <c r="AE39" s="128">
        <f>'25'!AF33</f>
        <v>979944</v>
      </c>
      <c r="AF39" s="128">
        <f>'25'!AG33</f>
        <v>78231553</v>
      </c>
      <c r="AG39" s="128">
        <f>'25'!AH33</f>
        <v>36016147</v>
      </c>
      <c r="AH39" s="128">
        <f>'25'!AI33</f>
        <v>131520669</v>
      </c>
      <c r="AI39" s="128">
        <f>'25'!AJ33</f>
        <v>58708178</v>
      </c>
      <c r="AJ39" s="128">
        <f>'25'!AK33</f>
        <v>4485994</v>
      </c>
      <c r="AK39" s="128">
        <f>'25'!AL33</f>
        <v>161083521</v>
      </c>
      <c r="AL39" s="128">
        <f>'25'!AM33</f>
        <v>2123347</v>
      </c>
      <c r="AM39" s="129"/>
    </row>
    <row r="40" spans="1:39" s="130" customFormat="1" ht="25.5" customHeight="1" x14ac:dyDescent="0.2">
      <c r="A40" s="134">
        <v>26</v>
      </c>
      <c r="B40" s="132" t="s">
        <v>924</v>
      </c>
      <c r="C40" s="128">
        <f>'26'!D33</f>
        <v>229069782</v>
      </c>
      <c r="D40" s="128">
        <f>'26'!E33</f>
        <v>84406414</v>
      </c>
      <c r="E40" s="128">
        <f>'26'!F33</f>
        <v>23504244</v>
      </c>
      <c r="F40" s="128">
        <f>'26'!G33</f>
        <v>11862601</v>
      </c>
      <c r="G40" s="128">
        <f>'26'!H33</f>
        <v>0</v>
      </c>
      <c r="H40" s="128">
        <f>'26'!I33</f>
        <v>77625563</v>
      </c>
      <c r="I40" s="128">
        <f>'26'!J33</f>
        <v>0</v>
      </c>
      <c r="J40" s="128">
        <f>'26'!K33</f>
        <v>24414710</v>
      </c>
      <c r="K40" s="128">
        <f>'26'!L33</f>
        <v>0</v>
      </c>
      <c r="L40" s="128">
        <f>'26'!M33</f>
        <v>21289801</v>
      </c>
      <c r="M40" s="128">
        <f>'26'!N33</f>
        <v>17354127</v>
      </c>
      <c r="N40" s="128">
        <f>'26'!O33</f>
        <v>3979167</v>
      </c>
      <c r="O40" s="128">
        <f>'26'!P33</f>
        <v>222058567</v>
      </c>
      <c r="P40" s="128">
        <f>'26'!Q33</f>
        <v>85493074</v>
      </c>
      <c r="Q40" s="128">
        <f>'26'!R33</f>
        <v>40565795</v>
      </c>
      <c r="R40" s="128">
        <f>'26'!S33</f>
        <v>978902</v>
      </c>
      <c r="S40" s="128">
        <f>'26'!T33</f>
        <v>65675</v>
      </c>
      <c r="T40" s="128">
        <f>'26'!U33</f>
        <v>8675389</v>
      </c>
      <c r="U40" s="128">
        <f>'26'!V33</f>
        <v>135000</v>
      </c>
      <c r="V40" s="128">
        <f>'26'!W33</f>
        <v>22271994</v>
      </c>
      <c r="W40" s="128">
        <f>'26'!X33</f>
        <v>4544504</v>
      </c>
      <c r="X40" s="128">
        <f>'26'!Y33</f>
        <v>917918</v>
      </c>
      <c r="Y40" s="128">
        <f>'26'!Z33</f>
        <v>55333302</v>
      </c>
      <c r="Z40" s="128">
        <f>'26'!AA33</f>
        <v>3291680</v>
      </c>
      <c r="AA40" s="128">
        <f>'26'!AB33</f>
        <v>-214666</v>
      </c>
      <c r="AB40" s="128">
        <f>'26'!AC33</f>
        <v>29030917</v>
      </c>
      <c r="AC40" s="128">
        <f>'26'!AD33</f>
        <v>1830364</v>
      </c>
      <c r="AD40" s="128">
        <f>'26'!AE33</f>
        <v>70678030</v>
      </c>
      <c r="AE40" s="128">
        <f>'26'!AF33</f>
        <v>2902660</v>
      </c>
      <c r="AF40" s="128">
        <f>'26'!AG33</f>
        <v>7856547</v>
      </c>
      <c r="AG40" s="128">
        <f>'26'!AH33</f>
        <v>12897052</v>
      </c>
      <c r="AH40" s="128">
        <f>'26'!AI33</f>
        <v>21075463</v>
      </c>
      <c r="AI40" s="128">
        <f>'26'!AJ33</f>
        <v>20131863</v>
      </c>
      <c r="AJ40" s="128">
        <f>'26'!AK33</f>
        <v>0</v>
      </c>
      <c r="AK40" s="128">
        <f>'26'!AL33</f>
        <v>52817888</v>
      </c>
      <c r="AL40" s="128">
        <f>'26'!AM33</f>
        <v>2837783</v>
      </c>
      <c r="AM40" s="129"/>
    </row>
    <row r="41" spans="1:39" s="130" customFormat="1" ht="25.5" customHeight="1" x14ac:dyDescent="0.2">
      <c r="A41" s="134">
        <v>27</v>
      </c>
      <c r="B41" s="132" t="s">
        <v>925</v>
      </c>
      <c r="C41" s="128">
        <f>'27'!D33</f>
        <v>51638954</v>
      </c>
      <c r="D41" s="128">
        <f>'27'!E33</f>
        <v>10193382</v>
      </c>
      <c r="E41" s="128">
        <f>'27'!F33</f>
        <v>3741928</v>
      </c>
      <c r="F41" s="128">
        <f>'27'!G33</f>
        <v>1360809</v>
      </c>
      <c r="G41" s="128">
        <f>'27'!H33</f>
        <v>0</v>
      </c>
      <c r="H41" s="128">
        <f>'27'!I33</f>
        <v>18995203</v>
      </c>
      <c r="I41" s="128">
        <f>'27'!J33</f>
        <v>1210000</v>
      </c>
      <c r="J41" s="128">
        <f>'27'!K33</f>
        <v>9918390</v>
      </c>
      <c r="K41" s="128">
        <f>'27'!L33</f>
        <v>0</v>
      </c>
      <c r="L41" s="128">
        <f>'27'!M33</f>
        <v>3847340</v>
      </c>
      <c r="M41" s="128">
        <f>'27'!N33</f>
        <v>7404214</v>
      </c>
      <c r="N41" s="128">
        <f>'27'!O33</f>
        <v>70425</v>
      </c>
      <c r="O41" s="128">
        <f>'27'!P33</f>
        <v>47393930</v>
      </c>
      <c r="P41" s="128">
        <f>'27'!Q33</f>
        <v>20582001</v>
      </c>
      <c r="Q41" s="128">
        <f>'27'!R33</f>
        <v>6941868</v>
      </c>
      <c r="R41" s="128">
        <f>'27'!S33</f>
        <v>30717</v>
      </c>
      <c r="S41" s="128">
        <f>'27'!T33</f>
        <v>0</v>
      </c>
      <c r="T41" s="128">
        <f>'27'!U33</f>
        <v>390000</v>
      </c>
      <c r="U41" s="128">
        <f>'27'!V33</f>
        <v>0</v>
      </c>
      <c r="V41" s="128">
        <f>'27'!W33</f>
        <v>11248331</v>
      </c>
      <c r="W41" s="128">
        <f>'27'!X33</f>
        <v>2105424</v>
      </c>
      <c r="X41" s="128">
        <f>'27'!Y33</f>
        <v>85490</v>
      </c>
      <c r="Y41" s="128">
        <f>'27'!Z33</f>
        <v>5979518</v>
      </c>
      <c r="Z41" s="128">
        <f>'27'!AA33</f>
        <v>108059</v>
      </c>
      <c r="AA41" s="128">
        <f>'27'!AB33</f>
        <v>-77478</v>
      </c>
      <c r="AB41" s="128">
        <f>'27'!AC33</f>
        <v>4408988</v>
      </c>
      <c r="AC41" s="128">
        <f>'27'!AD33</f>
        <v>898499</v>
      </c>
      <c r="AD41" s="128">
        <f>'27'!AE33</f>
        <v>25772642</v>
      </c>
      <c r="AE41" s="128">
        <f>'27'!AF33</f>
        <v>2392147</v>
      </c>
      <c r="AF41" s="128">
        <f>'27'!AG33</f>
        <v>1205239</v>
      </c>
      <c r="AG41" s="128">
        <f>'27'!AH33</f>
        <v>3497548</v>
      </c>
      <c r="AH41" s="128">
        <f>'27'!AI33</f>
        <v>3500344</v>
      </c>
      <c r="AI41" s="128">
        <f>'27'!AJ33</f>
        <v>782438</v>
      </c>
      <c r="AJ41" s="128">
        <f>'27'!AK33</f>
        <v>0</v>
      </c>
      <c r="AK41" s="128">
        <f>'27'!AL33</f>
        <v>4765340</v>
      </c>
      <c r="AL41" s="128">
        <f>'27'!AM33</f>
        <v>170745</v>
      </c>
      <c r="AM41" s="129"/>
    </row>
    <row r="42" spans="1:39" s="130" customFormat="1" ht="25.5" customHeight="1" x14ac:dyDescent="0.2">
      <c r="A42" s="134">
        <v>28</v>
      </c>
      <c r="B42" s="132" t="s">
        <v>926</v>
      </c>
      <c r="C42" s="128">
        <f>'28'!D33</f>
        <v>120135364</v>
      </c>
      <c r="D42" s="128">
        <f>'28'!E33</f>
        <v>56367934</v>
      </c>
      <c r="E42" s="128">
        <f>'28'!F33</f>
        <v>20388574</v>
      </c>
      <c r="F42" s="128">
        <f>'28'!G33</f>
        <v>9278431</v>
      </c>
      <c r="G42" s="128">
        <f>'28'!H33</f>
        <v>0</v>
      </c>
      <c r="H42" s="128">
        <f>'28'!I33</f>
        <v>39719760</v>
      </c>
      <c r="I42" s="128">
        <f>'28'!J33</f>
        <v>1499531</v>
      </c>
      <c r="J42" s="128">
        <f>'28'!K33</f>
        <v>11134050</v>
      </c>
      <c r="K42" s="128">
        <f>'28'!L33</f>
        <v>0</v>
      </c>
      <c r="L42" s="128">
        <f>'28'!M33</f>
        <v>6231700</v>
      </c>
      <c r="M42" s="128">
        <f>'28'!N33</f>
        <v>4926112</v>
      </c>
      <c r="N42" s="128">
        <f>'28'!O33</f>
        <v>256277</v>
      </c>
      <c r="O42" s="128">
        <f>'28'!P33</f>
        <v>119448705</v>
      </c>
      <c r="P42" s="128">
        <f>'28'!Q33</f>
        <v>46869071</v>
      </c>
      <c r="Q42" s="128">
        <f>'28'!R33</f>
        <v>29548166</v>
      </c>
      <c r="R42" s="128">
        <f>'28'!S33</f>
        <v>1361621</v>
      </c>
      <c r="S42" s="128">
        <f>'28'!T33</f>
        <v>491726</v>
      </c>
      <c r="T42" s="128">
        <f>'28'!U33</f>
        <v>1869558</v>
      </c>
      <c r="U42" s="128">
        <f>'28'!V33</f>
        <v>670083</v>
      </c>
      <c r="V42" s="128">
        <f>'28'!W33</f>
        <v>11763745</v>
      </c>
      <c r="W42" s="128">
        <f>'28'!X33</f>
        <v>3196158</v>
      </c>
      <c r="X42" s="128">
        <f>'28'!Y33</f>
        <v>2505009</v>
      </c>
      <c r="Y42" s="128">
        <f>'28'!Z33</f>
        <v>19423781</v>
      </c>
      <c r="Z42" s="128">
        <f>'28'!AA33</f>
        <v>1912411</v>
      </c>
      <c r="AA42" s="128">
        <f>'28'!AB33</f>
        <v>-162624</v>
      </c>
      <c r="AB42" s="128">
        <f>'28'!AC33</f>
        <v>18050327</v>
      </c>
      <c r="AC42" s="128">
        <f>'28'!AD33</f>
        <v>2648893</v>
      </c>
      <c r="AD42" s="128">
        <f>'28'!AE33</f>
        <v>41171160</v>
      </c>
      <c r="AE42" s="128">
        <f>'28'!AF33</f>
        <v>3481003</v>
      </c>
      <c r="AF42" s="128">
        <f>'28'!AG33</f>
        <v>6691001</v>
      </c>
      <c r="AG42" s="128">
        <f>'28'!AH33</f>
        <v>7419634</v>
      </c>
      <c r="AH42" s="128">
        <f>'28'!AI33</f>
        <v>8866192</v>
      </c>
      <c r="AI42" s="128">
        <f>'28'!AJ33</f>
        <v>7963821</v>
      </c>
      <c r="AJ42" s="128">
        <f>'28'!AK33</f>
        <v>0</v>
      </c>
      <c r="AK42" s="128">
        <f>'28'!AL33</f>
        <v>19782785</v>
      </c>
      <c r="AL42" s="128">
        <f>'28'!AM33</f>
        <v>3373889</v>
      </c>
      <c r="AM42" s="129"/>
    </row>
    <row r="43" spans="1:39" s="130" customFormat="1" ht="25.5" customHeight="1" x14ac:dyDescent="0.2">
      <c r="A43" s="134">
        <v>29</v>
      </c>
      <c r="B43" s="132" t="s">
        <v>927</v>
      </c>
      <c r="C43" s="128">
        <f>'29'!D33</f>
        <v>76716005</v>
      </c>
      <c r="D43" s="128">
        <f>'29'!E33</f>
        <v>23984475</v>
      </c>
      <c r="E43" s="128">
        <f>'29'!F33</f>
        <v>9665545</v>
      </c>
      <c r="F43" s="128">
        <f>'29'!G33</f>
        <v>2081138</v>
      </c>
      <c r="G43" s="128">
        <f>'29'!H33</f>
        <v>0</v>
      </c>
      <c r="H43" s="128">
        <f>'29'!I33</f>
        <v>34982773</v>
      </c>
      <c r="I43" s="128">
        <f>'29'!J33</f>
        <v>1950000</v>
      </c>
      <c r="J43" s="128">
        <f>'29'!K33</f>
        <v>6289650</v>
      </c>
      <c r="K43" s="128">
        <f>'29'!L33</f>
        <v>0</v>
      </c>
      <c r="L43" s="128">
        <f>'29'!M33</f>
        <v>7242060</v>
      </c>
      <c r="M43" s="128">
        <f>'29'!N33</f>
        <v>672269</v>
      </c>
      <c r="N43" s="128">
        <f>'29'!O33</f>
        <v>1594778</v>
      </c>
      <c r="O43" s="128">
        <f>'29'!P33</f>
        <v>77758643</v>
      </c>
      <c r="P43" s="128">
        <f>'29'!Q33</f>
        <v>38681717</v>
      </c>
      <c r="Q43" s="128">
        <f>'29'!R33</f>
        <v>16254749</v>
      </c>
      <c r="R43" s="128">
        <f>'29'!S33</f>
        <v>1136256</v>
      </c>
      <c r="S43" s="128">
        <f>'29'!T33</f>
        <v>0</v>
      </c>
      <c r="T43" s="128">
        <f>'29'!U33</f>
        <v>2043035</v>
      </c>
      <c r="U43" s="128">
        <f>'29'!V33</f>
        <v>695000</v>
      </c>
      <c r="V43" s="128">
        <f>'29'!W33</f>
        <v>821697</v>
      </c>
      <c r="W43" s="128">
        <f>'29'!X33</f>
        <v>2510428</v>
      </c>
      <c r="X43" s="128">
        <f>'29'!Y33</f>
        <v>816013</v>
      </c>
      <c r="Y43" s="128">
        <f>'29'!Z33</f>
        <v>13808817</v>
      </c>
      <c r="Z43" s="128">
        <f>'29'!AA33</f>
        <v>992738</v>
      </c>
      <c r="AA43" s="128">
        <f>'29'!AB33</f>
        <v>-1807</v>
      </c>
      <c r="AB43" s="128">
        <f>'29'!AC33</f>
        <v>9772726</v>
      </c>
      <c r="AC43" s="128">
        <f>'29'!AD33</f>
        <v>1996333</v>
      </c>
      <c r="AD43" s="128">
        <f>'29'!AE33</f>
        <v>34737975</v>
      </c>
      <c r="AE43" s="128">
        <f>'29'!AF33</f>
        <v>4073570</v>
      </c>
      <c r="AF43" s="128">
        <f>'29'!AG33</f>
        <v>3545854</v>
      </c>
      <c r="AG43" s="128">
        <f>'29'!AH33</f>
        <v>5567894</v>
      </c>
      <c r="AH43" s="128">
        <f>'29'!AI33</f>
        <v>7178756</v>
      </c>
      <c r="AI43" s="128">
        <f>'29'!AJ33</f>
        <v>2372863</v>
      </c>
      <c r="AJ43" s="128">
        <f>'29'!AK33</f>
        <v>0</v>
      </c>
      <c r="AK43" s="128">
        <f>'29'!AL33</f>
        <v>8404342</v>
      </c>
      <c r="AL43" s="128">
        <f>'29'!AM33</f>
        <v>108330</v>
      </c>
      <c r="AM43" s="129"/>
    </row>
    <row r="44" spans="1:39" s="130" customFormat="1" ht="25.5" customHeight="1" x14ac:dyDescent="0.2">
      <c r="A44" s="134">
        <v>30</v>
      </c>
      <c r="B44" s="132" t="s">
        <v>928</v>
      </c>
      <c r="C44" s="128">
        <f>'30'!D33</f>
        <v>156695234</v>
      </c>
      <c r="D44" s="128">
        <f>'30'!E33</f>
        <v>39964632</v>
      </c>
      <c r="E44" s="128">
        <f>'30'!F33</f>
        <v>14869856</v>
      </c>
      <c r="F44" s="128">
        <f>'30'!G33</f>
        <v>4264615</v>
      </c>
      <c r="G44" s="128">
        <f>'30'!H33</f>
        <v>0</v>
      </c>
      <c r="H44" s="128">
        <f>'30'!I33</f>
        <v>59082408</v>
      </c>
      <c r="I44" s="128">
        <f>'30'!J33</f>
        <v>7899720</v>
      </c>
      <c r="J44" s="128">
        <f>'30'!K33</f>
        <v>14596410</v>
      </c>
      <c r="K44" s="128">
        <f>'30'!L33</f>
        <v>0</v>
      </c>
      <c r="L44" s="128">
        <f>'30'!M33</f>
        <v>8661070</v>
      </c>
      <c r="M44" s="128">
        <f>'30'!N33</f>
        <v>19241551</v>
      </c>
      <c r="N44" s="128">
        <f>'30'!O33</f>
        <v>7249443</v>
      </c>
      <c r="O44" s="128">
        <f>'30'!P33</f>
        <v>152767271</v>
      </c>
      <c r="P44" s="128">
        <f>'30'!Q33</f>
        <v>64672942</v>
      </c>
      <c r="Q44" s="128">
        <f>'30'!R33</f>
        <v>26813205</v>
      </c>
      <c r="R44" s="128">
        <f>'30'!S33</f>
        <v>1064292</v>
      </c>
      <c r="S44" s="128">
        <f>'30'!T33</f>
        <v>0</v>
      </c>
      <c r="T44" s="128">
        <f>'30'!U33</f>
        <v>967900</v>
      </c>
      <c r="U44" s="128">
        <f>'30'!V33</f>
        <v>930367</v>
      </c>
      <c r="V44" s="128">
        <f>'30'!W33</f>
        <v>28597630</v>
      </c>
      <c r="W44" s="128">
        <f>'30'!X33</f>
        <v>5124537</v>
      </c>
      <c r="X44" s="128">
        <f>'30'!Y33</f>
        <v>371764</v>
      </c>
      <c r="Y44" s="128">
        <f>'30'!Z33</f>
        <v>22568099</v>
      </c>
      <c r="Z44" s="128">
        <f>'30'!AA33</f>
        <v>1716846</v>
      </c>
      <c r="AA44" s="128">
        <f>'30'!AB33</f>
        <v>-60311</v>
      </c>
      <c r="AB44" s="128">
        <f>'30'!AC33</f>
        <v>16677067</v>
      </c>
      <c r="AC44" s="128">
        <f>'30'!AD33</f>
        <v>545072</v>
      </c>
      <c r="AD44" s="128">
        <f>'30'!AE33</f>
        <v>57513564</v>
      </c>
      <c r="AE44" s="128">
        <f>'30'!AF33</f>
        <v>4865699</v>
      </c>
      <c r="AF44" s="128">
        <f>'30'!AG33</f>
        <v>14167103</v>
      </c>
      <c r="AG44" s="128">
        <f>'30'!AH33</f>
        <v>8322264</v>
      </c>
      <c r="AH44" s="128">
        <f>'30'!AI33</f>
        <v>22304997</v>
      </c>
      <c r="AI44" s="128">
        <f>'30'!AJ33</f>
        <v>5194108</v>
      </c>
      <c r="AJ44" s="128">
        <f>'30'!AK33</f>
        <v>0</v>
      </c>
      <c r="AK44" s="128">
        <f>'30'!AL33</f>
        <v>19343180</v>
      </c>
      <c r="AL44" s="128">
        <f>'30'!AM33</f>
        <v>3834217</v>
      </c>
      <c r="AM44" s="129"/>
    </row>
    <row r="45" spans="1:39" s="130" customFormat="1" ht="25.5" customHeight="1" x14ac:dyDescent="0.2">
      <c r="A45" s="134">
        <v>31</v>
      </c>
      <c r="B45" s="132" t="s">
        <v>929</v>
      </c>
      <c r="C45" s="128">
        <f>'31'!D33</f>
        <v>291621920</v>
      </c>
      <c r="D45" s="128">
        <f>'31'!E33</f>
        <v>153824192</v>
      </c>
      <c r="E45" s="128">
        <f>'31'!F33</f>
        <v>50231824</v>
      </c>
      <c r="F45" s="128">
        <f>'31'!G33</f>
        <v>15189991</v>
      </c>
      <c r="G45" s="128">
        <f>'31'!H33</f>
        <v>0</v>
      </c>
      <c r="H45" s="128">
        <f>'31'!I33</f>
        <v>85306841</v>
      </c>
      <c r="I45" s="128">
        <f>'31'!J33</f>
        <v>2446699</v>
      </c>
      <c r="J45" s="128">
        <f>'31'!K33</f>
        <v>12486000</v>
      </c>
      <c r="K45" s="128">
        <f>'31'!L33</f>
        <v>0</v>
      </c>
      <c r="L45" s="128">
        <f>'31'!M33</f>
        <v>20153857</v>
      </c>
      <c r="M45" s="128">
        <f>'31'!N33</f>
        <v>16693767</v>
      </c>
      <c r="N45" s="128">
        <f>'31'!O33</f>
        <v>710564</v>
      </c>
      <c r="O45" s="128">
        <f>'31'!P33</f>
        <v>286764992</v>
      </c>
      <c r="P45" s="128">
        <f>'31'!Q33</f>
        <v>100908714</v>
      </c>
      <c r="Q45" s="128">
        <f>'31'!R33</f>
        <v>70788836</v>
      </c>
      <c r="R45" s="128">
        <f>'31'!S33</f>
        <v>4091903</v>
      </c>
      <c r="S45" s="128">
        <f>'31'!T33</f>
        <v>0</v>
      </c>
      <c r="T45" s="128">
        <f>'31'!U33</f>
        <v>8608676</v>
      </c>
      <c r="U45" s="128">
        <f>'31'!V33</f>
        <v>867468</v>
      </c>
      <c r="V45" s="128">
        <f>'31'!W33</f>
        <v>30621549</v>
      </c>
      <c r="W45" s="128">
        <f>'31'!X33</f>
        <v>8503235</v>
      </c>
      <c r="X45" s="128">
        <f>'31'!Y33</f>
        <v>1647490</v>
      </c>
      <c r="Y45" s="128">
        <f>'31'!Z33</f>
        <v>52034144</v>
      </c>
      <c r="Z45" s="128">
        <f>'31'!AA33</f>
        <v>10138042</v>
      </c>
      <c r="AA45" s="128">
        <f>'31'!AB33</f>
        <v>-1445065</v>
      </c>
      <c r="AB45" s="128">
        <f>'31'!AC33</f>
        <v>46341824</v>
      </c>
      <c r="AC45" s="128">
        <f>'31'!AD33</f>
        <v>5407416</v>
      </c>
      <c r="AD45" s="128">
        <f>'31'!AE33</f>
        <v>80099234</v>
      </c>
      <c r="AE45" s="128">
        <f>'31'!AF33</f>
        <v>10488373</v>
      </c>
      <c r="AF45" s="128">
        <f>'31'!AG33</f>
        <v>14373610</v>
      </c>
      <c r="AG45" s="128">
        <f>'31'!AH33</f>
        <v>16959994</v>
      </c>
      <c r="AH45" s="128">
        <f>'31'!AI33</f>
        <v>44822250</v>
      </c>
      <c r="AI45" s="128">
        <f>'31'!AJ33</f>
        <v>15787146</v>
      </c>
      <c r="AJ45" s="128">
        <f>'31'!AK33</f>
        <v>1016347</v>
      </c>
      <c r="AK45" s="128">
        <f>'31'!AL33</f>
        <v>37364327</v>
      </c>
      <c r="AL45" s="128">
        <f>'31'!AM33</f>
        <v>14104471</v>
      </c>
      <c r="AM45" s="129"/>
    </row>
    <row r="46" spans="1:39" s="130" customFormat="1" ht="25.5" customHeight="1" x14ac:dyDescent="0.2">
      <c r="A46" s="134">
        <v>32</v>
      </c>
      <c r="B46" s="132" t="s">
        <v>930</v>
      </c>
      <c r="C46" s="128">
        <f>'32'!D33</f>
        <v>79699811</v>
      </c>
      <c r="D46" s="128">
        <f>'32'!E33</f>
        <v>29192691</v>
      </c>
      <c r="E46" s="128">
        <f>'32'!F33</f>
        <v>11088831</v>
      </c>
      <c r="F46" s="128">
        <f>'32'!G33</f>
        <v>4250743</v>
      </c>
      <c r="G46" s="128">
        <f>'32'!H33</f>
        <v>0</v>
      </c>
      <c r="H46" s="128">
        <f>'32'!I33</f>
        <v>30525404</v>
      </c>
      <c r="I46" s="128">
        <f>'32'!J33</f>
        <v>0</v>
      </c>
      <c r="J46" s="128">
        <f>'32'!K33</f>
        <v>7220240</v>
      </c>
      <c r="K46" s="128">
        <f>'32'!L33</f>
        <v>0</v>
      </c>
      <c r="L46" s="128">
        <f>'32'!M33</f>
        <v>9088359</v>
      </c>
      <c r="M46" s="128">
        <f>'32'!N33</f>
        <v>3634886</v>
      </c>
      <c r="N46" s="128">
        <f>'32'!O33</f>
        <v>38231</v>
      </c>
      <c r="O46" s="128">
        <f>'32'!P33</f>
        <v>78725642</v>
      </c>
      <c r="P46" s="128">
        <f>'32'!Q33</f>
        <v>34048399</v>
      </c>
      <c r="Q46" s="128">
        <f>'32'!R33</f>
        <v>16575409</v>
      </c>
      <c r="R46" s="128">
        <f>'32'!S33</f>
        <v>463998</v>
      </c>
      <c r="S46" s="128">
        <f>'32'!T33</f>
        <v>0</v>
      </c>
      <c r="T46" s="128">
        <f>'32'!U33</f>
        <v>1454008</v>
      </c>
      <c r="U46" s="128">
        <f>'32'!V33</f>
        <v>742500</v>
      </c>
      <c r="V46" s="128">
        <f>'32'!W33</f>
        <v>6654804</v>
      </c>
      <c r="W46" s="128">
        <f>'32'!X33</f>
        <v>1710879</v>
      </c>
      <c r="X46" s="128">
        <f>'32'!Y33</f>
        <v>1566862</v>
      </c>
      <c r="Y46" s="128">
        <f>'32'!Z33</f>
        <v>14540929</v>
      </c>
      <c r="Z46" s="128">
        <f>'32'!AA33</f>
        <v>1130457</v>
      </c>
      <c r="AA46" s="128">
        <f>'32'!AB33</f>
        <v>-162603</v>
      </c>
      <c r="AB46" s="128">
        <f>'32'!AC33</f>
        <v>11861224</v>
      </c>
      <c r="AC46" s="128">
        <f>'32'!AD33</f>
        <v>926667</v>
      </c>
      <c r="AD46" s="128">
        <f>'32'!AE33</f>
        <v>29462929</v>
      </c>
      <c r="AE46" s="128">
        <f>'32'!AF33</f>
        <v>293968</v>
      </c>
      <c r="AF46" s="128">
        <f>'32'!AG33</f>
        <v>4709819</v>
      </c>
      <c r="AG46" s="128">
        <f>'32'!AH33</f>
        <v>5533224</v>
      </c>
      <c r="AH46" s="128">
        <f>'32'!AI33</f>
        <v>6385602</v>
      </c>
      <c r="AI46" s="128">
        <f>'32'!AJ33</f>
        <v>1116548</v>
      </c>
      <c r="AJ46" s="128">
        <f>'32'!AK33</f>
        <v>0</v>
      </c>
      <c r="AK46" s="128">
        <f>'32'!AL33</f>
        <v>17488253</v>
      </c>
      <c r="AL46" s="128">
        <f>'32'!AM33</f>
        <v>947408</v>
      </c>
      <c r="AM46" s="129"/>
    </row>
    <row r="47" spans="1:39" s="130" customFormat="1" ht="25.5" customHeight="1" x14ac:dyDescent="0.2">
      <c r="A47" s="134">
        <v>33</v>
      </c>
      <c r="B47" s="132" t="s">
        <v>931</v>
      </c>
      <c r="C47" s="128">
        <f>'33'!D33</f>
        <v>82093664</v>
      </c>
      <c r="D47" s="128">
        <f>'33'!E33</f>
        <v>23822970</v>
      </c>
      <c r="E47" s="128">
        <f>'33'!F33</f>
        <v>12246126</v>
      </c>
      <c r="F47" s="128">
        <f>'33'!G33</f>
        <v>635110</v>
      </c>
      <c r="G47" s="128">
        <f>'33'!H33</f>
        <v>0</v>
      </c>
      <c r="H47" s="128">
        <f>'33'!I33</f>
        <v>35867525</v>
      </c>
      <c r="I47" s="128">
        <f>'33'!J33</f>
        <v>821192</v>
      </c>
      <c r="J47" s="128">
        <f>'33'!K33</f>
        <v>2574180</v>
      </c>
      <c r="K47" s="128">
        <f>'33'!L33</f>
        <v>0</v>
      </c>
      <c r="L47" s="128">
        <f>'33'!M33</f>
        <v>6219174</v>
      </c>
      <c r="M47" s="128">
        <f>'33'!N33</f>
        <v>12429500</v>
      </c>
      <c r="N47" s="128">
        <f>'33'!O33</f>
        <v>359123</v>
      </c>
      <c r="O47" s="128">
        <f>'33'!P33</f>
        <v>84699071</v>
      </c>
      <c r="P47" s="128">
        <f>'33'!Q33</f>
        <v>37218891</v>
      </c>
      <c r="Q47" s="128">
        <f>'33'!R33</f>
        <v>10882722</v>
      </c>
      <c r="R47" s="128">
        <f>'33'!S33</f>
        <v>0</v>
      </c>
      <c r="S47" s="128">
        <f>'33'!T33</f>
        <v>0</v>
      </c>
      <c r="T47" s="128">
        <f>'33'!U33</f>
        <v>960573</v>
      </c>
      <c r="U47" s="128">
        <f>'33'!V33</f>
        <v>16020</v>
      </c>
      <c r="V47" s="128">
        <f>'33'!W33</f>
        <v>24203167</v>
      </c>
      <c r="W47" s="128">
        <f>'33'!X33</f>
        <v>1811237</v>
      </c>
      <c r="X47" s="128">
        <f>'33'!Y33</f>
        <v>864812</v>
      </c>
      <c r="Y47" s="128">
        <f>'33'!Z33</f>
        <v>8908223</v>
      </c>
      <c r="Z47" s="128">
        <f>'33'!AA33</f>
        <v>0</v>
      </c>
      <c r="AA47" s="128">
        <f>'33'!AB33</f>
        <v>-166574</v>
      </c>
      <c r="AB47" s="128">
        <f>'33'!AC33</f>
        <v>5646958</v>
      </c>
      <c r="AC47" s="128">
        <f>'33'!AD33</f>
        <v>869803</v>
      </c>
      <c r="AD47" s="128">
        <f>'33'!AE33</f>
        <v>33228623</v>
      </c>
      <c r="AE47" s="128">
        <f>'33'!AF33</f>
        <v>742482</v>
      </c>
      <c r="AF47" s="128">
        <f>'33'!AG33</f>
        <v>2510217</v>
      </c>
      <c r="AG47" s="128">
        <f>'33'!AH33</f>
        <v>4319030</v>
      </c>
      <c r="AH47" s="128">
        <f>'33'!AI33</f>
        <v>2752372</v>
      </c>
      <c r="AI47" s="128">
        <f>'33'!AJ33</f>
        <v>1464443</v>
      </c>
      <c r="AJ47" s="128">
        <f>'33'!AK33</f>
        <v>0</v>
      </c>
      <c r="AK47" s="128">
        <f>'33'!AL33</f>
        <v>12862099</v>
      </c>
      <c r="AL47" s="128">
        <f>'33'!AM33</f>
        <v>20303044</v>
      </c>
      <c r="AM47" s="129"/>
    </row>
    <row r="48" spans="1:39" s="130" customFormat="1" ht="25.5" customHeight="1" x14ac:dyDescent="0.2">
      <c r="A48" s="134">
        <v>34</v>
      </c>
      <c r="B48" s="132" t="s">
        <v>932</v>
      </c>
      <c r="C48" s="128">
        <f>'34'!D33</f>
        <v>146909373</v>
      </c>
      <c r="D48" s="128">
        <f>'34'!E33</f>
        <v>86001544</v>
      </c>
      <c r="E48" s="128">
        <f>'34'!F33</f>
        <v>25001161</v>
      </c>
      <c r="F48" s="128">
        <f>'34'!G33</f>
        <v>19029120</v>
      </c>
      <c r="G48" s="128">
        <f>'34'!H33</f>
        <v>0</v>
      </c>
      <c r="H48" s="128">
        <f>'34'!I33</f>
        <v>45316128</v>
      </c>
      <c r="I48" s="128">
        <f>'34'!J33</f>
        <v>0</v>
      </c>
      <c r="J48" s="128">
        <f>'34'!K33</f>
        <v>9649810</v>
      </c>
      <c r="K48" s="128">
        <f>'34'!L33</f>
        <v>0</v>
      </c>
      <c r="L48" s="128">
        <f>'34'!M33</f>
        <v>3110172</v>
      </c>
      <c r="M48" s="128">
        <f>'34'!N33</f>
        <v>2625514</v>
      </c>
      <c r="N48" s="128">
        <f>'34'!O33</f>
        <v>206205</v>
      </c>
      <c r="O48" s="128">
        <f>'34'!P33</f>
        <v>135517612</v>
      </c>
      <c r="P48" s="128">
        <f>'34'!Q33</f>
        <v>53244362</v>
      </c>
      <c r="Q48" s="128">
        <f>'34'!R33</f>
        <v>37348792</v>
      </c>
      <c r="R48" s="128">
        <f>'34'!S33</f>
        <v>454122</v>
      </c>
      <c r="S48" s="128">
        <f>'34'!T33</f>
        <v>27459</v>
      </c>
      <c r="T48" s="128">
        <f>'34'!U33</f>
        <v>2107437</v>
      </c>
      <c r="U48" s="128">
        <f>'34'!V33</f>
        <v>267036</v>
      </c>
      <c r="V48" s="128">
        <f>'34'!W33</f>
        <v>3904506</v>
      </c>
      <c r="W48" s="128">
        <f>'34'!X33</f>
        <v>3607248</v>
      </c>
      <c r="X48" s="128">
        <f>'34'!Y33</f>
        <v>3630430</v>
      </c>
      <c r="Y48" s="128">
        <f>'34'!Z33</f>
        <v>28909855</v>
      </c>
      <c r="Z48" s="128">
        <f>'34'!AA33</f>
        <v>2151713</v>
      </c>
      <c r="AA48" s="128">
        <f>'34'!AB33</f>
        <v>-135348</v>
      </c>
      <c r="AB48" s="128">
        <f>'34'!AC33</f>
        <v>17546478</v>
      </c>
      <c r="AC48" s="128">
        <f>'34'!AD33</f>
        <v>5780857</v>
      </c>
      <c r="AD48" s="128">
        <f>'34'!AE33</f>
        <v>46937055</v>
      </c>
      <c r="AE48" s="128">
        <f>'34'!AF33</f>
        <v>2083236</v>
      </c>
      <c r="AF48" s="128">
        <f>'34'!AG33</f>
        <v>10175261</v>
      </c>
      <c r="AG48" s="128">
        <f>'34'!AH33</f>
        <v>7981925</v>
      </c>
      <c r="AH48" s="128">
        <f>'34'!AI33</f>
        <v>16392731</v>
      </c>
      <c r="AI48" s="128">
        <f>'34'!AJ33</f>
        <v>5945653</v>
      </c>
      <c r="AJ48" s="128">
        <f>'34'!AK33</f>
        <v>55000</v>
      </c>
      <c r="AK48" s="128">
        <f>'34'!AL33</f>
        <v>21211045</v>
      </c>
      <c r="AL48" s="128">
        <f>'34'!AM33</f>
        <v>1408371</v>
      </c>
      <c r="AM48" s="129"/>
    </row>
    <row r="49" spans="1:39" s="130" customFormat="1" ht="25.5" customHeight="1" x14ac:dyDescent="0.2">
      <c r="A49" s="134">
        <v>35</v>
      </c>
      <c r="B49" s="132" t="s">
        <v>933</v>
      </c>
      <c r="C49" s="128">
        <f>'35'!D33</f>
        <v>213219298</v>
      </c>
      <c r="D49" s="128">
        <f>'35'!E33</f>
        <v>56022935</v>
      </c>
      <c r="E49" s="128">
        <f>'35'!F33</f>
        <v>15267581</v>
      </c>
      <c r="F49" s="128">
        <f>'35'!G33</f>
        <v>11004718</v>
      </c>
      <c r="G49" s="128">
        <f>'35'!H33</f>
        <v>0</v>
      </c>
      <c r="H49" s="128">
        <f>'35'!I33</f>
        <v>74921653</v>
      </c>
      <c r="I49" s="128">
        <f>'35'!J33</f>
        <v>0</v>
      </c>
      <c r="J49" s="128">
        <f>'35'!K33</f>
        <v>42781359</v>
      </c>
      <c r="K49" s="128">
        <f>'35'!L33</f>
        <v>0</v>
      </c>
      <c r="L49" s="128">
        <f>'35'!M33</f>
        <v>19360285</v>
      </c>
      <c r="M49" s="128">
        <f>'35'!N33</f>
        <v>18818733</v>
      </c>
      <c r="N49" s="128">
        <f>'35'!O33</f>
        <v>1314333</v>
      </c>
      <c r="O49" s="128">
        <f>'35'!P33</f>
        <v>208120612</v>
      </c>
      <c r="P49" s="128">
        <f>'35'!Q33</f>
        <v>80469429</v>
      </c>
      <c r="Q49" s="128">
        <f>'35'!R33</f>
        <v>35820017</v>
      </c>
      <c r="R49" s="128">
        <f>'35'!S33</f>
        <v>3223816</v>
      </c>
      <c r="S49" s="128">
        <f>'35'!T33</f>
        <v>0</v>
      </c>
      <c r="T49" s="128">
        <f>'35'!U33</f>
        <v>3333499</v>
      </c>
      <c r="U49" s="128">
        <f>'35'!V33</f>
        <v>1286454</v>
      </c>
      <c r="V49" s="128">
        <f>'35'!W33</f>
        <v>26288479</v>
      </c>
      <c r="W49" s="128">
        <f>'35'!X33</f>
        <v>4794011</v>
      </c>
      <c r="X49" s="128">
        <f>'35'!Y33</f>
        <v>910322</v>
      </c>
      <c r="Y49" s="128">
        <f>'35'!Z33</f>
        <v>43142325</v>
      </c>
      <c r="Z49" s="128">
        <f>'35'!AA33</f>
        <v>8994999</v>
      </c>
      <c r="AA49" s="128">
        <f>'35'!AB33</f>
        <v>-142739</v>
      </c>
      <c r="AB49" s="128">
        <f>'35'!AC33</f>
        <v>44692919</v>
      </c>
      <c r="AC49" s="128">
        <f>'35'!AD33</f>
        <v>1871240</v>
      </c>
      <c r="AD49" s="128">
        <f>'35'!AE33</f>
        <v>73914605</v>
      </c>
      <c r="AE49" s="128">
        <f>'35'!AF33</f>
        <v>2217958</v>
      </c>
      <c r="AF49" s="128">
        <f>'35'!AG33</f>
        <v>4056582</v>
      </c>
      <c r="AG49" s="128">
        <f>'35'!AH33</f>
        <v>13748981</v>
      </c>
      <c r="AH49" s="128">
        <f>'35'!AI33</f>
        <v>32831403</v>
      </c>
      <c r="AI49" s="128">
        <f>'35'!AJ33</f>
        <v>10656716</v>
      </c>
      <c r="AJ49" s="128">
        <f>'35'!AK33</f>
        <v>0</v>
      </c>
      <c r="AK49" s="128">
        <f>'35'!AL33</f>
        <v>19506744</v>
      </c>
      <c r="AL49" s="128">
        <f>'35'!AM33</f>
        <v>4623464</v>
      </c>
      <c r="AM49" s="129"/>
    </row>
    <row r="50" spans="1:39" s="130" customFormat="1" ht="25.5" customHeight="1" x14ac:dyDescent="0.2">
      <c r="A50" s="134">
        <v>36</v>
      </c>
      <c r="B50" s="132" t="s">
        <v>934</v>
      </c>
      <c r="C50" s="128">
        <f>'36'!D33</f>
        <v>43184305</v>
      </c>
      <c r="D50" s="128">
        <f>'36'!E33</f>
        <v>21123405</v>
      </c>
      <c r="E50" s="128">
        <f>'36'!F33</f>
        <v>10513592</v>
      </c>
      <c r="F50" s="128">
        <f>'36'!G33</f>
        <v>676569</v>
      </c>
      <c r="G50" s="128">
        <f>'36'!H33</f>
        <v>0</v>
      </c>
      <c r="H50" s="128">
        <f>'36'!I33</f>
        <v>17967057</v>
      </c>
      <c r="I50" s="128">
        <f>'36'!J33</f>
        <v>0</v>
      </c>
      <c r="J50" s="128">
        <f>'36'!K33</f>
        <v>1532200</v>
      </c>
      <c r="K50" s="128">
        <f>'36'!L33</f>
        <v>0</v>
      </c>
      <c r="L50" s="128">
        <f>'36'!M33</f>
        <v>1851818</v>
      </c>
      <c r="M50" s="128">
        <f>'36'!N33</f>
        <v>433911</v>
      </c>
      <c r="N50" s="128">
        <f>'36'!O33</f>
        <v>275914</v>
      </c>
      <c r="O50" s="128">
        <f>'36'!P33</f>
        <v>43817084</v>
      </c>
      <c r="P50" s="128">
        <f>'36'!Q33</f>
        <v>21011800</v>
      </c>
      <c r="Q50" s="128">
        <f>'36'!R33</f>
        <v>15544363</v>
      </c>
      <c r="R50" s="128">
        <f>'36'!S33</f>
        <v>8000</v>
      </c>
      <c r="S50" s="128">
        <f>'36'!T33</f>
        <v>0</v>
      </c>
      <c r="T50" s="128">
        <f>'36'!U33</f>
        <v>1421289</v>
      </c>
      <c r="U50" s="128">
        <f>'36'!V33</f>
        <v>160604</v>
      </c>
      <c r="V50" s="128">
        <f>'36'!W33</f>
        <v>892390</v>
      </c>
      <c r="W50" s="128">
        <f>'36'!X33</f>
        <v>1176836</v>
      </c>
      <c r="X50" s="128">
        <f>'36'!Y33</f>
        <v>914144</v>
      </c>
      <c r="Y50" s="128">
        <f>'36'!Z33</f>
        <v>2596726</v>
      </c>
      <c r="Z50" s="128">
        <f>'36'!AA33</f>
        <v>123712</v>
      </c>
      <c r="AA50" s="128">
        <f>'36'!AB33</f>
        <v>-32780</v>
      </c>
      <c r="AB50" s="128">
        <f>'36'!AC33</f>
        <v>11185628</v>
      </c>
      <c r="AC50" s="128">
        <f>'36'!AD33</f>
        <v>916299</v>
      </c>
      <c r="AD50" s="128">
        <f>'36'!AE33</f>
        <v>16787124</v>
      </c>
      <c r="AE50" s="128">
        <f>'36'!AF33</f>
        <v>1614617</v>
      </c>
      <c r="AF50" s="128">
        <f>'36'!AG33</f>
        <v>2875080</v>
      </c>
      <c r="AG50" s="128">
        <f>'36'!AH33</f>
        <v>3129980</v>
      </c>
      <c r="AH50" s="128">
        <f>'36'!AI33</f>
        <v>817397</v>
      </c>
      <c r="AI50" s="128">
        <f>'36'!AJ33</f>
        <v>1064926</v>
      </c>
      <c r="AJ50" s="128">
        <f>'36'!AK33</f>
        <v>0</v>
      </c>
      <c r="AK50" s="128">
        <f>'36'!AL33</f>
        <v>4159345</v>
      </c>
      <c r="AL50" s="128">
        <f>'36'!AM33</f>
        <v>1266688</v>
      </c>
      <c r="AM50" s="129"/>
    </row>
    <row r="51" spans="1:39" s="130" customFormat="1" ht="25.5" customHeight="1" x14ac:dyDescent="0.2">
      <c r="A51" s="134">
        <v>37</v>
      </c>
      <c r="B51" s="132" t="s">
        <v>935</v>
      </c>
      <c r="C51" s="128">
        <f>'37'!D33</f>
        <v>158438852</v>
      </c>
      <c r="D51" s="128">
        <f>'37'!E33</f>
        <v>91273925</v>
      </c>
      <c r="E51" s="128">
        <f>'37'!F33</f>
        <v>37662772</v>
      </c>
      <c r="F51" s="128">
        <f>'37'!G33</f>
        <v>16180925</v>
      </c>
      <c r="G51" s="128">
        <f>'37'!H33</f>
        <v>0</v>
      </c>
      <c r="H51" s="128">
        <f>'37'!I33</f>
        <v>47354204</v>
      </c>
      <c r="I51" s="128">
        <f>'37'!J33</f>
        <v>1525539</v>
      </c>
      <c r="J51" s="128">
        <f>'37'!K33</f>
        <v>5960970</v>
      </c>
      <c r="K51" s="128">
        <f>'37'!L33</f>
        <v>0</v>
      </c>
      <c r="L51" s="128">
        <f>'37'!M33</f>
        <v>8332152</v>
      </c>
      <c r="M51" s="128">
        <f>'37'!N33</f>
        <v>3819967</v>
      </c>
      <c r="N51" s="128">
        <f>'37'!O33</f>
        <v>172095</v>
      </c>
      <c r="O51" s="128">
        <f>'37'!P33</f>
        <v>155101270</v>
      </c>
      <c r="P51" s="128">
        <f>'37'!Q33</f>
        <v>54683529</v>
      </c>
      <c r="Q51" s="128">
        <f>'37'!R33</f>
        <v>42587836</v>
      </c>
      <c r="R51" s="128">
        <f>'37'!S33</f>
        <v>538973</v>
      </c>
      <c r="S51" s="128">
        <f>'37'!T33</f>
        <v>0</v>
      </c>
      <c r="T51" s="128">
        <f>'37'!U33</f>
        <v>1237652</v>
      </c>
      <c r="U51" s="128">
        <f>'37'!V33</f>
        <v>0</v>
      </c>
      <c r="V51" s="128">
        <f>'37'!W33</f>
        <v>6740216</v>
      </c>
      <c r="W51" s="128">
        <f>'37'!X33</f>
        <v>2905213</v>
      </c>
      <c r="X51" s="128">
        <f>'37'!Y33</f>
        <v>1554036</v>
      </c>
      <c r="Y51" s="128">
        <f>'37'!Z33</f>
        <v>37492689</v>
      </c>
      <c r="Z51" s="128">
        <f>'37'!AA33</f>
        <v>8263369</v>
      </c>
      <c r="AA51" s="128">
        <f>'37'!AB33</f>
        <v>-902243</v>
      </c>
      <c r="AB51" s="128">
        <f>'37'!AC33</f>
        <v>21478471</v>
      </c>
      <c r="AC51" s="128">
        <f>'37'!AD33</f>
        <v>341026</v>
      </c>
      <c r="AD51" s="128">
        <f>'37'!AE33</f>
        <v>45817612</v>
      </c>
      <c r="AE51" s="128">
        <f>'37'!AF33</f>
        <v>1229776</v>
      </c>
      <c r="AF51" s="128">
        <f>'37'!AG33</f>
        <v>16127752</v>
      </c>
      <c r="AG51" s="128">
        <f>'37'!AH33</f>
        <v>10549925</v>
      </c>
      <c r="AH51" s="128">
        <f>'37'!AI33</f>
        <v>12625846</v>
      </c>
      <c r="AI51" s="128">
        <f>'37'!AJ33</f>
        <v>2809177</v>
      </c>
      <c r="AJ51" s="128">
        <f>'37'!AK33</f>
        <v>0</v>
      </c>
      <c r="AK51" s="128">
        <f>'37'!AL33</f>
        <v>43713526</v>
      </c>
      <c r="AL51" s="128">
        <f>'37'!AM33</f>
        <v>408159</v>
      </c>
      <c r="AM51" s="129"/>
    </row>
    <row r="52" spans="1:39" s="130" customFormat="1" ht="25.5" customHeight="1" x14ac:dyDescent="0.2">
      <c r="A52" s="134">
        <v>38</v>
      </c>
      <c r="B52" s="132" t="s">
        <v>936</v>
      </c>
      <c r="C52" s="128">
        <f>'38'!D33</f>
        <v>71953618</v>
      </c>
      <c r="D52" s="128">
        <f>'38'!E33</f>
        <v>24888917</v>
      </c>
      <c r="E52" s="128">
        <f>'38'!F33</f>
        <v>9284686</v>
      </c>
      <c r="F52" s="128">
        <f>'38'!G33</f>
        <v>1795867</v>
      </c>
      <c r="G52" s="128">
        <f>'38'!H33</f>
        <v>0</v>
      </c>
      <c r="H52" s="128">
        <f>'38'!I33</f>
        <v>21118559</v>
      </c>
      <c r="I52" s="128">
        <f>'38'!J33</f>
        <v>0</v>
      </c>
      <c r="J52" s="128">
        <f>'38'!K33</f>
        <v>7575000</v>
      </c>
      <c r="K52" s="128">
        <f>'38'!L33</f>
        <v>0</v>
      </c>
      <c r="L52" s="128">
        <f>'38'!M33</f>
        <v>11243248</v>
      </c>
      <c r="M52" s="128">
        <f>'38'!N33</f>
        <v>4612242</v>
      </c>
      <c r="N52" s="128">
        <f>'38'!O33</f>
        <v>2515652</v>
      </c>
      <c r="O52" s="128">
        <f>'38'!P33</f>
        <v>74087721</v>
      </c>
      <c r="P52" s="128">
        <f>'38'!Q33</f>
        <v>24914644</v>
      </c>
      <c r="Q52" s="128">
        <f>'38'!R33</f>
        <v>17244723</v>
      </c>
      <c r="R52" s="128">
        <f>'38'!S33</f>
        <v>337797</v>
      </c>
      <c r="S52" s="128">
        <f>'38'!T33</f>
        <v>0</v>
      </c>
      <c r="T52" s="128">
        <f>'38'!U33</f>
        <v>879410</v>
      </c>
      <c r="U52" s="128">
        <f>'38'!V33</f>
        <v>120000</v>
      </c>
      <c r="V52" s="128">
        <f>'38'!W33</f>
        <v>11129859</v>
      </c>
      <c r="W52" s="128">
        <f>'38'!X33</f>
        <v>1491130</v>
      </c>
      <c r="X52" s="128">
        <f>'38'!Y33</f>
        <v>913020</v>
      </c>
      <c r="Y52" s="128">
        <f>'38'!Z33</f>
        <v>16713771</v>
      </c>
      <c r="Z52" s="128">
        <f>'38'!AA33</f>
        <v>521455</v>
      </c>
      <c r="AA52" s="128">
        <f>'38'!AB33</f>
        <v>-178088</v>
      </c>
      <c r="AB52" s="128">
        <f>'38'!AC33</f>
        <v>8678751</v>
      </c>
      <c r="AC52" s="128">
        <f>'38'!AD33</f>
        <v>2669864</v>
      </c>
      <c r="AD52" s="128">
        <f>'38'!AE33</f>
        <v>21709139</v>
      </c>
      <c r="AE52" s="128">
        <f>'38'!AF33</f>
        <v>1319862</v>
      </c>
      <c r="AF52" s="128">
        <f>'38'!AG33</f>
        <v>3490534</v>
      </c>
      <c r="AG52" s="128">
        <f>'38'!AH33</f>
        <v>3472042</v>
      </c>
      <c r="AH52" s="128">
        <f>'38'!AI33</f>
        <v>10831010</v>
      </c>
      <c r="AI52" s="128">
        <f>'38'!AJ33</f>
        <v>5462261</v>
      </c>
      <c r="AJ52" s="128">
        <f>'38'!AK33</f>
        <v>0</v>
      </c>
      <c r="AK52" s="128">
        <f>'38'!AL33</f>
        <v>15586121</v>
      </c>
      <c r="AL52" s="128">
        <f>'38'!AM33</f>
        <v>868137</v>
      </c>
      <c r="AM52" s="129"/>
    </row>
    <row r="53" spans="1:39" s="130" customFormat="1" ht="25.5" customHeight="1" x14ac:dyDescent="0.2">
      <c r="A53" s="134">
        <v>39</v>
      </c>
      <c r="B53" s="132" t="s">
        <v>937</v>
      </c>
      <c r="C53" s="128">
        <f>'39'!D33</f>
        <v>35646422</v>
      </c>
      <c r="D53" s="128">
        <f>'39'!E33</f>
        <v>6364886</v>
      </c>
      <c r="E53" s="128">
        <f>'39'!F33</f>
        <v>2360738</v>
      </c>
      <c r="F53" s="128">
        <f>'39'!G33</f>
        <v>1310470</v>
      </c>
      <c r="G53" s="128">
        <f>'39'!H33</f>
        <v>0</v>
      </c>
      <c r="H53" s="128">
        <f>'39'!I33</f>
        <v>16531385</v>
      </c>
      <c r="I53" s="128">
        <f>'39'!J33</f>
        <v>221000</v>
      </c>
      <c r="J53" s="128">
        <f>'39'!K33</f>
        <v>7837000</v>
      </c>
      <c r="K53" s="128">
        <f>'39'!L33</f>
        <v>0</v>
      </c>
      <c r="L53" s="128">
        <f>'39'!M33</f>
        <v>3300688</v>
      </c>
      <c r="M53" s="128">
        <f>'39'!N33</f>
        <v>1184359</v>
      </c>
      <c r="N53" s="128">
        <f>'39'!O33</f>
        <v>207104</v>
      </c>
      <c r="O53" s="128">
        <f>'39'!P33</f>
        <v>34466921</v>
      </c>
      <c r="P53" s="128">
        <f>'39'!Q33</f>
        <v>17828880</v>
      </c>
      <c r="Q53" s="128">
        <f>'39'!R33</f>
        <v>8682403</v>
      </c>
      <c r="R53" s="128">
        <f>'39'!S33</f>
        <v>3829</v>
      </c>
      <c r="S53" s="128">
        <f>'39'!T33</f>
        <v>0</v>
      </c>
      <c r="T53" s="128">
        <f>'39'!U33</f>
        <v>304869</v>
      </c>
      <c r="U53" s="128">
        <f>'39'!V33</f>
        <v>1212</v>
      </c>
      <c r="V53" s="128">
        <f>'39'!W33</f>
        <v>107443</v>
      </c>
      <c r="W53" s="128">
        <f>'39'!X33</f>
        <v>1268449</v>
      </c>
      <c r="X53" s="128">
        <f>'39'!Y33</f>
        <v>435874</v>
      </c>
      <c r="Y53" s="128">
        <f>'39'!Z33</f>
        <v>5869689</v>
      </c>
      <c r="Z53" s="128">
        <f>'39'!AA33</f>
        <v>0</v>
      </c>
      <c r="AA53" s="128">
        <f>'39'!AB33</f>
        <v>-35727</v>
      </c>
      <c r="AB53" s="128">
        <f>'39'!AC33</f>
        <v>5075997</v>
      </c>
      <c r="AC53" s="128">
        <f>'39'!AD33</f>
        <v>678115</v>
      </c>
      <c r="AD53" s="128">
        <f>'39'!AE33</f>
        <v>15202017</v>
      </c>
      <c r="AE53" s="128">
        <f>'39'!AF33</f>
        <v>255905</v>
      </c>
      <c r="AF53" s="128">
        <f>'39'!AG33</f>
        <v>874378</v>
      </c>
      <c r="AG53" s="128">
        <f>'39'!AH33</f>
        <v>2947595</v>
      </c>
      <c r="AH53" s="128">
        <f>'39'!AI33</f>
        <v>3515048</v>
      </c>
      <c r="AI53" s="128">
        <f>'39'!AJ33</f>
        <v>1002065</v>
      </c>
      <c r="AJ53" s="128">
        <f>'39'!AK33</f>
        <v>0</v>
      </c>
      <c r="AK53" s="128">
        <f>'39'!AL33</f>
        <v>4793265</v>
      </c>
      <c r="AL53" s="128">
        <f>'39'!AM33</f>
        <v>122536</v>
      </c>
      <c r="AM53" s="129"/>
    </row>
    <row r="54" spans="1:39" s="130" customFormat="1" ht="25.5" customHeight="1" x14ac:dyDescent="0.2">
      <c r="A54" s="151">
        <v>40</v>
      </c>
      <c r="B54" s="148" t="s">
        <v>938</v>
      </c>
      <c r="C54" s="128">
        <f>'40'!D33</f>
        <v>156679300</v>
      </c>
      <c r="D54" s="128">
        <f>'40'!E33</f>
        <v>39026812</v>
      </c>
      <c r="E54" s="128">
        <f>'40'!F33</f>
        <v>14713872</v>
      </c>
      <c r="F54" s="128">
        <f>'40'!G33</f>
        <v>4984885</v>
      </c>
      <c r="G54" s="128">
        <f>'40'!H33</f>
        <v>0</v>
      </c>
      <c r="H54" s="128">
        <f>'40'!I33</f>
        <v>44922286</v>
      </c>
      <c r="I54" s="128">
        <f>'40'!J33</f>
        <v>600960</v>
      </c>
      <c r="J54" s="128">
        <f>'40'!K33</f>
        <v>23983949</v>
      </c>
      <c r="K54" s="128">
        <f>'40'!L33</f>
        <v>0</v>
      </c>
      <c r="L54" s="128">
        <f>'40'!M33</f>
        <v>16239107</v>
      </c>
      <c r="M54" s="128">
        <f>'40'!N33</f>
        <v>31275548</v>
      </c>
      <c r="N54" s="128">
        <f>'40'!O33</f>
        <v>630638</v>
      </c>
      <c r="O54" s="128">
        <f>'40'!P33</f>
        <v>152189486</v>
      </c>
      <c r="P54" s="128">
        <f>'40'!Q33</f>
        <v>50982040</v>
      </c>
      <c r="Q54" s="128">
        <f>'40'!R33</f>
        <v>20291968</v>
      </c>
      <c r="R54" s="128">
        <f>'40'!S33</f>
        <v>198422</v>
      </c>
      <c r="S54" s="128">
        <f>'40'!T33</f>
        <v>106748</v>
      </c>
      <c r="T54" s="128">
        <f>'40'!U33</f>
        <v>1565899</v>
      </c>
      <c r="U54" s="128">
        <f>'40'!V33</f>
        <v>2409832</v>
      </c>
      <c r="V54" s="128">
        <f>'40'!W33</f>
        <v>49469744</v>
      </c>
      <c r="W54" s="128">
        <f>'40'!X33</f>
        <v>5300015</v>
      </c>
      <c r="X54" s="128">
        <f>'40'!Y33</f>
        <v>571459</v>
      </c>
      <c r="Y54" s="128">
        <f>'40'!Z33</f>
        <v>20372606</v>
      </c>
      <c r="Z54" s="128">
        <f>'40'!AA33</f>
        <v>1193649</v>
      </c>
      <c r="AA54" s="128">
        <f>'40'!AB33</f>
        <v>-272896</v>
      </c>
      <c r="AB54" s="128">
        <f>'40'!AC33</f>
        <v>17296692</v>
      </c>
      <c r="AC54" s="128">
        <f>'40'!AD33</f>
        <v>1395941</v>
      </c>
      <c r="AD54" s="128">
        <f>'40'!AE33</f>
        <v>55429880</v>
      </c>
      <c r="AE54" s="128">
        <f>'40'!AF33</f>
        <v>4312724</v>
      </c>
      <c r="AF54" s="128">
        <f>'40'!AG33</f>
        <v>9595294</v>
      </c>
      <c r="AG54" s="128">
        <f>'40'!AH33</f>
        <v>9313515</v>
      </c>
      <c r="AH54" s="128">
        <f>'40'!AI33</f>
        <v>7729269</v>
      </c>
      <c r="AI54" s="128">
        <f>'40'!AJ33</f>
        <v>2605965</v>
      </c>
      <c r="AJ54" s="128">
        <f>'40'!AK33</f>
        <v>106748</v>
      </c>
      <c r="AK54" s="128">
        <f>'40'!AL33</f>
        <v>28361927</v>
      </c>
      <c r="AL54" s="128">
        <f>'40'!AM33</f>
        <v>16041531</v>
      </c>
      <c r="AM54" s="129"/>
    </row>
    <row r="55" spans="1:39" s="130" customFormat="1" ht="25.5" customHeight="1" x14ac:dyDescent="0.2">
      <c r="A55" s="152">
        <v>41</v>
      </c>
      <c r="B55" s="149" t="s">
        <v>939</v>
      </c>
      <c r="C55" s="150">
        <f>'41'!D33</f>
        <v>70448530</v>
      </c>
      <c r="D55" s="150">
        <f>'41'!E33</f>
        <v>19691775</v>
      </c>
      <c r="E55" s="150">
        <f>'41'!F33</f>
        <v>6426952</v>
      </c>
      <c r="F55" s="150">
        <f>'41'!G33</f>
        <v>733385</v>
      </c>
      <c r="G55" s="150">
        <f>'41'!H33</f>
        <v>0</v>
      </c>
      <c r="H55" s="150">
        <f>'41'!I33</f>
        <v>19900915</v>
      </c>
      <c r="I55" s="150">
        <f>'41'!J33</f>
        <v>1500000</v>
      </c>
      <c r="J55" s="150">
        <f>'41'!K33</f>
        <v>5620050</v>
      </c>
      <c r="K55" s="150">
        <f>'41'!L33</f>
        <v>0</v>
      </c>
      <c r="L55" s="150">
        <f>'41'!M33</f>
        <v>12081848</v>
      </c>
      <c r="M55" s="150">
        <f>'41'!N33</f>
        <v>11591342</v>
      </c>
      <c r="N55" s="150">
        <f>'41'!O33</f>
        <v>62600</v>
      </c>
      <c r="O55" s="150">
        <f>'41'!P33</f>
        <v>67024402</v>
      </c>
      <c r="P55" s="150">
        <f>'41'!Q33</f>
        <v>22704477</v>
      </c>
      <c r="Q55" s="150">
        <f>'41'!R33</f>
        <v>11664373</v>
      </c>
      <c r="R55" s="150">
        <f>'41'!S33</f>
        <v>1005941</v>
      </c>
      <c r="S55" s="150">
        <f>'41'!T33</f>
        <v>0</v>
      </c>
      <c r="T55" s="150">
        <f>'41'!U33</f>
        <v>2107231</v>
      </c>
      <c r="U55" s="150">
        <f>'41'!V33</f>
        <v>21150</v>
      </c>
      <c r="V55" s="150">
        <f>'41'!W33</f>
        <v>15048136</v>
      </c>
      <c r="W55" s="150">
        <f>'41'!X33</f>
        <v>2618558</v>
      </c>
      <c r="X55" s="150">
        <f>'41'!Y33</f>
        <v>30000</v>
      </c>
      <c r="Y55" s="150">
        <f>'41'!Z33</f>
        <v>10254454</v>
      </c>
      <c r="Z55" s="150">
        <f>'41'!AA33</f>
        <v>1733813</v>
      </c>
      <c r="AA55" s="150">
        <f>'41'!AB33</f>
        <v>-163731</v>
      </c>
      <c r="AB55" s="150">
        <f>'41'!AC33</f>
        <v>13092888</v>
      </c>
      <c r="AC55" s="150">
        <f>'41'!AD33</f>
        <v>605212</v>
      </c>
      <c r="AD55" s="150">
        <f>'41'!AE33</f>
        <v>21845428</v>
      </c>
      <c r="AE55" s="150">
        <f>'41'!AF33</f>
        <v>7261750</v>
      </c>
      <c r="AF55" s="150">
        <f>'41'!AG33</f>
        <v>2961902</v>
      </c>
      <c r="AG55" s="150">
        <f>'41'!AH33</f>
        <v>5886608</v>
      </c>
      <c r="AH55" s="150">
        <f>'41'!AI33</f>
        <v>6872549</v>
      </c>
      <c r="AI55" s="150">
        <f>'41'!AJ33</f>
        <v>1847065</v>
      </c>
      <c r="AJ55" s="150">
        <f>'41'!AK33</f>
        <v>0</v>
      </c>
      <c r="AK55" s="150">
        <f>'41'!AL33</f>
        <v>6118676</v>
      </c>
      <c r="AL55" s="150">
        <f>'41'!AM33</f>
        <v>532324</v>
      </c>
      <c r="AM55" s="129"/>
    </row>
    <row r="56" spans="1:39" s="130" customFormat="1" ht="25.5" customHeight="1" x14ac:dyDescent="0.2">
      <c r="A56" s="152">
        <v>42</v>
      </c>
      <c r="B56" s="149" t="s">
        <v>940</v>
      </c>
      <c r="C56" s="150">
        <f>'42'!D33</f>
        <v>0</v>
      </c>
      <c r="D56" s="150">
        <f>'42'!E33</f>
        <v>0</v>
      </c>
      <c r="E56" s="150">
        <f>'42'!F33</f>
        <v>0</v>
      </c>
      <c r="F56" s="150">
        <f>'42'!G33</f>
        <v>0</v>
      </c>
      <c r="G56" s="150">
        <f>'42'!H33</f>
        <v>0</v>
      </c>
      <c r="H56" s="150">
        <f>'42'!I33</f>
        <v>0</v>
      </c>
      <c r="I56" s="150">
        <f>'42'!J33</f>
        <v>0</v>
      </c>
      <c r="J56" s="150">
        <f>'42'!K33</f>
        <v>0</v>
      </c>
      <c r="K56" s="150">
        <f>'42'!L33</f>
        <v>0</v>
      </c>
      <c r="L56" s="150">
        <f>'42'!M33</f>
        <v>0</v>
      </c>
      <c r="M56" s="150">
        <f>'42'!N33</f>
        <v>0</v>
      </c>
      <c r="N56" s="150">
        <f>'42'!O33</f>
        <v>0</v>
      </c>
      <c r="O56" s="150">
        <f>'42'!P33</f>
        <v>0</v>
      </c>
      <c r="P56" s="150">
        <f>'42'!Q33</f>
        <v>0</v>
      </c>
      <c r="Q56" s="150">
        <f>'42'!R33</f>
        <v>0</v>
      </c>
      <c r="R56" s="150">
        <f>'42'!S33</f>
        <v>0</v>
      </c>
      <c r="S56" s="150">
        <f>'42'!T33</f>
        <v>0</v>
      </c>
      <c r="T56" s="150">
        <f>'42'!U33</f>
        <v>0</v>
      </c>
      <c r="U56" s="150">
        <f>'42'!V33</f>
        <v>0</v>
      </c>
      <c r="V56" s="150">
        <f>'42'!W33</f>
        <v>0</v>
      </c>
      <c r="W56" s="150">
        <f>'42'!X33</f>
        <v>0</v>
      </c>
      <c r="X56" s="150">
        <f>'42'!Y33</f>
        <v>0</v>
      </c>
      <c r="Y56" s="150">
        <f>'42'!Z33</f>
        <v>0</v>
      </c>
      <c r="Z56" s="150">
        <f>'42'!AA33</f>
        <v>0</v>
      </c>
      <c r="AA56" s="150">
        <f>'42'!AB33</f>
        <v>0</v>
      </c>
      <c r="AB56" s="150">
        <f>'42'!AC33</f>
        <v>0</v>
      </c>
      <c r="AC56" s="150">
        <f>'42'!AD33</f>
        <v>0</v>
      </c>
      <c r="AD56" s="150">
        <f>'42'!AE33</f>
        <v>0</v>
      </c>
      <c r="AE56" s="150">
        <f>'42'!AF33</f>
        <v>0</v>
      </c>
      <c r="AF56" s="150">
        <f>'42'!AG33</f>
        <v>0</v>
      </c>
      <c r="AG56" s="150">
        <f>'42'!AH33</f>
        <v>0</v>
      </c>
      <c r="AH56" s="150">
        <f>'42'!AI33</f>
        <v>0</v>
      </c>
      <c r="AI56" s="150">
        <f>'42'!AJ33</f>
        <v>0</v>
      </c>
      <c r="AJ56" s="150">
        <f>'42'!AK33</f>
        <v>0</v>
      </c>
      <c r="AK56" s="150">
        <f>'42'!AL33</f>
        <v>0</v>
      </c>
      <c r="AL56" s="150">
        <f>'42'!AM33</f>
        <v>0</v>
      </c>
      <c r="AM56" s="129"/>
    </row>
    <row r="60" spans="1:39" x14ac:dyDescent="0.2">
      <c r="Q60" s="135"/>
    </row>
    <row r="62" spans="1:39" x14ac:dyDescent="0.2">
      <c r="M62" s="135"/>
      <c r="P62" s="135"/>
    </row>
    <row r="65" spans="17:17" x14ac:dyDescent="0.2">
      <c r="Q65" s="135">
        <f>Q60-Q61</f>
        <v>0</v>
      </c>
    </row>
  </sheetData>
  <sheetProtection selectLockedCells="1" selectUnlockedCells="1"/>
  <mergeCells count="15">
    <mergeCell ref="A13:B13"/>
    <mergeCell ref="A14:B14"/>
    <mergeCell ref="K9:K11"/>
    <mergeCell ref="L9:L11"/>
    <mergeCell ref="M9:M11"/>
    <mergeCell ref="N9:N11"/>
    <mergeCell ref="P9:Y10"/>
    <mergeCell ref="AB9:AL10"/>
    <mergeCell ref="A9:B12"/>
    <mergeCell ref="D9:F9"/>
    <mergeCell ref="G9:G11"/>
    <mergeCell ref="H9:H11"/>
    <mergeCell ref="I9:I11"/>
    <mergeCell ref="J9:J11"/>
    <mergeCell ref="E10:F10"/>
  </mergeCells>
  <pageMargins left="0.70833333333333337" right="0.31527777777777777" top="0.74791666666666667" bottom="0.74791666666666667" header="0.51180555555555551" footer="0.51180555555555551"/>
  <pageSetup paperSize="8" scale="55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AM65"/>
  <sheetViews>
    <sheetView topLeftCell="M37" zoomScaleSheetLayoutView="83" workbookViewId="0">
      <selection activeCell="N66" sqref="N66"/>
    </sheetView>
  </sheetViews>
  <sheetFormatPr defaultRowHeight="12.75" x14ac:dyDescent="0.2"/>
  <cols>
    <col min="1" max="1" width="3.5703125" style="112" customWidth="1"/>
    <col min="2" max="2" width="13.85546875" style="112" customWidth="1"/>
    <col min="3" max="3" width="15.5703125" style="112" customWidth="1"/>
    <col min="4" max="4" width="15.7109375" style="112" customWidth="1"/>
    <col min="5" max="5" width="15.42578125" style="112" customWidth="1"/>
    <col min="6" max="6" width="14" style="112" customWidth="1"/>
    <col min="7" max="8" width="13.85546875" style="112" customWidth="1"/>
    <col min="9" max="9" width="12.42578125" style="112" customWidth="1"/>
    <col min="10" max="10" width="13.85546875" style="112" customWidth="1"/>
    <col min="11" max="11" width="16.7109375" style="112" customWidth="1"/>
    <col min="12" max="13" width="14.28515625" style="112" customWidth="1"/>
    <col min="14" max="14" width="14" style="112" customWidth="1"/>
    <col min="15" max="15" width="15.28515625" style="116" customWidth="1"/>
    <col min="16" max="16" width="15.5703125" style="112" customWidth="1"/>
    <col min="17" max="17" width="15.140625" style="112" customWidth="1"/>
    <col min="18" max="18" width="13.5703125" style="112" customWidth="1"/>
    <col min="19" max="20" width="14" style="112" customWidth="1"/>
    <col min="21" max="22" width="14.140625" style="112" customWidth="1"/>
    <col min="23" max="23" width="14.28515625" style="112" customWidth="1"/>
    <col min="24" max="24" width="12.140625" style="112" customWidth="1"/>
    <col min="25" max="25" width="14.5703125" style="112" customWidth="1"/>
    <col min="26" max="26" width="14.7109375" style="112" customWidth="1"/>
    <col min="27" max="27" width="13" style="112" customWidth="1"/>
    <col min="28" max="28" width="14.5703125" style="112" customWidth="1"/>
    <col min="29" max="29" width="12.28515625" style="112" customWidth="1"/>
    <col min="30" max="30" width="15.28515625" style="112" customWidth="1"/>
    <col min="31" max="31" width="12.85546875" style="112" customWidth="1"/>
    <col min="32" max="32" width="13.85546875" style="112" customWidth="1"/>
    <col min="33" max="33" width="14.5703125" style="112" customWidth="1"/>
    <col min="34" max="35" width="14.28515625" style="112" customWidth="1"/>
    <col min="36" max="36" width="14.5703125" style="112" customWidth="1"/>
    <col min="37" max="37" width="14.28515625" style="112" customWidth="1"/>
    <col min="38" max="38" width="12.5703125" style="112" customWidth="1"/>
    <col min="39" max="39" width="11" style="111" customWidth="1"/>
    <col min="40" max="256" width="9.140625" style="112"/>
    <col min="257" max="257" width="3.5703125" style="112" customWidth="1"/>
    <col min="258" max="258" width="13.85546875" style="112" customWidth="1"/>
    <col min="259" max="259" width="15.5703125" style="112" customWidth="1"/>
    <col min="260" max="260" width="15.7109375" style="112" customWidth="1"/>
    <col min="261" max="261" width="15.42578125" style="112" customWidth="1"/>
    <col min="262" max="262" width="14" style="112" customWidth="1"/>
    <col min="263" max="264" width="13.85546875" style="112" customWidth="1"/>
    <col min="265" max="265" width="12.42578125" style="112" customWidth="1"/>
    <col min="266" max="266" width="13.85546875" style="112" customWidth="1"/>
    <col min="267" max="267" width="16.7109375" style="112" customWidth="1"/>
    <col min="268" max="269" width="14.28515625" style="112" customWidth="1"/>
    <col min="270" max="270" width="14" style="112" customWidth="1"/>
    <col min="271" max="271" width="15.28515625" style="112" customWidth="1"/>
    <col min="272" max="272" width="15.5703125" style="112" customWidth="1"/>
    <col min="273" max="273" width="15.140625" style="112" customWidth="1"/>
    <col min="274" max="274" width="13.5703125" style="112" customWidth="1"/>
    <col min="275" max="276" width="14" style="112" customWidth="1"/>
    <col min="277" max="278" width="14.140625" style="112" customWidth="1"/>
    <col min="279" max="279" width="14.28515625" style="112" customWidth="1"/>
    <col min="280" max="280" width="12.140625" style="112" customWidth="1"/>
    <col min="281" max="281" width="14.5703125" style="112" customWidth="1"/>
    <col min="282" max="282" width="14.7109375" style="112" customWidth="1"/>
    <col min="283" max="283" width="13" style="112" customWidth="1"/>
    <col min="284" max="284" width="14.5703125" style="112" customWidth="1"/>
    <col min="285" max="285" width="12.28515625" style="112" customWidth="1"/>
    <col min="286" max="286" width="15.28515625" style="112" customWidth="1"/>
    <col min="287" max="287" width="12.85546875" style="112" customWidth="1"/>
    <col min="288" max="288" width="13.85546875" style="112" customWidth="1"/>
    <col min="289" max="289" width="14.5703125" style="112" customWidth="1"/>
    <col min="290" max="291" width="14.28515625" style="112" customWidth="1"/>
    <col min="292" max="292" width="14.5703125" style="112" customWidth="1"/>
    <col min="293" max="293" width="14.28515625" style="112" customWidth="1"/>
    <col min="294" max="294" width="12.5703125" style="112" customWidth="1"/>
    <col min="295" max="295" width="11" style="112" customWidth="1"/>
    <col min="296" max="512" width="9.140625" style="112"/>
    <col min="513" max="513" width="3.5703125" style="112" customWidth="1"/>
    <col min="514" max="514" width="13.85546875" style="112" customWidth="1"/>
    <col min="515" max="515" width="15.5703125" style="112" customWidth="1"/>
    <col min="516" max="516" width="15.7109375" style="112" customWidth="1"/>
    <col min="517" max="517" width="15.42578125" style="112" customWidth="1"/>
    <col min="518" max="518" width="14" style="112" customWidth="1"/>
    <col min="519" max="520" width="13.85546875" style="112" customWidth="1"/>
    <col min="521" max="521" width="12.42578125" style="112" customWidth="1"/>
    <col min="522" max="522" width="13.85546875" style="112" customWidth="1"/>
    <col min="523" max="523" width="16.7109375" style="112" customWidth="1"/>
    <col min="524" max="525" width="14.28515625" style="112" customWidth="1"/>
    <col min="526" max="526" width="14" style="112" customWidth="1"/>
    <col min="527" max="527" width="15.28515625" style="112" customWidth="1"/>
    <col min="528" max="528" width="15.5703125" style="112" customWidth="1"/>
    <col min="529" max="529" width="15.140625" style="112" customWidth="1"/>
    <col min="530" max="530" width="13.5703125" style="112" customWidth="1"/>
    <col min="531" max="532" width="14" style="112" customWidth="1"/>
    <col min="533" max="534" width="14.140625" style="112" customWidth="1"/>
    <col min="535" max="535" width="14.28515625" style="112" customWidth="1"/>
    <col min="536" max="536" width="12.140625" style="112" customWidth="1"/>
    <col min="537" max="537" width="14.5703125" style="112" customWidth="1"/>
    <col min="538" max="538" width="14.7109375" style="112" customWidth="1"/>
    <col min="539" max="539" width="13" style="112" customWidth="1"/>
    <col min="540" max="540" width="14.5703125" style="112" customWidth="1"/>
    <col min="541" max="541" width="12.28515625" style="112" customWidth="1"/>
    <col min="542" max="542" width="15.28515625" style="112" customWidth="1"/>
    <col min="543" max="543" width="12.85546875" style="112" customWidth="1"/>
    <col min="544" max="544" width="13.85546875" style="112" customWidth="1"/>
    <col min="545" max="545" width="14.5703125" style="112" customWidth="1"/>
    <col min="546" max="547" width="14.28515625" style="112" customWidth="1"/>
    <col min="548" max="548" width="14.5703125" style="112" customWidth="1"/>
    <col min="549" max="549" width="14.28515625" style="112" customWidth="1"/>
    <col min="550" max="550" width="12.5703125" style="112" customWidth="1"/>
    <col min="551" max="551" width="11" style="112" customWidth="1"/>
    <col min="552" max="768" width="9.140625" style="112"/>
    <col min="769" max="769" width="3.5703125" style="112" customWidth="1"/>
    <col min="770" max="770" width="13.85546875" style="112" customWidth="1"/>
    <col min="771" max="771" width="15.5703125" style="112" customWidth="1"/>
    <col min="772" max="772" width="15.7109375" style="112" customWidth="1"/>
    <col min="773" max="773" width="15.42578125" style="112" customWidth="1"/>
    <col min="774" max="774" width="14" style="112" customWidth="1"/>
    <col min="775" max="776" width="13.85546875" style="112" customWidth="1"/>
    <col min="777" max="777" width="12.42578125" style="112" customWidth="1"/>
    <col min="778" max="778" width="13.85546875" style="112" customWidth="1"/>
    <col min="779" max="779" width="16.7109375" style="112" customWidth="1"/>
    <col min="780" max="781" width="14.28515625" style="112" customWidth="1"/>
    <col min="782" max="782" width="14" style="112" customWidth="1"/>
    <col min="783" max="783" width="15.28515625" style="112" customWidth="1"/>
    <col min="784" max="784" width="15.5703125" style="112" customWidth="1"/>
    <col min="785" max="785" width="15.140625" style="112" customWidth="1"/>
    <col min="786" max="786" width="13.5703125" style="112" customWidth="1"/>
    <col min="787" max="788" width="14" style="112" customWidth="1"/>
    <col min="789" max="790" width="14.140625" style="112" customWidth="1"/>
    <col min="791" max="791" width="14.28515625" style="112" customWidth="1"/>
    <col min="792" max="792" width="12.140625" style="112" customWidth="1"/>
    <col min="793" max="793" width="14.5703125" style="112" customWidth="1"/>
    <col min="794" max="794" width="14.7109375" style="112" customWidth="1"/>
    <col min="795" max="795" width="13" style="112" customWidth="1"/>
    <col min="796" max="796" width="14.5703125" style="112" customWidth="1"/>
    <col min="797" max="797" width="12.28515625" style="112" customWidth="1"/>
    <col min="798" max="798" width="15.28515625" style="112" customWidth="1"/>
    <col min="799" max="799" width="12.85546875" style="112" customWidth="1"/>
    <col min="800" max="800" width="13.85546875" style="112" customWidth="1"/>
    <col min="801" max="801" width="14.5703125" style="112" customWidth="1"/>
    <col min="802" max="803" width="14.28515625" style="112" customWidth="1"/>
    <col min="804" max="804" width="14.5703125" style="112" customWidth="1"/>
    <col min="805" max="805" width="14.28515625" style="112" customWidth="1"/>
    <col min="806" max="806" width="12.5703125" style="112" customWidth="1"/>
    <col min="807" max="807" width="11" style="112" customWidth="1"/>
    <col min="808" max="1024" width="9.140625" style="112"/>
    <col min="1025" max="1025" width="3.5703125" style="112" customWidth="1"/>
    <col min="1026" max="1026" width="13.85546875" style="112" customWidth="1"/>
    <col min="1027" max="1027" width="15.5703125" style="112" customWidth="1"/>
    <col min="1028" max="1028" width="15.7109375" style="112" customWidth="1"/>
    <col min="1029" max="1029" width="15.42578125" style="112" customWidth="1"/>
    <col min="1030" max="1030" width="14" style="112" customWidth="1"/>
    <col min="1031" max="1032" width="13.85546875" style="112" customWidth="1"/>
    <col min="1033" max="1033" width="12.42578125" style="112" customWidth="1"/>
    <col min="1034" max="1034" width="13.85546875" style="112" customWidth="1"/>
    <col min="1035" max="1035" width="16.7109375" style="112" customWidth="1"/>
    <col min="1036" max="1037" width="14.28515625" style="112" customWidth="1"/>
    <col min="1038" max="1038" width="14" style="112" customWidth="1"/>
    <col min="1039" max="1039" width="15.28515625" style="112" customWidth="1"/>
    <col min="1040" max="1040" width="15.5703125" style="112" customWidth="1"/>
    <col min="1041" max="1041" width="15.140625" style="112" customWidth="1"/>
    <col min="1042" max="1042" width="13.5703125" style="112" customWidth="1"/>
    <col min="1043" max="1044" width="14" style="112" customWidth="1"/>
    <col min="1045" max="1046" width="14.140625" style="112" customWidth="1"/>
    <col min="1047" max="1047" width="14.28515625" style="112" customWidth="1"/>
    <col min="1048" max="1048" width="12.140625" style="112" customWidth="1"/>
    <col min="1049" max="1049" width="14.5703125" style="112" customWidth="1"/>
    <col min="1050" max="1050" width="14.7109375" style="112" customWidth="1"/>
    <col min="1051" max="1051" width="13" style="112" customWidth="1"/>
    <col min="1052" max="1052" width="14.5703125" style="112" customWidth="1"/>
    <col min="1053" max="1053" width="12.28515625" style="112" customWidth="1"/>
    <col min="1054" max="1054" width="15.28515625" style="112" customWidth="1"/>
    <col min="1055" max="1055" width="12.85546875" style="112" customWidth="1"/>
    <col min="1056" max="1056" width="13.85546875" style="112" customWidth="1"/>
    <col min="1057" max="1057" width="14.5703125" style="112" customWidth="1"/>
    <col min="1058" max="1059" width="14.28515625" style="112" customWidth="1"/>
    <col min="1060" max="1060" width="14.5703125" style="112" customWidth="1"/>
    <col min="1061" max="1061" width="14.28515625" style="112" customWidth="1"/>
    <col min="1062" max="1062" width="12.5703125" style="112" customWidth="1"/>
    <col min="1063" max="1063" width="11" style="112" customWidth="1"/>
    <col min="1064" max="1280" width="9.140625" style="112"/>
    <col min="1281" max="1281" width="3.5703125" style="112" customWidth="1"/>
    <col min="1282" max="1282" width="13.85546875" style="112" customWidth="1"/>
    <col min="1283" max="1283" width="15.5703125" style="112" customWidth="1"/>
    <col min="1284" max="1284" width="15.7109375" style="112" customWidth="1"/>
    <col min="1285" max="1285" width="15.42578125" style="112" customWidth="1"/>
    <col min="1286" max="1286" width="14" style="112" customWidth="1"/>
    <col min="1287" max="1288" width="13.85546875" style="112" customWidth="1"/>
    <col min="1289" max="1289" width="12.42578125" style="112" customWidth="1"/>
    <col min="1290" max="1290" width="13.85546875" style="112" customWidth="1"/>
    <col min="1291" max="1291" width="16.7109375" style="112" customWidth="1"/>
    <col min="1292" max="1293" width="14.28515625" style="112" customWidth="1"/>
    <col min="1294" max="1294" width="14" style="112" customWidth="1"/>
    <col min="1295" max="1295" width="15.28515625" style="112" customWidth="1"/>
    <col min="1296" max="1296" width="15.5703125" style="112" customWidth="1"/>
    <col min="1297" max="1297" width="15.140625" style="112" customWidth="1"/>
    <col min="1298" max="1298" width="13.5703125" style="112" customWidth="1"/>
    <col min="1299" max="1300" width="14" style="112" customWidth="1"/>
    <col min="1301" max="1302" width="14.140625" style="112" customWidth="1"/>
    <col min="1303" max="1303" width="14.28515625" style="112" customWidth="1"/>
    <col min="1304" max="1304" width="12.140625" style="112" customWidth="1"/>
    <col min="1305" max="1305" width="14.5703125" style="112" customWidth="1"/>
    <col min="1306" max="1306" width="14.7109375" style="112" customWidth="1"/>
    <col min="1307" max="1307" width="13" style="112" customWidth="1"/>
    <col min="1308" max="1308" width="14.5703125" style="112" customWidth="1"/>
    <col min="1309" max="1309" width="12.28515625" style="112" customWidth="1"/>
    <col min="1310" max="1310" width="15.28515625" style="112" customWidth="1"/>
    <col min="1311" max="1311" width="12.85546875" style="112" customWidth="1"/>
    <col min="1312" max="1312" width="13.85546875" style="112" customWidth="1"/>
    <col min="1313" max="1313" width="14.5703125" style="112" customWidth="1"/>
    <col min="1314" max="1315" width="14.28515625" style="112" customWidth="1"/>
    <col min="1316" max="1316" width="14.5703125" style="112" customWidth="1"/>
    <col min="1317" max="1317" width="14.28515625" style="112" customWidth="1"/>
    <col min="1318" max="1318" width="12.5703125" style="112" customWidth="1"/>
    <col min="1319" max="1319" width="11" style="112" customWidth="1"/>
    <col min="1320" max="1536" width="9.140625" style="112"/>
    <col min="1537" max="1537" width="3.5703125" style="112" customWidth="1"/>
    <col min="1538" max="1538" width="13.85546875" style="112" customWidth="1"/>
    <col min="1539" max="1539" width="15.5703125" style="112" customWidth="1"/>
    <col min="1540" max="1540" width="15.7109375" style="112" customWidth="1"/>
    <col min="1541" max="1541" width="15.42578125" style="112" customWidth="1"/>
    <col min="1542" max="1542" width="14" style="112" customWidth="1"/>
    <col min="1543" max="1544" width="13.85546875" style="112" customWidth="1"/>
    <col min="1545" max="1545" width="12.42578125" style="112" customWidth="1"/>
    <col min="1546" max="1546" width="13.85546875" style="112" customWidth="1"/>
    <col min="1547" max="1547" width="16.7109375" style="112" customWidth="1"/>
    <col min="1548" max="1549" width="14.28515625" style="112" customWidth="1"/>
    <col min="1550" max="1550" width="14" style="112" customWidth="1"/>
    <col min="1551" max="1551" width="15.28515625" style="112" customWidth="1"/>
    <col min="1552" max="1552" width="15.5703125" style="112" customWidth="1"/>
    <col min="1553" max="1553" width="15.140625" style="112" customWidth="1"/>
    <col min="1554" max="1554" width="13.5703125" style="112" customWidth="1"/>
    <col min="1555" max="1556" width="14" style="112" customWidth="1"/>
    <col min="1557" max="1558" width="14.140625" style="112" customWidth="1"/>
    <col min="1559" max="1559" width="14.28515625" style="112" customWidth="1"/>
    <col min="1560" max="1560" width="12.140625" style="112" customWidth="1"/>
    <col min="1561" max="1561" width="14.5703125" style="112" customWidth="1"/>
    <col min="1562" max="1562" width="14.7109375" style="112" customWidth="1"/>
    <col min="1563" max="1563" width="13" style="112" customWidth="1"/>
    <col min="1564" max="1564" width="14.5703125" style="112" customWidth="1"/>
    <col min="1565" max="1565" width="12.28515625" style="112" customWidth="1"/>
    <col min="1566" max="1566" width="15.28515625" style="112" customWidth="1"/>
    <col min="1567" max="1567" width="12.85546875" style="112" customWidth="1"/>
    <col min="1568" max="1568" width="13.85546875" style="112" customWidth="1"/>
    <col min="1569" max="1569" width="14.5703125" style="112" customWidth="1"/>
    <col min="1570" max="1571" width="14.28515625" style="112" customWidth="1"/>
    <col min="1572" max="1572" width="14.5703125" style="112" customWidth="1"/>
    <col min="1573" max="1573" width="14.28515625" style="112" customWidth="1"/>
    <col min="1574" max="1574" width="12.5703125" style="112" customWidth="1"/>
    <col min="1575" max="1575" width="11" style="112" customWidth="1"/>
    <col min="1576" max="1792" width="9.140625" style="112"/>
    <col min="1793" max="1793" width="3.5703125" style="112" customWidth="1"/>
    <col min="1794" max="1794" width="13.85546875" style="112" customWidth="1"/>
    <col min="1795" max="1795" width="15.5703125" style="112" customWidth="1"/>
    <col min="1796" max="1796" width="15.7109375" style="112" customWidth="1"/>
    <col min="1797" max="1797" width="15.42578125" style="112" customWidth="1"/>
    <col min="1798" max="1798" width="14" style="112" customWidth="1"/>
    <col min="1799" max="1800" width="13.85546875" style="112" customWidth="1"/>
    <col min="1801" max="1801" width="12.42578125" style="112" customWidth="1"/>
    <col min="1802" max="1802" width="13.85546875" style="112" customWidth="1"/>
    <col min="1803" max="1803" width="16.7109375" style="112" customWidth="1"/>
    <col min="1804" max="1805" width="14.28515625" style="112" customWidth="1"/>
    <col min="1806" max="1806" width="14" style="112" customWidth="1"/>
    <col min="1807" max="1807" width="15.28515625" style="112" customWidth="1"/>
    <col min="1808" max="1808" width="15.5703125" style="112" customWidth="1"/>
    <col min="1809" max="1809" width="15.140625" style="112" customWidth="1"/>
    <col min="1810" max="1810" width="13.5703125" style="112" customWidth="1"/>
    <col min="1811" max="1812" width="14" style="112" customWidth="1"/>
    <col min="1813" max="1814" width="14.140625" style="112" customWidth="1"/>
    <col min="1815" max="1815" width="14.28515625" style="112" customWidth="1"/>
    <col min="1816" max="1816" width="12.140625" style="112" customWidth="1"/>
    <col min="1817" max="1817" width="14.5703125" style="112" customWidth="1"/>
    <col min="1818" max="1818" width="14.7109375" style="112" customWidth="1"/>
    <col min="1819" max="1819" width="13" style="112" customWidth="1"/>
    <col min="1820" max="1820" width="14.5703125" style="112" customWidth="1"/>
    <col min="1821" max="1821" width="12.28515625" style="112" customWidth="1"/>
    <col min="1822" max="1822" width="15.28515625" style="112" customWidth="1"/>
    <col min="1823" max="1823" width="12.85546875" style="112" customWidth="1"/>
    <col min="1824" max="1824" width="13.85546875" style="112" customWidth="1"/>
    <col min="1825" max="1825" width="14.5703125" style="112" customWidth="1"/>
    <col min="1826" max="1827" width="14.28515625" style="112" customWidth="1"/>
    <col min="1828" max="1828" width="14.5703125" style="112" customWidth="1"/>
    <col min="1829" max="1829" width="14.28515625" style="112" customWidth="1"/>
    <col min="1830" max="1830" width="12.5703125" style="112" customWidth="1"/>
    <col min="1831" max="1831" width="11" style="112" customWidth="1"/>
    <col min="1832" max="2048" width="9.140625" style="112"/>
    <col min="2049" max="2049" width="3.5703125" style="112" customWidth="1"/>
    <col min="2050" max="2050" width="13.85546875" style="112" customWidth="1"/>
    <col min="2051" max="2051" width="15.5703125" style="112" customWidth="1"/>
    <col min="2052" max="2052" width="15.7109375" style="112" customWidth="1"/>
    <col min="2053" max="2053" width="15.42578125" style="112" customWidth="1"/>
    <col min="2054" max="2054" width="14" style="112" customWidth="1"/>
    <col min="2055" max="2056" width="13.85546875" style="112" customWidth="1"/>
    <col min="2057" max="2057" width="12.42578125" style="112" customWidth="1"/>
    <col min="2058" max="2058" width="13.85546875" style="112" customWidth="1"/>
    <col min="2059" max="2059" width="16.7109375" style="112" customWidth="1"/>
    <col min="2060" max="2061" width="14.28515625" style="112" customWidth="1"/>
    <col min="2062" max="2062" width="14" style="112" customWidth="1"/>
    <col min="2063" max="2063" width="15.28515625" style="112" customWidth="1"/>
    <col min="2064" max="2064" width="15.5703125" style="112" customWidth="1"/>
    <col min="2065" max="2065" width="15.140625" style="112" customWidth="1"/>
    <col min="2066" max="2066" width="13.5703125" style="112" customWidth="1"/>
    <col min="2067" max="2068" width="14" style="112" customWidth="1"/>
    <col min="2069" max="2070" width="14.140625" style="112" customWidth="1"/>
    <col min="2071" max="2071" width="14.28515625" style="112" customWidth="1"/>
    <col min="2072" max="2072" width="12.140625" style="112" customWidth="1"/>
    <col min="2073" max="2073" width="14.5703125" style="112" customWidth="1"/>
    <col min="2074" max="2074" width="14.7109375" style="112" customWidth="1"/>
    <col min="2075" max="2075" width="13" style="112" customWidth="1"/>
    <col min="2076" max="2076" width="14.5703125" style="112" customWidth="1"/>
    <col min="2077" max="2077" width="12.28515625" style="112" customWidth="1"/>
    <col min="2078" max="2078" width="15.28515625" style="112" customWidth="1"/>
    <col min="2079" max="2079" width="12.85546875" style="112" customWidth="1"/>
    <col min="2080" max="2080" width="13.85546875" style="112" customWidth="1"/>
    <col min="2081" max="2081" width="14.5703125" style="112" customWidth="1"/>
    <col min="2082" max="2083" width="14.28515625" style="112" customWidth="1"/>
    <col min="2084" max="2084" width="14.5703125" style="112" customWidth="1"/>
    <col min="2085" max="2085" width="14.28515625" style="112" customWidth="1"/>
    <col min="2086" max="2086" width="12.5703125" style="112" customWidth="1"/>
    <col min="2087" max="2087" width="11" style="112" customWidth="1"/>
    <col min="2088" max="2304" width="9.140625" style="112"/>
    <col min="2305" max="2305" width="3.5703125" style="112" customWidth="1"/>
    <col min="2306" max="2306" width="13.85546875" style="112" customWidth="1"/>
    <col min="2307" max="2307" width="15.5703125" style="112" customWidth="1"/>
    <col min="2308" max="2308" width="15.7109375" style="112" customWidth="1"/>
    <col min="2309" max="2309" width="15.42578125" style="112" customWidth="1"/>
    <col min="2310" max="2310" width="14" style="112" customWidth="1"/>
    <col min="2311" max="2312" width="13.85546875" style="112" customWidth="1"/>
    <col min="2313" max="2313" width="12.42578125" style="112" customWidth="1"/>
    <col min="2314" max="2314" width="13.85546875" style="112" customWidth="1"/>
    <col min="2315" max="2315" width="16.7109375" style="112" customWidth="1"/>
    <col min="2316" max="2317" width="14.28515625" style="112" customWidth="1"/>
    <col min="2318" max="2318" width="14" style="112" customWidth="1"/>
    <col min="2319" max="2319" width="15.28515625" style="112" customWidth="1"/>
    <col min="2320" max="2320" width="15.5703125" style="112" customWidth="1"/>
    <col min="2321" max="2321" width="15.140625" style="112" customWidth="1"/>
    <col min="2322" max="2322" width="13.5703125" style="112" customWidth="1"/>
    <col min="2323" max="2324" width="14" style="112" customWidth="1"/>
    <col min="2325" max="2326" width="14.140625" style="112" customWidth="1"/>
    <col min="2327" max="2327" width="14.28515625" style="112" customWidth="1"/>
    <col min="2328" max="2328" width="12.140625" style="112" customWidth="1"/>
    <col min="2329" max="2329" width="14.5703125" style="112" customWidth="1"/>
    <col min="2330" max="2330" width="14.7109375" style="112" customWidth="1"/>
    <col min="2331" max="2331" width="13" style="112" customWidth="1"/>
    <col min="2332" max="2332" width="14.5703125" style="112" customWidth="1"/>
    <col min="2333" max="2333" width="12.28515625" style="112" customWidth="1"/>
    <col min="2334" max="2334" width="15.28515625" style="112" customWidth="1"/>
    <col min="2335" max="2335" width="12.85546875" style="112" customWidth="1"/>
    <col min="2336" max="2336" width="13.85546875" style="112" customWidth="1"/>
    <col min="2337" max="2337" width="14.5703125" style="112" customWidth="1"/>
    <col min="2338" max="2339" width="14.28515625" style="112" customWidth="1"/>
    <col min="2340" max="2340" width="14.5703125" style="112" customWidth="1"/>
    <col min="2341" max="2341" width="14.28515625" style="112" customWidth="1"/>
    <col min="2342" max="2342" width="12.5703125" style="112" customWidth="1"/>
    <col min="2343" max="2343" width="11" style="112" customWidth="1"/>
    <col min="2344" max="2560" width="9.140625" style="112"/>
    <col min="2561" max="2561" width="3.5703125" style="112" customWidth="1"/>
    <col min="2562" max="2562" width="13.85546875" style="112" customWidth="1"/>
    <col min="2563" max="2563" width="15.5703125" style="112" customWidth="1"/>
    <col min="2564" max="2564" width="15.7109375" style="112" customWidth="1"/>
    <col min="2565" max="2565" width="15.42578125" style="112" customWidth="1"/>
    <col min="2566" max="2566" width="14" style="112" customWidth="1"/>
    <col min="2567" max="2568" width="13.85546875" style="112" customWidth="1"/>
    <col min="2569" max="2569" width="12.42578125" style="112" customWidth="1"/>
    <col min="2570" max="2570" width="13.85546875" style="112" customWidth="1"/>
    <col min="2571" max="2571" width="16.7109375" style="112" customWidth="1"/>
    <col min="2572" max="2573" width="14.28515625" style="112" customWidth="1"/>
    <col min="2574" max="2574" width="14" style="112" customWidth="1"/>
    <col min="2575" max="2575" width="15.28515625" style="112" customWidth="1"/>
    <col min="2576" max="2576" width="15.5703125" style="112" customWidth="1"/>
    <col min="2577" max="2577" width="15.140625" style="112" customWidth="1"/>
    <col min="2578" max="2578" width="13.5703125" style="112" customWidth="1"/>
    <col min="2579" max="2580" width="14" style="112" customWidth="1"/>
    <col min="2581" max="2582" width="14.140625" style="112" customWidth="1"/>
    <col min="2583" max="2583" width="14.28515625" style="112" customWidth="1"/>
    <col min="2584" max="2584" width="12.140625" style="112" customWidth="1"/>
    <col min="2585" max="2585" width="14.5703125" style="112" customWidth="1"/>
    <col min="2586" max="2586" width="14.7109375" style="112" customWidth="1"/>
    <col min="2587" max="2587" width="13" style="112" customWidth="1"/>
    <col min="2588" max="2588" width="14.5703125" style="112" customWidth="1"/>
    <col min="2589" max="2589" width="12.28515625" style="112" customWidth="1"/>
    <col min="2590" max="2590" width="15.28515625" style="112" customWidth="1"/>
    <col min="2591" max="2591" width="12.85546875" style="112" customWidth="1"/>
    <col min="2592" max="2592" width="13.85546875" style="112" customWidth="1"/>
    <col min="2593" max="2593" width="14.5703125" style="112" customWidth="1"/>
    <col min="2594" max="2595" width="14.28515625" style="112" customWidth="1"/>
    <col min="2596" max="2596" width="14.5703125" style="112" customWidth="1"/>
    <col min="2597" max="2597" width="14.28515625" style="112" customWidth="1"/>
    <col min="2598" max="2598" width="12.5703125" style="112" customWidth="1"/>
    <col min="2599" max="2599" width="11" style="112" customWidth="1"/>
    <col min="2600" max="2816" width="9.140625" style="112"/>
    <col min="2817" max="2817" width="3.5703125" style="112" customWidth="1"/>
    <col min="2818" max="2818" width="13.85546875" style="112" customWidth="1"/>
    <col min="2819" max="2819" width="15.5703125" style="112" customWidth="1"/>
    <col min="2820" max="2820" width="15.7109375" style="112" customWidth="1"/>
    <col min="2821" max="2821" width="15.42578125" style="112" customWidth="1"/>
    <col min="2822" max="2822" width="14" style="112" customWidth="1"/>
    <col min="2823" max="2824" width="13.85546875" style="112" customWidth="1"/>
    <col min="2825" max="2825" width="12.42578125" style="112" customWidth="1"/>
    <col min="2826" max="2826" width="13.85546875" style="112" customWidth="1"/>
    <col min="2827" max="2827" width="16.7109375" style="112" customWidth="1"/>
    <col min="2828" max="2829" width="14.28515625" style="112" customWidth="1"/>
    <col min="2830" max="2830" width="14" style="112" customWidth="1"/>
    <col min="2831" max="2831" width="15.28515625" style="112" customWidth="1"/>
    <col min="2832" max="2832" width="15.5703125" style="112" customWidth="1"/>
    <col min="2833" max="2833" width="15.140625" style="112" customWidth="1"/>
    <col min="2834" max="2834" width="13.5703125" style="112" customWidth="1"/>
    <col min="2835" max="2836" width="14" style="112" customWidth="1"/>
    <col min="2837" max="2838" width="14.140625" style="112" customWidth="1"/>
    <col min="2839" max="2839" width="14.28515625" style="112" customWidth="1"/>
    <col min="2840" max="2840" width="12.140625" style="112" customWidth="1"/>
    <col min="2841" max="2841" width="14.5703125" style="112" customWidth="1"/>
    <col min="2842" max="2842" width="14.7109375" style="112" customWidth="1"/>
    <col min="2843" max="2843" width="13" style="112" customWidth="1"/>
    <col min="2844" max="2844" width="14.5703125" style="112" customWidth="1"/>
    <col min="2845" max="2845" width="12.28515625" style="112" customWidth="1"/>
    <col min="2846" max="2846" width="15.28515625" style="112" customWidth="1"/>
    <col min="2847" max="2847" width="12.85546875" style="112" customWidth="1"/>
    <col min="2848" max="2848" width="13.85546875" style="112" customWidth="1"/>
    <col min="2849" max="2849" width="14.5703125" style="112" customWidth="1"/>
    <col min="2850" max="2851" width="14.28515625" style="112" customWidth="1"/>
    <col min="2852" max="2852" width="14.5703125" style="112" customWidth="1"/>
    <col min="2853" max="2853" width="14.28515625" style="112" customWidth="1"/>
    <col min="2854" max="2854" width="12.5703125" style="112" customWidth="1"/>
    <col min="2855" max="2855" width="11" style="112" customWidth="1"/>
    <col min="2856" max="3072" width="9.140625" style="112"/>
    <col min="3073" max="3073" width="3.5703125" style="112" customWidth="1"/>
    <col min="3074" max="3074" width="13.85546875" style="112" customWidth="1"/>
    <col min="3075" max="3075" width="15.5703125" style="112" customWidth="1"/>
    <col min="3076" max="3076" width="15.7109375" style="112" customWidth="1"/>
    <col min="3077" max="3077" width="15.42578125" style="112" customWidth="1"/>
    <col min="3078" max="3078" width="14" style="112" customWidth="1"/>
    <col min="3079" max="3080" width="13.85546875" style="112" customWidth="1"/>
    <col min="3081" max="3081" width="12.42578125" style="112" customWidth="1"/>
    <col min="3082" max="3082" width="13.85546875" style="112" customWidth="1"/>
    <col min="3083" max="3083" width="16.7109375" style="112" customWidth="1"/>
    <col min="3084" max="3085" width="14.28515625" style="112" customWidth="1"/>
    <col min="3086" max="3086" width="14" style="112" customWidth="1"/>
    <col min="3087" max="3087" width="15.28515625" style="112" customWidth="1"/>
    <col min="3088" max="3088" width="15.5703125" style="112" customWidth="1"/>
    <col min="3089" max="3089" width="15.140625" style="112" customWidth="1"/>
    <col min="3090" max="3090" width="13.5703125" style="112" customWidth="1"/>
    <col min="3091" max="3092" width="14" style="112" customWidth="1"/>
    <col min="3093" max="3094" width="14.140625" style="112" customWidth="1"/>
    <col min="3095" max="3095" width="14.28515625" style="112" customWidth="1"/>
    <col min="3096" max="3096" width="12.140625" style="112" customWidth="1"/>
    <col min="3097" max="3097" width="14.5703125" style="112" customWidth="1"/>
    <col min="3098" max="3098" width="14.7109375" style="112" customWidth="1"/>
    <col min="3099" max="3099" width="13" style="112" customWidth="1"/>
    <col min="3100" max="3100" width="14.5703125" style="112" customWidth="1"/>
    <col min="3101" max="3101" width="12.28515625" style="112" customWidth="1"/>
    <col min="3102" max="3102" width="15.28515625" style="112" customWidth="1"/>
    <col min="3103" max="3103" width="12.85546875" style="112" customWidth="1"/>
    <col min="3104" max="3104" width="13.85546875" style="112" customWidth="1"/>
    <col min="3105" max="3105" width="14.5703125" style="112" customWidth="1"/>
    <col min="3106" max="3107" width="14.28515625" style="112" customWidth="1"/>
    <col min="3108" max="3108" width="14.5703125" style="112" customWidth="1"/>
    <col min="3109" max="3109" width="14.28515625" style="112" customWidth="1"/>
    <col min="3110" max="3110" width="12.5703125" style="112" customWidth="1"/>
    <col min="3111" max="3111" width="11" style="112" customWidth="1"/>
    <col min="3112" max="3328" width="9.140625" style="112"/>
    <col min="3329" max="3329" width="3.5703125" style="112" customWidth="1"/>
    <col min="3330" max="3330" width="13.85546875" style="112" customWidth="1"/>
    <col min="3331" max="3331" width="15.5703125" style="112" customWidth="1"/>
    <col min="3332" max="3332" width="15.7109375" style="112" customWidth="1"/>
    <col min="3333" max="3333" width="15.42578125" style="112" customWidth="1"/>
    <col min="3334" max="3334" width="14" style="112" customWidth="1"/>
    <col min="3335" max="3336" width="13.85546875" style="112" customWidth="1"/>
    <col min="3337" max="3337" width="12.42578125" style="112" customWidth="1"/>
    <col min="3338" max="3338" width="13.85546875" style="112" customWidth="1"/>
    <col min="3339" max="3339" width="16.7109375" style="112" customWidth="1"/>
    <col min="3340" max="3341" width="14.28515625" style="112" customWidth="1"/>
    <col min="3342" max="3342" width="14" style="112" customWidth="1"/>
    <col min="3343" max="3343" width="15.28515625" style="112" customWidth="1"/>
    <col min="3344" max="3344" width="15.5703125" style="112" customWidth="1"/>
    <col min="3345" max="3345" width="15.140625" style="112" customWidth="1"/>
    <col min="3346" max="3346" width="13.5703125" style="112" customWidth="1"/>
    <col min="3347" max="3348" width="14" style="112" customWidth="1"/>
    <col min="3349" max="3350" width="14.140625" style="112" customWidth="1"/>
    <col min="3351" max="3351" width="14.28515625" style="112" customWidth="1"/>
    <col min="3352" max="3352" width="12.140625" style="112" customWidth="1"/>
    <col min="3353" max="3353" width="14.5703125" style="112" customWidth="1"/>
    <col min="3354" max="3354" width="14.7109375" style="112" customWidth="1"/>
    <col min="3355" max="3355" width="13" style="112" customWidth="1"/>
    <col min="3356" max="3356" width="14.5703125" style="112" customWidth="1"/>
    <col min="3357" max="3357" width="12.28515625" style="112" customWidth="1"/>
    <col min="3358" max="3358" width="15.28515625" style="112" customWidth="1"/>
    <col min="3359" max="3359" width="12.85546875" style="112" customWidth="1"/>
    <col min="3360" max="3360" width="13.85546875" style="112" customWidth="1"/>
    <col min="3361" max="3361" width="14.5703125" style="112" customWidth="1"/>
    <col min="3362" max="3363" width="14.28515625" style="112" customWidth="1"/>
    <col min="3364" max="3364" width="14.5703125" style="112" customWidth="1"/>
    <col min="3365" max="3365" width="14.28515625" style="112" customWidth="1"/>
    <col min="3366" max="3366" width="12.5703125" style="112" customWidth="1"/>
    <col min="3367" max="3367" width="11" style="112" customWidth="1"/>
    <col min="3368" max="3584" width="9.140625" style="112"/>
    <col min="3585" max="3585" width="3.5703125" style="112" customWidth="1"/>
    <col min="3586" max="3586" width="13.85546875" style="112" customWidth="1"/>
    <col min="3587" max="3587" width="15.5703125" style="112" customWidth="1"/>
    <col min="3588" max="3588" width="15.7109375" style="112" customWidth="1"/>
    <col min="3589" max="3589" width="15.42578125" style="112" customWidth="1"/>
    <col min="3590" max="3590" width="14" style="112" customWidth="1"/>
    <col min="3591" max="3592" width="13.85546875" style="112" customWidth="1"/>
    <col min="3593" max="3593" width="12.42578125" style="112" customWidth="1"/>
    <col min="3594" max="3594" width="13.85546875" style="112" customWidth="1"/>
    <col min="3595" max="3595" width="16.7109375" style="112" customWidth="1"/>
    <col min="3596" max="3597" width="14.28515625" style="112" customWidth="1"/>
    <col min="3598" max="3598" width="14" style="112" customWidth="1"/>
    <col min="3599" max="3599" width="15.28515625" style="112" customWidth="1"/>
    <col min="3600" max="3600" width="15.5703125" style="112" customWidth="1"/>
    <col min="3601" max="3601" width="15.140625" style="112" customWidth="1"/>
    <col min="3602" max="3602" width="13.5703125" style="112" customWidth="1"/>
    <col min="3603" max="3604" width="14" style="112" customWidth="1"/>
    <col min="3605" max="3606" width="14.140625" style="112" customWidth="1"/>
    <col min="3607" max="3607" width="14.28515625" style="112" customWidth="1"/>
    <col min="3608" max="3608" width="12.140625" style="112" customWidth="1"/>
    <col min="3609" max="3609" width="14.5703125" style="112" customWidth="1"/>
    <col min="3610" max="3610" width="14.7109375" style="112" customWidth="1"/>
    <col min="3611" max="3611" width="13" style="112" customWidth="1"/>
    <col min="3612" max="3612" width="14.5703125" style="112" customWidth="1"/>
    <col min="3613" max="3613" width="12.28515625" style="112" customWidth="1"/>
    <col min="3614" max="3614" width="15.28515625" style="112" customWidth="1"/>
    <col min="3615" max="3615" width="12.85546875" style="112" customWidth="1"/>
    <col min="3616" max="3616" width="13.85546875" style="112" customWidth="1"/>
    <col min="3617" max="3617" width="14.5703125" style="112" customWidth="1"/>
    <col min="3618" max="3619" width="14.28515625" style="112" customWidth="1"/>
    <col min="3620" max="3620" width="14.5703125" style="112" customWidth="1"/>
    <col min="3621" max="3621" width="14.28515625" style="112" customWidth="1"/>
    <col min="3622" max="3622" width="12.5703125" style="112" customWidth="1"/>
    <col min="3623" max="3623" width="11" style="112" customWidth="1"/>
    <col min="3624" max="3840" width="9.140625" style="112"/>
    <col min="3841" max="3841" width="3.5703125" style="112" customWidth="1"/>
    <col min="3842" max="3842" width="13.85546875" style="112" customWidth="1"/>
    <col min="3843" max="3843" width="15.5703125" style="112" customWidth="1"/>
    <col min="3844" max="3844" width="15.7109375" style="112" customWidth="1"/>
    <col min="3845" max="3845" width="15.42578125" style="112" customWidth="1"/>
    <col min="3846" max="3846" width="14" style="112" customWidth="1"/>
    <col min="3847" max="3848" width="13.85546875" style="112" customWidth="1"/>
    <col min="3849" max="3849" width="12.42578125" style="112" customWidth="1"/>
    <col min="3850" max="3850" width="13.85546875" style="112" customWidth="1"/>
    <col min="3851" max="3851" width="16.7109375" style="112" customWidth="1"/>
    <col min="3852" max="3853" width="14.28515625" style="112" customWidth="1"/>
    <col min="3854" max="3854" width="14" style="112" customWidth="1"/>
    <col min="3855" max="3855" width="15.28515625" style="112" customWidth="1"/>
    <col min="3856" max="3856" width="15.5703125" style="112" customWidth="1"/>
    <col min="3857" max="3857" width="15.140625" style="112" customWidth="1"/>
    <col min="3858" max="3858" width="13.5703125" style="112" customWidth="1"/>
    <col min="3859" max="3860" width="14" style="112" customWidth="1"/>
    <col min="3861" max="3862" width="14.140625" style="112" customWidth="1"/>
    <col min="3863" max="3863" width="14.28515625" style="112" customWidth="1"/>
    <col min="3864" max="3864" width="12.140625" style="112" customWidth="1"/>
    <col min="3865" max="3865" width="14.5703125" style="112" customWidth="1"/>
    <col min="3866" max="3866" width="14.7109375" style="112" customWidth="1"/>
    <col min="3867" max="3867" width="13" style="112" customWidth="1"/>
    <col min="3868" max="3868" width="14.5703125" style="112" customWidth="1"/>
    <col min="3869" max="3869" width="12.28515625" style="112" customWidth="1"/>
    <col min="3870" max="3870" width="15.28515625" style="112" customWidth="1"/>
    <col min="3871" max="3871" width="12.85546875" style="112" customWidth="1"/>
    <col min="3872" max="3872" width="13.85546875" style="112" customWidth="1"/>
    <col min="3873" max="3873" width="14.5703125" style="112" customWidth="1"/>
    <col min="3874" max="3875" width="14.28515625" style="112" customWidth="1"/>
    <col min="3876" max="3876" width="14.5703125" style="112" customWidth="1"/>
    <col min="3877" max="3877" width="14.28515625" style="112" customWidth="1"/>
    <col min="3878" max="3878" width="12.5703125" style="112" customWidth="1"/>
    <col min="3879" max="3879" width="11" style="112" customWidth="1"/>
    <col min="3880" max="4096" width="9.140625" style="112"/>
    <col min="4097" max="4097" width="3.5703125" style="112" customWidth="1"/>
    <col min="4098" max="4098" width="13.85546875" style="112" customWidth="1"/>
    <col min="4099" max="4099" width="15.5703125" style="112" customWidth="1"/>
    <col min="4100" max="4100" width="15.7109375" style="112" customWidth="1"/>
    <col min="4101" max="4101" width="15.42578125" style="112" customWidth="1"/>
    <col min="4102" max="4102" width="14" style="112" customWidth="1"/>
    <col min="4103" max="4104" width="13.85546875" style="112" customWidth="1"/>
    <col min="4105" max="4105" width="12.42578125" style="112" customWidth="1"/>
    <col min="4106" max="4106" width="13.85546875" style="112" customWidth="1"/>
    <col min="4107" max="4107" width="16.7109375" style="112" customWidth="1"/>
    <col min="4108" max="4109" width="14.28515625" style="112" customWidth="1"/>
    <col min="4110" max="4110" width="14" style="112" customWidth="1"/>
    <col min="4111" max="4111" width="15.28515625" style="112" customWidth="1"/>
    <col min="4112" max="4112" width="15.5703125" style="112" customWidth="1"/>
    <col min="4113" max="4113" width="15.140625" style="112" customWidth="1"/>
    <col min="4114" max="4114" width="13.5703125" style="112" customWidth="1"/>
    <col min="4115" max="4116" width="14" style="112" customWidth="1"/>
    <col min="4117" max="4118" width="14.140625" style="112" customWidth="1"/>
    <col min="4119" max="4119" width="14.28515625" style="112" customWidth="1"/>
    <col min="4120" max="4120" width="12.140625" style="112" customWidth="1"/>
    <col min="4121" max="4121" width="14.5703125" style="112" customWidth="1"/>
    <col min="4122" max="4122" width="14.7109375" style="112" customWidth="1"/>
    <col min="4123" max="4123" width="13" style="112" customWidth="1"/>
    <col min="4124" max="4124" width="14.5703125" style="112" customWidth="1"/>
    <col min="4125" max="4125" width="12.28515625" style="112" customWidth="1"/>
    <col min="4126" max="4126" width="15.28515625" style="112" customWidth="1"/>
    <col min="4127" max="4127" width="12.85546875" style="112" customWidth="1"/>
    <col min="4128" max="4128" width="13.85546875" style="112" customWidth="1"/>
    <col min="4129" max="4129" width="14.5703125" style="112" customWidth="1"/>
    <col min="4130" max="4131" width="14.28515625" style="112" customWidth="1"/>
    <col min="4132" max="4132" width="14.5703125" style="112" customWidth="1"/>
    <col min="4133" max="4133" width="14.28515625" style="112" customWidth="1"/>
    <col min="4134" max="4134" width="12.5703125" style="112" customWidth="1"/>
    <col min="4135" max="4135" width="11" style="112" customWidth="1"/>
    <col min="4136" max="4352" width="9.140625" style="112"/>
    <col min="4353" max="4353" width="3.5703125" style="112" customWidth="1"/>
    <col min="4354" max="4354" width="13.85546875" style="112" customWidth="1"/>
    <col min="4355" max="4355" width="15.5703125" style="112" customWidth="1"/>
    <col min="4356" max="4356" width="15.7109375" style="112" customWidth="1"/>
    <col min="4357" max="4357" width="15.42578125" style="112" customWidth="1"/>
    <col min="4358" max="4358" width="14" style="112" customWidth="1"/>
    <col min="4359" max="4360" width="13.85546875" style="112" customWidth="1"/>
    <col min="4361" max="4361" width="12.42578125" style="112" customWidth="1"/>
    <col min="4362" max="4362" width="13.85546875" style="112" customWidth="1"/>
    <col min="4363" max="4363" width="16.7109375" style="112" customWidth="1"/>
    <col min="4364" max="4365" width="14.28515625" style="112" customWidth="1"/>
    <col min="4366" max="4366" width="14" style="112" customWidth="1"/>
    <col min="4367" max="4367" width="15.28515625" style="112" customWidth="1"/>
    <col min="4368" max="4368" width="15.5703125" style="112" customWidth="1"/>
    <col min="4369" max="4369" width="15.140625" style="112" customWidth="1"/>
    <col min="4370" max="4370" width="13.5703125" style="112" customWidth="1"/>
    <col min="4371" max="4372" width="14" style="112" customWidth="1"/>
    <col min="4373" max="4374" width="14.140625" style="112" customWidth="1"/>
    <col min="4375" max="4375" width="14.28515625" style="112" customWidth="1"/>
    <col min="4376" max="4376" width="12.140625" style="112" customWidth="1"/>
    <col min="4377" max="4377" width="14.5703125" style="112" customWidth="1"/>
    <col min="4378" max="4378" width="14.7109375" style="112" customWidth="1"/>
    <col min="4379" max="4379" width="13" style="112" customWidth="1"/>
    <col min="4380" max="4380" width="14.5703125" style="112" customWidth="1"/>
    <col min="4381" max="4381" width="12.28515625" style="112" customWidth="1"/>
    <col min="4382" max="4382" width="15.28515625" style="112" customWidth="1"/>
    <col min="4383" max="4383" width="12.85546875" style="112" customWidth="1"/>
    <col min="4384" max="4384" width="13.85546875" style="112" customWidth="1"/>
    <col min="4385" max="4385" width="14.5703125" style="112" customWidth="1"/>
    <col min="4386" max="4387" width="14.28515625" style="112" customWidth="1"/>
    <col min="4388" max="4388" width="14.5703125" style="112" customWidth="1"/>
    <col min="4389" max="4389" width="14.28515625" style="112" customWidth="1"/>
    <col min="4390" max="4390" width="12.5703125" style="112" customWidth="1"/>
    <col min="4391" max="4391" width="11" style="112" customWidth="1"/>
    <col min="4392" max="4608" width="9.140625" style="112"/>
    <col min="4609" max="4609" width="3.5703125" style="112" customWidth="1"/>
    <col min="4610" max="4610" width="13.85546875" style="112" customWidth="1"/>
    <col min="4611" max="4611" width="15.5703125" style="112" customWidth="1"/>
    <col min="4612" max="4612" width="15.7109375" style="112" customWidth="1"/>
    <col min="4613" max="4613" width="15.42578125" style="112" customWidth="1"/>
    <col min="4614" max="4614" width="14" style="112" customWidth="1"/>
    <col min="4615" max="4616" width="13.85546875" style="112" customWidth="1"/>
    <col min="4617" max="4617" width="12.42578125" style="112" customWidth="1"/>
    <col min="4618" max="4618" width="13.85546875" style="112" customWidth="1"/>
    <col min="4619" max="4619" width="16.7109375" style="112" customWidth="1"/>
    <col min="4620" max="4621" width="14.28515625" style="112" customWidth="1"/>
    <col min="4622" max="4622" width="14" style="112" customWidth="1"/>
    <col min="4623" max="4623" width="15.28515625" style="112" customWidth="1"/>
    <col min="4624" max="4624" width="15.5703125" style="112" customWidth="1"/>
    <col min="4625" max="4625" width="15.140625" style="112" customWidth="1"/>
    <col min="4626" max="4626" width="13.5703125" style="112" customWidth="1"/>
    <col min="4627" max="4628" width="14" style="112" customWidth="1"/>
    <col min="4629" max="4630" width="14.140625" style="112" customWidth="1"/>
    <col min="4631" max="4631" width="14.28515625" style="112" customWidth="1"/>
    <col min="4632" max="4632" width="12.140625" style="112" customWidth="1"/>
    <col min="4633" max="4633" width="14.5703125" style="112" customWidth="1"/>
    <col min="4634" max="4634" width="14.7109375" style="112" customWidth="1"/>
    <col min="4635" max="4635" width="13" style="112" customWidth="1"/>
    <col min="4636" max="4636" width="14.5703125" style="112" customWidth="1"/>
    <col min="4637" max="4637" width="12.28515625" style="112" customWidth="1"/>
    <col min="4638" max="4638" width="15.28515625" style="112" customWidth="1"/>
    <col min="4639" max="4639" width="12.85546875" style="112" customWidth="1"/>
    <col min="4640" max="4640" width="13.85546875" style="112" customWidth="1"/>
    <col min="4641" max="4641" width="14.5703125" style="112" customWidth="1"/>
    <col min="4642" max="4643" width="14.28515625" style="112" customWidth="1"/>
    <col min="4644" max="4644" width="14.5703125" style="112" customWidth="1"/>
    <col min="4645" max="4645" width="14.28515625" style="112" customWidth="1"/>
    <col min="4646" max="4646" width="12.5703125" style="112" customWidth="1"/>
    <col min="4647" max="4647" width="11" style="112" customWidth="1"/>
    <col min="4648" max="4864" width="9.140625" style="112"/>
    <col min="4865" max="4865" width="3.5703125" style="112" customWidth="1"/>
    <col min="4866" max="4866" width="13.85546875" style="112" customWidth="1"/>
    <col min="4867" max="4867" width="15.5703125" style="112" customWidth="1"/>
    <col min="4868" max="4868" width="15.7109375" style="112" customWidth="1"/>
    <col min="4869" max="4869" width="15.42578125" style="112" customWidth="1"/>
    <col min="4870" max="4870" width="14" style="112" customWidth="1"/>
    <col min="4871" max="4872" width="13.85546875" style="112" customWidth="1"/>
    <col min="4873" max="4873" width="12.42578125" style="112" customWidth="1"/>
    <col min="4874" max="4874" width="13.85546875" style="112" customWidth="1"/>
    <col min="4875" max="4875" width="16.7109375" style="112" customWidth="1"/>
    <col min="4876" max="4877" width="14.28515625" style="112" customWidth="1"/>
    <col min="4878" max="4878" width="14" style="112" customWidth="1"/>
    <col min="4879" max="4879" width="15.28515625" style="112" customWidth="1"/>
    <col min="4880" max="4880" width="15.5703125" style="112" customWidth="1"/>
    <col min="4881" max="4881" width="15.140625" style="112" customWidth="1"/>
    <col min="4882" max="4882" width="13.5703125" style="112" customWidth="1"/>
    <col min="4883" max="4884" width="14" style="112" customWidth="1"/>
    <col min="4885" max="4886" width="14.140625" style="112" customWidth="1"/>
    <col min="4887" max="4887" width="14.28515625" style="112" customWidth="1"/>
    <col min="4888" max="4888" width="12.140625" style="112" customWidth="1"/>
    <col min="4889" max="4889" width="14.5703125" style="112" customWidth="1"/>
    <col min="4890" max="4890" width="14.7109375" style="112" customWidth="1"/>
    <col min="4891" max="4891" width="13" style="112" customWidth="1"/>
    <col min="4892" max="4892" width="14.5703125" style="112" customWidth="1"/>
    <col min="4893" max="4893" width="12.28515625" style="112" customWidth="1"/>
    <col min="4894" max="4894" width="15.28515625" style="112" customWidth="1"/>
    <col min="4895" max="4895" width="12.85546875" style="112" customWidth="1"/>
    <col min="4896" max="4896" width="13.85546875" style="112" customWidth="1"/>
    <col min="4897" max="4897" width="14.5703125" style="112" customWidth="1"/>
    <col min="4898" max="4899" width="14.28515625" style="112" customWidth="1"/>
    <col min="4900" max="4900" width="14.5703125" style="112" customWidth="1"/>
    <col min="4901" max="4901" width="14.28515625" style="112" customWidth="1"/>
    <col min="4902" max="4902" width="12.5703125" style="112" customWidth="1"/>
    <col min="4903" max="4903" width="11" style="112" customWidth="1"/>
    <col min="4904" max="5120" width="9.140625" style="112"/>
    <col min="5121" max="5121" width="3.5703125" style="112" customWidth="1"/>
    <col min="5122" max="5122" width="13.85546875" style="112" customWidth="1"/>
    <col min="5123" max="5123" width="15.5703125" style="112" customWidth="1"/>
    <col min="5124" max="5124" width="15.7109375" style="112" customWidth="1"/>
    <col min="5125" max="5125" width="15.42578125" style="112" customWidth="1"/>
    <col min="5126" max="5126" width="14" style="112" customWidth="1"/>
    <col min="5127" max="5128" width="13.85546875" style="112" customWidth="1"/>
    <col min="5129" max="5129" width="12.42578125" style="112" customWidth="1"/>
    <col min="5130" max="5130" width="13.85546875" style="112" customWidth="1"/>
    <col min="5131" max="5131" width="16.7109375" style="112" customWidth="1"/>
    <col min="5132" max="5133" width="14.28515625" style="112" customWidth="1"/>
    <col min="5134" max="5134" width="14" style="112" customWidth="1"/>
    <col min="5135" max="5135" width="15.28515625" style="112" customWidth="1"/>
    <col min="5136" max="5136" width="15.5703125" style="112" customWidth="1"/>
    <col min="5137" max="5137" width="15.140625" style="112" customWidth="1"/>
    <col min="5138" max="5138" width="13.5703125" style="112" customWidth="1"/>
    <col min="5139" max="5140" width="14" style="112" customWidth="1"/>
    <col min="5141" max="5142" width="14.140625" style="112" customWidth="1"/>
    <col min="5143" max="5143" width="14.28515625" style="112" customWidth="1"/>
    <col min="5144" max="5144" width="12.140625" style="112" customWidth="1"/>
    <col min="5145" max="5145" width="14.5703125" style="112" customWidth="1"/>
    <col min="5146" max="5146" width="14.7109375" style="112" customWidth="1"/>
    <col min="5147" max="5147" width="13" style="112" customWidth="1"/>
    <col min="5148" max="5148" width="14.5703125" style="112" customWidth="1"/>
    <col min="5149" max="5149" width="12.28515625" style="112" customWidth="1"/>
    <col min="5150" max="5150" width="15.28515625" style="112" customWidth="1"/>
    <col min="5151" max="5151" width="12.85546875" style="112" customWidth="1"/>
    <col min="5152" max="5152" width="13.85546875" style="112" customWidth="1"/>
    <col min="5153" max="5153" width="14.5703125" style="112" customWidth="1"/>
    <col min="5154" max="5155" width="14.28515625" style="112" customWidth="1"/>
    <col min="5156" max="5156" width="14.5703125" style="112" customWidth="1"/>
    <col min="5157" max="5157" width="14.28515625" style="112" customWidth="1"/>
    <col min="5158" max="5158" width="12.5703125" style="112" customWidth="1"/>
    <col min="5159" max="5159" width="11" style="112" customWidth="1"/>
    <col min="5160" max="5376" width="9.140625" style="112"/>
    <col min="5377" max="5377" width="3.5703125" style="112" customWidth="1"/>
    <col min="5378" max="5378" width="13.85546875" style="112" customWidth="1"/>
    <col min="5379" max="5379" width="15.5703125" style="112" customWidth="1"/>
    <col min="5380" max="5380" width="15.7109375" style="112" customWidth="1"/>
    <col min="5381" max="5381" width="15.42578125" style="112" customWidth="1"/>
    <col min="5382" max="5382" width="14" style="112" customWidth="1"/>
    <col min="5383" max="5384" width="13.85546875" style="112" customWidth="1"/>
    <col min="5385" max="5385" width="12.42578125" style="112" customWidth="1"/>
    <col min="5386" max="5386" width="13.85546875" style="112" customWidth="1"/>
    <col min="5387" max="5387" width="16.7109375" style="112" customWidth="1"/>
    <col min="5388" max="5389" width="14.28515625" style="112" customWidth="1"/>
    <col min="5390" max="5390" width="14" style="112" customWidth="1"/>
    <col min="5391" max="5391" width="15.28515625" style="112" customWidth="1"/>
    <col min="5392" max="5392" width="15.5703125" style="112" customWidth="1"/>
    <col min="5393" max="5393" width="15.140625" style="112" customWidth="1"/>
    <col min="5394" max="5394" width="13.5703125" style="112" customWidth="1"/>
    <col min="5395" max="5396" width="14" style="112" customWidth="1"/>
    <col min="5397" max="5398" width="14.140625" style="112" customWidth="1"/>
    <col min="5399" max="5399" width="14.28515625" style="112" customWidth="1"/>
    <col min="5400" max="5400" width="12.140625" style="112" customWidth="1"/>
    <col min="5401" max="5401" width="14.5703125" style="112" customWidth="1"/>
    <col min="5402" max="5402" width="14.7109375" style="112" customWidth="1"/>
    <col min="5403" max="5403" width="13" style="112" customWidth="1"/>
    <col min="5404" max="5404" width="14.5703125" style="112" customWidth="1"/>
    <col min="5405" max="5405" width="12.28515625" style="112" customWidth="1"/>
    <col min="5406" max="5406" width="15.28515625" style="112" customWidth="1"/>
    <col min="5407" max="5407" width="12.85546875" style="112" customWidth="1"/>
    <col min="5408" max="5408" width="13.85546875" style="112" customWidth="1"/>
    <col min="5409" max="5409" width="14.5703125" style="112" customWidth="1"/>
    <col min="5410" max="5411" width="14.28515625" style="112" customWidth="1"/>
    <col min="5412" max="5412" width="14.5703125" style="112" customWidth="1"/>
    <col min="5413" max="5413" width="14.28515625" style="112" customWidth="1"/>
    <col min="5414" max="5414" width="12.5703125" style="112" customWidth="1"/>
    <col min="5415" max="5415" width="11" style="112" customWidth="1"/>
    <col min="5416" max="5632" width="9.140625" style="112"/>
    <col min="5633" max="5633" width="3.5703125" style="112" customWidth="1"/>
    <col min="5634" max="5634" width="13.85546875" style="112" customWidth="1"/>
    <col min="5635" max="5635" width="15.5703125" style="112" customWidth="1"/>
    <col min="5636" max="5636" width="15.7109375" style="112" customWidth="1"/>
    <col min="5637" max="5637" width="15.42578125" style="112" customWidth="1"/>
    <col min="5638" max="5638" width="14" style="112" customWidth="1"/>
    <col min="5639" max="5640" width="13.85546875" style="112" customWidth="1"/>
    <col min="5641" max="5641" width="12.42578125" style="112" customWidth="1"/>
    <col min="5642" max="5642" width="13.85546875" style="112" customWidth="1"/>
    <col min="5643" max="5643" width="16.7109375" style="112" customWidth="1"/>
    <col min="5644" max="5645" width="14.28515625" style="112" customWidth="1"/>
    <col min="5646" max="5646" width="14" style="112" customWidth="1"/>
    <col min="5647" max="5647" width="15.28515625" style="112" customWidth="1"/>
    <col min="5648" max="5648" width="15.5703125" style="112" customWidth="1"/>
    <col min="5649" max="5649" width="15.140625" style="112" customWidth="1"/>
    <col min="5650" max="5650" width="13.5703125" style="112" customWidth="1"/>
    <col min="5651" max="5652" width="14" style="112" customWidth="1"/>
    <col min="5653" max="5654" width="14.140625" style="112" customWidth="1"/>
    <col min="5655" max="5655" width="14.28515625" style="112" customWidth="1"/>
    <col min="5656" max="5656" width="12.140625" style="112" customWidth="1"/>
    <col min="5657" max="5657" width="14.5703125" style="112" customWidth="1"/>
    <col min="5658" max="5658" width="14.7109375" style="112" customWidth="1"/>
    <col min="5659" max="5659" width="13" style="112" customWidth="1"/>
    <col min="5660" max="5660" width="14.5703125" style="112" customWidth="1"/>
    <col min="5661" max="5661" width="12.28515625" style="112" customWidth="1"/>
    <col min="5662" max="5662" width="15.28515625" style="112" customWidth="1"/>
    <col min="5663" max="5663" width="12.85546875" style="112" customWidth="1"/>
    <col min="5664" max="5664" width="13.85546875" style="112" customWidth="1"/>
    <col min="5665" max="5665" width="14.5703125" style="112" customWidth="1"/>
    <col min="5666" max="5667" width="14.28515625" style="112" customWidth="1"/>
    <col min="5668" max="5668" width="14.5703125" style="112" customWidth="1"/>
    <col min="5669" max="5669" width="14.28515625" style="112" customWidth="1"/>
    <col min="5670" max="5670" width="12.5703125" style="112" customWidth="1"/>
    <col min="5671" max="5671" width="11" style="112" customWidth="1"/>
    <col min="5672" max="5888" width="9.140625" style="112"/>
    <col min="5889" max="5889" width="3.5703125" style="112" customWidth="1"/>
    <col min="5890" max="5890" width="13.85546875" style="112" customWidth="1"/>
    <col min="5891" max="5891" width="15.5703125" style="112" customWidth="1"/>
    <col min="5892" max="5892" width="15.7109375" style="112" customWidth="1"/>
    <col min="5893" max="5893" width="15.42578125" style="112" customWidth="1"/>
    <col min="5894" max="5894" width="14" style="112" customWidth="1"/>
    <col min="5895" max="5896" width="13.85546875" style="112" customWidth="1"/>
    <col min="5897" max="5897" width="12.42578125" style="112" customWidth="1"/>
    <col min="5898" max="5898" width="13.85546875" style="112" customWidth="1"/>
    <col min="5899" max="5899" width="16.7109375" style="112" customWidth="1"/>
    <col min="5900" max="5901" width="14.28515625" style="112" customWidth="1"/>
    <col min="5902" max="5902" width="14" style="112" customWidth="1"/>
    <col min="5903" max="5903" width="15.28515625" style="112" customWidth="1"/>
    <col min="5904" max="5904" width="15.5703125" style="112" customWidth="1"/>
    <col min="5905" max="5905" width="15.140625" style="112" customWidth="1"/>
    <col min="5906" max="5906" width="13.5703125" style="112" customWidth="1"/>
    <col min="5907" max="5908" width="14" style="112" customWidth="1"/>
    <col min="5909" max="5910" width="14.140625" style="112" customWidth="1"/>
    <col min="5911" max="5911" width="14.28515625" style="112" customWidth="1"/>
    <col min="5912" max="5912" width="12.140625" style="112" customWidth="1"/>
    <col min="5913" max="5913" width="14.5703125" style="112" customWidth="1"/>
    <col min="5914" max="5914" width="14.7109375" style="112" customWidth="1"/>
    <col min="5915" max="5915" width="13" style="112" customWidth="1"/>
    <col min="5916" max="5916" width="14.5703125" style="112" customWidth="1"/>
    <col min="5917" max="5917" width="12.28515625" style="112" customWidth="1"/>
    <col min="5918" max="5918" width="15.28515625" style="112" customWidth="1"/>
    <col min="5919" max="5919" width="12.85546875" style="112" customWidth="1"/>
    <col min="5920" max="5920" width="13.85546875" style="112" customWidth="1"/>
    <col min="5921" max="5921" width="14.5703125" style="112" customWidth="1"/>
    <col min="5922" max="5923" width="14.28515625" style="112" customWidth="1"/>
    <col min="5924" max="5924" width="14.5703125" style="112" customWidth="1"/>
    <col min="5925" max="5925" width="14.28515625" style="112" customWidth="1"/>
    <col min="5926" max="5926" width="12.5703125" style="112" customWidth="1"/>
    <col min="5927" max="5927" width="11" style="112" customWidth="1"/>
    <col min="5928" max="6144" width="9.140625" style="112"/>
    <col min="6145" max="6145" width="3.5703125" style="112" customWidth="1"/>
    <col min="6146" max="6146" width="13.85546875" style="112" customWidth="1"/>
    <col min="6147" max="6147" width="15.5703125" style="112" customWidth="1"/>
    <col min="6148" max="6148" width="15.7109375" style="112" customWidth="1"/>
    <col min="6149" max="6149" width="15.42578125" style="112" customWidth="1"/>
    <col min="6150" max="6150" width="14" style="112" customWidth="1"/>
    <col min="6151" max="6152" width="13.85546875" style="112" customWidth="1"/>
    <col min="6153" max="6153" width="12.42578125" style="112" customWidth="1"/>
    <col min="6154" max="6154" width="13.85546875" style="112" customWidth="1"/>
    <col min="6155" max="6155" width="16.7109375" style="112" customWidth="1"/>
    <col min="6156" max="6157" width="14.28515625" style="112" customWidth="1"/>
    <col min="6158" max="6158" width="14" style="112" customWidth="1"/>
    <col min="6159" max="6159" width="15.28515625" style="112" customWidth="1"/>
    <col min="6160" max="6160" width="15.5703125" style="112" customWidth="1"/>
    <col min="6161" max="6161" width="15.140625" style="112" customWidth="1"/>
    <col min="6162" max="6162" width="13.5703125" style="112" customWidth="1"/>
    <col min="6163" max="6164" width="14" style="112" customWidth="1"/>
    <col min="6165" max="6166" width="14.140625" style="112" customWidth="1"/>
    <col min="6167" max="6167" width="14.28515625" style="112" customWidth="1"/>
    <col min="6168" max="6168" width="12.140625" style="112" customWidth="1"/>
    <col min="6169" max="6169" width="14.5703125" style="112" customWidth="1"/>
    <col min="6170" max="6170" width="14.7109375" style="112" customWidth="1"/>
    <col min="6171" max="6171" width="13" style="112" customWidth="1"/>
    <col min="6172" max="6172" width="14.5703125" style="112" customWidth="1"/>
    <col min="6173" max="6173" width="12.28515625" style="112" customWidth="1"/>
    <col min="6174" max="6174" width="15.28515625" style="112" customWidth="1"/>
    <col min="6175" max="6175" width="12.85546875" style="112" customWidth="1"/>
    <col min="6176" max="6176" width="13.85546875" style="112" customWidth="1"/>
    <col min="6177" max="6177" width="14.5703125" style="112" customWidth="1"/>
    <col min="6178" max="6179" width="14.28515625" style="112" customWidth="1"/>
    <col min="6180" max="6180" width="14.5703125" style="112" customWidth="1"/>
    <col min="6181" max="6181" width="14.28515625" style="112" customWidth="1"/>
    <col min="6182" max="6182" width="12.5703125" style="112" customWidth="1"/>
    <col min="6183" max="6183" width="11" style="112" customWidth="1"/>
    <col min="6184" max="6400" width="9.140625" style="112"/>
    <col min="6401" max="6401" width="3.5703125" style="112" customWidth="1"/>
    <col min="6402" max="6402" width="13.85546875" style="112" customWidth="1"/>
    <col min="6403" max="6403" width="15.5703125" style="112" customWidth="1"/>
    <col min="6404" max="6404" width="15.7109375" style="112" customWidth="1"/>
    <col min="6405" max="6405" width="15.42578125" style="112" customWidth="1"/>
    <col min="6406" max="6406" width="14" style="112" customWidth="1"/>
    <col min="6407" max="6408" width="13.85546875" style="112" customWidth="1"/>
    <col min="6409" max="6409" width="12.42578125" style="112" customWidth="1"/>
    <col min="6410" max="6410" width="13.85546875" style="112" customWidth="1"/>
    <col min="6411" max="6411" width="16.7109375" style="112" customWidth="1"/>
    <col min="6412" max="6413" width="14.28515625" style="112" customWidth="1"/>
    <col min="6414" max="6414" width="14" style="112" customWidth="1"/>
    <col min="6415" max="6415" width="15.28515625" style="112" customWidth="1"/>
    <col min="6416" max="6416" width="15.5703125" style="112" customWidth="1"/>
    <col min="6417" max="6417" width="15.140625" style="112" customWidth="1"/>
    <col min="6418" max="6418" width="13.5703125" style="112" customWidth="1"/>
    <col min="6419" max="6420" width="14" style="112" customWidth="1"/>
    <col min="6421" max="6422" width="14.140625" style="112" customWidth="1"/>
    <col min="6423" max="6423" width="14.28515625" style="112" customWidth="1"/>
    <col min="6424" max="6424" width="12.140625" style="112" customWidth="1"/>
    <col min="6425" max="6425" width="14.5703125" style="112" customWidth="1"/>
    <col min="6426" max="6426" width="14.7109375" style="112" customWidth="1"/>
    <col min="6427" max="6427" width="13" style="112" customWidth="1"/>
    <col min="6428" max="6428" width="14.5703125" style="112" customWidth="1"/>
    <col min="6429" max="6429" width="12.28515625" style="112" customWidth="1"/>
    <col min="6430" max="6430" width="15.28515625" style="112" customWidth="1"/>
    <col min="6431" max="6431" width="12.85546875" style="112" customWidth="1"/>
    <col min="6432" max="6432" width="13.85546875" style="112" customWidth="1"/>
    <col min="6433" max="6433" width="14.5703125" style="112" customWidth="1"/>
    <col min="6434" max="6435" width="14.28515625" style="112" customWidth="1"/>
    <col min="6436" max="6436" width="14.5703125" style="112" customWidth="1"/>
    <col min="6437" max="6437" width="14.28515625" style="112" customWidth="1"/>
    <col min="6438" max="6438" width="12.5703125" style="112" customWidth="1"/>
    <col min="6439" max="6439" width="11" style="112" customWidth="1"/>
    <col min="6440" max="6656" width="9.140625" style="112"/>
    <col min="6657" max="6657" width="3.5703125" style="112" customWidth="1"/>
    <col min="6658" max="6658" width="13.85546875" style="112" customWidth="1"/>
    <col min="6659" max="6659" width="15.5703125" style="112" customWidth="1"/>
    <col min="6660" max="6660" width="15.7109375" style="112" customWidth="1"/>
    <col min="6661" max="6661" width="15.42578125" style="112" customWidth="1"/>
    <col min="6662" max="6662" width="14" style="112" customWidth="1"/>
    <col min="6663" max="6664" width="13.85546875" style="112" customWidth="1"/>
    <col min="6665" max="6665" width="12.42578125" style="112" customWidth="1"/>
    <col min="6666" max="6666" width="13.85546875" style="112" customWidth="1"/>
    <col min="6667" max="6667" width="16.7109375" style="112" customWidth="1"/>
    <col min="6668" max="6669" width="14.28515625" style="112" customWidth="1"/>
    <col min="6670" max="6670" width="14" style="112" customWidth="1"/>
    <col min="6671" max="6671" width="15.28515625" style="112" customWidth="1"/>
    <col min="6672" max="6672" width="15.5703125" style="112" customWidth="1"/>
    <col min="6673" max="6673" width="15.140625" style="112" customWidth="1"/>
    <col min="6674" max="6674" width="13.5703125" style="112" customWidth="1"/>
    <col min="6675" max="6676" width="14" style="112" customWidth="1"/>
    <col min="6677" max="6678" width="14.140625" style="112" customWidth="1"/>
    <col min="6679" max="6679" width="14.28515625" style="112" customWidth="1"/>
    <col min="6680" max="6680" width="12.140625" style="112" customWidth="1"/>
    <col min="6681" max="6681" width="14.5703125" style="112" customWidth="1"/>
    <col min="6682" max="6682" width="14.7109375" style="112" customWidth="1"/>
    <col min="6683" max="6683" width="13" style="112" customWidth="1"/>
    <col min="6684" max="6684" width="14.5703125" style="112" customWidth="1"/>
    <col min="6685" max="6685" width="12.28515625" style="112" customWidth="1"/>
    <col min="6686" max="6686" width="15.28515625" style="112" customWidth="1"/>
    <col min="6687" max="6687" width="12.85546875" style="112" customWidth="1"/>
    <col min="6688" max="6688" width="13.85546875" style="112" customWidth="1"/>
    <col min="6689" max="6689" width="14.5703125" style="112" customWidth="1"/>
    <col min="6690" max="6691" width="14.28515625" style="112" customWidth="1"/>
    <col min="6692" max="6692" width="14.5703125" style="112" customWidth="1"/>
    <col min="6693" max="6693" width="14.28515625" style="112" customWidth="1"/>
    <col min="6694" max="6694" width="12.5703125" style="112" customWidth="1"/>
    <col min="6695" max="6695" width="11" style="112" customWidth="1"/>
    <col min="6696" max="6912" width="9.140625" style="112"/>
    <col min="6913" max="6913" width="3.5703125" style="112" customWidth="1"/>
    <col min="6914" max="6914" width="13.85546875" style="112" customWidth="1"/>
    <col min="6915" max="6915" width="15.5703125" style="112" customWidth="1"/>
    <col min="6916" max="6916" width="15.7109375" style="112" customWidth="1"/>
    <col min="6917" max="6917" width="15.42578125" style="112" customWidth="1"/>
    <col min="6918" max="6918" width="14" style="112" customWidth="1"/>
    <col min="6919" max="6920" width="13.85546875" style="112" customWidth="1"/>
    <col min="6921" max="6921" width="12.42578125" style="112" customWidth="1"/>
    <col min="6922" max="6922" width="13.85546875" style="112" customWidth="1"/>
    <col min="6923" max="6923" width="16.7109375" style="112" customWidth="1"/>
    <col min="6924" max="6925" width="14.28515625" style="112" customWidth="1"/>
    <col min="6926" max="6926" width="14" style="112" customWidth="1"/>
    <col min="6927" max="6927" width="15.28515625" style="112" customWidth="1"/>
    <col min="6928" max="6928" width="15.5703125" style="112" customWidth="1"/>
    <col min="6929" max="6929" width="15.140625" style="112" customWidth="1"/>
    <col min="6930" max="6930" width="13.5703125" style="112" customWidth="1"/>
    <col min="6931" max="6932" width="14" style="112" customWidth="1"/>
    <col min="6933" max="6934" width="14.140625" style="112" customWidth="1"/>
    <col min="6935" max="6935" width="14.28515625" style="112" customWidth="1"/>
    <col min="6936" max="6936" width="12.140625" style="112" customWidth="1"/>
    <col min="6937" max="6937" width="14.5703125" style="112" customWidth="1"/>
    <col min="6938" max="6938" width="14.7109375" style="112" customWidth="1"/>
    <col min="6939" max="6939" width="13" style="112" customWidth="1"/>
    <col min="6940" max="6940" width="14.5703125" style="112" customWidth="1"/>
    <col min="6941" max="6941" width="12.28515625" style="112" customWidth="1"/>
    <col min="6942" max="6942" width="15.28515625" style="112" customWidth="1"/>
    <col min="6943" max="6943" width="12.85546875" style="112" customWidth="1"/>
    <col min="6944" max="6944" width="13.85546875" style="112" customWidth="1"/>
    <col min="6945" max="6945" width="14.5703125" style="112" customWidth="1"/>
    <col min="6946" max="6947" width="14.28515625" style="112" customWidth="1"/>
    <col min="6948" max="6948" width="14.5703125" style="112" customWidth="1"/>
    <col min="6949" max="6949" width="14.28515625" style="112" customWidth="1"/>
    <col min="6950" max="6950" width="12.5703125" style="112" customWidth="1"/>
    <col min="6951" max="6951" width="11" style="112" customWidth="1"/>
    <col min="6952" max="7168" width="9.140625" style="112"/>
    <col min="7169" max="7169" width="3.5703125" style="112" customWidth="1"/>
    <col min="7170" max="7170" width="13.85546875" style="112" customWidth="1"/>
    <col min="7171" max="7171" width="15.5703125" style="112" customWidth="1"/>
    <col min="7172" max="7172" width="15.7109375" style="112" customWidth="1"/>
    <col min="7173" max="7173" width="15.42578125" style="112" customWidth="1"/>
    <col min="7174" max="7174" width="14" style="112" customWidth="1"/>
    <col min="7175" max="7176" width="13.85546875" style="112" customWidth="1"/>
    <col min="7177" max="7177" width="12.42578125" style="112" customWidth="1"/>
    <col min="7178" max="7178" width="13.85546875" style="112" customWidth="1"/>
    <col min="7179" max="7179" width="16.7109375" style="112" customWidth="1"/>
    <col min="7180" max="7181" width="14.28515625" style="112" customWidth="1"/>
    <col min="7182" max="7182" width="14" style="112" customWidth="1"/>
    <col min="7183" max="7183" width="15.28515625" style="112" customWidth="1"/>
    <col min="7184" max="7184" width="15.5703125" style="112" customWidth="1"/>
    <col min="7185" max="7185" width="15.140625" style="112" customWidth="1"/>
    <col min="7186" max="7186" width="13.5703125" style="112" customWidth="1"/>
    <col min="7187" max="7188" width="14" style="112" customWidth="1"/>
    <col min="7189" max="7190" width="14.140625" style="112" customWidth="1"/>
    <col min="7191" max="7191" width="14.28515625" style="112" customWidth="1"/>
    <col min="7192" max="7192" width="12.140625" style="112" customWidth="1"/>
    <col min="7193" max="7193" width="14.5703125" style="112" customWidth="1"/>
    <col min="7194" max="7194" width="14.7109375" style="112" customWidth="1"/>
    <col min="7195" max="7195" width="13" style="112" customWidth="1"/>
    <col min="7196" max="7196" width="14.5703125" style="112" customWidth="1"/>
    <col min="7197" max="7197" width="12.28515625" style="112" customWidth="1"/>
    <col min="7198" max="7198" width="15.28515625" style="112" customWidth="1"/>
    <col min="7199" max="7199" width="12.85546875" style="112" customWidth="1"/>
    <col min="7200" max="7200" width="13.85546875" style="112" customWidth="1"/>
    <col min="7201" max="7201" width="14.5703125" style="112" customWidth="1"/>
    <col min="7202" max="7203" width="14.28515625" style="112" customWidth="1"/>
    <col min="7204" max="7204" width="14.5703125" style="112" customWidth="1"/>
    <col min="7205" max="7205" width="14.28515625" style="112" customWidth="1"/>
    <col min="7206" max="7206" width="12.5703125" style="112" customWidth="1"/>
    <col min="7207" max="7207" width="11" style="112" customWidth="1"/>
    <col min="7208" max="7424" width="9.140625" style="112"/>
    <col min="7425" max="7425" width="3.5703125" style="112" customWidth="1"/>
    <col min="7426" max="7426" width="13.85546875" style="112" customWidth="1"/>
    <col min="7427" max="7427" width="15.5703125" style="112" customWidth="1"/>
    <col min="7428" max="7428" width="15.7109375" style="112" customWidth="1"/>
    <col min="7429" max="7429" width="15.42578125" style="112" customWidth="1"/>
    <col min="7430" max="7430" width="14" style="112" customWidth="1"/>
    <col min="7431" max="7432" width="13.85546875" style="112" customWidth="1"/>
    <col min="7433" max="7433" width="12.42578125" style="112" customWidth="1"/>
    <col min="7434" max="7434" width="13.85546875" style="112" customWidth="1"/>
    <col min="7435" max="7435" width="16.7109375" style="112" customWidth="1"/>
    <col min="7436" max="7437" width="14.28515625" style="112" customWidth="1"/>
    <col min="7438" max="7438" width="14" style="112" customWidth="1"/>
    <col min="7439" max="7439" width="15.28515625" style="112" customWidth="1"/>
    <col min="7440" max="7440" width="15.5703125" style="112" customWidth="1"/>
    <col min="7441" max="7441" width="15.140625" style="112" customWidth="1"/>
    <col min="7442" max="7442" width="13.5703125" style="112" customWidth="1"/>
    <col min="7443" max="7444" width="14" style="112" customWidth="1"/>
    <col min="7445" max="7446" width="14.140625" style="112" customWidth="1"/>
    <col min="7447" max="7447" width="14.28515625" style="112" customWidth="1"/>
    <col min="7448" max="7448" width="12.140625" style="112" customWidth="1"/>
    <col min="7449" max="7449" width="14.5703125" style="112" customWidth="1"/>
    <col min="7450" max="7450" width="14.7109375" style="112" customWidth="1"/>
    <col min="7451" max="7451" width="13" style="112" customWidth="1"/>
    <col min="7452" max="7452" width="14.5703125" style="112" customWidth="1"/>
    <col min="7453" max="7453" width="12.28515625" style="112" customWidth="1"/>
    <col min="7454" max="7454" width="15.28515625" style="112" customWidth="1"/>
    <col min="7455" max="7455" width="12.85546875" style="112" customWidth="1"/>
    <col min="7456" max="7456" width="13.85546875" style="112" customWidth="1"/>
    <col min="7457" max="7457" width="14.5703125" style="112" customWidth="1"/>
    <col min="7458" max="7459" width="14.28515625" style="112" customWidth="1"/>
    <col min="7460" max="7460" width="14.5703125" style="112" customWidth="1"/>
    <col min="7461" max="7461" width="14.28515625" style="112" customWidth="1"/>
    <col min="7462" max="7462" width="12.5703125" style="112" customWidth="1"/>
    <col min="7463" max="7463" width="11" style="112" customWidth="1"/>
    <col min="7464" max="7680" width="9.140625" style="112"/>
    <col min="7681" max="7681" width="3.5703125" style="112" customWidth="1"/>
    <col min="7682" max="7682" width="13.85546875" style="112" customWidth="1"/>
    <col min="7683" max="7683" width="15.5703125" style="112" customWidth="1"/>
    <col min="7684" max="7684" width="15.7109375" style="112" customWidth="1"/>
    <col min="7685" max="7685" width="15.42578125" style="112" customWidth="1"/>
    <col min="7686" max="7686" width="14" style="112" customWidth="1"/>
    <col min="7687" max="7688" width="13.85546875" style="112" customWidth="1"/>
    <col min="7689" max="7689" width="12.42578125" style="112" customWidth="1"/>
    <col min="7690" max="7690" width="13.85546875" style="112" customWidth="1"/>
    <col min="7691" max="7691" width="16.7109375" style="112" customWidth="1"/>
    <col min="7692" max="7693" width="14.28515625" style="112" customWidth="1"/>
    <col min="7694" max="7694" width="14" style="112" customWidth="1"/>
    <col min="7695" max="7695" width="15.28515625" style="112" customWidth="1"/>
    <col min="7696" max="7696" width="15.5703125" style="112" customWidth="1"/>
    <col min="7697" max="7697" width="15.140625" style="112" customWidth="1"/>
    <col min="7698" max="7698" width="13.5703125" style="112" customWidth="1"/>
    <col min="7699" max="7700" width="14" style="112" customWidth="1"/>
    <col min="7701" max="7702" width="14.140625" style="112" customWidth="1"/>
    <col min="7703" max="7703" width="14.28515625" style="112" customWidth="1"/>
    <col min="7704" max="7704" width="12.140625" style="112" customWidth="1"/>
    <col min="7705" max="7705" width="14.5703125" style="112" customWidth="1"/>
    <col min="7706" max="7706" width="14.7109375" style="112" customWidth="1"/>
    <col min="7707" max="7707" width="13" style="112" customWidth="1"/>
    <col min="7708" max="7708" width="14.5703125" style="112" customWidth="1"/>
    <col min="7709" max="7709" width="12.28515625" style="112" customWidth="1"/>
    <col min="7710" max="7710" width="15.28515625" style="112" customWidth="1"/>
    <col min="7711" max="7711" width="12.85546875" style="112" customWidth="1"/>
    <col min="7712" max="7712" width="13.85546875" style="112" customWidth="1"/>
    <col min="7713" max="7713" width="14.5703125" style="112" customWidth="1"/>
    <col min="7714" max="7715" width="14.28515625" style="112" customWidth="1"/>
    <col min="7716" max="7716" width="14.5703125" style="112" customWidth="1"/>
    <col min="7717" max="7717" width="14.28515625" style="112" customWidth="1"/>
    <col min="7718" max="7718" width="12.5703125" style="112" customWidth="1"/>
    <col min="7719" max="7719" width="11" style="112" customWidth="1"/>
    <col min="7720" max="7936" width="9.140625" style="112"/>
    <col min="7937" max="7937" width="3.5703125" style="112" customWidth="1"/>
    <col min="7938" max="7938" width="13.85546875" style="112" customWidth="1"/>
    <col min="7939" max="7939" width="15.5703125" style="112" customWidth="1"/>
    <col min="7940" max="7940" width="15.7109375" style="112" customWidth="1"/>
    <col min="7941" max="7941" width="15.42578125" style="112" customWidth="1"/>
    <col min="7942" max="7942" width="14" style="112" customWidth="1"/>
    <col min="7943" max="7944" width="13.85546875" style="112" customWidth="1"/>
    <col min="7945" max="7945" width="12.42578125" style="112" customWidth="1"/>
    <col min="7946" max="7946" width="13.85546875" style="112" customWidth="1"/>
    <col min="7947" max="7947" width="16.7109375" style="112" customWidth="1"/>
    <col min="7948" max="7949" width="14.28515625" style="112" customWidth="1"/>
    <col min="7950" max="7950" width="14" style="112" customWidth="1"/>
    <col min="7951" max="7951" width="15.28515625" style="112" customWidth="1"/>
    <col min="7952" max="7952" width="15.5703125" style="112" customWidth="1"/>
    <col min="7953" max="7953" width="15.140625" style="112" customWidth="1"/>
    <col min="7954" max="7954" width="13.5703125" style="112" customWidth="1"/>
    <col min="7955" max="7956" width="14" style="112" customWidth="1"/>
    <col min="7957" max="7958" width="14.140625" style="112" customWidth="1"/>
    <col min="7959" max="7959" width="14.28515625" style="112" customWidth="1"/>
    <col min="7960" max="7960" width="12.140625" style="112" customWidth="1"/>
    <col min="7961" max="7961" width="14.5703125" style="112" customWidth="1"/>
    <col min="7962" max="7962" width="14.7109375" style="112" customWidth="1"/>
    <col min="7963" max="7963" width="13" style="112" customWidth="1"/>
    <col min="7964" max="7964" width="14.5703125" style="112" customWidth="1"/>
    <col min="7965" max="7965" width="12.28515625" style="112" customWidth="1"/>
    <col min="7966" max="7966" width="15.28515625" style="112" customWidth="1"/>
    <col min="7967" max="7967" width="12.85546875" style="112" customWidth="1"/>
    <col min="7968" max="7968" width="13.85546875" style="112" customWidth="1"/>
    <col min="7969" max="7969" width="14.5703125" style="112" customWidth="1"/>
    <col min="7970" max="7971" width="14.28515625" style="112" customWidth="1"/>
    <col min="7972" max="7972" width="14.5703125" style="112" customWidth="1"/>
    <col min="7973" max="7973" width="14.28515625" style="112" customWidth="1"/>
    <col min="7974" max="7974" width="12.5703125" style="112" customWidth="1"/>
    <col min="7975" max="7975" width="11" style="112" customWidth="1"/>
    <col min="7976" max="8192" width="9.140625" style="112"/>
    <col min="8193" max="8193" width="3.5703125" style="112" customWidth="1"/>
    <col min="8194" max="8194" width="13.85546875" style="112" customWidth="1"/>
    <col min="8195" max="8195" width="15.5703125" style="112" customWidth="1"/>
    <col min="8196" max="8196" width="15.7109375" style="112" customWidth="1"/>
    <col min="8197" max="8197" width="15.42578125" style="112" customWidth="1"/>
    <col min="8198" max="8198" width="14" style="112" customWidth="1"/>
    <col min="8199" max="8200" width="13.85546875" style="112" customWidth="1"/>
    <col min="8201" max="8201" width="12.42578125" style="112" customWidth="1"/>
    <col min="8202" max="8202" width="13.85546875" style="112" customWidth="1"/>
    <col min="8203" max="8203" width="16.7109375" style="112" customWidth="1"/>
    <col min="8204" max="8205" width="14.28515625" style="112" customWidth="1"/>
    <col min="8206" max="8206" width="14" style="112" customWidth="1"/>
    <col min="8207" max="8207" width="15.28515625" style="112" customWidth="1"/>
    <col min="8208" max="8208" width="15.5703125" style="112" customWidth="1"/>
    <col min="8209" max="8209" width="15.140625" style="112" customWidth="1"/>
    <col min="8210" max="8210" width="13.5703125" style="112" customWidth="1"/>
    <col min="8211" max="8212" width="14" style="112" customWidth="1"/>
    <col min="8213" max="8214" width="14.140625" style="112" customWidth="1"/>
    <col min="8215" max="8215" width="14.28515625" style="112" customWidth="1"/>
    <col min="8216" max="8216" width="12.140625" style="112" customWidth="1"/>
    <col min="8217" max="8217" width="14.5703125" style="112" customWidth="1"/>
    <col min="8218" max="8218" width="14.7109375" style="112" customWidth="1"/>
    <col min="8219" max="8219" width="13" style="112" customWidth="1"/>
    <col min="8220" max="8220" width="14.5703125" style="112" customWidth="1"/>
    <col min="8221" max="8221" width="12.28515625" style="112" customWidth="1"/>
    <col min="8222" max="8222" width="15.28515625" style="112" customWidth="1"/>
    <col min="8223" max="8223" width="12.85546875" style="112" customWidth="1"/>
    <col min="8224" max="8224" width="13.85546875" style="112" customWidth="1"/>
    <col min="8225" max="8225" width="14.5703125" style="112" customWidth="1"/>
    <col min="8226" max="8227" width="14.28515625" style="112" customWidth="1"/>
    <col min="8228" max="8228" width="14.5703125" style="112" customWidth="1"/>
    <col min="8229" max="8229" width="14.28515625" style="112" customWidth="1"/>
    <col min="8230" max="8230" width="12.5703125" style="112" customWidth="1"/>
    <col min="8231" max="8231" width="11" style="112" customWidth="1"/>
    <col min="8232" max="8448" width="9.140625" style="112"/>
    <col min="8449" max="8449" width="3.5703125" style="112" customWidth="1"/>
    <col min="8450" max="8450" width="13.85546875" style="112" customWidth="1"/>
    <col min="8451" max="8451" width="15.5703125" style="112" customWidth="1"/>
    <col min="8452" max="8452" width="15.7109375" style="112" customWidth="1"/>
    <col min="8453" max="8453" width="15.42578125" style="112" customWidth="1"/>
    <col min="8454" max="8454" width="14" style="112" customWidth="1"/>
    <col min="8455" max="8456" width="13.85546875" style="112" customWidth="1"/>
    <col min="8457" max="8457" width="12.42578125" style="112" customWidth="1"/>
    <col min="8458" max="8458" width="13.85546875" style="112" customWidth="1"/>
    <col min="8459" max="8459" width="16.7109375" style="112" customWidth="1"/>
    <col min="8460" max="8461" width="14.28515625" style="112" customWidth="1"/>
    <col min="8462" max="8462" width="14" style="112" customWidth="1"/>
    <col min="8463" max="8463" width="15.28515625" style="112" customWidth="1"/>
    <col min="8464" max="8464" width="15.5703125" style="112" customWidth="1"/>
    <col min="8465" max="8465" width="15.140625" style="112" customWidth="1"/>
    <col min="8466" max="8466" width="13.5703125" style="112" customWidth="1"/>
    <col min="8467" max="8468" width="14" style="112" customWidth="1"/>
    <col min="8469" max="8470" width="14.140625" style="112" customWidth="1"/>
    <col min="8471" max="8471" width="14.28515625" style="112" customWidth="1"/>
    <col min="8472" max="8472" width="12.140625" style="112" customWidth="1"/>
    <col min="8473" max="8473" width="14.5703125" style="112" customWidth="1"/>
    <col min="8474" max="8474" width="14.7109375" style="112" customWidth="1"/>
    <col min="8475" max="8475" width="13" style="112" customWidth="1"/>
    <col min="8476" max="8476" width="14.5703125" style="112" customWidth="1"/>
    <col min="8477" max="8477" width="12.28515625" style="112" customWidth="1"/>
    <col min="8478" max="8478" width="15.28515625" style="112" customWidth="1"/>
    <col min="8479" max="8479" width="12.85546875" style="112" customWidth="1"/>
    <col min="8480" max="8480" width="13.85546875" style="112" customWidth="1"/>
    <col min="8481" max="8481" width="14.5703125" style="112" customWidth="1"/>
    <col min="8482" max="8483" width="14.28515625" style="112" customWidth="1"/>
    <col min="8484" max="8484" width="14.5703125" style="112" customWidth="1"/>
    <col min="8485" max="8485" width="14.28515625" style="112" customWidth="1"/>
    <col min="8486" max="8486" width="12.5703125" style="112" customWidth="1"/>
    <col min="8487" max="8487" width="11" style="112" customWidth="1"/>
    <col min="8488" max="8704" width="9.140625" style="112"/>
    <col min="8705" max="8705" width="3.5703125" style="112" customWidth="1"/>
    <col min="8706" max="8706" width="13.85546875" style="112" customWidth="1"/>
    <col min="8707" max="8707" width="15.5703125" style="112" customWidth="1"/>
    <col min="8708" max="8708" width="15.7109375" style="112" customWidth="1"/>
    <col min="8709" max="8709" width="15.42578125" style="112" customWidth="1"/>
    <col min="8710" max="8710" width="14" style="112" customWidth="1"/>
    <col min="8711" max="8712" width="13.85546875" style="112" customWidth="1"/>
    <col min="8713" max="8713" width="12.42578125" style="112" customWidth="1"/>
    <col min="8714" max="8714" width="13.85546875" style="112" customWidth="1"/>
    <col min="8715" max="8715" width="16.7109375" style="112" customWidth="1"/>
    <col min="8716" max="8717" width="14.28515625" style="112" customWidth="1"/>
    <col min="8718" max="8718" width="14" style="112" customWidth="1"/>
    <col min="8719" max="8719" width="15.28515625" style="112" customWidth="1"/>
    <col min="8720" max="8720" width="15.5703125" style="112" customWidth="1"/>
    <col min="8721" max="8721" width="15.140625" style="112" customWidth="1"/>
    <col min="8722" max="8722" width="13.5703125" style="112" customWidth="1"/>
    <col min="8723" max="8724" width="14" style="112" customWidth="1"/>
    <col min="8725" max="8726" width="14.140625" style="112" customWidth="1"/>
    <col min="8727" max="8727" width="14.28515625" style="112" customWidth="1"/>
    <col min="8728" max="8728" width="12.140625" style="112" customWidth="1"/>
    <col min="8729" max="8729" width="14.5703125" style="112" customWidth="1"/>
    <col min="8730" max="8730" width="14.7109375" style="112" customWidth="1"/>
    <col min="8731" max="8731" width="13" style="112" customWidth="1"/>
    <col min="8732" max="8732" width="14.5703125" style="112" customWidth="1"/>
    <col min="8733" max="8733" width="12.28515625" style="112" customWidth="1"/>
    <col min="8734" max="8734" width="15.28515625" style="112" customWidth="1"/>
    <col min="8735" max="8735" width="12.85546875" style="112" customWidth="1"/>
    <col min="8736" max="8736" width="13.85546875" style="112" customWidth="1"/>
    <col min="8737" max="8737" width="14.5703125" style="112" customWidth="1"/>
    <col min="8738" max="8739" width="14.28515625" style="112" customWidth="1"/>
    <col min="8740" max="8740" width="14.5703125" style="112" customWidth="1"/>
    <col min="8741" max="8741" width="14.28515625" style="112" customWidth="1"/>
    <col min="8742" max="8742" width="12.5703125" style="112" customWidth="1"/>
    <col min="8743" max="8743" width="11" style="112" customWidth="1"/>
    <col min="8744" max="8960" width="9.140625" style="112"/>
    <col min="8961" max="8961" width="3.5703125" style="112" customWidth="1"/>
    <col min="8962" max="8962" width="13.85546875" style="112" customWidth="1"/>
    <col min="8963" max="8963" width="15.5703125" style="112" customWidth="1"/>
    <col min="8964" max="8964" width="15.7109375" style="112" customWidth="1"/>
    <col min="8965" max="8965" width="15.42578125" style="112" customWidth="1"/>
    <col min="8966" max="8966" width="14" style="112" customWidth="1"/>
    <col min="8967" max="8968" width="13.85546875" style="112" customWidth="1"/>
    <col min="8969" max="8969" width="12.42578125" style="112" customWidth="1"/>
    <col min="8970" max="8970" width="13.85546875" style="112" customWidth="1"/>
    <col min="8971" max="8971" width="16.7109375" style="112" customWidth="1"/>
    <col min="8972" max="8973" width="14.28515625" style="112" customWidth="1"/>
    <col min="8974" max="8974" width="14" style="112" customWidth="1"/>
    <col min="8975" max="8975" width="15.28515625" style="112" customWidth="1"/>
    <col min="8976" max="8976" width="15.5703125" style="112" customWidth="1"/>
    <col min="8977" max="8977" width="15.140625" style="112" customWidth="1"/>
    <col min="8978" max="8978" width="13.5703125" style="112" customWidth="1"/>
    <col min="8979" max="8980" width="14" style="112" customWidth="1"/>
    <col min="8981" max="8982" width="14.140625" style="112" customWidth="1"/>
    <col min="8983" max="8983" width="14.28515625" style="112" customWidth="1"/>
    <col min="8984" max="8984" width="12.140625" style="112" customWidth="1"/>
    <col min="8985" max="8985" width="14.5703125" style="112" customWidth="1"/>
    <col min="8986" max="8986" width="14.7109375" style="112" customWidth="1"/>
    <col min="8987" max="8987" width="13" style="112" customWidth="1"/>
    <col min="8988" max="8988" width="14.5703125" style="112" customWidth="1"/>
    <col min="8989" max="8989" width="12.28515625" style="112" customWidth="1"/>
    <col min="8990" max="8990" width="15.28515625" style="112" customWidth="1"/>
    <col min="8991" max="8991" width="12.85546875" style="112" customWidth="1"/>
    <col min="8992" max="8992" width="13.85546875" style="112" customWidth="1"/>
    <col min="8993" max="8993" width="14.5703125" style="112" customWidth="1"/>
    <col min="8994" max="8995" width="14.28515625" style="112" customWidth="1"/>
    <col min="8996" max="8996" width="14.5703125" style="112" customWidth="1"/>
    <col min="8997" max="8997" width="14.28515625" style="112" customWidth="1"/>
    <col min="8998" max="8998" width="12.5703125" style="112" customWidth="1"/>
    <col min="8999" max="8999" width="11" style="112" customWidth="1"/>
    <col min="9000" max="9216" width="9.140625" style="112"/>
    <col min="9217" max="9217" width="3.5703125" style="112" customWidth="1"/>
    <col min="9218" max="9218" width="13.85546875" style="112" customWidth="1"/>
    <col min="9219" max="9219" width="15.5703125" style="112" customWidth="1"/>
    <col min="9220" max="9220" width="15.7109375" style="112" customWidth="1"/>
    <col min="9221" max="9221" width="15.42578125" style="112" customWidth="1"/>
    <col min="9222" max="9222" width="14" style="112" customWidth="1"/>
    <col min="9223" max="9224" width="13.85546875" style="112" customWidth="1"/>
    <col min="9225" max="9225" width="12.42578125" style="112" customWidth="1"/>
    <col min="9226" max="9226" width="13.85546875" style="112" customWidth="1"/>
    <col min="9227" max="9227" width="16.7109375" style="112" customWidth="1"/>
    <col min="9228" max="9229" width="14.28515625" style="112" customWidth="1"/>
    <col min="9230" max="9230" width="14" style="112" customWidth="1"/>
    <col min="9231" max="9231" width="15.28515625" style="112" customWidth="1"/>
    <col min="9232" max="9232" width="15.5703125" style="112" customWidth="1"/>
    <col min="9233" max="9233" width="15.140625" style="112" customWidth="1"/>
    <col min="9234" max="9234" width="13.5703125" style="112" customWidth="1"/>
    <col min="9235" max="9236" width="14" style="112" customWidth="1"/>
    <col min="9237" max="9238" width="14.140625" style="112" customWidth="1"/>
    <col min="9239" max="9239" width="14.28515625" style="112" customWidth="1"/>
    <col min="9240" max="9240" width="12.140625" style="112" customWidth="1"/>
    <col min="9241" max="9241" width="14.5703125" style="112" customWidth="1"/>
    <col min="9242" max="9242" width="14.7109375" style="112" customWidth="1"/>
    <col min="9243" max="9243" width="13" style="112" customWidth="1"/>
    <col min="9244" max="9244" width="14.5703125" style="112" customWidth="1"/>
    <col min="9245" max="9245" width="12.28515625" style="112" customWidth="1"/>
    <col min="9246" max="9246" width="15.28515625" style="112" customWidth="1"/>
    <col min="9247" max="9247" width="12.85546875" style="112" customWidth="1"/>
    <col min="9248" max="9248" width="13.85546875" style="112" customWidth="1"/>
    <col min="9249" max="9249" width="14.5703125" style="112" customWidth="1"/>
    <col min="9250" max="9251" width="14.28515625" style="112" customWidth="1"/>
    <col min="9252" max="9252" width="14.5703125" style="112" customWidth="1"/>
    <col min="9253" max="9253" width="14.28515625" style="112" customWidth="1"/>
    <col min="9254" max="9254" width="12.5703125" style="112" customWidth="1"/>
    <col min="9255" max="9255" width="11" style="112" customWidth="1"/>
    <col min="9256" max="9472" width="9.140625" style="112"/>
    <col min="9473" max="9473" width="3.5703125" style="112" customWidth="1"/>
    <col min="9474" max="9474" width="13.85546875" style="112" customWidth="1"/>
    <col min="9475" max="9475" width="15.5703125" style="112" customWidth="1"/>
    <col min="9476" max="9476" width="15.7109375" style="112" customWidth="1"/>
    <col min="9477" max="9477" width="15.42578125" style="112" customWidth="1"/>
    <col min="9478" max="9478" width="14" style="112" customWidth="1"/>
    <col min="9479" max="9480" width="13.85546875" style="112" customWidth="1"/>
    <col min="9481" max="9481" width="12.42578125" style="112" customWidth="1"/>
    <col min="9482" max="9482" width="13.85546875" style="112" customWidth="1"/>
    <col min="9483" max="9483" width="16.7109375" style="112" customWidth="1"/>
    <col min="9484" max="9485" width="14.28515625" style="112" customWidth="1"/>
    <col min="9486" max="9486" width="14" style="112" customWidth="1"/>
    <col min="9487" max="9487" width="15.28515625" style="112" customWidth="1"/>
    <col min="9488" max="9488" width="15.5703125" style="112" customWidth="1"/>
    <col min="9489" max="9489" width="15.140625" style="112" customWidth="1"/>
    <col min="9490" max="9490" width="13.5703125" style="112" customWidth="1"/>
    <col min="9491" max="9492" width="14" style="112" customWidth="1"/>
    <col min="9493" max="9494" width="14.140625" style="112" customWidth="1"/>
    <col min="9495" max="9495" width="14.28515625" style="112" customWidth="1"/>
    <col min="9496" max="9496" width="12.140625" style="112" customWidth="1"/>
    <col min="9497" max="9497" width="14.5703125" style="112" customWidth="1"/>
    <col min="9498" max="9498" width="14.7109375" style="112" customWidth="1"/>
    <col min="9499" max="9499" width="13" style="112" customWidth="1"/>
    <col min="9500" max="9500" width="14.5703125" style="112" customWidth="1"/>
    <col min="9501" max="9501" width="12.28515625" style="112" customWidth="1"/>
    <col min="9502" max="9502" width="15.28515625" style="112" customWidth="1"/>
    <col min="9503" max="9503" width="12.85546875" style="112" customWidth="1"/>
    <col min="9504" max="9504" width="13.85546875" style="112" customWidth="1"/>
    <col min="9505" max="9505" width="14.5703125" style="112" customWidth="1"/>
    <col min="9506" max="9507" width="14.28515625" style="112" customWidth="1"/>
    <col min="9508" max="9508" width="14.5703125" style="112" customWidth="1"/>
    <col min="9509" max="9509" width="14.28515625" style="112" customWidth="1"/>
    <col min="9510" max="9510" width="12.5703125" style="112" customWidth="1"/>
    <col min="9511" max="9511" width="11" style="112" customWidth="1"/>
    <col min="9512" max="9728" width="9.140625" style="112"/>
    <col min="9729" max="9729" width="3.5703125" style="112" customWidth="1"/>
    <col min="9730" max="9730" width="13.85546875" style="112" customWidth="1"/>
    <col min="9731" max="9731" width="15.5703125" style="112" customWidth="1"/>
    <col min="9732" max="9732" width="15.7109375" style="112" customWidth="1"/>
    <col min="9733" max="9733" width="15.42578125" style="112" customWidth="1"/>
    <col min="9734" max="9734" width="14" style="112" customWidth="1"/>
    <col min="9735" max="9736" width="13.85546875" style="112" customWidth="1"/>
    <col min="9737" max="9737" width="12.42578125" style="112" customWidth="1"/>
    <col min="9738" max="9738" width="13.85546875" style="112" customWidth="1"/>
    <col min="9739" max="9739" width="16.7109375" style="112" customWidth="1"/>
    <col min="9740" max="9741" width="14.28515625" style="112" customWidth="1"/>
    <col min="9742" max="9742" width="14" style="112" customWidth="1"/>
    <col min="9743" max="9743" width="15.28515625" style="112" customWidth="1"/>
    <col min="9744" max="9744" width="15.5703125" style="112" customWidth="1"/>
    <col min="9745" max="9745" width="15.140625" style="112" customWidth="1"/>
    <col min="9746" max="9746" width="13.5703125" style="112" customWidth="1"/>
    <col min="9747" max="9748" width="14" style="112" customWidth="1"/>
    <col min="9749" max="9750" width="14.140625" style="112" customWidth="1"/>
    <col min="9751" max="9751" width="14.28515625" style="112" customWidth="1"/>
    <col min="9752" max="9752" width="12.140625" style="112" customWidth="1"/>
    <col min="9753" max="9753" width="14.5703125" style="112" customWidth="1"/>
    <col min="9754" max="9754" width="14.7109375" style="112" customWidth="1"/>
    <col min="9755" max="9755" width="13" style="112" customWidth="1"/>
    <col min="9756" max="9756" width="14.5703125" style="112" customWidth="1"/>
    <col min="9757" max="9757" width="12.28515625" style="112" customWidth="1"/>
    <col min="9758" max="9758" width="15.28515625" style="112" customWidth="1"/>
    <col min="9759" max="9759" width="12.85546875" style="112" customWidth="1"/>
    <col min="9760" max="9760" width="13.85546875" style="112" customWidth="1"/>
    <col min="9761" max="9761" width="14.5703125" style="112" customWidth="1"/>
    <col min="9762" max="9763" width="14.28515625" style="112" customWidth="1"/>
    <col min="9764" max="9764" width="14.5703125" style="112" customWidth="1"/>
    <col min="9765" max="9765" width="14.28515625" style="112" customWidth="1"/>
    <col min="9766" max="9766" width="12.5703125" style="112" customWidth="1"/>
    <col min="9767" max="9767" width="11" style="112" customWidth="1"/>
    <col min="9768" max="9984" width="9.140625" style="112"/>
    <col min="9985" max="9985" width="3.5703125" style="112" customWidth="1"/>
    <col min="9986" max="9986" width="13.85546875" style="112" customWidth="1"/>
    <col min="9987" max="9987" width="15.5703125" style="112" customWidth="1"/>
    <col min="9988" max="9988" width="15.7109375" style="112" customWidth="1"/>
    <col min="9989" max="9989" width="15.42578125" style="112" customWidth="1"/>
    <col min="9990" max="9990" width="14" style="112" customWidth="1"/>
    <col min="9991" max="9992" width="13.85546875" style="112" customWidth="1"/>
    <col min="9993" max="9993" width="12.42578125" style="112" customWidth="1"/>
    <col min="9994" max="9994" width="13.85546875" style="112" customWidth="1"/>
    <col min="9995" max="9995" width="16.7109375" style="112" customWidth="1"/>
    <col min="9996" max="9997" width="14.28515625" style="112" customWidth="1"/>
    <col min="9998" max="9998" width="14" style="112" customWidth="1"/>
    <col min="9999" max="9999" width="15.28515625" style="112" customWidth="1"/>
    <col min="10000" max="10000" width="15.5703125" style="112" customWidth="1"/>
    <col min="10001" max="10001" width="15.140625" style="112" customWidth="1"/>
    <col min="10002" max="10002" width="13.5703125" style="112" customWidth="1"/>
    <col min="10003" max="10004" width="14" style="112" customWidth="1"/>
    <col min="10005" max="10006" width="14.140625" style="112" customWidth="1"/>
    <col min="10007" max="10007" width="14.28515625" style="112" customWidth="1"/>
    <col min="10008" max="10008" width="12.140625" style="112" customWidth="1"/>
    <col min="10009" max="10009" width="14.5703125" style="112" customWidth="1"/>
    <col min="10010" max="10010" width="14.7109375" style="112" customWidth="1"/>
    <col min="10011" max="10011" width="13" style="112" customWidth="1"/>
    <col min="10012" max="10012" width="14.5703125" style="112" customWidth="1"/>
    <col min="10013" max="10013" width="12.28515625" style="112" customWidth="1"/>
    <col min="10014" max="10014" width="15.28515625" style="112" customWidth="1"/>
    <col min="10015" max="10015" width="12.85546875" style="112" customWidth="1"/>
    <col min="10016" max="10016" width="13.85546875" style="112" customWidth="1"/>
    <col min="10017" max="10017" width="14.5703125" style="112" customWidth="1"/>
    <col min="10018" max="10019" width="14.28515625" style="112" customWidth="1"/>
    <col min="10020" max="10020" width="14.5703125" style="112" customWidth="1"/>
    <col min="10021" max="10021" width="14.28515625" style="112" customWidth="1"/>
    <col min="10022" max="10022" width="12.5703125" style="112" customWidth="1"/>
    <col min="10023" max="10023" width="11" style="112" customWidth="1"/>
    <col min="10024" max="10240" width="9.140625" style="112"/>
    <col min="10241" max="10241" width="3.5703125" style="112" customWidth="1"/>
    <col min="10242" max="10242" width="13.85546875" style="112" customWidth="1"/>
    <col min="10243" max="10243" width="15.5703125" style="112" customWidth="1"/>
    <col min="10244" max="10244" width="15.7109375" style="112" customWidth="1"/>
    <col min="10245" max="10245" width="15.42578125" style="112" customWidth="1"/>
    <col min="10246" max="10246" width="14" style="112" customWidth="1"/>
    <col min="10247" max="10248" width="13.85546875" style="112" customWidth="1"/>
    <col min="10249" max="10249" width="12.42578125" style="112" customWidth="1"/>
    <col min="10250" max="10250" width="13.85546875" style="112" customWidth="1"/>
    <col min="10251" max="10251" width="16.7109375" style="112" customWidth="1"/>
    <col min="10252" max="10253" width="14.28515625" style="112" customWidth="1"/>
    <col min="10254" max="10254" width="14" style="112" customWidth="1"/>
    <col min="10255" max="10255" width="15.28515625" style="112" customWidth="1"/>
    <col min="10256" max="10256" width="15.5703125" style="112" customWidth="1"/>
    <col min="10257" max="10257" width="15.140625" style="112" customWidth="1"/>
    <col min="10258" max="10258" width="13.5703125" style="112" customWidth="1"/>
    <col min="10259" max="10260" width="14" style="112" customWidth="1"/>
    <col min="10261" max="10262" width="14.140625" style="112" customWidth="1"/>
    <col min="10263" max="10263" width="14.28515625" style="112" customWidth="1"/>
    <col min="10264" max="10264" width="12.140625" style="112" customWidth="1"/>
    <col min="10265" max="10265" width="14.5703125" style="112" customWidth="1"/>
    <col min="10266" max="10266" width="14.7109375" style="112" customWidth="1"/>
    <col min="10267" max="10267" width="13" style="112" customWidth="1"/>
    <col min="10268" max="10268" width="14.5703125" style="112" customWidth="1"/>
    <col min="10269" max="10269" width="12.28515625" style="112" customWidth="1"/>
    <col min="10270" max="10270" width="15.28515625" style="112" customWidth="1"/>
    <col min="10271" max="10271" width="12.85546875" style="112" customWidth="1"/>
    <col min="10272" max="10272" width="13.85546875" style="112" customWidth="1"/>
    <col min="10273" max="10273" width="14.5703125" style="112" customWidth="1"/>
    <col min="10274" max="10275" width="14.28515625" style="112" customWidth="1"/>
    <col min="10276" max="10276" width="14.5703125" style="112" customWidth="1"/>
    <col min="10277" max="10277" width="14.28515625" style="112" customWidth="1"/>
    <col min="10278" max="10278" width="12.5703125" style="112" customWidth="1"/>
    <col min="10279" max="10279" width="11" style="112" customWidth="1"/>
    <col min="10280" max="10496" width="9.140625" style="112"/>
    <col min="10497" max="10497" width="3.5703125" style="112" customWidth="1"/>
    <col min="10498" max="10498" width="13.85546875" style="112" customWidth="1"/>
    <col min="10499" max="10499" width="15.5703125" style="112" customWidth="1"/>
    <col min="10500" max="10500" width="15.7109375" style="112" customWidth="1"/>
    <col min="10501" max="10501" width="15.42578125" style="112" customWidth="1"/>
    <col min="10502" max="10502" width="14" style="112" customWidth="1"/>
    <col min="10503" max="10504" width="13.85546875" style="112" customWidth="1"/>
    <col min="10505" max="10505" width="12.42578125" style="112" customWidth="1"/>
    <col min="10506" max="10506" width="13.85546875" style="112" customWidth="1"/>
    <col min="10507" max="10507" width="16.7109375" style="112" customWidth="1"/>
    <col min="10508" max="10509" width="14.28515625" style="112" customWidth="1"/>
    <col min="10510" max="10510" width="14" style="112" customWidth="1"/>
    <col min="10511" max="10511" width="15.28515625" style="112" customWidth="1"/>
    <col min="10512" max="10512" width="15.5703125" style="112" customWidth="1"/>
    <col min="10513" max="10513" width="15.140625" style="112" customWidth="1"/>
    <col min="10514" max="10514" width="13.5703125" style="112" customWidth="1"/>
    <col min="10515" max="10516" width="14" style="112" customWidth="1"/>
    <col min="10517" max="10518" width="14.140625" style="112" customWidth="1"/>
    <col min="10519" max="10519" width="14.28515625" style="112" customWidth="1"/>
    <col min="10520" max="10520" width="12.140625" style="112" customWidth="1"/>
    <col min="10521" max="10521" width="14.5703125" style="112" customWidth="1"/>
    <col min="10522" max="10522" width="14.7109375" style="112" customWidth="1"/>
    <col min="10523" max="10523" width="13" style="112" customWidth="1"/>
    <col min="10524" max="10524" width="14.5703125" style="112" customWidth="1"/>
    <col min="10525" max="10525" width="12.28515625" style="112" customWidth="1"/>
    <col min="10526" max="10526" width="15.28515625" style="112" customWidth="1"/>
    <col min="10527" max="10527" width="12.85546875" style="112" customWidth="1"/>
    <col min="10528" max="10528" width="13.85546875" style="112" customWidth="1"/>
    <col min="10529" max="10529" width="14.5703125" style="112" customWidth="1"/>
    <col min="10530" max="10531" width="14.28515625" style="112" customWidth="1"/>
    <col min="10532" max="10532" width="14.5703125" style="112" customWidth="1"/>
    <col min="10533" max="10533" width="14.28515625" style="112" customWidth="1"/>
    <col min="10534" max="10534" width="12.5703125" style="112" customWidth="1"/>
    <col min="10535" max="10535" width="11" style="112" customWidth="1"/>
    <col min="10536" max="10752" width="9.140625" style="112"/>
    <col min="10753" max="10753" width="3.5703125" style="112" customWidth="1"/>
    <col min="10754" max="10754" width="13.85546875" style="112" customWidth="1"/>
    <col min="10755" max="10755" width="15.5703125" style="112" customWidth="1"/>
    <col min="10756" max="10756" width="15.7109375" style="112" customWidth="1"/>
    <col min="10757" max="10757" width="15.42578125" style="112" customWidth="1"/>
    <col min="10758" max="10758" width="14" style="112" customWidth="1"/>
    <col min="10759" max="10760" width="13.85546875" style="112" customWidth="1"/>
    <col min="10761" max="10761" width="12.42578125" style="112" customWidth="1"/>
    <col min="10762" max="10762" width="13.85546875" style="112" customWidth="1"/>
    <col min="10763" max="10763" width="16.7109375" style="112" customWidth="1"/>
    <col min="10764" max="10765" width="14.28515625" style="112" customWidth="1"/>
    <col min="10766" max="10766" width="14" style="112" customWidth="1"/>
    <col min="10767" max="10767" width="15.28515625" style="112" customWidth="1"/>
    <col min="10768" max="10768" width="15.5703125" style="112" customWidth="1"/>
    <col min="10769" max="10769" width="15.140625" style="112" customWidth="1"/>
    <col min="10770" max="10770" width="13.5703125" style="112" customWidth="1"/>
    <col min="10771" max="10772" width="14" style="112" customWidth="1"/>
    <col min="10773" max="10774" width="14.140625" style="112" customWidth="1"/>
    <col min="10775" max="10775" width="14.28515625" style="112" customWidth="1"/>
    <col min="10776" max="10776" width="12.140625" style="112" customWidth="1"/>
    <col min="10777" max="10777" width="14.5703125" style="112" customWidth="1"/>
    <col min="10778" max="10778" width="14.7109375" style="112" customWidth="1"/>
    <col min="10779" max="10779" width="13" style="112" customWidth="1"/>
    <col min="10780" max="10780" width="14.5703125" style="112" customWidth="1"/>
    <col min="10781" max="10781" width="12.28515625" style="112" customWidth="1"/>
    <col min="10782" max="10782" width="15.28515625" style="112" customWidth="1"/>
    <col min="10783" max="10783" width="12.85546875" style="112" customWidth="1"/>
    <col min="10784" max="10784" width="13.85546875" style="112" customWidth="1"/>
    <col min="10785" max="10785" width="14.5703125" style="112" customWidth="1"/>
    <col min="10786" max="10787" width="14.28515625" style="112" customWidth="1"/>
    <col min="10788" max="10788" width="14.5703125" style="112" customWidth="1"/>
    <col min="10789" max="10789" width="14.28515625" style="112" customWidth="1"/>
    <col min="10790" max="10790" width="12.5703125" style="112" customWidth="1"/>
    <col min="10791" max="10791" width="11" style="112" customWidth="1"/>
    <col min="10792" max="11008" width="9.140625" style="112"/>
    <col min="11009" max="11009" width="3.5703125" style="112" customWidth="1"/>
    <col min="11010" max="11010" width="13.85546875" style="112" customWidth="1"/>
    <col min="11011" max="11011" width="15.5703125" style="112" customWidth="1"/>
    <col min="11012" max="11012" width="15.7109375" style="112" customWidth="1"/>
    <col min="11013" max="11013" width="15.42578125" style="112" customWidth="1"/>
    <col min="11014" max="11014" width="14" style="112" customWidth="1"/>
    <col min="11015" max="11016" width="13.85546875" style="112" customWidth="1"/>
    <col min="11017" max="11017" width="12.42578125" style="112" customWidth="1"/>
    <col min="11018" max="11018" width="13.85546875" style="112" customWidth="1"/>
    <col min="11019" max="11019" width="16.7109375" style="112" customWidth="1"/>
    <col min="11020" max="11021" width="14.28515625" style="112" customWidth="1"/>
    <col min="11022" max="11022" width="14" style="112" customWidth="1"/>
    <col min="11023" max="11023" width="15.28515625" style="112" customWidth="1"/>
    <col min="11024" max="11024" width="15.5703125" style="112" customWidth="1"/>
    <col min="11025" max="11025" width="15.140625" style="112" customWidth="1"/>
    <col min="11026" max="11026" width="13.5703125" style="112" customWidth="1"/>
    <col min="11027" max="11028" width="14" style="112" customWidth="1"/>
    <col min="11029" max="11030" width="14.140625" style="112" customWidth="1"/>
    <col min="11031" max="11031" width="14.28515625" style="112" customWidth="1"/>
    <col min="11032" max="11032" width="12.140625" style="112" customWidth="1"/>
    <col min="11033" max="11033" width="14.5703125" style="112" customWidth="1"/>
    <col min="11034" max="11034" width="14.7109375" style="112" customWidth="1"/>
    <col min="11035" max="11035" width="13" style="112" customWidth="1"/>
    <col min="11036" max="11036" width="14.5703125" style="112" customWidth="1"/>
    <col min="11037" max="11037" width="12.28515625" style="112" customWidth="1"/>
    <col min="11038" max="11038" width="15.28515625" style="112" customWidth="1"/>
    <col min="11039" max="11039" width="12.85546875" style="112" customWidth="1"/>
    <col min="11040" max="11040" width="13.85546875" style="112" customWidth="1"/>
    <col min="11041" max="11041" width="14.5703125" style="112" customWidth="1"/>
    <col min="11042" max="11043" width="14.28515625" style="112" customWidth="1"/>
    <col min="11044" max="11044" width="14.5703125" style="112" customWidth="1"/>
    <col min="11045" max="11045" width="14.28515625" style="112" customWidth="1"/>
    <col min="11046" max="11046" width="12.5703125" style="112" customWidth="1"/>
    <col min="11047" max="11047" width="11" style="112" customWidth="1"/>
    <col min="11048" max="11264" width="9.140625" style="112"/>
    <col min="11265" max="11265" width="3.5703125" style="112" customWidth="1"/>
    <col min="11266" max="11266" width="13.85546875" style="112" customWidth="1"/>
    <col min="11267" max="11267" width="15.5703125" style="112" customWidth="1"/>
    <col min="11268" max="11268" width="15.7109375" style="112" customWidth="1"/>
    <col min="11269" max="11269" width="15.42578125" style="112" customWidth="1"/>
    <col min="11270" max="11270" width="14" style="112" customWidth="1"/>
    <col min="11271" max="11272" width="13.85546875" style="112" customWidth="1"/>
    <col min="11273" max="11273" width="12.42578125" style="112" customWidth="1"/>
    <col min="11274" max="11274" width="13.85546875" style="112" customWidth="1"/>
    <col min="11275" max="11275" width="16.7109375" style="112" customWidth="1"/>
    <col min="11276" max="11277" width="14.28515625" style="112" customWidth="1"/>
    <col min="11278" max="11278" width="14" style="112" customWidth="1"/>
    <col min="11279" max="11279" width="15.28515625" style="112" customWidth="1"/>
    <col min="11280" max="11280" width="15.5703125" style="112" customWidth="1"/>
    <col min="11281" max="11281" width="15.140625" style="112" customWidth="1"/>
    <col min="11282" max="11282" width="13.5703125" style="112" customWidth="1"/>
    <col min="11283" max="11284" width="14" style="112" customWidth="1"/>
    <col min="11285" max="11286" width="14.140625" style="112" customWidth="1"/>
    <col min="11287" max="11287" width="14.28515625" style="112" customWidth="1"/>
    <col min="11288" max="11288" width="12.140625" style="112" customWidth="1"/>
    <col min="11289" max="11289" width="14.5703125" style="112" customWidth="1"/>
    <col min="11290" max="11290" width="14.7109375" style="112" customWidth="1"/>
    <col min="11291" max="11291" width="13" style="112" customWidth="1"/>
    <col min="11292" max="11292" width="14.5703125" style="112" customWidth="1"/>
    <col min="11293" max="11293" width="12.28515625" style="112" customWidth="1"/>
    <col min="11294" max="11294" width="15.28515625" style="112" customWidth="1"/>
    <col min="11295" max="11295" width="12.85546875" style="112" customWidth="1"/>
    <col min="11296" max="11296" width="13.85546875" style="112" customWidth="1"/>
    <col min="11297" max="11297" width="14.5703125" style="112" customWidth="1"/>
    <col min="11298" max="11299" width="14.28515625" style="112" customWidth="1"/>
    <col min="11300" max="11300" width="14.5703125" style="112" customWidth="1"/>
    <col min="11301" max="11301" width="14.28515625" style="112" customWidth="1"/>
    <col min="11302" max="11302" width="12.5703125" style="112" customWidth="1"/>
    <col min="11303" max="11303" width="11" style="112" customWidth="1"/>
    <col min="11304" max="11520" width="9.140625" style="112"/>
    <col min="11521" max="11521" width="3.5703125" style="112" customWidth="1"/>
    <col min="11522" max="11522" width="13.85546875" style="112" customWidth="1"/>
    <col min="11523" max="11523" width="15.5703125" style="112" customWidth="1"/>
    <col min="11524" max="11524" width="15.7109375" style="112" customWidth="1"/>
    <col min="11525" max="11525" width="15.42578125" style="112" customWidth="1"/>
    <col min="11526" max="11526" width="14" style="112" customWidth="1"/>
    <col min="11527" max="11528" width="13.85546875" style="112" customWidth="1"/>
    <col min="11529" max="11529" width="12.42578125" style="112" customWidth="1"/>
    <col min="11530" max="11530" width="13.85546875" style="112" customWidth="1"/>
    <col min="11531" max="11531" width="16.7109375" style="112" customWidth="1"/>
    <col min="11532" max="11533" width="14.28515625" style="112" customWidth="1"/>
    <col min="11534" max="11534" width="14" style="112" customWidth="1"/>
    <col min="11535" max="11535" width="15.28515625" style="112" customWidth="1"/>
    <col min="11536" max="11536" width="15.5703125" style="112" customWidth="1"/>
    <col min="11537" max="11537" width="15.140625" style="112" customWidth="1"/>
    <col min="11538" max="11538" width="13.5703125" style="112" customWidth="1"/>
    <col min="11539" max="11540" width="14" style="112" customWidth="1"/>
    <col min="11541" max="11542" width="14.140625" style="112" customWidth="1"/>
    <col min="11543" max="11543" width="14.28515625" style="112" customWidth="1"/>
    <col min="11544" max="11544" width="12.140625" style="112" customWidth="1"/>
    <col min="11545" max="11545" width="14.5703125" style="112" customWidth="1"/>
    <col min="11546" max="11546" width="14.7109375" style="112" customWidth="1"/>
    <col min="11547" max="11547" width="13" style="112" customWidth="1"/>
    <col min="11548" max="11548" width="14.5703125" style="112" customWidth="1"/>
    <col min="11549" max="11549" width="12.28515625" style="112" customWidth="1"/>
    <col min="11550" max="11550" width="15.28515625" style="112" customWidth="1"/>
    <col min="11551" max="11551" width="12.85546875" style="112" customWidth="1"/>
    <col min="11552" max="11552" width="13.85546875" style="112" customWidth="1"/>
    <col min="11553" max="11553" width="14.5703125" style="112" customWidth="1"/>
    <col min="11554" max="11555" width="14.28515625" style="112" customWidth="1"/>
    <col min="11556" max="11556" width="14.5703125" style="112" customWidth="1"/>
    <col min="11557" max="11557" width="14.28515625" style="112" customWidth="1"/>
    <col min="11558" max="11558" width="12.5703125" style="112" customWidth="1"/>
    <col min="11559" max="11559" width="11" style="112" customWidth="1"/>
    <col min="11560" max="11776" width="9.140625" style="112"/>
    <col min="11777" max="11777" width="3.5703125" style="112" customWidth="1"/>
    <col min="11778" max="11778" width="13.85546875" style="112" customWidth="1"/>
    <col min="11779" max="11779" width="15.5703125" style="112" customWidth="1"/>
    <col min="11780" max="11780" width="15.7109375" style="112" customWidth="1"/>
    <col min="11781" max="11781" width="15.42578125" style="112" customWidth="1"/>
    <col min="11782" max="11782" width="14" style="112" customWidth="1"/>
    <col min="11783" max="11784" width="13.85546875" style="112" customWidth="1"/>
    <col min="11785" max="11785" width="12.42578125" style="112" customWidth="1"/>
    <col min="11786" max="11786" width="13.85546875" style="112" customWidth="1"/>
    <col min="11787" max="11787" width="16.7109375" style="112" customWidth="1"/>
    <col min="11788" max="11789" width="14.28515625" style="112" customWidth="1"/>
    <col min="11790" max="11790" width="14" style="112" customWidth="1"/>
    <col min="11791" max="11791" width="15.28515625" style="112" customWidth="1"/>
    <col min="11792" max="11792" width="15.5703125" style="112" customWidth="1"/>
    <col min="11793" max="11793" width="15.140625" style="112" customWidth="1"/>
    <col min="11794" max="11794" width="13.5703125" style="112" customWidth="1"/>
    <col min="11795" max="11796" width="14" style="112" customWidth="1"/>
    <col min="11797" max="11798" width="14.140625" style="112" customWidth="1"/>
    <col min="11799" max="11799" width="14.28515625" style="112" customWidth="1"/>
    <col min="11800" max="11800" width="12.140625" style="112" customWidth="1"/>
    <col min="11801" max="11801" width="14.5703125" style="112" customWidth="1"/>
    <col min="11802" max="11802" width="14.7109375" style="112" customWidth="1"/>
    <col min="11803" max="11803" width="13" style="112" customWidth="1"/>
    <col min="11804" max="11804" width="14.5703125" style="112" customWidth="1"/>
    <col min="11805" max="11805" width="12.28515625" style="112" customWidth="1"/>
    <col min="11806" max="11806" width="15.28515625" style="112" customWidth="1"/>
    <col min="11807" max="11807" width="12.85546875" style="112" customWidth="1"/>
    <col min="11808" max="11808" width="13.85546875" style="112" customWidth="1"/>
    <col min="11809" max="11809" width="14.5703125" style="112" customWidth="1"/>
    <col min="11810" max="11811" width="14.28515625" style="112" customWidth="1"/>
    <col min="11812" max="11812" width="14.5703125" style="112" customWidth="1"/>
    <col min="11813" max="11813" width="14.28515625" style="112" customWidth="1"/>
    <col min="11814" max="11814" width="12.5703125" style="112" customWidth="1"/>
    <col min="11815" max="11815" width="11" style="112" customWidth="1"/>
    <col min="11816" max="12032" width="9.140625" style="112"/>
    <col min="12033" max="12033" width="3.5703125" style="112" customWidth="1"/>
    <col min="12034" max="12034" width="13.85546875" style="112" customWidth="1"/>
    <col min="12035" max="12035" width="15.5703125" style="112" customWidth="1"/>
    <col min="12036" max="12036" width="15.7109375" style="112" customWidth="1"/>
    <col min="12037" max="12037" width="15.42578125" style="112" customWidth="1"/>
    <col min="12038" max="12038" width="14" style="112" customWidth="1"/>
    <col min="12039" max="12040" width="13.85546875" style="112" customWidth="1"/>
    <col min="12041" max="12041" width="12.42578125" style="112" customWidth="1"/>
    <col min="12042" max="12042" width="13.85546875" style="112" customWidth="1"/>
    <col min="12043" max="12043" width="16.7109375" style="112" customWidth="1"/>
    <col min="12044" max="12045" width="14.28515625" style="112" customWidth="1"/>
    <col min="12046" max="12046" width="14" style="112" customWidth="1"/>
    <col min="12047" max="12047" width="15.28515625" style="112" customWidth="1"/>
    <col min="12048" max="12048" width="15.5703125" style="112" customWidth="1"/>
    <col min="12049" max="12049" width="15.140625" style="112" customWidth="1"/>
    <col min="12050" max="12050" width="13.5703125" style="112" customWidth="1"/>
    <col min="12051" max="12052" width="14" style="112" customWidth="1"/>
    <col min="12053" max="12054" width="14.140625" style="112" customWidth="1"/>
    <col min="12055" max="12055" width="14.28515625" style="112" customWidth="1"/>
    <col min="12056" max="12056" width="12.140625" style="112" customWidth="1"/>
    <col min="12057" max="12057" width="14.5703125" style="112" customWidth="1"/>
    <col min="12058" max="12058" width="14.7109375" style="112" customWidth="1"/>
    <col min="12059" max="12059" width="13" style="112" customWidth="1"/>
    <col min="12060" max="12060" width="14.5703125" style="112" customWidth="1"/>
    <col min="12061" max="12061" width="12.28515625" style="112" customWidth="1"/>
    <col min="12062" max="12062" width="15.28515625" style="112" customWidth="1"/>
    <col min="12063" max="12063" width="12.85546875" style="112" customWidth="1"/>
    <col min="12064" max="12064" width="13.85546875" style="112" customWidth="1"/>
    <col min="12065" max="12065" width="14.5703125" style="112" customWidth="1"/>
    <col min="12066" max="12067" width="14.28515625" style="112" customWidth="1"/>
    <col min="12068" max="12068" width="14.5703125" style="112" customWidth="1"/>
    <col min="12069" max="12069" width="14.28515625" style="112" customWidth="1"/>
    <col min="12070" max="12070" width="12.5703125" style="112" customWidth="1"/>
    <col min="12071" max="12071" width="11" style="112" customWidth="1"/>
    <col min="12072" max="12288" width="9.140625" style="112"/>
    <col min="12289" max="12289" width="3.5703125" style="112" customWidth="1"/>
    <col min="12290" max="12290" width="13.85546875" style="112" customWidth="1"/>
    <col min="12291" max="12291" width="15.5703125" style="112" customWidth="1"/>
    <col min="12292" max="12292" width="15.7109375" style="112" customWidth="1"/>
    <col min="12293" max="12293" width="15.42578125" style="112" customWidth="1"/>
    <col min="12294" max="12294" width="14" style="112" customWidth="1"/>
    <col min="12295" max="12296" width="13.85546875" style="112" customWidth="1"/>
    <col min="12297" max="12297" width="12.42578125" style="112" customWidth="1"/>
    <col min="12298" max="12298" width="13.85546875" style="112" customWidth="1"/>
    <col min="12299" max="12299" width="16.7109375" style="112" customWidth="1"/>
    <col min="12300" max="12301" width="14.28515625" style="112" customWidth="1"/>
    <col min="12302" max="12302" width="14" style="112" customWidth="1"/>
    <col min="12303" max="12303" width="15.28515625" style="112" customWidth="1"/>
    <col min="12304" max="12304" width="15.5703125" style="112" customWidth="1"/>
    <col min="12305" max="12305" width="15.140625" style="112" customWidth="1"/>
    <col min="12306" max="12306" width="13.5703125" style="112" customWidth="1"/>
    <col min="12307" max="12308" width="14" style="112" customWidth="1"/>
    <col min="12309" max="12310" width="14.140625" style="112" customWidth="1"/>
    <col min="12311" max="12311" width="14.28515625" style="112" customWidth="1"/>
    <col min="12312" max="12312" width="12.140625" style="112" customWidth="1"/>
    <col min="12313" max="12313" width="14.5703125" style="112" customWidth="1"/>
    <col min="12314" max="12314" width="14.7109375" style="112" customWidth="1"/>
    <col min="12315" max="12315" width="13" style="112" customWidth="1"/>
    <col min="12316" max="12316" width="14.5703125" style="112" customWidth="1"/>
    <col min="12317" max="12317" width="12.28515625" style="112" customWidth="1"/>
    <col min="12318" max="12318" width="15.28515625" style="112" customWidth="1"/>
    <col min="12319" max="12319" width="12.85546875" style="112" customWidth="1"/>
    <col min="12320" max="12320" width="13.85546875" style="112" customWidth="1"/>
    <col min="12321" max="12321" width="14.5703125" style="112" customWidth="1"/>
    <col min="12322" max="12323" width="14.28515625" style="112" customWidth="1"/>
    <col min="12324" max="12324" width="14.5703125" style="112" customWidth="1"/>
    <col min="12325" max="12325" width="14.28515625" style="112" customWidth="1"/>
    <col min="12326" max="12326" width="12.5703125" style="112" customWidth="1"/>
    <col min="12327" max="12327" width="11" style="112" customWidth="1"/>
    <col min="12328" max="12544" width="9.140625" style="112"/>
    <col min="12545" max="12545" width="3.5703125" style="112" customWidth="1"/>
    <col min="12546" max="12546" width="13.85546875" style="112" customWidth="1"/>
    <col min="12547" max="12547" width="15.5703125" style="112" customWidth="1"/>
    <col min="12548" max="12548" width="15.7109375" style="112" customWidth="1"/>
    <col min="12549" max="12549" width="15.42578125" style="112" customWidth="1"/>
    <col min="12550" max="12550" width="14" style="112" customWidth="1"/>
    <col min="12551" max="12552" width="13.85546875" style="112" customWidth="1"/>
    <col min="12553" max="12553" width="12.42578125" style="112" customWidth="1"/>
    <col min="12554" max="12554" width="13.85546875" style="112" customWidth="1"/>
    <col min="12555" max="12555" width="16.7109375" style="112" customWidth="1"/>
    <col min="12556" max="12557" width="14.28515625" style="112" customWidth="1"/>
    <col min="12558" max="12558" width="14" style="112" customWidth="1"/>
    <col min="12559" max="12559" width="15.28515625" style="112" customWidth="1"/>
    <col min="12560" max="12560" width="15.5703125" style="112" customWidth="1"/>
    <col min="12561" max="12561" width="15.140625" style="112" customWidth="1"/>
    <col min="12562" max="12562" width="13.5703125" style="112" customWidth="1"/>
    <col min="12563" max="12564" width="14" style="112" customWidth="1"/>
    <col min="12565" max="12566" width="14.140625" style="112" customWidth="1"/>
    <col min="12567" max="12567" width="14.28515625" style="112" customWidth="1"/>
    <col min="12568" max="12568" width="12.140625" style="112" customWidth="1"/>
    <col min="12569" max="12569" width="14.5703125" style="112" customWidth="1"/>
    <col min="12570" max="12570" width="14.7109375" style="112" customWidth="1"/>
    <col min="12571" max="12571" width="13" style="112" customWidth="1"/>
    <col min="12572" max="12572" width="14.5703125" style="112" customWidth="1"/>
    <col min="12573" max="12573" width="12.28515625" style="112" customWidth="1"/>
    <col min="12574" max="12574" width="15.28515625" style="112" customWidth="1"/>
    <col min="12575" max="12575" width="12.85546875" style="112" customWidth="1"/>
    <col min="12576" max="12576" width="13.85546875" style="112" customWidth="1"/>
    <col min="12577" max="12577" width="14.5703125" style="112" customWidth="1"/>
    <col min="12578" max="12579" width="14.28515625" style="112" customWidth="1"/>
    <col min="12580" max="12580" width="14.5703125" style="112" customWidth="1"/>
    <col min="12581" max="12581" width="14.28515625" style="112" customWidth="1"/>
    <col min="12582" max="12582" width="12.5703125" style="112" customWidth="1"/>
    <col min="12583" max="12583" width="11" style="112" customWidth="1"/>
    <col min="12584" max="12800" width="9.140625" style="112"/>
    <col min="12801" max="12801" width="3.5703125" style="112" customWidth="1"/>
    <col min="12802" max="12802" width="13.85546875" style="112" customWidth="1"/>
    <col min="12803" max="12803" width="15.5703125" style="112" customWidth="1"/>
    <col min="12804" max="12804" width="15.7109375" style="112" customWidth="1"/>
    <col min="12805" max="12805" width="15.42578125" style="112" customWidth="1"/>
    <col min="12806" max="12806" width="14" style="112" customWidth="1"/>
    <col min="12807" max="12808" width="13.85546875" style="112" customWidth="1"/>
    <col min="12809" max="12809" width="12.42578125" style="112" customWidth="1"/>
    <col min="12810" max="12810" width="13.85546875" style="112" customWidth="1"/>
    <col min="12811" max="12811" width="16.7109375" style="112" customWidth="1"/>
    <col min="12812" max="12813" width="14.28515625" style="112" customWidth="1"/>
    <col min="12814" max="12814" width="14" style="112" customWidth="1"/>
    <col min="12815" max="12815" width="15.28515625" style="112" customWidth="1"/>
    <col min="12816" max="12816" width="15.5703125" style="112" customWidth="1"/>
    <col min="12817" max="12817" width="15.140625" style="112" customWidth="1"/>
    <col min="12818" max="12818" width="13.5703125" style="112" customWidth="1"/>
    <col min="12819" max="12820" width="14" style="112" customWidth="1"/>
    <col min="12821" max="12822" width="14.140625" style="112" customWidth="1"/>
    <col min="12823" max="12823" width="14.28515625" style="112" customWidth="1"/>
    <col min="12824" max="12824" width="12.140625" style="112" customWidth="1"/>
    <col min="12825" max="12825" width="14.5703125" style="112" customWidth="1"/>
    <col min="12826" max="12826" width="14.7109375" style="112" customWidth="1"/>
    <col min="12827" max="12827" width="13" style="112" customWidth="1"/>
    <col min="12828" max="12828" width="14.5703125" style="112" customWidth="1"/>
    <col min="12829" max="12829" width="12.28515625" style="112" customWidth="1"/>
    <col min="12830" max="12830" width="15.28515625" style="112" customWidth="1"/>
    <col min="12831" max="12831" width="12.85546875" style="112" customWidth="1"/>
    <col min="12832" max="12832" width="13.85546875" style="112" customWidth="1"/>
    <col min="12833" max="12833" width="14.5703125" style="112" customWidth="1"/>
    <col min="12834" max="12835" width="14.28515625" style="112" customWidth="1"/>
    <col min="12836" max="12836" width="14.5703125" style="112" customWidth="1"/>
    <col min="12837" max="12837" width="14.28515625" style="112" customWidth="1"/>
    <col min="12838" max="12838" width="12.5703125" style="112" customWidth="1"/>
    <col min="12839" max="12839" width="11" style="112" customWidth="1"/>
    <col min="12840" max="13056" width="9.140625" style="112"/>
    <col min="13057" max="13057" width="3.5703125" style="112" customWidth="1"/>
    <col min="13058" max="13058" width="13.85546875" style="112" customWidth="1"/>
    <col min="13059" max="13059" width="15.5703125" style="112" customWidth="1"/>
    <col min="13060" max="13060" width="15.7109375" style="112" customWidth="1"/>
    <col min="13061" max="13061" width="15.42578125" style="112" customWidth="1"/>
    <col min="13062" max="13062" width="14" style="112" customWidth="1"/>
    <col min="13063" max="13064" width="13.85546875" style="112" customWidth="1"/>
    <col min="13065" max="13065" width="12.42578125" style="112" customWidth="1"/>
    <col min="13066" max="13066" width="13.85546875" style="112" customWidth="1"/>
    <col min="13067" max="13067" width="16.7109375" style="112" customWidth="1"/>
    <col min="13068" max="13069" width="14.28515625" style="112" customWidth="1"/>
    <col min="13070" max="13070" width="14" style="112" customWidth="1"/>
    <col min="13071" max="13071" width="15.28515625" style="112" customWidth="1"/>
    <col min="13072" max="13072" width="15.5703125" style="112" customWidth="1"/>
    <col min="13073" max="13073" width="15.140625" style="112" customWidth="1"/>
    <col min="13074" max="13074" width="13.5703125" style="112" customWidth="1"/>
    <col min="13075" max="13076" width="14" style="112" customWidth="1"/>
    <col min="13077" max="13078" width="14.140625" style="112" customWidth="1"/>
    <col min="13079" max="13079" width="14.28515625" style="112" customWidth="1"/>
    <col min="13080" max="13080" width="12.140625" style="112" customWidth="1"/>
    <col min="13081" max="13081" width="14.5703125" style="112" customWidth="1"/>
    <col min="13082" max="13082" width="14.7109375" style="112" customWidth="1"/>
    <col min="13083" max="13083" width="13" style="112" customWidth="1"/>
    <col min="13084" max="13084" width="14.5703125" style="112" customWidth="1"/>
    <col min="13085" max="13085" width="12.28515625" style="112" customWidth="1"/>
    <col min="13086" max="13086" width="15.28515625" style="112" customWidth="1"/>
    <col min="13087" max="13087" width="12.85546875" style="112" customWidth="1"/>
    <col min="13088" max="13088" width="13.85546875" style="112" customWidth="1"/>
    <col min="13089" max="13089" width="14.5703125" style="112" customWidth="1"/>
    <col min="13090" max="13091" width="14.28515625" style="112" customWidth="1"/>
    <col min="13092" max="13092" width="14.5703125" style="112" customWidth="1"/>
    <col min="13093" max="13093" width="14.28515625" style="112" customWidth="1"/>
    <col min="13094" max="13094" width="12.5703125" style="112" customWidth="1"/>
    <col min="13095" max="13095" width="11" style="112" customWidth="1"/>
    <col min="13096" max="13312" width="9.140625" style="112"/>
    <col min="13313" max="13313" width="3.5703125" style="112" customWidth="1"/>
    <col min="13314" max="13314" width="13.85546875" style="112" customWidth="1"/>
    <col min="13315" max="13315" width="15.5703125" style="112" customWidth="1"/>
    <col min="13316" max="13316" width="15.7109375" style="112" customWidth="1"/>
    <col min="13317" max="13317" width="15.42578125" style="112" customWidth="1"/>
    <col min="13318" max="13318" width="14" style="112" customWidth="1"/>
    <col min="13319" max="13320" width="13.85546875" style="112" customWidth="1"/>
    <col min="13321" max="13321" width="12.42578125" style="112" customWidth="1"/>
    <col min="13322" max="13322" width="13.85546875" style="112" customWidth="1"/>
    <col min="13323" max="13323" width="16.7109375" style="112" customWidth="1"/>
    <col min="13324" max="13325" width="14.28515625" style="112" customWidth="1"/>
    <col min="13326" max="13326" width="14" style="112" customWidth="1"/>
    <col min="13327" max="13327" width="15.28515625" style="112" customWidth="1"/>
    <col min="13328" max="13328" width="15.5703125" style="112" customWidth="1"/>
    <col min="13329" max="13329" width="15.140625" style="112" customWidth="1"/>
    <col min="13330" max="13330" width="13.5703125" style="112" customWidth="1"/>
    <col min="13331" max="13332" width="14" style="112" customWidth="1"/>
    <col min="13333" max="13334" width="14.140625" style="112" customWidth="1"/>
    <col min="13335" max="13335" width="14.28515625" style="112" customWidth="1"/>
    <col min="13336" max="13336" width="12.140625" style="112" customWidth="1"/>
    <col min="13337" max="13337" width="14.5703125" style="112" customWidth="1"/>
    <col min="13338" max="13338" width="14.7109375" style="112" customWidth="1"/>
    <col min="13339" max="13339" width="13" style="112" customWidth="1"/>
    <col min="13340" max="13340" width="14.5703125" style="112" customWidth="1"/>
    <col min="13341" max="13341" width="12.28515625" style="112" customWidth="1"/>
    <col min="13342" max="13342" width="15.28515625" style="112" customWidth="1"/>
    <col min="13343" max="13343" width="12.85546875" style="112" customWidth="1"/>
    <col min="13344" max="13344" width="13.85546875" style="112" customWidth="1"/>
    <col min="13345" max="13345" width="14.5703125" style="112" customWidth="1"/>
    <col min="13346" max="13347" width="14.28515625" style="112" customWidth="1"/>
    <col min="13348" max="13348" width="14.5703125" style="112" customWidth="1"/>
    <col min="13349" max="13349" width="14.28515625" style="112" customWidth="1"/>
    <col min="13350" max="13350" width="12.5703125" style="112" customWidth="1"/>
    <col min="13351" max="13351" width="11" style="112" customWidth="1"/>
    <col min="13352" max="13568" width="9.140625" style="112"/>
    <col min="13569" max="13569" width="3.5703125" style="112" customWidth="1"/>
    <col min="13570" max="13570" width="13.85546875" style="112" customWidth="1"/>
    <col min="13571" max="13571" width="15.5703125" style="112" customWidth="1"/>
    <col min="13572" max="13572" width="15.7109375" style="112" customWidth="1"/>
    <col min="13573" max="13573" width="15.42578125" style="112" customWidth="1"/>
    <col min="13574" max="13574" width="14" style="112" customWidth="1"/>
    <col min="13575" max="13576" width="13.85546875" style="112" customWidth="1"/>
    <col min="13577" max="13577" width="12.42578125" style="112" customWidth="1"/>
    <col min="13578" max="13578" width="13.85546875" style="112" customWidth="1"/>
    <col min="13579" max="13579" width="16.7109375" style="112" customWidth="1"/>
    <col min="13580" max="13581" width="14.28515625" style="112" customWidth="1"/>
    <col min="13582" max="13582" width="14" style="112" customWidth="1"/>
    <col min="13583" max="13583" width="15.28515625" style="112" customWidth="1"/>
    <col min="13584" max="13584" width="15.5703125" style="112" customWidth="1"/>
    <col min="13585" max="13585" width="15.140625" style="112" customWidth="1"/>
    <col min="13586" max="13586" width="13.5703125" style="112" customWidth="1"/>
    <col min="13587" max="13588" width="14" style="112" customWidth="1"/>
    <col min="13589" max="13590" width="14.140625" style="112" customWidth="1"/>
    <col min="13591" max="13591" width="14.28515625" style="112" customWidth="1"/>
    <col min="13592" max="13592" width="12.140625" style="112" customWidth="1"/>
    <col min="13593" max="13593" width="14.5703125" style="112" customWidth="1"/>
    <col min="13594" max="13594" width="14.7109375" style="112" customWidth="1"/>
    <col min="13595" max="13595" width="13" style="112" customWidth="1"/>
    <col min="13596" max="13596" width="14.5703125" style="112" customWidth="1"/>
    <col min="13597" max="13597" width="12.28515625" style="112" customWidth="1"/>
    <col min="13598" max="13598" width="15.28515625" style="112" customWidth="1"/>
    <col min="13599" max="13599" width="12.85546875" style="112" customWidth="1"/>
    <col min="13600" max="13600" width="13.85546875" style="112" customWidth="1"/>
    <col min="13601" max="13601" width="14.5703125" style="112" customWidth="1"/>
    <col min="13602" max="13603" width="14.28515625" style="112" customWidth="1"/>
    <col min="13604" max="13604" width="14.5703125" style="112" customWidth="1"/>
    <col min="13605" max="13605" width="14.28515625" style="112" customWidth="1"/>
    <col min="13606" max="13606" width="12.5703125" style="112" customWidth="1"/>
    <col min="13607" max="13607" width="11" style="112" customWidth="1"/>
    <col min="13608" max="13824" width="9.140625" style="112"/>
    <col min="13825" max="13825" width="3.5703125" style="112" customWidth="1"/>
    <col min="13826" max="13826" width="13.85546875" style="112" customWidth="1"/>
    <col min="13827" max="13827" width="15.5703125" style="112" customWidth="1"/>
    <col min="13828" max="13828" width="15.7109375" style="112" customWidth="1"/>
    <col min="13829" max="13829" width="15.42578125" style="112" customWidth="1"/>
    <col min="13830" max="13830" width="14" style="112" customWidth="1"/>
    <col min="13831" max="13832" width="13.85546875" style="112" customWidth="1"/>
    <col min="13833" max="13833" width="12.42578125" style="112" customWidth="1"/>
    <col min="13834" max="13834" width="13.85546875" style="112" customWidth="1"/>
    <col min="13835" max="13835" width="16.7109375" style="112" customWidth="1"/>
    <col min="13836" max="13837" width="14.28515625" style="112" customWidth="1"/>
    <col min="13838" max="13838" width="14" style="112" customWidth="1"/>
    <col min="13839" max="13839" width="15.28515625" style="112" customWidth="1"/>
    <col min="13840" max="13840" width="15.5703125" style="112" customWidth="1"/>
    <col min="13841" max="13841" width="15.140625" style="112" customWidth="1"/>
    <col min="13842" max="13842" width="13.5703125" style="112" customWidth="1"/>
    <col min="13843" max="13844" width="14" style="112" customWidth="1"/>
    <col min="13845" max="13846" width="14.140625" style="112" customWidth="1"/>
    <col min="13847" max="13847" width="14.28515625" style="112" customWidth="1"/>
    <col min="13848" max="13848" width="12.140625" style="112" customWidth="1"/>
    <col min="13849" max="13849" width="14.5703125" style="112" customWidth="1"/>
    <col min="13850" max="13850" width="14.7109375" style="112" customWidth="1"/>
    <col min="13851" max="13851" width="13" style="112" customWidth="1"/>
    <col min="13852" max="13852" width="14.5703125" style="112" customWidth="1"/>
    <col min="13853" max="13853" width="12.28515625" style="112" customWidth="1"/>
    <col min="13854" max="13854" width="15.28515625" style="112" customWidth="1"/>
    <col min="13855" max="13855" width="12.85546875" style="112" customWidth="1"/>
    <col min="13856" max="13856" width="13.85546875" style="112" customWidth="1"/>
    <col min="13857" max="13857" width="14.5703125" style="112" customWidth="1"/>
    <col min="13858" max="13859" width="14.28515625" style="112" customWidth="1"/>
    <col min="13860" max="13860" width="14.5703125" style="112" customWidth="1"/>
    <col min="13861" max="13861" width="14.28515625" style="112" customWidth="1"/>
    <col min="13862" max="13862" width="12.5703125" style="112" customWidth="1"/>
    <col min="13863" max="13863" width="11" style="112" customWidth="1"/>
    <col min="13864" max="14080" width="9.140625" style="112"/>
    <col min="14081" max="14081" width="3.5703125" style="112" customWidth="1"/>
    <col min="14082" max="14082" width="13.85546875" style="112" customWidth="1"/>
    <col min="14083" max="14083" width="15.5703125" style="112" customWidth="1"/>
    <col min="14084" max="14084" width="15.7109375" style="112" customWidth="1"/>
    <col min="14085" max="14085" width="15.42578125" style="112" customWidth="1"/>
    <col min="14086" max="14086" width="14" style="112" customWidth="1"/>
    <col min="14087" max="14088" width="13.85546875" style="112" customWidth="1"/>
    <col min="14089" max="14089" width="12.42578125" style="112" customWidth="1"/>
    <col min="14090" max="14090" width="13.85546875" style="112" customWidth="1"/>
    <col min="14091" max="14091" width="16.7109375" style="112" customWidth="1"/>
    <col min="14092" max="14093" width="14.28515625" style="112" customWidth="1"/>
    <col min="14094" max="14094" width="14" style="112" customWidth="1"/>
    <col min="14095" max="14095" width="15.28515625" style="112" customWidth="1"/>
    <col min="14096" max="14096" width="15.5703125" style="112" customWidth="1"/>
    <col min="14097" max="14097" width="15.140625" style="112" customWidth="1"/>
    <col min="14098" max="14098" width="13.5703125" style="112" customWidth="1"/>
    <col min="14099" max="14100" width="14" style="112" customWidth="1"/>
    <col min="14101" max="14102" width="14.140625" style="112" customWidth="1"/>
    <col min="14103" max="14103" width="14.28515625" style="112" customWidth="1"/>
    <col min="14104" max="14104" width="12.140625" style="112" customWidth="1"/>
    <col min="14105" max="14105" width="14.5703125" style="112" customWidth="1"/>
    <col min="14106" max="14106" width="14.7109375" style="112" customWidth="1"/>
    <col min="14107" max="14107" width="13" style="112" customWidth="1"/>
    <col min="14108" max="14108" width="14.5703125" style="112" customWidth="1"/>
    <col min="14109" max="14109" width="12.28515625" style="112" customWidth="1"/>
    <col min="14110" max="14110" width="15.28515625" style="112" customWidth="1"/>
    <col min="14111" max="14111" width="12.85546875" style="112" customWidth="1"/>
    <col min="14112" max="14112" width="13.85546875" style="112" customWidth="1"/>
    <col min="14113" max="14113" width="14.5703125" style="112" customWidth="1"/>
    <col min="14114" max="14115" width="14.28515625" style="112" customWidth="1"/>
    <col min="14116" max="14116" width="14.5703125" style="112" customWidth="1"/>
    <col min="14117" max="14117" width="14.28515625" style="112" customWidth="1"/>
    <col min="14118" max="14118" width="12.5703125" style="112" customWidth="1"/>
    <col min="14119" max="14119" width="11" style="112" customWidth="1"/>
    <col min="14120" max="14336" width="9.140625" style="112"/>
    <col min="14337" max="14337" width="3.5703125" style="112" customWidth="1"/>
    <col min="14338" max="14338" width="13.85546875" style="112" customWidth="1"/>
    <col min="14339" max="14339" width="15.5703125" style="112" customWidth="1"/>
    <col min="14340" max="14340" width="15.7109375" style="112" customWidth="1"/>
    <col min="14341" max="14341" width="15.42578125" style="112" customWidth="1"/>
    <col min="14342" max="14342" width="14" style="112" customWidth="1"/>
    <col min="14343" max="14344" width="13.85546875" style="112" customWidth="1"/>
    <col min="14345" max="14345" width="12.42578125" style="112" customWidth="1"/>
    <col min="14346" max="14346" width="13.85546875" style="112" customWidth="1"/>
    <col min="14347" max="14347" width="16.7109375" style="112" customWidth="1"/>
    <col min="14348" max="14349" width="14.28515625" style="112" customWidth="1"/>
    <col min="14350" max="14350" width="14" style="112" customWidth="1"/>
    <col min="14351" max="14351" width="15.28515625" style="112" customWidth="1"/>
    <col min="14352" max="14352" width="15.5703125" style="112" customWidth="1"/>
    <col min="14353" max="14353" width="15.140625" style="112" customWidth="1"/>
    <col min="14354" max="14354" width="13.5703125" style="112" customWidth="1"/>
    <col min="14355" max="14356" width="14" style="112" customWidth="1"/>
    <col min="14357" max="14358" width="14.140625" style="112" customWidth="1"/>
    <col min="14359" max="14359" width="14.28515625" style="112" customWidth="1"/>
    <col min="14360" max="14360" width="12.140625" style="112" customWidth="1"/>
    <col min="14361" max="14361" width="14.5703125" style="112" customWidth="1"/>
    <col min="14362" max="14362" width="14.7109375" style="112" customWidth="1"/>
    <col min="14363" max="14363" width="13" style="112" customWidth="1"/>
    <col min="14364" max="14364" width="14.5703125" style="112" customWidth="1"/>
    <col min="14365" max="14365" width="12.28515625" style="112" customWidth="1"/>
    <col min="14366" max="14366" width="15.28515625" style="112" customWidth="1"/>
    <col min="14367" max="14367" width="12.85546875" style="112" customWidth="1"/>
    <col min="14368" max="14368" width="13.85546875" style="112" customWidth="1"/>
    <col min="14369" max="14369" width="14.5703125" style="112" customWidth="1"/>
    <col min="14370" max="14371" width="14.28515625" style="112" customWidth="1"/>
    <col min="14372" max="14372" width="14.5703125" style="112" customWidth="1"/>
    <col min="14373" max="14373" width="14.28515625" style="112" customWidth="1"/>
    <col min="14374" max="14374" width="12.5703125" style="112" customWidth="1"/>
    <col min="14375" max="14375" width="11" style="112" customWidth="1"/>
    <col min="14376" max="14592" width="9.140625" style="112"/>
    <col min="14593" max="14593" width="3.5703125" style="112" customWidth="1"/>
    <col min="14594" max="14594" width="13.85546875" style="112" customWidth="1"/>
    <col min="14595" max="14595" width="15.5703125" style="112" customWidth="1"/>
    <col min="14596" max="14596" width="15.7109375" style="112" customWidth="1"/>
    <col min="14597" max="14597" width="15.42578125" style="112" customWidth="1"/>
    <col min="14598" max="14598" width="14" style="112" customWidth="1"/>
    <col min="14599" max="14600" width="13.85546875" style="112" customWidth="1"/>
    <col min="14601" max="14601" width="12.42578125" style="112" customWidth="1"/>
    <col min="14602" max="14602" width="13.85546875" style="112" customWidth="1"/>
    <col min="14603" max="14603" width="16.7109375" style="112" customWidth="1"/>
    <col min="14604" max="14605" width="14.28515625" style="112" customWidth="1"/>
    <col min="14606" max="14606" width="14" style="112" customWidth="1"/>
    <col min="14607" max="14607" width="15.28515625" style="112" customWidth="1"/>
    <col min="14608" max="14608" width="15.5703125" style="112" customWidth="1"/>
    <col min="14609" max="14609" width="15.140625" style="112" customWidth="1"/>
    <col min="14610" max="14610" width="13.5703125" style="112" customWidth="1"/>
    <col min="14611" max="14612" width="14" style="112" customWidth="1"/>
    <col min="14613" max="14614" width="14.140625" style="112" customWidth="1"/>
    <col min="14615" max="14615" width="14.28515625" style="112" customWidth="1"/>
    <col min="14616" max="14616" width="12.140625" style="112" customWidth="1"/>
    <col min="14617" max="14617" width="14.5703125" style="112" customWidth="1"/>
    <col min="14618" max="14618" width="14.7109375" style="112" customWidth="1"/>
    <col min="14619" max="14619" width="13" style="112" customWidth="1"/>
    <col min="14620" max="14620" width="14.5703125" style="112" customWidth="1"/>
    <col min="14621" max="14621" width="12.28515625" style="112" customWidth="1"/>
    <col min="14622" max="14622" width="15.28515625" style="112" customWidth="1"/>
    <col min="14623" max="14623" width="12.85546875" style="112" customWidth="1"/>
    <col min="14624" max="14624" width="13.85546875" style="112" customWidth="1"/>
    <col min="14625" max="14625" width="14.5703125" style="112" customWidth="1"/>
    <col min="14626" max="14627" width="14.28515625" style="112" customWidth="1"/>
    <col min="14628" max="14628" width="14.5703125" style="112" customWidth="1"/>
    <col min="14629" max="14629" width="14.28515625" style="112" customWidth="1"/>
    <col min="14630" max="14630" width="12.5703125" style="112" customWidth="1"/>
    <col min="14631" max="14631" width="11" style="112" customWidth="1"/>
    <col min="14632" max="14848" width="9.140625" style="112"/>
    <col min="14849" max="14849" width="3.5703125" style="112" customWidth="1"/>
    <col min="14850" max="14850" width="13.85546875" style="112" customWidth="1"/>
    <col min="14851" max="14851" width="15.5703125" style="112" customWidth="1"/>
    <col min="14852" max="14852" width="15.7109375" style="112" customWidth="1"/>
    <col min="14853" max="14853" width="15.42578125" style="112" customWidth="1"/>
    <col min="14854" max="14854" width="14" style="112" customWidth="1"/>
    <col min="14855" max="14856" width="13.85546875" style="112" customWidth="1"/>
    <col min="14857" max="14857" width="12.42578125" style="112" customWidth="1"/>
    <col min="14858" max="14858" width="13.85546875" style="112" customWidth="1"/>
    <col min="14859" max="14859" width="16.7109375" style="112" customWidth="1"/>
    <col min="14860" max="14861" width="14.28515625" style="112" customWidth="1"/>
    <col min="14862" max="14862" width="14" style="112" customWidth="1"/>
    <col min="14863" max="14863" width="15.28515625" style="112" customWidth="1"/>
    <col min="14864" max="14864" width="15.5703125" style="112" customWidth="1"/>
    <col min="14865" max="14865" width="15.140625" style="112" customWidth="1"/>
    <col min="14866" max="14866" width="13.5703125" style="112" customWidth="1"/>
    <col min="14867" max="14868" width="14" style="112" customWidth="1"/>
    <col min="14869" max="14870" width="14.140625" style="112" customWidth="1"/>
    <col min="14871" max="14871" width="14.28515625" style="112" customWidth="1"/>
    <col min="14872" max="14872" width="12.140625" style="112" customWidth="1"/>
    <col min="14873" max="14873" width="14.5703125" style="112" customWidth="1"/>
    <col min="14874" max="14874" width="14.7109375" style="112" customWidth="1"/>
    <col min="14875" max="14875" width="13" style="112" customWidth="1"/>
    <col min="14876" max="14876" width="14.5703125" style="112" customWidth="1"/>
    <col min="14877" max="14877" width="12.28515625" style="112" customWidth="1"/>
    <col min="14878" max="14878" width="15.28515625" style="112" customWidth="1"/>
    <col min="14879" max="14879" width="12.85546875" style="112" customWidth="1"/>
    <col min="14880" max="14880" width="13.85546875" style="112" customWidth="1"/>
    <col min="14881" max="14881" width="14.5703125" style="112" customWidth="1"/>
    <col min="14882" max="14883" width="14.28515625" style="112" customWidth="1"/>
    <col min="14884" max="14884" width="14.5703125" style="112" customWidth="1"/>
    <col min="14885" max="14885" width="14.28515625" style="112" customWidth="1"/>
    <col min="14886" max="14886" width="12.5703125" style="112" customWidth="1"/>
    <col min="14887" max="14887" width="11" style="112" customWidth="1"/>
    <col min="14888" max="15104" width="9.140625" style="112"/>
    <col min="15105" max="15105" width="3.5703125" style="112" customWidth="1"/>
    <col min="15106" max="15106" width="13.85546875" style="112" customWidth="1"/>
    <col min="15107" max="15107" width="15.5703125" style="112" customWidth="1"/>
    <col min="15108" max="15108" width="15.7109375" style="112" customWidth="1"/>
    <col min="15109" max="15109" width="15.42578125" style="112" customWidth="1"/>
    <col min="15110" max="15110" width="14" style="112" customWidth="1"/>
    <col min="15111" max="15112" width="13.85546875" style="112" customWidth="1"/>
    <col min="15113" max="15113" width="12.42578125" style="112" customWidth="1"/>
    <col min="15114" max="15114" width="13.85546875" style="112" customWidth="1"/>
    <col min="15115" max="15115" width="16.7109375" style="112" customWidth="1"/>
    <col min="15116" max="15117" width="14.28515625" style="112" customWidth="1"/>
    <col min="15118" max="15118" width="14" style="112" customWidth="1"/>
    <col min="15119" max="15119" width="15.28515625" style="112" customWidth="1"/>
    <col min="15120" max="15120" width="15.5703125" style="112" customWidth="1"/>
    <col min="15121" max="15121" width="15.140625" style="112" customWidth="1"/>
    <col min="15122" max="15122" width="13.5703125" style="112" customWidth="1"/>
    <col min="15123" max="15124" width="14" style="112" customWidth="1"/>
    <col min="15125" max="15126" width="14.140625" style="112" customWidth="1"/>
    <col min="15127" max="15127" width="14.28515625" style="112" customWidth="1"/>
    <col min="15128" max="15128" width="12.140625" style="112" customWidth="1"/>
    <col min="15129" max="15129" width="14.5703125" style="112" customWidth="1"/>
    <col min="15130" max="15130" width="14.7109375" style="112" customWidth="1"/>
    <col min="15131" max="15131" width="13" style="112" customWidth="1"/>
    <col min="15132" max="15132" width="14.5703125" style="112" customWidth="1"/>
    <col min="15133" max="15133" width="12.28515625" style="112" customWidth="1"/>
    <col min="15134" max="15134" width="15.28515625" style="112" customWidth="1"/>
    <col min="15135" max="15135" width="12.85546875" style="112" customWidth="1"/>
    <col min="15136" max="15136" width="13.85546875" style="112" customWidth="1"/>
    <col min="15137" max="15137" width="14.5703125" style="112" customWidth="1"/>
    <col min="15138" max="15139" width="14.28515625" style="112" customWidth="1"/>
    <col min="15140" max="15140" width="14.5703125" style="112" customWidth="1"/>
    <col min="15141" max="15141" width="14.28515625" style="112" customWidth="1"/>
    <col min="15142" max="15142" width="12.5703125" style="112" customWidth="1"/>
    <col min="15143" max="15143" width="11" style="112" customWidth="1"/>
    <col min="15144" max="15360" width="9.140625" style="112"/>
    <col min="15361" max="15361" width="3.5703125" style="112" customWidth="1"/>
    <col min="15362" max="15362" width="13.85546875" style="112" customWidth="1"/>
    <col min="15363" max="15363" width="15.5703125" style="112" customWidth="1"/>
    <col min="15364" max="15364" width="15.7109375" style="112" customWidth="1"/>
    <col min="15365" max="15365" width="15.42578125" style="112" customWidth="1"/>
    <col min="15366" max="15366" width="14" style="112" customWidth="1"/>
    <col min="15367" max="15368" width="13.85546875" style="112" customWidth="1"/>
    <col min="15369" max="15369" width="12.42578125" style="112" customWidth="1"/>
    <col min="15370" max="15370" width="13.85546875" style="112" customWidth="1"/>
    <col min="15371" max="15371" width="16.7109375" style="112" customWidth="1"/>
    <col min="15372" max="15373" width="14.28515625" style="112" customWidth="1"/>
    <col min="15374" max="15374" width="14" style="112" customWidth="1"/>
    <col min="15375" max="15375" width="15.28515625" style="112" customWidth="1"/>
    <col min="15376" max="15376" width="15.5703125" style="112" customWidth="1"/>
    <col min="15377" max="15377" width="15.140625" style="112" customWidth="1"/>
    <col min="15378" max="15378" width="13.5703125" style="112" customWidth="1"/>
    <col min="15379" max="15380" width="14" style="112" customWidth="1"/>
    <col min="15381" max="15382" width="14.140625" style="112" customWidth="1"/>
    <col min="15383" max="15383" width="14.28515625" style="112" customWidth="1"/>
    <col min="15384" max="15384" width="12.140625" style="112" customWidth="1"/>
    <col min="15385" max="15385" width="14.5703125" style="112" customWidth="1"/>
    <col min="15386" max="15386" width="14.7109375" style="112" customWidth="1"/>
    <col min="15387" max="15387" width="13" style="112" customWidth="1"/>
    <col min="15388" max="15388" width="14.5703125" style="112" customWidth="1"/>
    <col min="15389" max="15389" width="12.28515625" style="112" customWidth="1"/>
    <col min="15390" max="15390" width="15.28515625" style="112" customWidth="1"/>
    <col min="15391" max="15391" width="12.85546875" style="112" customWidth="1"/>
    <col min="15392" max="15392" width="13.85546875" style="112" customWidth="1"/>
    <col min="15393" max="15393" width="14.5703125" style="112" customWidth="1"/>
    <col min="15394" max="15395" width="14.28515625" style="112" customWidth="1"/>
    <col min="15396" max="15396" width="14.5703125" style="112" customWidth="1"/>
    <col min="15397" max="15397" width="14.28515625" style="112" customWidth="1"/>
    <col min="15398" max="15398" width="12.5703125" style="112" customWidth="1"/>
    <col min="15399" max="15399" width="11" style="112" customWidth="1"/>
    <col min="15400" max="15616" width="9.140625" style="112"/>
    <col min="15617" max="15617" width="3.5703125" style="112" customWidth="1"/>
    <col min="15618" max="15618" width="13.85546875" style="112" customWidth="1"/>
    <col min="15619" max="15619" width="15.5703125" style="112" customWidth="1"/>
    <col min="15620" max="15620" width="15.7109375" style="112" customWidth="1"/>
    <col min="15621" max="15621" width="15.42578125" style="112" customWidth="1"/>
    <col min="15622" max="15622" width="14" style="112" customWidth="1"/>
    <col min="15623" max="15624" width="13.85546875" style="112" customWidth="1"/>
    <col min="15625" max="15625" width="12.42578125" style="112" customWidth="1"/>
    <col min="15626" max="15626" width="13.85546875" style="112" customWidth="1"/>
    <col min="15627" max="15627" width="16.7109375" style="112" customWidth="1"/>
    <col min="15628" max="15629" width="14.28515625" style="112" customWidth="1"/>
    <col min="15630" max="15630" width="14" style="112" customWidth="1"/>
    <col min="15631" max="15631" width="15.28515625" style="112" customWidth="1"/>
    <col min="15632" max="15632" width="15.5703125" style="112" customWidth="1"/>
    <col min="15633" max="15633" width="15.140625" style="112" customWidth="1"/>
    <col min="15634" max="15634" width="13.5703125" style="112" customWidth="1"/>
    <col min="15635" max="15636" width="14" style="112" customWidth="1"/>
    <col min="15637" max="15638" width="14.140625" style="112" customWidth="1"/>
    <col min="15639" max="15639" width="14.28515625" style="112" customWidth="1"/>
    <col min="15640" max="15640" width="12.140625" style="112" customWidth="1"/>
    <col min="15641" max="15641" width="14.5703125" style="112" customWidth="1"/>
    <col min="15642" max="15642" width="14.7109375" style="112" customWidth="1"/>
    <col min="15643" max="15643" width="13" style="112" customWidth="1"/>
    <col min="15644" max="15644" width="14.5703125" style="112" customWidth="1"/>
    <col min="15645" max="15645" width="12.28515625" style="112" customWidth="1"/>
    <col min="15646" max="15646" width="15.28515625" style="112" customWidth="1"/>
    <col min="15647" max="15647" width="12.85546875" style="112" customWidth="1"/>
    <col min="15648" max="15648" width="13.85546875" style="112" customWidth="1"/>
    <col min="15649" max="15649" width="14.5703125" style="112" customWidth="1"/>
    <col min="15650" max="15651" width="14.28515625" style="112" customWidth="1"/>
    <col min="15652" max="15652" width="14.5703125" style="112" customWidth="1"/>
    <col min="15653" max="15653" width="14.28515625" style="112" customWidth="1"/>
    <col min="15654" max="15654" width="12.5703125" style="112" customWidth="1"/>
    <col min="15655" max="15655" width="11" style="112" customWidth="1"/>
    <col min="15656" max="15872" width="9.140625" style="112"/>
    <col min="15873" max="15873" width="3.5703125" style="112" customWidth="1"/>
    <col min="15874" max="15874" width="13.85546875" style="112" customWidth="1"/>
    <col min="15875" max="15875" width="15.5703125" style="112" customWidth="1"/>
    <col min="15876" max="15876" width="15.7109375" style="112" customWidth="1"/>
    <col min="15877" max="15877" width="15.42578125" style="112" customWidth="1"/>
    <col min="15878" max="15878" width="14" style="112" customWidth="1"/>
    <col min="15879" max="15880" width="13.85546875" style="112" customWidth="1"/>
    <col min="15881" max="15881" width="12.42578125" style="112" customWidth="1"/>
    <col min="15882" max="15882" width="13.85546875" style="112" customWidth="1"/>
    <col min="15883" max="15883" width="16.7109375" style="112" customWidth="1"/>
    <col min="15884" max="15885" width="14.28515625" style="112" customWidth="1"/>
    <col min="15886" max="15886" width="14" style="112" customWidth="1"/>
    <col min="15887" max="15887" width="15.28515625" style="112" customWidth="1"/>
    <col min="15888" max="15888" width="15.5703125" style="112" customWidth="1"/>
    <col min="15889" max="15889" width="15.140625" style="112" customWidth="1"/>
    <col min="15890" max="15890" width="13.5703125" style="112" customWidth="1"/>
    <col min="15891" max="15892" width="14" style="112" customWidth="1"/>
    <col min="15893" max="15894" width="14.140625" style="112" customWidth="1"/>
    <col min="15895" max="15895" width="14.28515625" style="112" customWidth="1"/>
    <col min="15896" max="15896" width="12.140625" style="112" customWidth="1"/>
    <col min="15897" max="15897" width="14.5703125" style="112" customWidth="1"/>
    <col min="15898" max="15898" width="14.7109375" style="112" customWidth="1"/>
    <col min="15899" max="15899" width="13" style="112" customWidth="1"/>
    <col min="15900" max="15900" width="14.5703125" style="112" customWidth="1"/>
    <col min="15901" max="15901" width="12.28515625" style="112" customWidth="1"/>
    <col min="15902" max="15902" width="15.28515625" style="112" customWidth="1"/>
    <col min="15903" max="15903" width="12.85546875" style="112" customWidth="1"/>
    <col min="15904" max="15904" width="13.85546875" style="112" customWidth="1"/>
    <col min="15905" max="15905" width="14.5703125" style="112" customWidth="1"/>
    <col min="15906" max="15907" width="14.28515625" style="112" customWidth="1"/>
    <col min="15908" max="15908" width="14.5703125" style="112" customWidth="1"/>
    <col min="15909" max="15909" width="14.28515625" style="112" customWidth="1"/>
    <col min="15910" max="15910" width="12.5703125" style="112" customWidth="1"/>
    <col min="15911" max="15911" width="11" style="112" customWidth="1"/>
    <col min="15912" max="16128" width="9.140625" style="112"/>
    <col min="16129" max="16129" width="3.5703125" style="112" customWidth="1"/>
    <col min="16130" max="16130" width="13.85546875" style="112" customWidth="1"/>
    <col min="16131" max="16131" width="15.5703125" style="112" customWidth="1"/>
    <col min="16132" max="16132" width="15.7109375" style="112" customWidth="1"/>
    <col min="16133" max="16133" width="15.42578125" style="112" customWidth="1"/>
    <col min="16134" max="16134" width="14" style="112" customWidth="1"/>
    <col min="16135" max="16136" width="13.85546875" style="112" customWidth="1"/>
    <col min="16137" max="16137" width="12.42578125" style="112" customWidth="1"/>
    <col min="16138" max="16138" width="13.85546875" style="112" customWidth="1"/>
    <col min="16139" max="16139" width="16.7109375" style="112" customWidth="1"/>
    <col min="16140" max="16141" width="14.28515625" style="112" customWidth="1"/>
    <col min="16142" max="16142" width="14" style="112" customWidth="1"/>
    <col min="16143" max="16143" width="15.28515625" style="112" customWidth="1"/>
    <col min="16144" max="16144" width="15.5703125" style="112" customWidth="1"/>
    <col min="16145" max="16145" width="15.140625" style="112" customWidth="1"/>
    <col min="16146" max="16146" width="13.5703125" style="112" customWidth="1"/>
    <col min="16147" max="16148" width="14" style="112" customWidth="1"/>
    <col min="16149" max="16150" width="14.140625" style="112" customWidth="1"/>
    <col min="16151" max="16151" width="14.28515625" style="112" customWidth="1"/>
    <col min="16152" max="16152" width="12.140625" style="112" customWidth="1"/>
    <col min="16153" max="16153" width="14.5703125" style="112" customWidth="1"/>
    <col min="16154" max="16154" width="14.7109375" style="112" customWidth="1"/>
    <col min="16155" max="16155" width="13" style="112" customWidth="1"/>
    <col min="16156" max="16156" width="14.5703125" style="112" customWidth="1"/>
    <col min="16157" max="16157" width="12.28515625" style="112" customWidth="1"/>
    <col min="16158" max="16158" width="15.28515625" style="112" customWidth="1"/>
    <col min="16159" max="16159" width="12.85546875" style="112" customWidth="1"/>
    <col min="16160" max="16160" width="13.85546875" style="112" customWidth="1"/>
    <col min="16161" max="16161" width="14.5703125" style="112" customWidth="1"/>
    <col min="16162" max="16163" width="14.28515625" style="112" customWidth="1"/>
    <col min="16164" max="16164" width="14.5703125" style="112" customWidth="1"/>
    <col min="16165" max="16165" width="14.28515625" style="112" customWidth="1"/>
    <col min="16166" max="16166" width="12.5703125" style="112" customWidth="1"/>
    <col min="16167" max="16167" width="11" style="112" customWidth="1"/>
    <col min="16168" max="16384" width="9.140625" style="112"/>
  </cols>
  <sheetData>
    <row r="1" spans="1:39" s="95" customFormat="1" ht="15" x14ac:dyDescent="0.25">
      <c r="A1" s="91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3" t="s">
        <v>0</v>
      </c>
      <c r="AK1" s="93"/>
      <c r="AL1" s="91"/>
      <c r="AM1" s="94"/>
    </row>
    <row r="2" spans="1:39" s="95" customFormat="1" ht="15" x14ac:dyDescent="0.25">
      <c r="A2" s="91"/>
      <c r="B2" s="92" t="s">
        <v>943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4"/>
    </row>
    <row r="3" spans="1:39" s="95" customFormat="1" ht="15" x14ac:dyDescent="0.25">
      <c r="A3" s="91"/>
      <c r="B3" s="92" t="s">
        <v>941</v>
      </c>
      <c r="C3" s="96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7"/>
      <c r="R3" s="91"/>
      <c r="S3" s="91"/>
      <c r="T3" s="91"/>
      <c r="U3" s="91"/>
      <c r="V3" s="91"/>
      <c r="W3" s="91"/>
      <c r="X3" s="91"/>
      <c r="Y3" s="91"/>
      <c r="Z3" s="91"/>
      <c r="AA3" s="97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4"/>
    </row>
    <row r="4" spans="1:39" s="95" customFormat="1" ht="15" x14ac:dyDescent="0.25">
      <c r="A4" s="91"/>
      <c r="B4" s="91"/>
      <c r="C4" s="96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4"/>
    </row>
    <row r="5" spans="1:39" s="95" customFormat="1" ht="15" x14ac:dyDescent="0.25">
      <c r="A5" s="98"/>
      <c r="B5" s="98"/>
      <c r="C5" s="92"/>
      <c r="D5" s="99"/>
      <c r="H5" s="100" t="s">
        <v>2</v>
      </c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4"/>
    </row>
    <row r="6" spans="1:39" s="104" customFormat="1" x14ac:dyDescent="0.2">
      <c r="A6" s="101"/>
      <c r="B6" s="101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3"/>
    </row>
    <row r="7" spans="1:39" s="103" customFormat="1" ht="11.25" x14ac:dyDescent="0.2">
      <c r="A7" s="105"/>
      <c r="B7" s="105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</row>
    <row r="8" spans="1:39" x14ac:dyDescent="0.2">
      <c r="A8" s="106"/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7"/>
      <c r="AG8" s="108"/>
      <c r="AH8" s="109"/>
      <c r="AI8" s="109"/>
      <c r="AJ8" s="108"/>
      <c r="AK8" s="108"/>
      <c r="AL8" s="110" t="s">
        <v>3</v>
      </c>
    </row>
    <row r="9" spans="1:39" s="116" customFormat="1" ht="16.5" customHeight="1" x14ac:dyDescent="0.2">
      <c r="A9" s="648" t="s">
        <v>4</v>
      </c>
      <c r="B9" s="648"/>
      <c r="C9" s="113" t="s">
        <v>5</v>
      </c>
      <c r="D9" s="650" t="s">
        <v>6</v>
      </c>
      <c r="E9" s="650"/>
      <c r="F9" s="650"/>
      <c r="G9" s="647" t="s">
        <v>7</v>
      </c>
      <c r="H9" s="647" t="s">
        <v>8</v>
      </c>
      <c r="I9" s="647" t="s">
        <v>9</v>
      </c>
      <c r="J9" s="647" t="s">
        <v>10</v>
      </c>
      <c r="K9" s="647" t="s">
        <v>11</v>
      </c>
      <c r="L9" s="647" t="s">
        <v>12</v>
      </c>
      <c r="M9" s="647" t="s">
        <v>895</v>
      </c>
      <c r="N9" s="647" t="s">
        <v>14</v>
      </c>
      <c r="O9" s="113" t="s">
        <v>15</v>
      </c>
      <c r="P9" s="648" t="s">
        <v>16</v>
      </c>
      <c r="Q9" s="648"/>
      <c r="R9" s="648"/>
      <c r="S9" s="648"/>
      <c r="T9" s="648"/>
      <c r="U9" s="648"/>
      <c r="V9" s="648"/>
      <c r="W9" s="648"/>
      <c r="X9" s="648"/>
      <c r="Y9" s="648"/>
      <c r="Z9" s="114"/>
      <c r="AA9" s="114"/>
      <c r="AB9" s="649" t="s">
        <v>17</v>
      </c>
      <c r="AC9" s="649"/>
      <c r="AD9" s="649"/>
      <c r="AE9" s="649"/>
      <c r="AF9" s="649"/>
      <c r="AG9" s="649"/>
      <c r="AH9" s="649"/>
      <c r="AI9" s="649"/>
      <c r="AJ9" s="649"/>
      <c r="AK9" s="649"/>
      <c r="AL9" s="649"/>
      <c r="AM9" s="115"/>
    </row>
    <row r="10" spans="1:39" s="116" customFormat="1" ht="21" customHeight="1" x14ac:dyDescent="0.2">
      <c r="A10" s="648"/>
      <c r="B10" s="648"/>
      <c r="C10" s="117" t="s">
        <v>18</v>
      </c>
      <c r="D10" s="118"/>
      <c r="E10" s="649" t="s">
        <v>19</v>
      </c>
      <c r="F10" s="649"/>
      <c r="G10" s="647"/>
      <c r="H10" s="647"/>
      <c r="I10" s="647"/>
      <c r="J10" s="647"/>
      <c r="K10" s="647"/>
      <c r="L10" s="647"/>
      <c r="M10" s="647"/>
      <c r="N10" s="647"/>
      <c r="O10" s="117" t="s">
        <v>18</v>
      </c>
      <c r="P10" s="648"/>
      <c r="Q10" s="648"/>
      <c r="R10" s="648"/>
      <c r="S10" s="648"/>
      <c r="T10" s="648"/>
      <c r="U10" s="648"/>
      <c r="V10" s="648"/>
      <c r="W10" s="648"/>
      <c r="X10" s="648"/>
      <c r="Y10" s="648"/>
      <c r="Z10" s="119"/>
      <c r="AA10" s="119"/>
      <c r="AB10" s="649"/>
      <c r="AC10" s="649"/>
      <c r="AD10" s="649"/>
      <c r="AE10" s="649"/>
      <c r="AF10" s="649"/>
      <c r="AG10" s="649"/>
      <c r="AH10" s="649"/>
      <c r="AI10" s="649"/>
      <c r="AJ10" s="649"/>
      <c r="AK10" s="649"/>
      <c r="AL10" s="649"/>
      <c r="AM10" s="115"/>
    </row>
    <row r="11" spans="1:39" s="116" customFormat="1" ht="103.5" customHeight="1" x14ac:dyDescent="0.2">
      <c r="A11" s="648"/>
      <c r="B11" s="648"/>
      <c r="C11" s="120" t="s">
        <v>20</v>
      </c>
      <c r="D11" s="121" t="s">
        <v>21</v>
      </c>
      <c r="E11" s="122" t="s">
        <v>22</v>
      </c>
      <c r="F11" s="122" t="s">
        <v>23</v>
      </c>
      <c r="G11" s="647"/>
      <c r="H11" s="647"/>
      <c r="I11" s="647"/>
      <c r="J11" s="647"/>
      <c r="K11" s="647"/>
      <c r="L11" s="647"/>
      <c r="M11" s="647"/>
      <c r="N11" s="647"/>
      <c r="O11" s="120" t="s">
        <v>24</v>
      </c>
      <c r="P11" s="122" t="s">
        <v>25</v>
      </c>
      <c r="Q11" s="122" t="s">
        <v>26</v>
      </c>
      <c r="R11" s="122" t="s">
        <v>27</v>
      </c>
      <c r="S11" s="122" t="s">
        <v>12</v>
      </c>
      <c r="T11" s="122" t="s">
        <v>28</v>
      </c>
      <c r="U11" s="122" t="s">
        <v>29</v>
      </c>
      <c r="V11" s="122" t="s">
        <v>30</v>
      </c>
      <c r="W11" s="122" t="s">
        <v>31</v>
      </c>
      <c r="X11" s="122" t="s">
        <v>32</v>
      </c>
      <c r="Y11" s="122" t="s">
        <v>33</v>
      </c>
      <c r="Z11" s="121" t="s">
        <v>34</v>
      </c>
      <c r="AA11" s="121" t="s">
        <v>35</v>
      </c>
      <c r="AB11" s="122" t="s">
        <v>36</v>
      </c>
      <c r="AC11" s="122" t="s">
        <v>37</v>
      </c>
      <c r="AD11" s="122" t="s">
        <v>38</v>
      </c>
      <c r="AE11" s="122" t="s">
        <v>39</v>
      </c>
      <c r="AF11" s="122" t="s">
        <v>40</v>
      </c>
      <c r="AG11" s="122" t="s">
        <v>41</v>
      </c>
      <c r="AH11" s="122" t="s">
        <v>896</v>
      </c>
      <c r="AI11" s="122" t="s">
        <v>43</v>
      </c>
      <c r="AJ11" s="122" t="s">
        <v>44</v>
      </c>
      <c r="AK11" s="122" t="s">
        <v>45</v>
      </c>
      <c r="AL11" s="123" t="s">
        <v>32</v>
      </c>
      <c r="AM11" s="115"/>
    </row>
    <row r="12" spans="1:39" s="116" customFormat="1" x14ac:dyDescent="0.2">
      <c r="A12" s="648"/>
      <c r="B12" s="648"/>
      <c r="C12" s="124" t="s">
        <v>46</v>
      </c>
      <c r="D12" s="124" t="s">
        <v>47</v>
      </c>
      <c r="E12" s="124" t="s">
        <v>48</v>
      </c>
      <c r="F12" s="124" t="s">
        <v>49</v>
      </c>
      <c r="G12" s="124" t="s">
        <v>50</v>
      </c>
      <c r="H12" s="124" t="s">
        <v>51</v>
      </c>
      <c r="I12" s="124" t="s">
        <v>52</v>
      </c>
      <c r="J12" s="124" t="s">
        <v>53</v>
      </c>
      <c r="K12" s="124" t="s">
        <v>54</v>
      </c>
      <c r="L12" s="124" t="s">
        <v>55</v>
      </c>
      <c r="M12" s="124" t="s">
        <v>897</v>
      </c>
      <c r="N12" s="124"/>
      <c r="O12" s="124" t="s">
        <v>56</v>
      </c>
      <c r="P12" s="124" t="s">
        <v>57</v>
      </c>
      <c r="Q12" s="124">
        <v>20</v>
      </c>
      <c r="R12" s="124">
        <v>30</v>
      </c>
      <c r="S12" s="124" t="s">
        <v>58</v>
      </c>
      <c r="T12" s="124">
        <v>51</v>
      </c>
      <c r="U12" s="124" t="s">
        <v>59</v>
      </c>
      <c r="V12" s="124">
        <v>56</v>
      </c>
      <c r="W12" s="124" t="s">
        <v>60</v>
      </c>
      <c r="X12" s="124">
        <v>59</v>
      </c>
      <c r="Y12" s="124">
        <v>70</v>
      </c>
      <c r="Z12" s="124">
        <v>79</v>
      </c>
      <c r="AA12" s="124">
        <v>84</v>
      </c>
      <c r="AB12" s="124" t="s">
        <v>56</v>
      </c>
      <c r="AC12" s="124" t="s">
        <v>61</v>
      </c>
      <c r="AD12" s="124" t="s">
        <v>62</v>
      </c>
      <c r="AE12" s="124" t="s">
        <v>63</v>
      </c>
      <c r="AF12" s="124" t="s">
        <v>64</v>
      </c>
      <c r="AG12" s="124" t="s">
        <v>65</v>
      </c>
      <c r="AH12" s="124" t="s">
        <v>898</v>
      </c>
      <c r="AI12" s="124" t="s">
        <v>78</v>
      </c>
      <c r="AJ12" s="124" t="s">
        <v>67</v>
      </c>
      <c r="AK12" s="124" t="s">
        <v>68</v>
      </c>
      <c r="AL12" s="125"/>
      <c r="AM12" s="115"/>
    </row>
    <row r="13" spans="1:39" s="116" customFormat="1" x14ac:dyDescent="0.2">
      <c r="A13" s="651" t="s">
        <v>69</v>
      </c>
      <c r="B13" s="651"/>
      <c r="C13" s="126">
        <v>1</v>
      </c>
      <c r="D13" s="126">
        <v>2</v>
      </c>
      <c r="E13" s="126">
        <v>3</v>
      </c>
      <c r="F13" s="126">
        <v>4</v>
      </c>
      <c r="G13" s="126">
        <v>5</v>
      </c>
      <c r="H13" s="126">
        <v>6</v>
      </c>
      <c r="I13" s="126">
        <v>7</v>
      </c>
      <c r="J13" s="126">
        <v>8</v>
      </c>
      <c r="K13" s="126">
        <v>9</v>
      </c>
      <c r="L13" s="126">
        <v>10</v>
      </c>
      <c r="M13" s="126">
        <v>11</v>
      </c>
      <c r="N13" s="126">
        <v>12</v>
      </c>
      <c r="O13" s="126">
        <v>13</v>
      </c>
      <c r="P13" s="126">
        <v>14</v>
      </c>
      <c r="Q13" s="126">
        <v>15</v>
      </c>
      <c r="R13" s="126">
        <v>16</v>
      </c>
      <c r="S13" s="126">
        <v>17</v>
      </c>
      <c r="T13" s="126">
        <v>18</v>
      </c>
      <c r="U13" s="126">
        <v>19</v>
      </c>
      <c r="V13" s="126">
        <v>20</v>
      </c>
      <c r="W13" s="126">
        <v>21</v>
      </c>
      <c r="X13" s="126">
        <v>22</v>
      </c>
      <c r="Y13" s="126">
        <v>23</v>
      </c>
      <c r="Z13" s="126">
        <v>24</v>
      </c>
      <c r="AA13" s="126">
        <v>25</v>
      </c>
      <c r="AB13" s="126">
        <v>26</v>
      </c>
      <c r="AC13" s="126">
        <v>27</v>
      </c>
      <c r="AD13" s="126">
        <v>28</v>
      </c>
      <c r="AE13" s="126">
        <v>29</v>
      </c>
      <c r="AF13" s="126">
        <v>30</v>
      </c>
      <c r="AG13" s="126">
        <v>31</v>
      </c>
      <c r="AH13" s="126">
        <v>32</v>
      </c>
      <c r="AI13" s="126">
        <v>33</v>
      </c>
      <c r="AJ13" s="126">
        <v>34</v>
      </c>
      <c r="AK13" s="126">
        <v>35</v>
      </c>
      <c r="AL13" s="127">
        <v>36</v>
      </c>
      <c r="AM13" s="115"/>
    </row>
    <row r="14" spans="1:39" s="130" customFormat="1" ht="25.5" customHeight="1" x14ac:dyDescent="0.2">
      <c r="A14" s="652" t="s">
        <v>21</v>
      </c>
      <c r="B14" s="652"/>
      <c r="C14" s="128">
        <f>SUM(C15:C56)</f>
        <v>25593170287</v>
      </c>
      <c r="D14" s="128">
        <f t="shared" ref="D14:AL14" si="0">SUM(D15:D56)</f>
        <v>15518984563</v>
      </c>
      <c r="E14" s="128">
        <f t="shared" si="0"/>
        <v>9325872018</v>
      </c>
      <c r="F14" s="128">
        <f t="shared" si="0"/>
        <v>737974057</v>
      </c>
      <c r="G14" s="128">
        <f t="shared" si="0"/>
        <v>0</v>
      </c>
      <c r="H14" s="128">
        <f t="shared" si="0"/>
        <v>6978491508</v>
      </c>
      <c r="I14" s="128">
        <f t="shared" si="0"/>
        <v>6783037</v>
      </c>
      <c r="J14" s="128">
        <f t="shared" si="0"/>
        <v>353657641</v>
      </c>
      <c r="K14" s="128">
        <f t="shared" si="0"/>
        <v>0</v>
      </c>
      <c r="L14" s="128">
        <f t="shared" si="0"/>
        <v>1270012302</v>
      </c>
      <c r="M14" s="128">
        <f t="shared" si="0"/>
        <v>1419698460</v>
      </c>
      <c r="N14" s="128">
        <f t="shared" si="0"/>
        <v>45542776</v>
      </c>
      <c r="O14" s="128">
        <f t="shared" si="0"/>
        <v>24623960135</v>
      </c>
      <c r="P14" s="128">
        <f t="shared" si="0"/>
        <v>7519397819</v>
      </c>
      <c r="Q14" s="128">
        <f t="shared" si="0"/>
        <v>5823730829</v>
      </c>
      <c r="R14" s="128">
        <f t="shared" si="0"/>
        <v>403987966</v>
      </c>
      <c r="S14" s="128">
        <f t="shared" si="0"/>
        <v>2061708133</v>
      </c>
      <c r="T14" s="128">
        <f t="shared" si="0"/>
        <v>1343213926</v>
      </c>
      <c r="U14" s="128">
        <f t="shared" si="0"/>
        <v>217874456</v>
      </c>
      <c r="V14" s="128">
        <f t="shared" si="0"/>
        <v>2974458679</v>
      </c>
      <c r="W14" s="128">
        <f t="shared" si="0"/>
        <v>873757174</v>
      </c>
      <c r="X14" s="128">
        <f t="shared" si="0"/>
        <v>362026602</v>
      </c>
      <c r="Y14" s="128">
        <f t="shared" si="0"/>
        <v>2234085111</v>
      </c>
      <c r="Z14" s="128">
        <f t="shared" si="0"/>
        <v>916535816</v>
      </c>
      <c r="AA14" s="128">
        <f t="shared" si="0"/>
        <v>-106816376</v>
      </c>
      <c r="AB14" s="128">
        <f t="shared" si="0"/>
        <v>2066837045</v>
      </c>
      <c r="AC14" s="128">
        <f t="shared" si="0"/>
        <v>474673476</v>
      </c>
      <c r="AD14" s="128">
        <f t="shared" si="0"/>
        <v>7634776531</v>
      </c>
      <c r="AE14" s="128">
        <f t="shared" si="0"/>
        <v>655643758</v>
      </c>
      <c r="AF14" s="128">
        <f t="shared" si="0"/>
        <v>2178712196</v>
      </c>
      <c r="AG14" s="128">
        <f t="shared" si="0"/>
        <v>1871082610</v>
      </c>
      <c r="AH14" s="128">
        <f t="shared" si="0"/>
        <v>2540945329</v>
      </c>
      <c r="AI14" s="128">
        <f t="shared" si="0"/>
        <v>1450921435</v>
      </c>
      <c r="AJ14" s="128">
        <f t="shared" si="0"/>
        <v>1762866184</v>
      </c>
      <c r="AK14" s="128">
        <f t="shared" si="0"/>
        <v>3808280946</v>
      </c>
      <c r="AL14" s="128">
        <f t="shared" si="0"/>
        <v>179220625</v>
      </c>
      <c r="AM14" s="129"/>
    </row>
    <row r="15" spans="1:39" s="130" customFormat="1" ht="25.5" customHeight="1" x14ac:dyDescent="0.2">
      <c r="A15" s="131">
        <v>1</v>
      </c>
      <c r="B15" s="132" t="s">
        <v>899</v>
      </c>
      <c r="C15" s="128">
        <f>'1'!D16</f>
        <v>310795387</v>
      </c>
      <c r="D15" s="128">
        <f>'1'!E16</f>
        <v>170483957</v>
      </c>
      <c r="E15" s="128">
        <f>'1'!F16</f>
        <v>94193865</v>
      </c>
      <c r="F15" s="128">
        <f>'1'!G16</f>
        <v>3780591</v>
      </c>
      <c r="G15" s="128">
        <f>'1'!H16</f>
        <v>0</v>
      </c>
      <c r="H15" s="128">
        <f>'1'!I16</f>
        <v>111060204</v>
      </c>
      <c r="I15" s="128">
        <f>'1'!J16</f>
        <v>0</v>
      </c>
      <c r="J15" s="128">
        <f>'1'!K16</f>
        <v>9923000</v>
      </c>
      <c r="K15" s="128">
        <f>'1'!L16</f>
        <v>0</v>
      </c>
      <c r="L15" s="128">
        <f>'1'!M16</f>
        <v>7055726</v>
      </c>
      <c r="M15" s="128">
        <f>'1'!N16</f>
        <v>8277022</v>
      </c>
      <c r="N15" s="128">
        <f>'1'!O16</f>
        <v>3995478</v>
      </c>
      <c r="O15" s="128">
        <f>'1'!P16</f>
        <v>310355096</v>
      </c>
      <c r="P15" s="128">
        <f>'1'!Q16</f>
        <v>126742188</v>
      </c>
      <c r="Q15" s="128">
        <f>'1'!R16</f>
        <v>58849306</v>
      </c>
      <c r="R15" s="128">
        <f>'1'!S16</f>
        <v>5068518</v>
      </c>
      <c r="S15" s="128">
        <f>'1'!T16</f>
        <v>478550</v>
      </c>
      <c r="T15" s="128">
        <f>'1'!U16</f>
        <v>25039741</v>
      </c>
      <c r="U15" s="128">
        <f>'1'!V16</f>
        <v>14748799</v>
      </c>
      <c r="V15" s="128">
        <f>'1'!W16</f>
        <v>16770290</v>
      </c>
      <c r="W15" s="128">
        <f>'1'!X16</f>
        <v>6180311</v>
      </c>
      <c r="X15" s="128">
        <f>'1'!Y16</f>
        <v>6564887</v>
      </c>
      <c r="Y15" s="128">
        <f>'1'!Z16</f>
        <v>36660277</v>
      </c>
      <c r="Z15" s="128">
        <f>'1'!AA16</f>
        <v>13504478</v>
      </c>
      <c r="AA15" s="128">
        <f>'1'!AB16</f>
        <v>-252249</v>
      </c>
      <c r="AB15" s="128">
        <f>'1'!AC16</f>
        <v>31579998</v>
      </c>
      <c r="AC15" s="128">
        <f>'1'!AD16</f>
        <v>7584491</v>
      </c>
      <c r="AD15" s="128">
        <f>'1'!AE16</f>
        <v>120311096</v>
      </c>
      <c r="AE15" s="128">
        <f>'1'!AF16</f>
        <v>4262696</v>
      </c>
      <c r="AF15" s="128">
        <f>'1'!AG16</f>
        <v>20786937</v>
      </c>
      <c r="AG15" s="128">
        <f>'1'!AH16</f>
        <v>24687042</v>
      </c>
      <c r="AH15" s="128">
        <f>'1'!AI16</f>
        <v>49874139</v>
      </c>
      <c r="AI15" s="128">
        <f>'1'!AJ16</f>
        <v>3268820</v>
      </c>
      <c r="AJ15" s="128">
        <f>'1'!AK16</f>
        <v>0</v>
      </c>
      <c r="AK15" s="128">
        <f>'1'!AL16</f>
        <v>47648009</v>
      </c>
      <c r="AL15" s="128">
        <f>'1'!AM16</f>
        <v>351868</v>
      </c>
      <c r="AM15" s="129"/>
    </row>
    <row r="16" spans="1:39" s="130" customFormat="1" ht="25.5" customHeight="1" x14ac:dyDescent="0.2">
      <c r="A16" s="131">
        <v>2</v>
      </c>
      <c r="B16" s="132" t="s">
        <v>900</v>
      </c>
      <c r="C16" s="128">
        <f>'2'!D16</f>
        <v>398449936</v>
      </c>
      <c r="D16" s="128">
        <f>'2'!E16</f>
        <v>279585701</v>
      </c>
      <c r="E16" s="128">
        <f>'2'!F16</f>
        <v>142965654</v>
      </c>
      <c r="F16" s="128">
        <f>'2'!G16</f>
        <v>3458091</v>
      </c>
      <c r="G16" s="128">
        <f>'2'!H16</f>
        <v>0</v>
      </c>
      <c r="H16" s="128">
        <f>'2'!I16</f>
        <v>108933111</v>
      </c>
      <c r="I16" s="128">
        <f>'2'!J16</f>
        <v>0</v>
      </c>
      <c r="J16" s="128">
        <f>'2'!K16</f>
        <v>1201000</v>
      </c>
      <c r="K16" s="128">
        <f>'2'!L16</f>
        <v>0</v>
      </c>
      <c r="L16" s="128">
        <f>'2'!M16</f>
        <v>4455857</v>
      </c>
      <c r="M16" s="128">
        <f>'2'!N16</f>
        <v>3644828</v>
      </c>
      <c r="N16" s="128">
        <f>'2'!O16</f>
        <v>629439</v>
      </c>
      <c r="O16" s="128">
        <f>'2'!P16</f>
        <v>379651461</v>
      </c>
      <c r="P16" s="128">
        <f>'2'!Q16</f>
        <v>118000474</v>
      </c>
      <c r="Q16" s="128">
        <f>'2'!R16</f>
        <v>111379311</v>
      </c>
      <c r="R16" s="128">
        <f>'2'!S16</f>
        <v>2051236</v>
      </c>
      <c r="S16" s="128">
        <f>'2'!T16</f>
        <v>34739363</v>
      </c>
      <c r="T16" s="128">
        <f>'2'!U16</f>
        <v>13388855</v>
      </c>
      <c r="U16" s="128">
        <f>'2'!V16</f>
        <v>10670598</v>
      </c>
      <c r="V16" s="128">
        <f>'2'!W16</f>
        <v>15215085</v>
      </c>
      <c r="W16" s="128">
        <f>'2'!X16</f>
        <v>8630104</v>
      </c>
      <c r="X16" s="128">
        <f>'2'!Y16</f>
        <v>4863395</v>
      </c>
      <c r="Y16" s="128">
        <f>'2'!Z16</f>
        <v>35533153</v>
      </c>
      <c r="Z16" s="128">
        <f>'2'!AA16</f>
        <v>25482612</v>
      </c>
      <c r="AA16" s="128">
        <f>'2'!AB16</f>
        <v>-302725</v>
      </c>
      <c r="AB16" s="128">
        <f>'2'!AC16</f>
        <v>34336918</v>
      </c>
      <c r="AC16" s="128">
        <f>'2'!AD16</f>
        <v>6659555</v>
      </c>
      <c r="AD16" s="128">
        <f>'2'!AE16</f>
        <v>116005608</v>
      </c>
      <c r="AE16" s="128">
        <f>'2'!AF16</f>
        <v>4050821</v>
      </c>
      <c r="AF16" s="128">
        <f>'2'!AG16</f>
        <v>47574290</v>
      </c>
      <c r="AG16" s="128">
        <f>'2'!AH16</f>
        <v>23904594</v>
      </c>
      <c r="AH16" s="128">
        <f>'2'!AI16</f>
        <v>20105067</v>
      </c>
      <c r="AI16" s="128">
        <f>'2'!AJ16</f>
        <v>28004266</v>
      </c>
      <c r="AJ16" s="128">
        <f>'2'!AK16</f>
        <v>33647415</v>
      </c>
      <c r="AK16" s="128">
        <f>'2'!AL16</f>
        <v>65325538</v>
      </c>
      <c r="AL16" s="128">
        <f>'2'!AM16</f>
        <v>37389</v>
      </c>
      <c r="AM16" s="129"/>
    </row>
    <row r="17" spans="1:39" s="130" customFormat="1" ht="25.5" customHeight="1" x14ac:dyDescent="0.2">
      <c r="A17" s="131">
        <v>3</v>
      </c>
      <c r="B17" s="132" t="s">
        <v>901</v>
      </c>
      <c r="C17" s="128">
        <f>'3'!D16</f>
        <v>612535493</v>
      </c>
      <c r="D17" s="128">
        <f>'3'!E16</f>
        <v>270776642</v>
      </c>
      <c r="E17" s="128">
        <f>'3'!F16</f>
        <v>157481340</v>
      </c>
      <c r="F17" s="128">
        <f>'3'!G16</f>
        <v>5318899</v>
      </c>
      <c r="G17" s="128">
        <f>'3'!H16</f>
        <v>0</v>
      </c>
      <c r="H17" s="128">
        <f>'3'!I16</f>
        <v>253843165</v>
      </c>
      <c r="I17" s="128">
        <f>'3'!J16</f>
        <v>200000</v>
      </c>
      <c r="J17" s="128">
        <f>'3'!K16</f>
        <v>4231310</v>
      </c>
      <c r="K17" s="128">
        <f>'3'!L16</f>
        <v>0</v>
      </c>
      <c r="L17" s="128">
        <f>'3'!M16</f>
        <v>26970790</v>
      </c>
      <c r="M17" s="128">
        <f>'3'!N16</f>
        <v>55093260</v>
      </c>
      <c r="N17" s="128">
        <f>'3'!O16</f>
        <v>1420326</v>
      </c>
      <c r="O17" s="128">
        <f>'3'!P16</f>
        <v>592616819</v>
      </c>
      <c r="P17" s="128">
        <f>'3'!Q16</f>
        <v>265551381</v>
      </c>
      <c r="Q17" s="128">
        <f>'3'!R16</f>
        <v>112784619</v>
      </c>
      <c r="R17" s="128">
        <f>'3'!S16</f>
        <v>250435</v>
      </c>
      <c r="S17" s="128">
        <f>'3'!T16</f>
        <v>41372977</v>
      </c>
      <c r="T17" s="128">
        <f>'3'!U16</f>
        <v>14410984</v>
      </c>
      <c r="U17" s="128">
        <f>'3'!V16</f>
        <v>3012272</v>
      </c>
      <c r="V17" s="128">
        <f>'3'!W16</f>
        <v>96067305</v>
      </c>
      <c r="W17" s="128">
        <f>'3'!X16</f>
        <v>13413199</v>
      </c>
      <c r="X17" s="128">
        <f>'3'!Y16</f>
        <v>1891199</v>
      </c>
      <c r="Y17" s="128">
        <f>'3'!Z16</f>
        <v>42732863</v>
      </c>
      <c r="Z17" s="128">
        <f>'3'!AA16</f>
        <v>1806356</v>
      </c>
      <c r="AA17" s="128">
        <f>'3'!AB16</f>
        <v>-676771</v>
      </c>
      <c r="AB17" s="128">
        <f>'3'!AC16</f>
        <v>25475592</v>
      </c>
      <c r="AC17" s="128">
        <f>'3'!AD16</f>
        <v>8438847</v>
      </c>
      <c r="AD17" s="128">
        <f>'3'!AE16</f>
        <v>269470453</v>
      </c>
      <c r="AE17" s="128">
        <f>'3'!AF16</f>
        <v>6197099</v>
      </c>
      <c r="AF17" s="128">
        <f>'3'!AG16</f>
        <v>37471889</v>
      </c>
      <c r="AG17" s="128">
        <f>'3'!AH16</f>
        <v>23633718</v>
      </c>
      <c r="AH17" s="128">
        <f>'3'!AI16</f>
        <v>102887365</v>
      </c>
      <c r="AI17" s="128">
        <f>'3'!AJ16</f>
        <v>15084947</v>
      </c>
      <c r="AJ17" s="128">
        <f>'3'!AK16</f>
        <v>33672062</v>
      </c>
      <c r="AK17" s="128">
        <f>'3'!AL16</f>
        <v>69733180</v>
      </c>
      <c r="AL17" s="128">
        <f>'3'!AM16</f>
        <v>551667</v>
      </c>
      <c r="AM17" s="129"/>
    </row>
    <row r="18" spans="1:39" s="130" customFormat="1" ht="25.5" customHeight="1" x14ac:dyDescent="0.2">
      <c r="A18" s="131">
        <v>4</v>
      </c>
      <c r="B18" s="132" t="s">
        <v>902</v>
      </c>
      <c r="C18" s="128">
        <f>'4'!D16</f>
        <v>521222347</v>
      </c>
      <c r="D18" s="128">
        <f>'4'!E16</f>
        <v>237043885</v>
      </c>
      <c r="E18" s="128">
        <f>'4'!F16</f>
        <v>120145205</v>
      </c>
      <c r="F18" s="128">
        <f>'4'!G16</f>
        <v>1267181</v>
      </c>
      <c r="G18" s="128">
        <f>'4'!H16</f>
        <v>0</v>
      </c>
      <c r="H18" s="128">
        <f>'4'!I16</f>
        <v>190997547</v>
      </c>
      <c r="I18" s="128">
        <f>'4'!J16</f>
        <v>0</v>
      </c>
      <c r="J18" s="128">
        <f>'4'!K16</f>
        <v>3506000</v>
      </c>
      <c r="K18" s="128">
        <f>'4'!L16</f>
        <v>0</v>
      </c>
      <c r="L18" s="128">
        <f>'4'!M16</f>
        <v>51988250</v>
      </c>
      <c r="M18" s="128">
        <f>'4'!N16</f>
        <v>34276159</v>
      </c>
      <c r="N18" s="128">
        <f>'4'!O16</f>
        <v>3410506</v>
      </c>
      <c r="O18" s="128">
        <f>'4'!P16</f>
        <v>522748666</v>
      </c>
      <c r="P18" s="128">
        <f>'4'!Q16</f>
        <v>198665530</v>
      </c>
      <c r="Q18" s="128">
        <f>'4'!R16</f>
        <v>116454817</v>
      </c>
      <c r="R18" s="128">
        <f>'4'!S16</f>
        <v>6547900</v>
      </c>
      <c r="S18" s="128">
        <f>'4'!T16</f>
        <v>11966851</v>
      </c>
      <c r="T18" s="128">
        <f>'4'!U16</f>
        <v>21739009</v>
      </c>
      <c r="U18" s="128">
        <f>'4'!V16</f>
        <v>2364236</v>
      </c>
      <c r="V18" s="128">
        <f>'4'!W16</f>
        <v>101546451</v>
      </c>
      <c r="W18" s="128">
        <f>'4'!X16</f>
        <v>15910938</v>
      </c>
      <c r="X18" s="128">
        <f>'4'!Y16</f>
        <v>12434285</v>
      </c>
      <c r="Y18" s="128">
        <f>'4'!Z16</f>
        <v>23743059</v>
      </c>
      <c r="Z18" s="128">
        <f>'4'!AA16</f>
        <v>12898743</v>
      </c>
      <c r="AA18" s="128">
        <f>'4'!AB16</f>
        <v>-1523153</v>
      </c>
      <c r="AB18" s="128">
        <f>'4'!AC16</f>
        <v>39786124</v>
      </c>
      <c r="AC18" s="128">
        <f>'4'!AD16</f>
        <v>9625915</v>
      </c>
      <c r="AD18" s="128">
        <f>'4'!AE16</f>
        <v>185211567</v>
      </c>
      <c r="AE18" s="128">
        <f>'4'!AF16</f>
        <v>7743174</v>
      </c>
      <c r="AF18" s="128">
        <f>'4'!AG16</f>
        <v>41906218</v>
      </c>
      <c r="AG18" s="128">
        <f>'4'!AH16</f>
        <v>44141698</v>
      </c>
      <c r="AH18" s="128">
        <f>'4'!AI16</f>
        <v>34107959</v>
      </c>
      <c r="AI18" s="128">
        <f>'4'!AJ16</f>
        <v>21834546</v>
      </c>
      <c r="AJ18" s="128">
        <f>'4'!AK16</f>
        <v>102571416</v>
      </c>
      <c r="AK18" s="128">
        <f>'4'!AL16</f>
        <v>35722783</v>
      </c>
      <c r="AL18" s="128">
        <f>'4'!AM16</f>
        <v>97266</v>
      </c>
      <c r="AM18" s="129"/>
    </row>
    <row r="19" spans="1:39" s="130" customFormat="1" ht="25.5" customHeight="1" x14ac:dyDescent="0.2">
      <c r="A19" s="131">
        <v>5</v>
      </c>
      <c r="B19" s="132" t="s">
        <v>903</v>
      </c>
      <c r="C19" s="128">
        <f>'5'!D16</f>
        <v>921207655</v>
      </c>
      <c r="D19" s="128">
        <f>'5'!E16</f>
        <v>333555105</v>
      </c>
      <c r="E19" s="128">
        <f>'5'!F16</f>
        <v>162191325</v>
      </c>
      <c r="F19" s="128">
        <f>'5'!G16</f>
        <v>13331852</v>
      </c>
      <c r="G19" s="128">
        <f>'5'!H16</f>
        <v>0</v>
      </c>
      <c r="H19" s="128">
        <f>'5'!I16</f>
        <v>208189288</v>
      </c>
      <c r="I19" s="128">
        <f>'5'!J16</f>
        <v>300000</v>
      </c>
      <c r="J19" s="128">
        <f>'5'!K16</f>
        <v>11969700</v>
      </c>
      <c r="K19" s="128">
        <f>'5'!L16</f>
        <v>0</v>
      </c>
      <c r="L19" s="128">
        <f>'5'!M16</f>
        <v>167807013</v>
      </c>
      <c r="M19" s="128">
        <f>'5'!N16</f>
        <v>196663609</v>
      </c>
      <c r="N19" s="128">
        <f>'5'!O16</f>
        <v>2722940</v>
      </c>
      <c r="O19" s="128">
        <f>'5'!P16</f>
        <v>902559103</v>
      </c>
      <c r="P19" s="128">
        <f>'5'!Q16</f>
        <v>209097989</v>
      </c>
      <c r="Q19" s="128">
        <f>'5'!R16</f>
        <v>117228830</v>
      </c>
      <c r="R19" s="128">
        <f>'5'!S16</f>
        <v>7823875</v>
      </c>
      <c r="S19" s="128">
        <f>'5'!T16</f>
        <v>43247316</v>
      </c>
      <c r="T19" s="128">
        <f>'5'!U16</f>
        <v>15309919</v>
      </c>
      <c r="U19" s="128">
        <f>'5'!V16</f>
        <v>8347813</v>
      </c>
      <c r="V19" s="128">
        <f>'5'!W16</f>
        <v>395795001</v>
      </c>
      <c r="W19" s="128">
        <f>'5'!X16</f>
        <v>15542517</v>
      </c>
      <c r="X19" s="128">
        <f>'5'!Y16</f>
        <v>3772786</v>
      </c>
      <c r="Y19" s="128">
        <f>'5'!Z16</f>
        <v>35156371</v>
      </c>
      <c r="Z19" s="128">
        <f>'5'!AA16</f>
        <v>54806703</v>
      </c>
      <c r="AA19" s="128">
        <f>'5'!AB16</f>
        <v>-3570017</v>
      </c>
      <c r="AB19" s="128">
        <f>'5'!AC16</f>
        <v>36391312</v>
      </c>
      <c r="AC19" s="128">
        <f>'5'!AD16</f>
        <v>3894347</v>
      </c>
      <c r="AD19" s="128">
        <f>'5'!AE16</f>
        <v>216536353</v>
      </c>
      <c r="AE19" s="128">
        <f>'5'!AF16</f>
        <v>16767702</v>
      </c>
      <c r="AF19" s="128">
        <f>'5'!AG16</f>
        <v>63726451</v>
      </c>
      <c r="AG19" s="128">
        <f>'5'!AH16</f>
        <v>29148913</v>
      </c>
      <c r="AH19" s="128">
        <f>'5'!AI16</f>
        <v>87591719</v>
      </c>
      <c r="AI19" s="128">
        <f>'5'!AJ16</f>
        <v>20612526</v>
      </c>
      <c r="AJ19" s="128">
        <f>'5'!AK16</f>
        <v>268394271</v>
      </c>
      <c r="AK19" s="128">
        <f>'5'!AL16</f>
        <v>131684793</v>
      </c>
      <c r="AL19" s="128">
        <f>'5'!AM16</f>
        <v>27810716</v>
      </c>
      <c r="AM19" s="129"/>
    </row>
    <row r="20" spans="1:39" s="130" customFormat="1" ht="25.5" customHeight="1" x14ac:dyDescent="0.2">
      <c r="A20" s="131">
        <v>6</v>
      </c>
      <c r="B20" s="132" t="s">
        <v>904</v>
      </c>
      <c r="C20" s="128">
        <f>'6'!D16</f>
        <v>207607786</v>
      </c>
      <c r="D20" s="128">
        <f>'6'!E16</f>
        <v>101532670</v>
      </c>
      <c r="E20" s="128">
        <f>'6'!F16</f>
        <v>61054080</v>
      </c>
      <c r="F20" s="128">
        <f>'6'!G16</f>
        <v>302139</v>
      </c>
      <c r="G20" s="128">
        <f>'6'!H16</f>
        <v>0</v>
      </c>
      <c r="H20" s="128">
        <f>'6'!I16</f>
        <v>73872528</v>
      </c>
      <c r="I20" s="128">
        <f>'6'!J16</f>
        <v>0</v>
      </c>
      <c r="J20" s="128">
        <f>'6'!K16</f>
        <v>981000</v>
      </c>
      <c r="K20" s="128">
        <f>'6'!L16</f>
        <v>0</v>
      </c>
      <c r="L20" s="128">
        <f>'6'!M16</f>
        <v>8563011</v>
      </c>
      <c r="M20" s="128">
        <f>'6'!N16</f>
        <v>22639735</v>
      </c>
      <c r="N20" s="128">
        <f>'6'!O16</f>
        <v>18842</v>
      </c>
      <c r="O20" s="128">
        <f>'6'!P16</f>
        <v>199238452</v>
      </c>
      <c r="P20" s="128">
        <f>'6'!Q16</f>
        <v>81655753</v>
      </c>
      <c r="Q20" s="128">
        <f>'6'!R16</f>
        <v>40734952</v>
      </c>
      <c r="R20" s="128">
        <f>'6'!S16</f>
        <v>1004472</v>
      </c>
      <c r="S20" s="128">
        <f>'6'!T16</f>
        <v>2120212</v>
      </c>
      <c r="T20" s="128">
        <f>'6'!U16</f>
        <v>8455802</v>
      </c>
      <c r="U20" s="128">
        <f>'6'!V16</f>
        <v>100535</v>
      </c>
      <c r="V20" s="128">
        <f>'6'!W16</f>
        <v>45323120</v>
      </c>
      <c r="W20" s="128">
        <f>'6'!X16</f>
        <v>4602705</v>
      </c>
      <c r="X20" s="128">
        <f>'6'!Y16</f>
        <v>946056</v>
      </c>
      <c r="Y20" s="128">
        <f>'6'!Z16</f>
        <v>12587339</v>
      </c>
      <c r="Z20" s="128">
        <f>'6'!AA16</f>
        <v>1750000</v>
      </c>
      <c r="AA20" s="128">
        <f>'6'!AB16</f>
        <v>-42494</v>
      </c>
      <c r="AB20" s="128">
        <f>'6'!AC16</f>
        <v>15250935</v>
      </c>
      <c r="AC20" s="128">
        <f>'6'!AD16</f>
        <v>5740711</v>
      </c>
      <c r="AD20" s="128">
        <f>'6'!AE16</f>
        <v>80268668</v>
      </c>
      <c r="AE20" s="128">
        <f>'6'!AF16</f>
        <v>1299028</v>
      </c>
      <c r="AF20" s="128">
        <f>'6'!AG16</f>
        <v>19273560</v>
      </c>
      <c r="AG20" s="128">
        <f>'6'!AH16</f>
        <v>10115730</v>
      </c>
      <c r="AH20" s="128">
        <f>'6'!AI16</f>
        <v>54527047</v>
      </c>
      <c r="AI20" s="128">
        <f>'6'!AJ16</f>
        <v>7732443</v>
      </c>
      <c r="AJ20" s="128">
        <f>'6'!AK16</f>
        <v>0</v>
      </c>
      <c r="AK20" s="128">
        <f>'6'!AL16</f>
        <v>4880607</v>
      </c>
      <c r="AL20" s="128">
        <f>'6'!AM16</f>
        <v>149723</v>
      </c>
      <c r="AM20" s="129"/>
    </row>
    <row r="21" spans="1:39" s="130" customFormat="1" ht="25.5" customHeight="1" x14ac:dyDescent="0.2">
      <c r="A21" s="131">
        <v>7</v>
      </c>
      <c r="B21" s="132" t="s">
        <v>905</v>
      </c>
      <c r="C21" s="128">
        <f>'7'!D16</f>
        <v>259532609</v>
      </c>
      <c r="D21" s="128">
        <f>'7'!E16</f>
        <v>109001814</v>
      </c>
      <c r="E21" s="128">
        <f>'7'!F16</f>
        <v>55825948</v>
      </c>
      <c r="F21" s="128">
        <f>'7'!G16</f>
        <v>1237054</v>
      </c>
      <c r="G21" s="128">
        <f>'7'!H16</f>
        <v>0</v>
      </c>
      <c r="H21" s="128">
        <f>'7'!I16</f>
        <v>117218519</v>
      </c>
      <c r="I21" s="128">
        <f>'7'!J16</f>
        <v>295334</v>
      </c>
      <c r="J21" s="128">
        <f>'7'!K16</f>
        <v>4454360</v>
      </c>
      <c r="K21" s="128">
        <f>'7'!L16</f>
        <v>0</v>
      </c>
      <c r="L21" s="128">
        <f>'7'!M16</f>
        <v>14664412</v>
      </c>
      <c r="M21" s="128">
        <f>'7'!N16</f>
        <v>12048904</v>
      </c>
      <c r="N21" s="128">
        <f>'7'!O16</f>
        <v>1849266</v>
      </c>
      <c r="O21" s="128">
        <f>'7'!P16</f>
        <v>263105579</v>
      </c>
      <c r="P21" s="128">
        <f>'7'!Q16</f>
        <v>118965426</v>
      </c>
      <c r="Q21" s="128">
        <f>'7'!R16</f>
        <v>49505334</v>
      </c>
      <c r="R21" s="128">
        <f>'7'!S16</f>
        <v>2321230</v>
      </c>
      <c r="S21" s="128">
        <f>'7'!T16</f>
        <v>12451691</v>
      </c>
      <c r="T21" s="128">
        <f>'7'!U16</f>
        <v>17866224</v>
      </c>
      <c r="U21" s="128">
        <f>'7'!V16</f>
        <v>868759</v>
      </c>
      <c r="V21" s="128">
        <f>'7'!W16</f>
        <v>15308346</v>
      </c>
      <c r="W21" s="128">
        <f>'7'!X16</f>
        <v>5682218</v>
      </c>
      <c r="X21" s="128">
        <f>'7'!Y16</f>
        <v>3282941</v>
      </c>
      <c r="Y21" s="128">
        <f>'7'!Z16</f>
        <v>25677843</v>
      </c>
      <c r="Z21" s="128">
        <f>'7'!AA16</f>
        <v>12017984</v>
      </c>
      <c r="AA21" s="128">
        <f>'7'!AB16</f>
        <v>-842417</v>
      </c>
      <c r="AB21" s="128">
        <f>'7'!AC16</f>
        <v>17794454</v>
      </c>
      <c r="AC21" s="128">
        <f>'7'!AD16</f>
        <v>4145829</v>
      </c>
      <c r="AD21" s="128">
        <f>'7'!AE16</f>
        <v>116945868</v>
      </c>
      <c r="AE21" s="128">
        <f>'7'!AF16</f>
        <v>4178856</v>
      </c>
      <c r="AF21" s="128">
        <f>'7'!AG16</f>
        <v>22618642</v>
      </c>
      <c r="AG21" s="128">
        <f>'7'!AH16</f>
        <v>15520173</v>
      </c>
      <c r="AH21" s="128">
        <f>'7'!AI16</f>
        <v>14949338</v>
      </c>
      <c r="AI21" s="128">
        <f>'7'!AJ16</f>
        <v>18361382</v>
      </c>
      <c r="AJ21" s="128">
        <f>'7'!AK16</f>
        <v>14753060</v>
      </c>
      <c r="AK21" s="128">
        <f>'7'!AL16</f>
        <v>33837977</v>
      </c>
      <c r="AL21" s="128">
        <f>'7'!AM16</f>
        <v>0</v>
      </c>
      <c r="AM21" s="129"/>
    </row>
    <row r="22" spans="1:39" s="130" customFormat="1" ht="25.5" customHeight="1" x14ac:dyDescent="0.2">
      <c r="A22" s="131">
        <v>8</v>
      </c>
      <c r="B22" s="132" t="s">
        <v>906</v>
      </c>
      <c r="C22" s="128">
        <f>'8'!D16</f>
        <v>804198804</v>
      </c>
      <c r="D22" s="128">
        <f>'8'!E16</f>
        <v>507682032</v>
      </c>
      <c r="E22" s="128">
        <f>'8'!F16</f>
        <v>240073442</v>
      </c>
      <c r="F22" s="128">
        <f>'8'!G16</f>
        <v>33772358</v>
      </c>
      <c r="G22" s="128">
        <f>'8'!H16</f>
        <v>0</v>
      </c>
      <c r="H22" s="128">
        <f>'8'!I16</f>
        <v>205032469</v>
      </c>
      <c r="I22" s="128">
        <f>'8'!J16</f>
        <v>0</v>
      </c>
      <c r="J22" s="128">
        <f>'8'!K16</f>
        <v>11063980</v>
      </c>
      <c r="K22" s="128">
        <f>'8'!L16</f>
        <v>0</v>
      </c>
      <c r="L22" s="128">
        <f>'8'!M16</f>
        <v>33233919</v>
      </c>
      <c r="M22" s="128">
        <f>'8'!N16</f>
        <v>43874954</v>
      </c>
      <c r="N22" s="128">
        <f>'8'!O16</f>
        <v>3311450</v>
      </c>
      <c r="O22" s="128">
        <f>'8'!P16</f>
        <v>744126754</v>
      </c>
      <c r="P22" s="128">
        <f>'8'!Q16</f>
        <v>214439591</v>
      </c>
      <c r="Q22" s="128">
        <f>'8'!R16</f>
        <v>207701072</v>
      </c>
      <c r="R22" s="128">
        <f>'8'!S16</f>
        <v>3583800</v>
      </c>
      <c r="S22" s="128">
        <f>'8'!T16</f>
        <v>47852655</v>
      </c>
      <c r="T22" s="128">
        <f>'8'!U16</f>
        <v>29929814</v>
      </c>
      <c r="U22" s="128">
        <f>'8'!V16</f>
        <v>16131628</v>
      </c>
      <c r="V22" s="128">
        <f>'8'!W16</f>
        <v>118968605</v>
      </c>
      <c r="W22" s="128">
        <f>'8'!X16</f>
        <v>16156021</v>
      </c>
      <c r="X22" s="128">
        <f>'8'!Y16</f>
        <v>15543360</v>
      </c>
      <c r="Y22" s="128">
        <f>'8'!Z16</f>
        <v>56447983</v>
      </c>
      <c r="Z22" s="128">
        <f>'8'!AA16</f>
        <v>19547328</v>
      </c>
      <c r="AA22" s="128">
        <f>'8'!AB16</f>
        <v>-2175103</v>
      </c>
      <c r="AB22" s="128">
        <f>'8'!AC16</f>
        <v>55424686</v>
      </c>
      <c r="AC22" s="128">
        <f>'8'!AD16</f>
        <v>11333266</v>
      </c>
      <c r="AD22" s="128">
        <f>'8'!AE16</f>
        <v>203896380</v>
      </c>
      <c r="AE22" s="128">
        <f>'8'!AF16</f>
        <v>5738633</v>
      </c>
      <c r="AF22" s="128">
        <f>'8'!AG16</f>
        <v>63830323</v>
      </c>
      <c r="AG22" s="128">
        <f>'8'!AH16</f>
        <v>42221645</v>
      </c>
      <c r="AH22" s="128">
        <f>'8'!AI16</f>
        <v>67782074</v>
      </c>
      <c r="AI22" s="128">
        <f>'8'!AJ16</f>
        <v>34597415</v>
      </c>
      <c r="AJ22" s="128">
        <f>'8'!AK16</f>
        <v>32978244</v>
      </c>
      <c r="AK22" s="128">
        <f>'8'!AL16</f>
        <v>182956137</v>
      </c>
      <c r="AL22" s="128">
        <f>'8'!AM16</f>
        <v>43367951</v>
      </c>
      <c r="AM22" s="129"/>
    </row>
    <row r="23" spans="1:39" s="130" customFormat="1" ht="25.5" customHeight="1" x14ac:dyDescent="0.2">
      <c r="A23" s="131">
        <v>9</v>
      </c>
      <c r="B23" s="132" t="s">
        <v>907</v>
      </c>
      <c r="C23" s="128">
        <f>'9'!D16</f>
        <v>342500426</v>
      </c>
      <c r="D23" s="128">
        <f>'9'!E16</f>
        <v>167727840</v>
      </c>
      <c r="E23" s="128">
        <f>'9'!F16</f>
        <v>81129076</v>
      </c>
      <c r="F23" s="128">
        <f>'9'!G16</f>
        <v>1986073</v>
      </c>
      <c r="G23" s="128">
        <f>'9'!H16</f>
        <v>0</v>
      </c>
      <c r="H23" s="128">
        <f>'9'!I16</f>
        <v>134196073</v>
      </c>
      <c r="I23" s="128">
        <f>'9'!J16</f>
        <v>0</v>
      </c>
      <c r="J23" s="128">
        <f>'9'!K16</f>
        <v>5522000</v>
      </c>
      <c r="K23" s="128">
        <f>'9'!L16</f>
        <v>0</v>
      </c>
      <c r="L23" s="128">
        <f>'9'!M16</f>
        <v>12582062</v>
      </c>
      <c r="M23" s="128">
        <f>'9'!N16</f>
        <v>22472451</v>
      </c>
      <c r="N23" s="128">
        <f>'9'!O16</f>
        <v>0</v>
      </c>
      <c r="O23" s="128">
        <f>'9'!P16</f>
        <v>313954565</v>
      </c>
      <c r="P23" s="128">
        <f>'9'!Q16</f>
        <v>127689140</v>
      </c>
      <c r="Q23" s="128">
        <f>'9'!R16</f>
        <v>52324733</v>
      </c>
      <c r="R23" s="128">
        <f>'9'!S16</f>
        <v>2035699</v>
      </c>
      <c r="S23" s="128">
        <f>'9'!T16</f>
        <v>10273358</v>
      </c>
      <c r="T23" s="128">
        <f>'9'!U16</f>
        <v>40516500</v>
      </c>
      <c r="U23" s="128">
        <f>'9'!V16</f>
        <v>312722</v>
      </c>
      <c r="V23" s="128">
        <f>'9'!W16</f>
        <v>36652257</v>
      </c>
      <c r="W23" s="128">
        <f>'9'!X16</f>
        <v>16576425</v>
      </c>
      <c r="X23" s="128">
        <f>'9'!Y16</f>
        <v>2670127</v>
      </c>
      <c r="Y23" s="128">
        <f>'9'!Z16</f>
        <v>21088303</v>
      </c>
      <c r="Z23" s="128">
        <f>'9'!AA16</f>
        <v>4212823</v>
      </c>
      <c r="AA23" s="128">
        <f>'9'!AB16</f>
        <v>-397522</v>
      </c>
      <c r="AB23" s="128">
        <f>'9'!AC16</f>
        <v>24211382</v>
      </c>
      <c r="AC23" s="128">
        <f>'9'!AD16</f>
        <v>5485184</v>
      </c>
      <c r="AD23" s="128">
        <f>'9'!AE16</f>
        <v>129733735</v>
      </c>
      <c r="AE23" s="128">
        <f>'9'!AF16</f>
        <v>4934237</v>
      </c>
      <c r="AF23" s="128">
        <f>'9'!AG16</f>
        <v>15735691</v>
      </c>
      <c r="AG23" s="128">
        <f>'9'!AH16</f>
        <v>32401510</v>
      </c>
      <c r="AH23" s="128">
        <f>'9'!AI16</f>
        <v>48100280</v>
      </c>
      <c r="AI23" s="128">
        <f>'9'!AJ16</f>
        <v>23950056</v>
      </c>
      <c r="AJ23" s="128">
        <f>'9'!AK16</f>
        <v>0</v>
      </c>
      <c r="AK23" s="128">
        <f>'9'!AL16</f>
        <v>27898937</v>
      </c>
      <c r="AL23" s="128">
        <f>'9'!AM16</f>
        <v>1503553</v>
      </c>
      <c r="AM23" s="129"/>
    </row>
    <row r="24" spans="1:39" s="130" customFormat="1" ht="25.5" customHeight="1" x14ac:dyDescent="0.2">
      <c r="A24" s="131">
        <v>10</v>
      </c>
      <c r="B24" s="132" t="s">
        <v>908</v>
      </c>
      <c r="C24" s="128">
        <f>'10'!D16</f>
        <v>334272624</v>
      </c>
      <c r="D24" s="128">
        <f>'10'!E16</f>
        <v>167294051</v>
      </c>
      <c r="E24" s="128">
        <f>'10'!F16</f>
        <v>98335447</v>
      </c>
      <c r="F24" s="128">
        <f>'10'!G16</f>
        <v>2361730</v>
      </c>
      <c r="G24" s="128">
        <f>'10'!H16</f>
        <v>0</v>
      </c>
      <c r="H24" s="128">
        <f>'10'!I16</f>
        <v>135932305</v>
      </c>
      <c r="I24" s="128">
        <f>'10'!J16</f>
        <v>0</v>
      </c>
      <c r="J24" s="128">
        <f>'10'!K16</f>
        <v>5909990</v>
      </c>
      <c r="K24" s="128">
        <f>'10'!L16</f>
        <v>0</v>
      </c>
      <c r="L24" s="128">
        <f>'10'!M16</f>
        <v>13506134</v>
      </c>
      <c r="M24" s="128">
        <f>'10'!N16</f>
        <v>11107962</v>
      </c>
      <c r="N24" s="128">
        <f>'10'!O16</f>
        <v>522182</v>
      </c>
      <c r="O24" s="128">
        <f>'10'!P16</f>
        <v>334379458</v>
      </c>
      <c r="P24" s="128">
        <f>'10'!Q16</f>
        <v>159349074</v>
      </c>
      <c r="Q24" s="128">
        <f>'10'!R16</f>
        <v>95936581</v>
      </c>
      <c r="R24" s="128">
        <f>'10'!S16</f>
        <v>1029671</v>
      </c>
      <c r="S24" s="128">
        <f>'10'!T16</f>
        <v>16290000</v>
      </c>
      <c r="T24" s="128">
        <f>'10'!U16</f>
        <v>10712008</v>
      </c>
      <c r="U24" s="128">
        <f>'10'!V16</f>
        <v>5593363</v>
      </c>
      <c r="V24" s="128">
        <f>'10'!W16</f>
        <v>19252425</v>
      </c>
      <c r="W24" s="128">
        <f>'10'!X16</f>
        <v>7987844</v>
      </c>
      <c r="X24" s="128">
        <f>'10'!Y16</f>
        <v>7150165</v>
      </c>
      <c r="Y24" s="128">
        <f>'10'!Z16</f>
        <v>10718145</v>
      </c>
      <c r="Z24" s="128">
        <f>'10'!AA16</f>
        <v>1000000</v>
      </c>
      <c r="AA24" s="128">
        <f>'10'!AB16</f>
        <v>-639818</v>
      </c>
      <c r="AB24" s="128">
        <f>'10'!AC16</f>
        <v>24654651</v>
      </c>
      <c r="AC24" s="128">
        <f>'10'!AD16</f>
        <v>19763771</v>
      </c>
      <c r="AD24" s="128">
        <f>'10'!AE16</f>
        <v>146619533</v>
      </c>
      <c r="AE24" s="128">
        <f>'10'!AF16</f>
        <v>10444304</v>
      </c>
      <c r="AF24" s="128">
        <f>'10'!AG16</f>
        <v>23241098</v>
      </c>
      <c r="AG24" s="128">
        <f>'10'!AH16</f>
        <v>23456800</v>
      </c>
      <c r="AH24" s="128">
        <f>'10'!AI16</f>
        <v>12816562</v>
      </c>
      <c r="AI24" s="128">
        <f>'10'!AJ16</f>
        <v>19790329</v>
      </c>
      <c r="AJ24" s="128">
        <f>'10'!AK16</f>
        <v>8603270</v>
      </c>
      <c r="AK24" s="128">
        <f>'10'!AL16</f>
        <v>41736310</v>
      </c>
      <c r="AL24" s="128">
        <f>'10'!AM16</f>
        <v>3252830</v>
      </c>
      <c r="AM24" s="129"/>
    </row>
    <row r="25" spans="1:39" s="130" customFormat="1" ht="25.5" customHeight="1" x14ac:dyDescent="0.2">
      <c r="A25" s="131">
        <v>11</v>
      </c>
      <c r="B25" s="133" t="s">
        <v>909</v>
      </c>
      <c r="C25" s="128">
        <f>'11'!D16</f>
        <v>207117146</v>
      </c>
      <c r="D25" s="128">
        <f>'11'!E16</f>
        <v>100285105</v>
      </c>
      <c r="E25" s="128">
        <f>'11'!F16</f>
        <v>47906953</v>
      </c>
      <c r="F25" s="128">
        <f>'11'!G16</f>
        <v>2000263</v>
      </c>
      <c r="G25" s="128">
        <f>'11'!H16</f>
        <v>0</v>
      </c>
      <c r="H25" s="128">
        <f>'11'!I16</f>
        <v>84567818</v>
      </c>
      <c r="I25" s="128">
        <f>'11'!J16</f>
        <v>150000</v>
      </c>
      <c r="J25" s="128">
        <f>'11'!K16</f>
        <v>8025130</v>
      </c>
      <c r="K25" s="128">
        <f>'11'!L16</f>
        <v>0</v>
      </c>
      <c r="L25" s="128">
        <f>'11'!M16</f>
        <v>6514859</v>
      </c>
      <c r="M25" s="128">
        <f>'11'!N16</f>
        <v>7574234</v>
      </c>
      <c r="N25" s="128">
        <f>'11'!O16</f>
        <v>0</v>
      </c>
      <c r="O25" s="128">
        <f>'11'!P16</f>
        <v>202172440</v>
      </c>
      <c r="P25" s="128">
        <f>'11'!Q16</f>
        <v>96578724</v>
      </c>
      <c r="Q25" s="128">
        <f>'11'!R16</f>
        <v>54581420</v>
      </c>
      <c r="R25" s="128">
        <f>'11'!S16</f>
        <v>4200260</v>
      </c>
      <c r="S25" s="128">
        <f>'11'!T16</f>
        <v>1973297</v>
      </c>
      <c r="T25" s="128">
        <f>'11'!U16</f>
        <v>5114535</v>
      </c>
      <c r="U25" s="128">
        <f>'11'!V16</f>
        <v>306000</v>
      </c>
      <c r="V25" s="128">
        <f>'11'!W16</f>
        <v>13162403</v>
      </c>
      <c r="W25" s="128">
        <f>'11'!X16</f>
        <v>6548179</v>
      </c>
      <c r="X25" s="128">
        <f>'11'!Y16</f>
        <v>248289</v>
      </c>
      <c r="Y25" s="128">
        <f>'11'!Z16</f>
        <v>16581888</v>
      </c>
      <c r="Z25" s="128">
        <f>'11'!AA16</f>
        <v>7338032</v>
      </c>
      <c r="AA25" s="128">
        <f>'11'!AB16</f>
        <v>-4460587</v>
      </c>
      <c r="AB25" s="128">
        <f>'11'!AC16</f>
        <v>28905137</v>
      </c>
      <c r="AC25" s="128">
        <f>'11'!AD16</f>
        <v>4117346</v>
      </c>
      <c r="AD25" s="128">
        <f>'11'!AE16</f>
        <v>81744452</v>
      </c>
      <c r="AE25" s="128">
        <f>'11'!AF16</f>
        <v>10265872</v>
      </c>
      <c r="AF25" s="128">
        <f>'11'!AG16</f>
        <v>10617947</v>
      </c>
      <c r="AG25" s="128">
        <f>'11'!AH16</f>
        <v>15988091</v>
      </c>
      <c r="AH25" s="128">
        <f>'11'!AI16</f>
        <v>25330424</v>
      </c>
      <c r="AI25" s="128">
        <f>'11'!AJ16</f>
        <v>2581258</v>
      </c>
      <c r="AJ25" s="128">
        <f>'11'!AK16</f>
        <v>24033</v>
      </c>
      <c r="AK25" s="128">
        <f>'11'!AL16</f>
        <v>22597880</v>
      </c>
      <c r="AL25" s="128">
        <f>'11'!AM16</f>
        <v>0</v>
      </c>
      <c r="AM25" s="129"/>
    </row>
    <row r="26" spans="1:39" s="130" customFormat="1" ht="25.5" customHeight="1" x14ac:dyDescent="0.2">
      <c r="A26" s="131">
        <v>12</v>
      </c>
      <c r="B26" s="132" t="s">
        <v>910</v>
      </c>
      <c r="C26" s="128">
        <f>'12'!D16</f>
        <v>191037942</v>
      </c>
      <c r="D26" s="128">
        <f>'12'!E16</f>
        <v>92350347</v>
      </c>
      <c r="E26" s="128">
        <f>'12'!F16</f>
        <v>45443829</v>
      </c>
      <c r="F26" s="128">
        <f>'12'!G16</f>
        <v>1746346</v>
      </c>
      <c r="G26" s="128">
        <f>'12'!H16</f>
        <v>0</v>
      </c>
      <c r="H26" s="128">
        <f>'12'!I16</f>
        <v>83369548</v>
      </c>
      <c r="I26" s="128">
        <f>'12'!J16</f>
        <v>0</v>
      </c>
      <c r="J26" s="128">
        <f>'12'!K16</f>
        <v>5674000</v>
      </c>
      <c r="K26" s="128">
        <f>'12'!L16</f>
        <v>0</v>
      </c>
      <c r="L26" s="128">
        <f>'12'!M16</f>
        <v>7266768</v>
      </c>
      <c r="M26" s="128">
        <f>'12'!N16</f>
        <v>1838779</v>
      </c>
      <c r="N26" s="128">
        <f>'12'!O16</f>
        <v>538500</v>
      </c>
      <c r="O26" s="128">
        <f>'12'!P16</f>
        <v>187581635</v>
      </c>
      <c r="P26" s="128">
        <f>'12'!Q16</f>
        <v>88553913</v>
      </c>
      <c r="Q26" s="128">
        <f>'12'!R16</f>
        <v>52153477</v>
      </c>
      <c r="R26" s="128">
        <f>'12'!S16</f>
        <v>44856</v>
      </c>
      <c r="S26" s="128">
        <f>'12'!T16</f>
        <v>951557</v>
      </c>
      <c r="T26" s="128">
        <f>'12'!U16</f>
        <v>9508773</v>
      </c>
      <c r="U26" s="128">
        <f>'12'!V16</f>
        <v>0</v>
      </c>
      <c r="V26" s="128">
        <f>'12'!W16</f>
        <v>8697418</v>
      </c>
      <c r="W26" s="128">
        <f>'12'!X16</f>
        <v>6652577</v>
      </c>
      <c r="X26" s="128">
        <f>'12'!Y16</f>
        <v>5674120</v>
      </c>
      <c r="Y26" s="128">
        <f>'12'!Z16</f>
        <v>13604567</v>
      </c>
      <c r="Z26" s="128">
        <f>'12'!AA16</f>
        <v>2528118</v>
      </c>
      <c r="AA26" s="128">
        <f>'12'!AB16</f>
        <v>-787741</v>
      </c>
      <c r="AB26" s="128">
        <f>'12'!AC16</f>
        <v>15094621</v>
      </c>
      <c r="AC26" s="128">
        <f>'12'!AD16</f>
        <v>2853899</v>
      </c>
      <c r="AD26" s="128">
        <f>'12'!AE16</f>
        <v>88007203</v>
      </c>
      <c r="AE26" s="128">
        <f>'12'!AF16</f>
        <v>3980562</v>
      </c>
      <c r="AF26" s="128">
        <f>'12'!AG16</f>
        <v>15458759</v>
      </c>
      <c r="AG26" s="128">
        <f>'12'!AH16</f>
        <v>16363088</v>
      </c>
      <c r="AH26" s="128">
        <f>'12'!AI16</f>
        <v>19812895</v>
      </c>
      <c r="AI26" s="128">
        <f>'12'!AJ16</f>
        <v>12565057</v>
      </c>
      <c r="AJ26" s="128">
        <f>'12'!AK16</f>
        <v>259793</v>
      </c>
      <c r="AK26" s="128">
        <f>'12'!AL16</f>
        <v>12284030</v>
      </c>
      <c r="AL26" s="128">
        <f>'12'!AM16</f>
        <v>901728</v>
      </c>
      <c r="AM26" s="129"/>
    </row>
    <row r="27" spans="1:39" s="130" customFormat="1" ht="25.5" customHeight="1" x14ac:dyDescent="0.2">
      <c r="A27" s="131">
        <v>13</v>
      </c>
      <c r="B27" s="132" t="s">
        <v>911</v>
      </c>
      <c r="C27" s="128">
        <f>'13'!D16</f>
        <v>1112590739</v>
      </c>
      <c r="D27" s="128">
        <f>'13'!E16</f>
        <v>732801812</v>
      </c>
      <c r="E27" s="128">
        <f>'13'!F16</f>
        <v>415054042</v>
      </c>
      <c r="F27" s="128">
        <f>'13'!G16</f>
        <v>41363304</v>
      </c>
      <c r="G27" s="128">
        <f>'13'!H16</f>
        <v>0</v>
      </c>
      <c r="H27" s="128">
        <f>'13'!I16</f>
        <v>290938068</v>
      </c>
      <c r="I27" s="128">
        <f>'13'!J16</f>
        <v>0</v>
      </c>
      <c r="J27" s="128">
        <f>'13'!K16</f>
        <v>16811000</v>
      </c>
      <c r="K27" s="128">
        <f>'13'!L16</f>
        <v>0</v>
      </c>
      <c r="L27" s="128">
        <f>'13'!M16</f>
        <v>28299966</v>
      </c>
      <c r="M27" s="128">
        <f>'13'!N16</f>
        <v>42956833</v>
      </c>
      <c r="N27" s="128">
        <f>'13'!O16</f>
        <v>783060</v>
      </c>
      <c r="O27" s="128">
        <f>'13'!P16</f>
        <v>1093997559</v>
      </c>
      <c r="P27" s="128">
        <f>'13'!Q16</f>
        <v>323859509</v>
      </c>
      <c r="Q27" s="128">
        <f>'13'!R16</f>
        <v>264980194</v>
      </c>
      <c r="R27" s="128">
        <f>'13'!S16</f>
        <v>17067990</v>
      </c>
      <c r="S27" s="128">
        <f>'13'!T16</f>
        <v>39424821</v>
      </c>
      <c r="T27" s="128">
        <f>'13'!U16</f>
        <v>35227356</v>
      </c>
      <c r="U27" s="128">
        <f>'13'!V16</f>
        <v>28182621</v>
      </c>
      <c r="V27" s="128">
        <f>'13'!W16</f>
        <v>204077277</v>
      </c>
      <c r="W27" s="128">
        <f>'13'!X16</f>
        <v>74362876</v>
      </c>
      <c r="X27" s="128">
        <f>'13'!Y16</f>
        <v>10484356</v>
      </c>
      <c r="Y27" s="128">
        <f>'13'!Z16</f>
        <v>77954224</v>
      </c>
      <c r="Z27" s="128">
        <f>'13'!AA16</f>
        <v>20340445</v>
      </c>
      <c r="AA27" s="128">
        <f>'13'!AB16</f>
        <v>-1964110</v>
      </c>
      <c r="AB27" s="128">
        <f>'13'!AC16</f>
        <v>117112903</v>
      </c>
      <c r="AC27" s="128">
        <f>'13'!AD16</f>
        <v>14310860</v>
      </c>
      <c r="AD27" s="128">
        <f>'13'!AE16</f>
        <v>330000161</v>
      </c>
      <c r="AE27" s="128">
        <f>'13'!AF16</f>
        <v>49516466</v>
      </c>
      <c r="AF27" s="128">
        <f>'13'!AG16</f>
        <v>43774784</v>
      </c>
      <c r="AG27" s="128">
        <f>'13'!AH16</f>
        <v>80306864</v>
      </c>
      <c r="AH27" s="128">
        <f>'13'!AI16</f>
        <v>98575673</v>
      </c>
      <c r="AI27" s="128">
        <f>'13'!AJ16</f>
        <v>44695607</v>
      </c>
      <c r="AJ27" s="128">
        <f>'13'!AK16</f>
        <v>40805835</v>
      </c>
      <c r="AK27" s="128">
        <f>'13'!AL16</f>
        <v>274002382</v>
      </c>
      <c r="AL27" s="128">
        <f>'13'!AM16</f>
        <v>896024</v>
      </c>
      <c r="AM27" s="129"/>
    </row>
    <row r="28" spans="1:39" s="130" customFormat="1" ht="25.5" customHeight="1" x14ac:dyDescent="0.2">
      <c r="A28" s="131">
        <v>14</v>
      </c>
      <c r="B28" s="132" t="s">
        <v>912</v>
      </c>
      <c r="C28" s="128">
        <f>'14'!D16</f>
        <v>927885414</v>
      </c>
      <c r="D28" s="128">
        <f>'14'!E16</f>
        <v>662671260</v>
      </c>
      <c r="E28" s="128">
        <f>'14'!F16</f>
        <v>356770507</v>
      </c>
      <c r="F28" s="128">
        <f>'14'!G16</f>
        <v>28856357</v>
      </c>
      <c r="G28" s="128">
        <f>'14'!H16</f>
        <v>0</v>
      </c>
      <c r="H28" s="128">
        <f>'14'!I16</f>
        <v>222334147</v>
      </c>
      <c r="I28" s="128">
        <f>'14'!J16</f>
        <v>500000</v>
      </c>
      <c r="J28" s="128">
        <f>'14'!K16</f>
        <v>6336429</v>
      </c>
      <c r="K28" s="128">
        <f>'14'!L16</f>
        <v>0</v>
      </c>
      <c r="L28" s="128">
        <f>'14'!M16</f>
        <v>16598521</v>
      </c>
      <c r="M28" s="128">
        <f>'14'!N16</f>
        <v>19339234</v>
      </c>
      <c r="N28" s="128">
        <f>'14'!O16</f>
        <v>105823</v>
      </c>
      <c r="O28" s="128">
        <f>'14'!P16</f>
        <v>786981164</v>
      </c>
      <c r="P28" s="128">
        <f>'14'!Q16</f>
        <v>254763282</v>
      </c>
      <c r="Q28" s="128">
        <f>'14'!R16</f>
        <v>232271546</v>
      </c>
      <c r="R28" s="128">
        <f>'14'!S16</f>
        <v>1792305</v>
      </c>
      <c r="S28" s="128">
        <f>'14'!T16</f>
        <v>70012836</v>
      </c>
      <c r="T28" s="128">
        <f>'14'!U16</f>
        <v>21948582</v>
      </c>
      <c r="U28" s="128">
        <f>'14'!V16</f>
        <v>24560001</v>
      </c>
      <c r="V28" s="128">
        <f>'14'!W16</f>
        <v>60974955</v>
      </c>
      <c r="W28" s="128">
        <f>'14'!X16</f>
        <v>29029095</v>
      </c>
      <c r="X28" s="128">
        <f>'14'!Y16</f>
        <v>8348491</v>
      </c>
      <c r="Y28" s="128">
        <f>'14'!Z16</f>
        <v>70157764</v>
      </c>
      <c r="Z28" s="128">
        <f>'14'!AA16</f>
        <v>13969318</v>
      </c>
      <c r="AA28" s="128">
        <f>'14'!AB16</f>
        <v>-847011</v>
      </c>
      <c r="AB28" s="128">
        <f>'14'!AC16</f>
        <v>51637856</v>
      </c>
      <c r="AC28" s="128">
        <f>'14'!AD16</f>
        <v>21270868</v>
      </c>
      <c r="AD28" s="128">
        <f>'14'!AE16</f>
        <v>207888157</v>
      </c>
      <c r="AE28" s="128">
        <f>'14'!AF16</f>
        <v>10272479</v>
      </c>
      <c r="AF28" s="128">
        <f>'14'!AG16</f>
        <v>32930128</v>
      </c>
      <c r="AG28" s="128">
        <f>'14'!AH16</f>
        <v>62647052</v>
      </c>
      <c r="AH28" s="128">
        <f>'14'!AI16</f>
        <v>215490461</v>
      </c>
      <c r="AI28" s="128">
        <f>'14'!AJ16</f>
        <v>87799669</v>
      </c>
      <c r="AJ28" s="128">
        <f>'14'!AK16</f>
        <v>50037395</v>
      </c>
      <c r="AK28" s="128">
        <f>'14'!AL16</f>
        <v>45873235</v>
      </c>
      <c r="AL28" s="128">
        <f>'14'!AM16</f>
        <v>1133864</v>
      </c>
      <c r="AM28" s="129"/>
    </row>
    <row r="29" spans="1:39" s="130" customFormat="1" ht="25.5" customHeight="1" x14ac:dyDescent="0.2">
      <c r="A29" s="134">
        <v>15</v>
      </c>
      <c r="B29" s="132" t="s">
        <v>913</v>
      </c>
      <c r="C29" s="128">
        <f>'15'!D16</f>
        <v>231700581</v>
      </c>
      <c r="D29" s="128">
        <f>'15'!E16</f>
        <v>89228682</v>
      </c>
      <c r="E29" s="128">
        <f>'15'!F16</f>
        <v>49817832</v>
      </c>
      <c r="F29" s="128">
        <f>'15'!G16</f>
        <v>661443</v>
      </c>
      <c r="G29" s="128">
        <f>'15'!H16</f>
        <v>0</v>
      </c>
      <c r="H29" s="128">
        <f>'15'!I16</f>
        <v>78941183</v>
      </c>
      <c r="I29" s="128">
        <f>'15'!J16</f>
        <v>0</v>
      </c>
      <c r="J29" s="128">
        <f>'15'!K16</f>
        <v>3697140</v>
      </c>
      <c r="K29" s="128">
        <f>'15'!L16</f>
        <v>0</v>
      </c>
      <c r="L29" s="128">
        <f>'15'!M16</f>
        <v>22065398</v>
      </c>
      <c r="M29" s="128">
        <f>'15'!N16</f>
        <v>37733203</v>
      </c>
      <c r="N29" s="128">
        <f>'15'!O16</f>
        <v>34975</v>
      </c>
      <c r="O29" s="128">
        <f>'15'!P16</f>
        <v>234494851</v>
      </c>
      <c r="P29" s="128">
        <f>'15'!Q16</f>
        <v>84623319</v>
      </c>
      <c r="Q29" s="128">
        <f>'15'!R16</f>
        <v>42179801</v>
      </c>
      <c r="R29" s="128">
        <f>'15'!S16</f>
        <v>1130781</v>
      </c>
      <c r="S29" s="128">
        <f>'15'!T16</f>
        <v>2411532</v>
      </c>
      <c r="T29" s="128">
        <f>'15'!U16</f>
        <v>9587454</v>
      </c>
      <c r="U29" s="128">
        <f>'15'!V16</f>
        <v>1152752</v>
      </c>
      <c r="V29" s="128">
        <f>'15'!W16</f>
        <v>69591749</v>
      </c>
      <c r="W29" s="128">
        <f>'15'!X16</f>
        <v>2599852</v>
      </c>
      <c r="X29" s="128">
        <f>'15'!Y16</f>
        <v>2406785</v>
      </c>
      <c r="Y29" s="128">
        <f>'15'!Z16</f>
        <v>19318476</v>
      </c>
      <c r="Z29" s="128">
        <f>'15'!AA16</f>
        <v>1269393</v>
      </c>
      <c r="AA29" s="128">
        <f>'15'!AB16</f>
        <v>-1777043</v>
      </c>
      <c r="AB29" s="128">
        <f>'15'!AC16</f>
        <v>13215817</v>
      </c>
      <c r="AC29" s="128">
        <f>'15'!AD16</f>
        <v>2280320</v>
      </c>
      <c r="AD29" s="128">
        <f>'15'!AE16</f>
        <v>98256933</v>
      </c>
      <c r="AE29" s="128">
        <f>'15'!AF16</f>
        <v>1471796</v>
      </c>
      <c r="AF29" s="128">
        <f>'15'!AG16</f>
        <v>26106852</v>
      </c>
      <c r="AG29" s="128">
        <f>'15'!AH16</f>
        <v>11277993</v>
      </c>
      <c r="AH29" s="128">
        <f>'15'!AI16</f>
        <v>48782327</v>
      </c>
      <c r="AI29" s="128">
        <f>'15'!AJ16</f>
        <v>8197896</v>
      </c>
      <c r="AJ29" s="128">
        <f>'15'!AK16</f>
        <v>96532</v>
      </c>
      <c r="AK29" s="128">
        <f>'15'!AL16</f>
        <v>21636528</v>
      </c>
      <c r="AL29" s="128">
        <f>'15'!AM16</f>
        <v>3171857</v>
      </c>
      <c r="AM29" s="129"/>
    </row>
    <row r="30" spans="1:39" s="130" customFormat="1" ht="25.5" customHeight="1" x14ac:dyDescent="0.2">
      <c r="A30" s="134">
        <v>16</v>
      </c>
      <c r="B30" s="132" t="s">
        <v>914</v>
      </c>
      <c r="C30" s="128">
        <f>'16'!D16</f>
        <v>302640826</v>
      </c>
      <c r="D30" s="128">
        <f>'16'!E16</f>
        <v>127559970</v>
      </c>
      <c r="E30" s="128">
        <f>'16'!F16</f>
        <v>64512914</v>
      </c>
      <c r="F30" s="128">
        <f>'16'!G16</f>
        <v>3689068</v>
      </c>
      <c r="G30" s="128">
        <f>'16'!H16</f>
        <v>0</v>
      </c>
      <c r="H30" s="128">
        <f>'16'!I16</f>
        <v>99115134</v>
      </c>
      <c r="I30" s="128">
        <f>'16'!J16</f>
        <v>0</v>
      </c>
      <c r="J30" s="128">
        <f>'16'!K16</f>
        <v>7343750</v>
      </c>
      <c r="K30" s="128">
        <f>'16'!L16</f>
        <v>0</v>
      </c>
      <c r="L30" s="128">
        <f>'16'!M16</f>
        <v>26670256</v>
      </c>
      <c r="M30" s="128">
        <f>'16'!N16</f>
        <v>39108037</v>
      </c>
      <c r="N30" s="128">
        <f>'16'!O16</f>
        <v>2843679</v>
      </c>
      <c r="O30" s="128">
        <f>'16'!P16</f>
        <v>302994584</v>
      </c>
      <c r="P30" s="128">
        <f>'16'!Q16</f>
        <v>113560629</v>
      </c>
      <c r="Q30" s="128">
        <f>'16'!R16</f>
        <v>74694678</v>
      </c>
      <c r="R30" s="128">
        <f>'16'!S16</f>
        <v>1490585</v>
      </c>
      <c r="S30" s="128">
        <f>'16'!T16</f>
        <v>532765</v>
      </c>
      <c r="T30" s="128">
        <f>'16'!U16</f>
        <v>763000</v>
      </c>
      <c r="U30" s="128">
        <f>'16'!V16</f>
        <v>301143</v>
      </c>
      <c r="V30" s="128">
        <f>'16'!W16</f>
        <v>80419497</v>
      </c>
      <c r="W30" s="128">
        <f>'16'!X16</f>
        <v>8743017</v>
      </c>
      <c r="X30" s="128">
        <f>'16'!Y16</f>
        <v>3998781</v>
      </c>
      <c r="Y30" s="128">
        <f>'16'!Z16</f>
        <v>14100632</v>
      </c>
      <c r="Z30" s="128">
        <f>'16'!AA16</f>
        <v>5019347</v>
      </c>
      <c r="AA30" s="128">
        <f>'16'!AB16</f>
        <v>-629490</v>
      </c>
      <c r="AB30" s="128">
        <f>'16'!AC16</f>
        <v>19319596</v>
      </c>
      <c r="AC30" s="128">
        <f>'16'!AD16</f>
        <v>5141230</v>
      </c>
      <c r="AD30" s="128">
        <f>'16'!AE16</f>
        <v>102189132</v>
      </c>
      <c r="AE30" s="128">
        <f>'16'!AF16</f>
        <v>3443105</v>
      </c>
      <c r="AF30" s="128">
        <f>'16'!AG16</f>
        <v>23430860</v>
      </c>
      <c r="AG30" s="128">
        <f>'16'!AH16</f>
        <v>33562478</v>
      </c>
      <c r="AH30" s="128">
        <f>'16'!AI16</f>
        <v>80147597</v>
      </c>
      <c r="AI30" s="128">
        <f>'16'!AJ16</f>
        <v>19675564</v>
      </c>
      <c r="AJ30" s="128">
        <f>'16'!AK16</f>
        <v>0</v>
      </c>
      <c r="AK30" s="128">
        <f>'16'!AL16</f>
        <v>16085022</v>
      </c>
      <c r="AL30" s="128">
        <f>'16'!AM16</f>
        <v>0</v>
      </c>
      <c r="AM30" s="129"/>
    </row>
    <row r="31" spans="1:39" s="130" customFormat="1" ht="25.5" customHeight="1" x14ac:dyDescent="0.2">
      <c r="A31" s="134">
        <v>17</v>
      </c>
      <c r="B31" s="132" t="s">
        <v>915</v>
      </c>
      <c r="C31" s="128">
        <f>'17'!D16</f>
        <v>725306057</v>
      </c>
      <c r="D31" s="128">
        <f>'17'!E16</f>
        <v>354979798</v>
      </c>
      <c r="E31" s="128">
        <f>'17'!F16</f>
        <v>190781593</v>
      </c>
      <c r="F31" s="128">
        <f>'17'!G16</f>
        <v>12502609</v>
      </c>
      <c r="G31" s="128">
        <f>'17'!H16</f>
        <v>0</v>
      </c>
      <c r="H31" s="128">
        <f>'17'!I16</f>
        <v>231798808</v>
      </c>
      <c r="I31" s="128">
        <f>'17'!J16</f>
        <v>89000</v>
      </c>
      <c r="J31" s="128">
        <f>'17'!K16</f>
        <v>12352000</v>
      </c>
      <c r="K31" s="128">
        <f>'17'!L16</f>
        <v>0</v>
      </c>
      <c r="L31" s="128">
        <f>'17'!M16</f>
        <v>42151162</v>
      </c>
      <c r="M31" s="128">
        <f>'17'!N16</f>
        <v>82087403</v>
      </c>
      <c r="N31" s="128">
        <f>'17'!O16</f>
        <v>1847886</v>
      </c>
      <c r="O31" s="128">
        <f>'17'!P16</f>
        <v>736627998</v>
      </c>
      <c r="P31" s="128">
        <f>'17'!Q16</f>
        <v>242539454</v>
      </c>
      <c r="Q31" s="128">
        <f>'17'!R16</f>
        <v>150287309</v>
      </c>
      <c r="R31" s="128">
        <f>'17'!S16</f>
        <v>6469077</v>
      </c>
      <c r="S31" s="128">
        <f>'17'!T16</f>
        <v>28871260</v>
      </c>
      <c r="T31" s="128">
        <f>'17'!U16</f>
        <v>69427022</v>
      </c>
      <c r="U31" s="128">
        <f>'17'!V16</f>
        <v>11821952</v>
      </c>
      <c r="V31" s="128">
        <f>'17'!W16</f>
        <v>161250686</v>
      </c>
      <c r="W31" s="128">
        <f>'17'!X16</f>
        <v>15003689</v>
      </c>
      <c r="X31" s="128">
        <f>'17'!Y16</f>
        <v>4105322</v>
      </c>
      <c r="Y31" s="128">
        <f>'17'!Z16</f>
        <v>33029399</v>
      </c>
      <c r="Z31" s="128">
        <f>'17'!AA16</f>
        <v>14590236</v>
      </c>
      <c r="AA31" s="128">
        <f>'17'!AB16</f>
        <v>-767408</v>
      </c>
      <c r="AB31" s="128">
        <f>'17'!AC16</f>
        <v>53066988</v>
      </c>
      <c r="AC31" s="128">
        <f>'17'!AD16</f>
        <v>16057593</v>
      </c>
      <c r="AD31" s="128">
        <f>'17'!AE16</f>
        <v>246833722</v>
      </c>
      <c r="AE31" s="128">
        <f>'17'!AF16</f>
        <v>26958747</v>
      </c>
      <c r="AF31" s="128">
        <f>'17'!AG16</f>
        <v>86208618</v>
      </c>
      <c r="AG31" s="128">
        <f>'17'!AH16</f>
        <v>32751120</v>
      </c>
      <c r="AH31" s="128">
        <f>'17'!AI16</f>
        <v>36212579</v>
      </c>
      <c r="AI31" s="128">
        <f>'17'!AJ16</f>
        <v>38494552</v>
      </c>
      <c r="AJ31" s="128">
        <f>'17'!AK16</f>
        <v>14500000</v>
      </c>
      <c r="AK31" s="128">
        <f>'17'!AL16</f>
        <v>180326402</v>
      </c>
      <c r="AL31" s="128">
        <f>'17'!AM16</f>
        <v>5217677</v>
      </c>
      <c r="AM31" s="129"/>
    </row>
    <row r="32" spans="1:39" s="130" customFormat="1" ht="25.5" customHeight="1" x14ac:dyDescent="0.2">
      <c r="A32" s="134">
        <v>18</v>
      </c>
      <c r="B32" s="132" t="s">
        <v>916</v>
      </c>
      <c r="C32" s="128">
        <f>'18'!D16</f>
        <v>572779667</v>
      </c>
      <c r="D32" s="128">
        <f>'18'!E16</f>
        <v>324962314</v>
      </c>
      <c r="E32" s="128">
        <f>'18'!F16</f>
        <v>164294558</v>
      </c>
      <c r="F32" s="128">
        <f>'18'!G16</f>
        <v>1037062</v>
      </c>
      <c r="G32" s="128">
        <f>'18'!H16</f>
        <v>0</v>
      </c>
      <c r="H32" s="128">
        <f>'18'!I16</f>
        <v>218333372</v>
      </c>
      <c r="I32" s="128">
        <f>'18'!J16</f>
        <v>145500</v>
      </c>
      <c r="J32" s="128">
        <f>'18'!K16</f>
        <v>4777680</v>
      </c>
      <c r="K32" s="128">
        <f>'18'!L16</f>
        <v>0</v>
      </c>
      <c r="L32" s="128">
        <f>'18'!M16</f>
        <v>9932523</v>
      </c>
      <c r="M32" s="128">
        <f>'18'!N16</f>
        <v>14057054</v>
      </c>
      <c r="N32" s="128">
        <f>'18'!O16</f>
        <v>571224</v>
      </c>
      <c r="O32" s="128">
        <f>'18'!P16</f>
        <v>610173644</v>
      </c>
      <c r="P32" s="128">
        <f>'18'!Q16</f>
        <v>232242387</v>
      </c>
      <c r="Q32" s="128">
        <f>'18'!R16</f>
        <v>132192784</v>
      </c>
      <c r="R32" s="128">
        <f>'18'!S16</f>
        <v>5089340</v>
      </c>
      <c r="S32" s="128">
        <f>'18'!T16</f>
        <v>43288225</v>
      </c>
      <c r="T32" s="128">
        <f>'18'!U16</f>
        <v>43574169</v>
      </c>
      <c r="U32" s="128">
        <f>'18'!V16</f>
        <v>3970088</v>
      </c>
      <c r="V32" s="128">
        <f>'18'!W16</f>
        <v>30247525</v>
      </c>
      <c r="W32" s="128">
        <f>'18'!X16</f>
        <v>13757713</v>
      </c>
      <c r="X32" s="128">
        <f>'18'!Y16</f>
        <v>12713063</v>
      </c>
      <c r="Y32" s="128">
        <f>'18'!Z16</f>
        <v>79249602</v>
      </c>
      <c r="Z32" s="128">
        <f>'18'!AA16</f>
        <v>14723454</v>
      </c>
      <c r="AA32" s="128">
        <f>'18'!AB16</f>
        <v>-874706</v>
      </c>
      <c r="AB32" s="128">
        <f>'18'!AC16</f>
        <v>51225439</v>
      </c>
      <c r="AC32" s="128">
        <f>'18'!AD16</f>
        <v>15465759</v>
      </c>
      <c r="AD32" s="128">
        <f>'18'!AE16</f>
        <v>233224868</v>
      </c>
      <c r="AE32" s="128">
        <f>'18'!AF16</f>
        <v>16332183</v>
      </c>
      <c r="AF32" s="128">
        <f>'18'!AG16</f>
        <v>50329028</v>
      </c>
      <c r="AG32" s="128">
        <f>'18'!AH16</f>
        <v>48215545</v>
      </c>
      <c r="AH32" s="128">
        <f>'18'!AI16</f>
        <v>47447165</v>
      </c>
      <c r="AI32" s="128">
        <f>'18'!AJ16</f>
        <v>42636489</v>
      </c>
      <c r="AJ32" s="128">
        <f>'18'!AK16</f>
        <v>22415095</v>
      </c>
      <c r="AK32" s="128">
        <f>'18'!AL16</f>
        <v>82816443</v>
      </c>
      <c r="AL32" s="128">
        <f>'18'!AM16</f>
        <v>65630</v>
      </c>
      <c r="AM32" s="129"/>
    </row>
    <row r="33" spans="1:39" s="130" customFormat="1" ht="25.5" customHeight="1" x14ac:dyDescent="0.2">
      <c r="A33" s="134">
        <v>19</v>
      </c>
      <c r="B33" s="132" t="s">
        <v>917</v>
      </c>
      <c r="C33" s="128">
        <f>'19'!D16</f>
        <v>127627188</v>
      </c>
      <c r="D33" s="128">
        <f>'19'!E16</f>
        <v>64173783</v>
      </c>
      <c r="E33" s="128">
        <f>'19'!F16</f>
        <v>31557499</v>
      </c>
      <c r="F33" s="128">
        <f>'19'!G16</f>
        <v>428591</v>
      </c>
      <c r="G33" s="128">
        <f>'19'!H16</f>
        <v>0</v>
      </c>
      <c r="H33" s="128">
        <f>'19'!I16</f>
        <v>44349839</v>
      </c>
      <c r="I33" s="128">
        <f>'19'!J16</f>
        <v>0</v>
      </c>
      <c r="J33" s="128">
        <f>'19'!K16</f>
        <v>3152750</v>
      </c>
      <c r="K33" s="128">
        <f>'19'!L16</f>
        <v>0</v>
      </c>
      <c r="L33" s="128">
        <f>'19'!M16</f>
        <v>6481139</v>
      </c>
      <c r="M33" s="128">
        <f>'19'!N16</f>
        <v>8644481</v>
      </c>
      <c r="N33" s="128">
        <f>'19'!O16</f>
        <v>825196</v>
      </c>
      <c r="O33" s="128">
        <f>'19'!P16</f>
        <v>128885972</v>
      </c>
      <c r="P33" s="128">
        <f>'19'!Q16</f>
        <v>49095984</v>
      </c>
      <c r="Q33" s="128">
        <f>'19'!R16</f>
        <v>38139376</v>
      </c>
      <c r="R33" s="128">
        <f>'19'!S16</f>
        <v>2929330</v>
      </c>
      <c r="S33" s="128">
        <f>'19'!T16</f>
        <v>1220058</v>
      </c>
      <c r="T33" s="128">
        <f>'19'!U16</f>
        <v>1726618</v>
      </c>
      <c r="U33" s="128">
        <f>'19'!V16</f>
        <v>0</v>
      </c>
      <c r="V33" s="128">
        <f>'19'!W16</f>
        <v>9241365</v>
      </c>
      <c r="W33" s="128">
        <f>'19'!X16</f>
        <v>7096131</v>
      </c>
      <c r="X33" s="128">
        <f>'19'!Y16</f>
        <v>1768741</v>
      </c>
      <c r="Y33" s="128">
        <f>'19'!Z16</f>
        <v>14945804</v>
      </c>
      <c r="Z33" s="128">
        <f>'19'!AA16</f>
        <v>2877729</v>
      </c>
      <c r="AA33" s="128">
        <f>'19'!AB16</f>
        <v>-155164</v>
      </c>
      <c r="AB33" s="128">
        <f>'19'!AC16</f>
        <v>15603381</v>
      </c>
      <c r="AC33" s="128">
        <f>'19'!AD16</f>
        <v>3422002</v>
      </c>
      <c r="AD33" s="128">
        <f>'19'!AE16</f>
        <v>39674131</v>
      </c>
      <c r="AE33" s="128">
        <f>'19'!AF16</f>
        <v>0</v>
      </c>
      <c r="AF33" s="128">
        <f>'19'!AG16</f>
        <v>7868131</v>
      </c>
      <c r="AG33" s="128">
        <f>'19'!AH16</f>
        <v>14491956</v>
      </c>
      <c r="AH33" s="128">
        <f>'19'!AI16</f>
        <v>36431518</v>
      </c>
      <c r="AI33" s="128">
        <f>'19'!AJ16</f>
        <v>1115711</v>
      </c>
      <c r="AJ33" s="128">
        <f>'19'!AK16</f>
        <v>5912037</v>
      </c>
      <c r="AK33" s="128">
        <f>'19'!AL16</f>
        <v>4367105</v>
      </c>
      <c r="AL33" s="128">
        <f>'19'!AM16</f>
        <v>0</v>
      </c>
      <c r="AM33" s="129"/>
    </row>
    <row r="34" spans="1:39" s="130" customFormat="1" ht="25.5" customHeight="1" x14ac:dyDescent="0.2">
      <c r="A34" s="134">
        <v>20</v>
      </c>
      <c r="B34" s="132" t="s">
        <v>918</v>
      </c>
      <c r="C34" s="128">
        <f>'20'!D16</f>
        <v>250316186</v>
      </c>
      <c r="D34" s="128">
        <f>'20'!E16</f>
        <v>118133189</v>
      </c>
      <c r="E34" s="128">
        <f>'20'!F16</f>
        <v>63888176</v>
      </c>
      <c r="F34" s="128">
        <f>'20'!G16</f>
        <v>2079526</v>
      </c>
      <c r="G34" s="128">
        <f>'20'!H16</f>
        <v>0</v>
      </c>
      <c r="H34" s="128">
        <f>'20'!I16</f>
        <v>112201766</v>
      </c>
      <c r="I34" s="128">
        <f>'20'!J16</f>
        <v>174000</v>
      </c>
      <c r="J34" s="128">
        <f>'20'!K16</f>
        <v>7697654</v>
      </c>
      <c r="K34" s="128">
        <f>'20'!L16</f>
        <v>0</v>
      </c>
      <c r="L34" s="128">
        <f>'20'!M16</f>
        <v>6171319</v>
      </c>
      <c r="M34" s="128">
        <f>'20'!N16</f>
        <v>5835067</v>
      </c>
      <c r="N34" s="128">
        <f>'20'!O16</f>
        <v>103191</v>
      </c>
      <c r="O34" s="128">
        <f>'20'!P16</f>
        <v>249477554</v>
      </c>
      <c r="P34" s="128">
        <f>'20'!Q16</f>
        <v>126951558</v>
      </c>
      <c r="Q34" s="128">
        <f>'20'!R16</f>
        <v>64084821</v>
      </c>
      <c r="R34" s="128">
        <f>'20'!S16</f>
        <v>729220</v>
      </c>
      <c r="S34" s="128">
        <f>'20'!T16</f>
        <v>9834850</v>
      </c>
      <c r="T34" s="128">
        <f>'20'!U16</f>
        <v>3850643</v>
      </c>
      <c r="U34" s="128">
        <f>'20'!V16</f>
        <v>1206931</v>
      </c>
      <c r="V34" s="128">
        <f>'20'!W16</f>
        <v>7474717</v>
      </c>
      <c r="W34" s="128">
        <f>'20'!X16</f>
        <v>4342990</v>
      </c>
      <c r="X34" s="128">
        <f>'20'!Y16</f>
        <v>408997</v>
      </c>
      <c r="Y34" s="128">
        <f>'20'!Z16</f>
        <v>22634996</v>
      </c>
      <c r="Z34" s="128">
        <f>'20'!AA16</f>
        <v>8228196</v>
      </c>
      <c r="AA34" s="128">
        <f>'20'!AB16</f>
        <v>-270365</v>
      </c>
      <c r="AB34" s="128">
        <f>'20'!AC16</f>
        <v>27288087</v>
      </c>
      <c r="AC34" s="128">
        <f>'20'!AD16</f>
        <v>3702236</v>
      </c>
      <c r="AD34" s="128">
        <f>'20'!AE16</f>
        <v>108769302</v>
      </c>
      <c r="AE34" s="128">
        <f>'20'!AF16</f>
        <v>2265427</v>
      </c>
      <c r="AF34" s="128">
        <f>'20'!AG16</f>
        <v>14677242</v>
      </c>
      <c r="AG34" s="128">
        <f>'20'!AH16</f>
        <v>13943079</v>
      </c>
      <c r="AH34" s="128">
        <f>'20'!AI16</f>
        <v>33251849</v>
      </c>
      <c r="AI34" s="128">
        <f>'20'!AJ16</f>
        <v>15253202</v>
      </c>
      <c r="AJ34" s="128">
        <f>'20'!AK16</f>
        <v>3419153</v>
      </c>
      <c r="AK34" s="128">
        <f>'20'!AL16</f>
        <v>26907977</v>
      </c>
      <c r="AL34" s="128">
        <f>'20'!AM16</f>
        <v>0</v>
      </c>
      <c r="AM34" s="129"/>
    </row>
    <row r="35" spans="1:39" s="130" customFormat="1" ht="25.5" customHeight="1" x14ac:dyDescent="0.2">
      <c r="A35" s="134">
        <v>21</v>
      </c>
      <c r="B35" s="132" t="s">
        <v>919</v>
      </c>
      <c r="C35" s="128">
        <f>'21'!D16</f>
        <v>301129366</v>
      </c>
      <c r="D35" s="128">
        <f>'21'!E16</f>
        <v>122062539</v>
      </c>
      <c r="E35" s="128">
        <f>'21'!F16</f>
        <v>65924740</v>
      </c>
      <c r="F35" s="128">
        <f>'21'!G16</f>
        <v>4535700</v>
      </c>
      <c r="G35" s="128">
        <f>'21'!H16</f>
        <v>0</v>
      </c>
      <c r="H35" s="128">
        <f>'21'!I16</f>
        <v>124399359</v>
      </c>
      <c r="I35" s="128">
        <f>'21'!J16</f>
        <v>0</v>
      </c>
      <c r="J35" s="128">
        <f>'21'!K16</f>
        <v>15949220</v>
      </c>
      <c r="K35" s="128">
        <f>'21'!L16</f>
        <v>0</v>
      </c>
      <c r="L35" s="128">
        <f>'21'!M16</f>
        <v>26185770</v>
      </c>
      <c r="M35" s="128">
        <f>'21'!N16</f>
        <v>11183138</v>
      </c>
      <c r="N35" s="128">
        <f>'21'!O16</f>
        <v>1349340</v>
      </c>
      <c r="O35" s="128">
        <f>'21'!P16</f>
        <v>282532795</v>
      </c>
      <c r="P35" s="128">
        <f>'21'!Q16</f>
        <v>129388747</v>
      </c>
      <c r="Q35" s="128">
        <f>'21'!R16</f>
        <v>49099972</v>
      </c>
      <c r="R35" s="128">
        <f>'21'!S16</f>
        <v>108855</v>
      </c>
      <c r="S35" s="128">
        <f>'21'!T16</f>
        <v>6795436</v>
      </c>
      <c r="T35" s="128">
        <f>'21'!U16</f>
        <v>18144970</v>
      </c>
      <c r="U35" s="128">
        <f>'21'!V16</f>
        <v>0</v>
      </c>
      <c r="V35" s="128">
        <f>'21'!W16</f>
        <v>32263001</v>
      </c>
      <c r="W35" s="128">
        <f>'21'!X16</f>
        <v>2914842</v>
      </c>
      <c r="X35" s="128">
        <f>'21'!Y16</f>
        <v>4647556</v>
      </c>
      <c r="Y35" s="128">
        <f>'21'!Z16</f>
        <v>39455956</v>
      </c>
      <c r="Z35" s="128">
        <f>'21'!AA16</f>
        <v>559696</v>
      </c>
      <c r="AA35" s="128">
        <f>'21'!AB16</f>
        <v>-846236</v>
      </c>
      <c r="AB35" s="128">
        <f>'21'!AC16</f>
        <v>20772609</v>
      </c>
      <c r="AC35" s="128">
        <f>'21'!AD16</f>
        <v>2084795</v>
      </c>
      <c r="AD35" s="128">
        <f>'21'!AE16</f>
        <v>135779751</v>
      </c>
      <c r="AE35" s="128">
        <f>'21'!AF16</f>
        <v>8921214</v>
      </c>
      <c r="AF35" s="128">
        <f>'21'!AG16</f>
        <v>24141656</v>
      </c>
      <c r="AG35" s="128">
        <f>'21'!AH16</f>
        <v>10970877</v>
      </c>
      <c r="AH35" s="128">
        <f>'21'!AI16</f>
        <v>22209592</v>
      </c>
      <c r="AI35" s="128">
        <f>'21'!AJ16</f>
        <v>5750235</v>
      </c>
      <c r="AJ35" s="128">
        <f>'21'!AK16</f>
        <v>17277844</v>
      </c>
      <c r="AK35" s="128">
        <f>'21'!AL16</f>
        <v>32758965</v>
      </c>
      <c r="AL35" s="128">
        <f>'21'!AM16</f>
        <v>1865257</v>
      </c>
      <c r="AM35" s="129"/>
    </row>
    <row r="36" spans="1:39" s="130" customFormat="1" ht="25.5" customHeight="1" x14ac:dyDescent="0.2">
      <c r="A36" s="134">
        <v>22</v>
      </c>
      <c r="B36" s="132" t="s">
        <v>920</v>
      </c>
      <c r="C36" s="128">
        <f>'22'!D16</f>
        <v>572948912</v>
      </c>
      <c r="D36" s="128">
        <f>'22'!E16</f>
        <v>229024382</v>
      </c>
      <c r="E36" s="128">
        <f>'22'!F16</f>
        <v>119428177</v>
      </c>
      <c r="F36" s="128">
        <f>'22'!G16</f>
        <v>13289348</v>
      </c>
      <c r="G36" s="128">
        <f>'22'!H16</f>
        <v>0</v>
      </c>
      <c r="H36" s="128">
        <f>'22'!I16</f>
        <v>207394356</v>
      </c>
      <c r="I36" s="128">
        <f>'22'!J16</f>
        <v>1871903</v>
      </c>
      <c r="J36" s="128">
        <f>'22'!K16</f>
        <v>35013270</v>
      </c>
      <c r="K36" s="128">
        <f>'22'!L16</f>
        <v>0</v>
      </c>
      <c r="L36" s="128">
        <f>'22'!M16</f>
        <v>44762132</v>
      </c>
      <c r="M36" s="128">
        <f>'22'!N16</f>
        <v>51878690</v>
      </c>
      <c r="N36" s="128">
        <f>'22'!O16</f>
        <v>3004179</v>
      </c>
      <c r="O36" s="128">
        <f>'22'!P16</f>
        <v>558395762</v>
      </c>
      <c r="P36" s="128">
        <f>'22'!Q16</f>
        <v>225456799</v>
      </c>
      <c r="Q36" s="128">
        <f>'22'!R16</f>
        <v>119142013</v>
      </c>
      <c r="R36" s="128">
        <f>'22'!S16</f>
        <v>5165359</v>
      </c>
      <c r="S36" s="128">
        <f>'22'!T16</f>
        <v>8996864</v>
      </c>
      <c r="T36" s="128">
        <f>'22'!U16</f>
        <v>19811766</v>
      </c>
      <c r="U36" s="128">
        <f>'22'!V16</f>
        <v>3359715</v>
      </c>
      <c r="V36" s="128">
        <f>'22'!W16</f>
        <v>83787214</v>
      </c>
      <c r="W36" s="128">
        <f>'22'!X16</f>
        <v>18883756</v>
      </c>
      <c r="X36" s="128">
        <f>'22'!Y16</f>
        <v>9769753</v>
      </c>
      <c r="Y36" s="128">
        <f>'22'!Z16</f>
        <v>54731809</v>
      </c>
      <c r="Z36" s="128">
        <f>'22'!AA16</f>
        <v>9643418</v>
      </c>
      <c r="AA36" s="128">
        <f>'22'!AB16</f>
        <v>-352704</v>
      </c>
      <c r="AB36" s="128">
        <f>'22'!AC16</f>
        <v>49564167</v>
      </c>
      <c r="AC36" s="128">
        <f>'22'!AD16</f>
        <v>8364236</v>
      </c>
      <c r="AD36" s="128">
        <f>'22'!AE16</f>
        <v>215103160</v>
      </c>
      <c r="AE36" s="128">
        <f>'22'!AF16</f>
        <v>33807414</v>
      </c>
      <c r="AF36" s="128">
        <f>'22'!AG16</f>
        <v>21390224</v>
      </c>
      <c r="AG36" s="128">
        <f>'22'!AH16</f>
        <v>43184332</v>
      </c>
      <c r="AH36" s="128">
        <f>'22'!AI16</f>
        <v>74887597</v>
      </c>
      <c r="AI36" s="128">
        <f>'22'!AJ16</f>
        <v>50139023</v>
      </c>
      <c r="AJ36" s="128">
        <f>'22'!AK16</f>
        <v>7488658</v>
      </c>
      <c r="AK36" s="128">
        <f>'22'!AL16</f>
        <v>40787658</v>
      </c>
      <c r="AL36" s="128">
        <f>'22'!AM16</f>
        <v>13679293</v>
      </c>
      <c r="AM36" s="129"/>
    </row>
    <row r="37" spans="1:39" s="130" customFormat="1" ht="25.5" customHeight="1" x14ac:dyDescent="0.2">
      <c r="A37" s="134">
        <v>23</v>
      </c>
      <c r="B37" s="132" t="s">
        <v>921</v>
      </c>
      <c r="C37" s="128">
        <f>'23'!D16</f>
        <v>222074475</v>
      </c>
      <c r="D37" s="128">
        <f>'23'!E16</f>
        <v>110986945</v>
      </c>
      <c r="E37" s="128">
        <f>'23'!F16</f>
        <v>45537162</v>
      </c>
      <c r="F37" s="128">
        <f>'23'!G16</f>
        <v>2613579</v>
      </c>
      <c r="G37" s="128">
        <f>'23'!H16</f>
        <v>0</v>
      </c>
      <c r="H37" s="128">
        <f>'23'!I16</f>
        <v>81552157</v>
      </c>
      <c r="I37" s="128">
        <f>'23'!J16</f>
        <v>120000</v>
      </c>
      <c r="J37" s="128">
        <f>'23'!K16</f>
        <v>12854980</v>
      </c>
      <c r="K37" s="128">
        <f>'23'!L16</f>
        <v>0</v>
      </c>
      <c r="L37" s="128">
        <f>'23'!M16</f>
        <v>11871009</v>
      </c>
      <c r="M37" s="128">
        <f>'23'!N16</f>
        <v>4659284</v>
      </c>
      <c r="N37" s="128">
        <f>'23'!O16</f>
        <v>30100</v>
      </c>
      <c r="O37" s="128">
        <f>'23'!P16</f>
        <v>219886923</v>
      </c>
      <c r="P37" s="128">
        <f>'23'!Q16</f>
        <v>93355118</v>
      </c>
      <c r="Q37" s="128">
        <f>'23'!R16</f>
        <v>57022256</v>
      </c>
      <c r="R37" s="128">
        <f>'23'!S16</f>
        <v>960941</v>
      </c>
      <c r="S37" s="128">
        <f>'23'!T16</f>
        <v>155059</v>
      </c>
      <c r="T37" s="128">
        <f>'23'!U16</f>
        <v>4787409</v>
      </c>
      <c r="U37" s="128">
        <f>'23'!V16</f>
        <v>0</v>
      </c>
      <c r="V37" s="128">
        <f>'23'!W16</f>
        <v>34167539</v>
      </c>
      <c r="W37" s="128">
        <f>'23'!X16</f>
        <v>4594993</v>
      </c>
      <c r="X37" s="128">
        <f>'23'!Y16</f>
        <v>973060</v>
      </c>
      <c r="Y37" s="128">
        <f>'23'!Z16</f>
        <v>20784269</v>
      </c>
      <c r="Z37" s="128">
        <f>'23'!AA16</f>
        <v>3399152</v>
      </c>
      <c r="AA37" s="128">
        <f>'23'!AB16</f>
        <v>-312873</v>
      </c>
      <c r="AB37" s="128">
        <f>'23'!AC16</f>
        <v>16897044</v>
      </c>
      <c r="AC37" s="128">
        <f>'23'!AD16</f>
        <v>3286424</v>
      </c>
      <c r="AD37" s="128">
        <f>'23'!AE16</f>
        <v>107525634</v>
      </c>
      <c r="AE37" s="128">
        <f>'23'!AF16</f>
        <v>2841382</v>
      </c>
      <c r="AF37" s="128">
        <f>'23'!AG16</f>
        <v>14506407</v>
      </c>
      <c r="AG37" s="128">
        <f>'23'!AH16</f>
        <v>11983390</v>
      </c>
      <c r="AH37" s="128">
        <f>'23'!AI16</f>
        <v>21343687</v>
      </c>
      <c r="AI37" s="128">
        <f>'23'!AJ16</f>
        <v>11415965</v>
      </c>
      <c r="AJ37" s="128">
        <f>'23'!AK16</f>
        <v>0</v>
      </c>
      <c r="AK37" s="128">
        <f>'23'!AL16</f>
        <v>28856527</v>
      </c>
      <c r="AL37" s="128">
        <f>'23'!AM16</f>
        <v>1230463</v>
      </c>
      <c r="AM37" s="129"/>
    </row>
    <row r="38" spans="1:39" s="130" customFormat="1" ht="25.5" customHeight="1" x14ac:dyDescent="0.2">
      <c r="A38" s="134">
        <v>24</v>
      </c>
      <c r="B38" s="132" t="s">
        <v>922</v>
      </c>
      <c r="C38" s="128">
        <f>'24'!D16</f>
        <v>892423377</v>
      </c>
      <c r="D38" s="128">
        <f>'24'!E16</f>
        <v>387213219</v>
      </c>
      <c r="E38" s="128">
        <f>'24'!F16</f>
        <v>221271223</v>
      </c>
      <c r="F38" s="128">
        <f>'24'!G16</f>
        <v>2872072</v>
      </c>
      <c r="G38" s="128">
        <f>'24'!H16</f>
        <v>0</v>
      </c>
      <c r="H38" s="128">
        <f>'24'!I16</f>
        <v>258213486</v>
      </c>
      <c r="I38" s="128">
        <f>'24'!J16</f>
        <v>0</v>
      </c>
      <c r="J38" s="128">
        <f>'24'!K16</f>
        <v>8557150</v>
      </c>
      <c r="K38" s="128">
        <f>'24'!L16</f>
        <v>0</v>
      </c>
      <c r="L38" s="128">
        <f>'24'!M16</f>
        <v>138297217</v>
      </c>
      <c r="M38" s="128">
        <f>'24'!N16</f>
        <v>100032247</v>
      </c>
      <c r="N38" s="128">
        <f>'24'!O16</f>
        <v>110058</v>
      </c>
      <c r="O38" s="128">
        <f>'24'!P16</f>
        <v>895264199</v>
      </c>
      <c r="P38" s="128">
        <f>'24'!Q16</f>
        <v>267452252</v>
      </c>
      <c r="Q38" s="128">
        <f>'24'!R16</f>
        <v>152228882</v>
      </c>
      <c r="R38" s="128">
        <f>'24'!S16</f>
        <v>8799664</v>
      </c>
      <c r="S38" s="128">
        <f>'24'!T16</f>
        <v>51686971</v>
      </c>
      <c r="T38" s="128">
        <f>'24'!U16</f>
        <v>29397288</v>
      </c>
      <c r="U38" s="128">
        <f>'24'!V16</f>
        <v>140192</v>
      </c>
      <c r="V38" s="128">
        <f>'24'!W16</f>
        <v>285011678</v>
      </c>
      <c r="W38" s="128">
        <f>'24'!X16</f>
        <v>14940060</v>
      </c>
      <c r="X38" s="128">
        <f>'24'!Y16</f>
        <v>12098741</v>
      </c>
      <c r="Y38" s="128">
        <f>'24'!Z16</f>
        <v>26207429</v>
      </c>
      <c r="Z38" s="128">
        <f>'24'!AA16</f>
        <v>48052232</v>
      </c>
      <c r="AA38" s="128">
        <f>'24'!AB16</f>
        <v>-751190</v>
      </c>
      <c r="AB38" s="128">
        <f>'24'!AC16</f>
        <v>55593065</v>
      </c>
      <c r="AC38" s="128">
        <f>'24'!AD16</f>
        <v>14507467</v>
      </c>
      <c r="AD38" s="128">
        <f>'24'!AE16</f>
        <v>264241606</v>
      </c>
      <c r="AE38" s="128">
        <f>'24'!AF16</f>
        <v>16553283</v>
      </c>
      <c r="AF38" s="128">
        <f>'24'!AG16</f>
        <v>53391065</v>
      </c>
      <c r="AG38" s="128">
        <f>'24'!AH16</f>
        <v>48082072</v>
      </c>
      <c r="AH38" s="128">
        <f>'24'!AI16</f>
        <v>60172044</v>
      </c>
      <c r="AI38" s="128">
        <f>'24'!AJ16</f>
        <v>16813197</v>
      </c>
      <c r="AJ38" s="128">
        <f>'24'!AK16</f>
        <v>172105417</v>
      </c>
      <c r="AK38" s="128">
        <f>'24'!AL16</f>
        <v>167126673</v>
      </c>
      <c r="AL38" s="128">
        <f>'24'!AM16</f>
        <v>26678310</v>
      </c>
      <c r="AM38" s="129"/>
    </row>
    <row r="39" spans="1:39" s="130" customFormat="1" ht="25.5" customHeight="1" x14ac:dyDescent="0.2">
      <c r="A39" s="134">
        <v>25</v>
      </c>
      <c r="B39" s="132" t="s">
        <v>923</v>
      </c>
      <c r="C39" s="128">
        <f>'25'!D16</f>
        <v>0</v>
      </c>
      <c r="D39" s="128">
        <f>'25'!E16</f>
        <v>0</v>
      </c>
      <c r="E39" s="128">
        <f>'25'!F16</f>
        <v>0</v>
      </c>
      <c r="F39" s="128">
        <f>'25'!G16</f>
        <v>0</v>
      </c>
      <c r="G39" s="128">
        <f>'25'!H16</f>
        <v>0</v>
      </c>
      <c r="H39" s="128">
        <f>'25'!I16</f>
        <v>0</v>
      </c>
      <c r="I39" s="128">
        <f>'25'!J16</f>
        <v>0</v>
      </c>
      <c r="J39" s="128">
        <f>'25'!K16</f>
        <v>0</v>
      </c>
      <c r="K39" s="128">
        <f>'25'!L16</f>
        <v>0</v>
      </c>
      <c r="L39" s="128">
        <f>'25'!M16</f>
        <v>0</v>
      </c>
      <c r="M39" s="128">
        <f>'25'!N16</f>
        <v>0</v>
      </c>
      <c r="N39" s="128">
        <f>'25'!O16</f>
        <v>0</v>
      </c>
      <c r="O39" s="128">
        <f>'25'!P16</f>
        <v>0</v>
      </c>
      <c r="P39" s="128">
        <f>'25'!Q16</f>
        <v>0</v>
      </c>
      <c r="Q39" s="128">
        <f>'25'!R16</f>
        <v>0</v>
      </c>
      <c r="R39" s="128">
        <f>'25'!S16</f>
        <v>0</v>
      </c>
      <c r="S39" s="128">
        <f>'25'!T16</f>
        <v>0</v>
      </c>
      <c r="T39" s="128">
        <f>'25'!U16</f>
        <v>0</v>
      </c>
      <c r="U39" s="128">
        <f>'25'!V16</f>
        <v>0</v>
      </c>
      <c r="V39" s="128">
        <f>'25'!W16</f>
        <v>0</v>
      </c>
      <c r="W39" s="128">
        <f>'25'!X16</f>
        <v>0</v>
      </c>
      <c r="X39" s="128">
        <f>'25'!Y16</f>
        <v>0</v>
      </c>
      <c r="Y39" s="128">
        <f>'25'!Z16</f>
        <v>0</v>
      </c>
      <c r="Z39" s="128">
        <f>'25'!AA16</f>
        <v>0</v>
      </c>
      <c r="AA39" s="128">
        <f>'25'!AB16</f>
        <v>0</v>
      </c>
      <c r="AB39" s="128">
        <f>'25'!AC16</f>
        <v>0</v>
      </c>
      <c r="AC39" s="128">
        <f>'25'!AD16</f>
        <v>0</v>
      </c>
      <c r="AD39" s="128">
        <f>'25'!AE16</f>
        <v>0</v>
      </c>
      <c r="AE39" s="128">
        <f>'25'!AF16</f>
        <v>0</v>
      </c>
      <c r="AF39" s="128">
        <f>'25'!AG16</f>
        <v>0</v>
      </c>
      <c r="AG39" s="128">
        <f>'25'!AH16</f>
        <v>0</v>
      </c>
      <c r="AH39" s="128">
        <f>'25'!AI16</f>
        <v>0</v>
      </c>
      <c r="AI39" s="128">
        <f>'25'!AJ16</f>
        <v>0</v>
      </c>
      <c r="AJ39" s="128">
        <f>'25'!AK16</f>
        <v>0</v>
      </c>
      <c r="AK39" s="128">
        <f>'25'!AL16</f>
        <v>0</v>
      </c>
      <c r="AL39" s="128">
        <f>'25'!AM16</f>
        <v>0</v>
      </c>
      <c r="AM39" s="129"/>
    </row>
    <row r="40" spans="1:39" s="130" customFormat="1" ht="25.5" customHeight="1" x14ac:dyDescent="0.2">
      <c r="A40" s="134">
        <v>26</v>
      </c>
      <c r="B40" s="132" t="s">
        <v>924</v>
      </c>
      <c r="C40" s="128">
        <f>'26'!D16</f>
        <v>392424444</v>
      </c>
      <c r="D40" s="128">
        <f>'26'!E16</f>
        <v>177880941</v>
      </c>
      <c r="E40" s="128">
        <f>'26'!F16</f>
        <v>95605292</v>
      </c>
      <c r="F40" s="128">
        <f>'26'!G16</f>
        <v>244960</v>
      </c>
      <c r="G40" s="128">
        <f>'26'!H16</f>
        <v>0</v>
      </c>
      <c r="H40" s="128">
        <f>'26'!I16</f>
        <v>164187808</v>
      </c>
      <c r="I40" s="128">
        <f>'26'!J16</f>
        <v>0</v>
      </c>
      <c r="J40" s="128">
        <f>'26'!K16</f>
        <v>1780180</v>
      </c>
      <c r="K40" s="128">
        <f>'26'!L16</f>
        <v>0</v>
      </c>
      <c r="L40" s="128">
        <f>'26'!M16</f>
        <v>12204193</v>
      </c>
      <c r="M40" s="128">
        <f>'26'!N16</f>
        <v>36108420</v>
      </c>
      <c r="N40" s="128">
        <f>'26'!O16</f>
        <v>262902</v>
      </c>
      <c r="O40" s="128">
        <f>'26'!P16</f>
        <v>390959777</v>
      </c>
      <c r="P40" s="128">
        <f>'26'!Q16</f>
        <v>171537811</v>
      </c>
      <c r="Q40" s="128">
        <f>'26'!R16</f>
        <v>75171490</v>
      </c>
      <c r="R40" s="128">
        <f>'26'!S16</f>
        <v>4871742</v>
      </c>
      <c r="S40" s="128">
        <f>'26'!T16</f>
        <v>11032000</v>
      </c>
      <c r="T40" s="128">
        <f>'26'!U16</f>
        <v>21097545</v>
      </c>
      <c r="U40" s="128">
        <f>'26'!V16</f>
        <v>6640208</v>
      </c>
      <c r="V40" s="128">
        <f>'26'!W16</f>
        <v>38885857</v>
      </c>
      <c r="W40" s="128">
        <f>'26'!X16</f>
        <v>14270008</v>
      </c>
      <c r="X40" s="128">
        <f>'26'!Y16</f>
        <v>20556671</v>
      </c>
      <c r="Y40" s="128">
        <f>'26'!Z16</f>
        <v>19360596</v>
      </c>
      <c r="Z40" s="128">
        <f>'26'!AA16</f>
        <v>7970958</v>
      </c>
      <c r="AA40" s="128">
        <f>'26'!AB16</f>
        <v>-435109</v>
      </c>
      <c r="AB40" s="128">
        <f>'26'!AC16</f>
        <v>26663276</v>
      </c>
      <c r="AC40" s="128">
        <f>'26'!AD16</f>
        <v>5682705</v>
      </c>
      <c r="AD40" s="128">
        <f>'26'!AE16</f>
        <v>182052134</v>
      </c>
      <c r="AE40" s="128">
        <f>'26'!AF16</f>
        <v>4993404</v>
      </c>
      <c r="AF40" s="128">
        <f>'26'!AG16</f>
        <v>25358448</v>
      </c>
      <c r="AG40" s="128">
        <f>'26'!AH16</f>
        <v>37594212</v>
      </c>
      <c r="AH40" s="128">
        <f>'26'!AI16</f>
        <v>37355364</v>
      </c>
      <c r="AI40" s="128">
        <f>'26'!AJ16</f>
        <v>18231342</v>
      </c>
      <c r="AJ40" s="128">
        <f>'26'!AK16</f>
        <v>0</v>
      </c>
      <c r="AK40" s="128">
        <f>'26'!AL16</f>
        <v>51995203</v>
      </c>
      <c r="AL40" s="128">
        <f>'26'!AM16</f>
        <v>1033689</v>
      </c>
      <c r="AM40" s="129"/>
    </row>
    <row r="41" spans="1:39" s="130" customFormat="1" ht="25.5" customHeight="1" x14ac:dyDescent="0.2">
      <c r="A41" s="134">
        <v>27</v>
      </c>
      <c r="B41" s="132" t="s">
        <v>925</v>
      </c>
      <c r="C41" s="128">
        <f>'27'!D16</f>
        <v>237005366</v>
      </c>
      <c r="D41" s="128">
        <f>'27'!E16</f>
        <v>94347069</v>
      </c>
      <c r="E41" s="128">
        <f>'27'!F16</f>
        <v>45828682</v>
      </c>
      <c r="F41" s="128">
        <f>'27'!G16</f>
        <v>1954308</v>
      </c>
      <c r="G41" s="128">
        <f>'27'!H16</f>
        <v>0</v>
      </c>
      <c r="H41" s="128">
        <f>'27'!I16</f>
        <v>97897058</v>
      </c>
      <c r="I41" s="128">
        <f>'27'!J16</f>
        <v>0</v>
      </c>
      <c r="J41" s="128">
        <f>'27'!K16</f>
        <v>34874860</v>
      </c>
      <c r="K41" s="128">
        <f>'27'!L16</f>
        <v>0</v>
      </c>
      <c r="L41" s="128">
        <f>'27'!M16</f>
        <v>3182514</v>
      </c>
      <c r="M41" s="128">
        <f>'27'!N16</f>
        <v>6512977</v>
      </c>
      <c r="N41" s="128">
        <f>'27'!O16</f>
        <v>190888</v>
      </c>
      <c r="O41" s="128">
        <f>'27'!P16</f>
        <v>217720929</v>
      </c>
      <c r="P41" s="128">
        <f>'27'!Q16</f>
        <v>96053077</v>
      </c>
      <c r="Q41" s="128">
        <f>'27'!R16</f>
        <v>44063067</v>
      </c>
      <c r="R41" s="128">
        <f>'27'!S16</f>
        <v>5079784</v>
      </c>
      <c r="S41" s="128">
        <f>'27'!T16</f>
        <v>4249032</v>
      </c>
      <c r="T41" s="128">
        <f>'27'!U16</f>
        <v>18319077</v>
      </c>
      <c r="U41" s="128">
        <f>'27'!V16</f>
        <v>1387661</v>
      </c>
      <c r="V41" s="128">
        <f>'27'!W16</f>
        <v>5508485</v>
      </c>
      <c r="W41" s="128">
        <f>'27'!X16</f>
        <v>12966487</v>
      </c>
      <c r="X41" s="128">
        <f>'27'!Y16</f>
        <v>607008</v>
      </c>
      <c r="Y41" s="128">
        <f>'27'!Z16</f>
        <v>18491264</v>
      </c>
      <c r="Z41" s="128">
        <f>'27'!AA16</f>
        <v>12676070</v>
      </c>
      <c r="AA41" s="128">
        <f>'27'!AB16</f>
        <v>-1680083</v>
      </c>
      <c r="AB41" s="128">
        <f>'27'!AC16</f>
        <v>19543307</v>
      </c>
      <c r="AC41" s="128">
        <f>'27'!AD16</f>
        <v>4411370</v>
      </c>
      <c r="AD41" s="128">
        <f>'27'!AE16</f>
        <v>87807885</v>
      </c>
      <c r="AE41" s="128">
        <f>'27'!AF16</f>
        <v>3108314</v>
      </c>
      <c r="AF41" s="128">
        <f>'27'!AG16</f>
        <v>25704926</v>
      </c>
      <c r="AG41" s="128">
        <f>'27'!AH16</f>
        <v>23995706</v>
      </c>
      <c r="AH41" s="128">
        <f>'27'!AI16</f>
        <v>31538748</v>
      </c>
      <c r="AI41" s="128">
        <f>'27'!AJ16</f>
        <v>11480187</v>
      </c>
      <c r="AJ41" s="128">
        <f>'27'!AK16</f>
        <v>4248012</v>
      </c>
      <c r="AK41" s="128">
        <f>'27'!AL16</f>
        <v>5866573</v>
      </c>
      <c r="AL41" s="128">
        <f>'27'!AM16</f>
        <v>15901</v>
      </c>
      <c r="AM41" s="129"/>
    </row>
    <row r="42" spans="1:39" s="130" customFormat="1" ht="25.5" customHeight="1" x14ac:dyDescent="0.2">
      <c r="A42" s="134">
        <v>28</v>
      </c>
      <c r="B42" s="132" t="s">
        <v>926</v>
      </c>
      <c r="C42" s="128">
        <f>'28'!D16</f>
        <v>549948688</v>
      </c>
      <c r="D42" s="128">
        <f>'28'!E16</f>
        <v>292226497</v>
      </c>
      <c r="E42" s="128">
        <f>'28'!F16</f>
        <v>157707435</v>
      </c>
      <c r="F42" s="128">
        <f>'28'!G16</f>
        <v>5161914</v>
      </c>
      <c r="G42" s="128">
        <f>'28'!H16</f>
        <v>0</v>
      </c>
      <c r="H42" s="128">
        <f>'28'!I16</f>
        <v>181167111</v>
      </c>
      <c r="I42" s="128">
        <f>'28'!J16</f>
        <v>266000</v>
      </c>
      <c r="J42" s="128">
        <f>'28'!K16</f>
        <v>5397410</v>
      </c>
      <c r="K42" s="128">
        <f>'28'!L16</f>
        <v>0</v>
      </c>
      <c r="L42" s="128">
        <f>'28'!M16</f>
        <v>23568579</v>
      </c>
      <c r="M42" s="128">
        <f>'28'!N16</f>
        <v>47109435</v>
      </c>
      <c r="N42" s="128">
        <f>'28'!O16</f>
        <v>213656</v>
      </c>
      <c r="O42" s="128">
        <f>'28'!P16</f>
        <v>541841392</v>
      </c>
      <c r="P42" s="128">
        <f>'28'!Q16</f>
        <v>204225489</v>
      </c>
      <c r="Q42" s="128">
        <f>'28'!R16</f>
        <v>134631859</v>
      </c>
      <c r="R42" s="128">
        <f>'28'!S16</f>
        <v>6073214</v>
      </c>
      <c r="S42" s="128">
        <f>'28'!T16</f>
        <v>21634168</v>
      </c>
      <c r="T42" s="128">
        <f>'28'!U16</f>
        <v>2027928</v>
      </c>
      <c r="U42" s="128">
        <f>'28'!V16</f>
        <v>2477966</v>
      </c>
      <c r="V42" s="128">
        <f>'28'!W16</f>
        <v>75120369</v>
      </c>
      <c r="W42" s="128">
        <f>'28'!X16</f>
        <v>12062650</v>
      </c>
      <c r="X42" s="128">
        <f>'28'!Y16</f>
        <v>28711094</v>
      </c>
      <c r="Y42" s="128">
        <f>'28'!Z16</f>
        <v>34468924</v>
      </c>
      <c r="Z42" s="128">
        <f>'28'!AA16</f>
        <v>22127255</v>
      </c>
      <c r="AA42" s="128">
        <f>'28'!AB16</f>
        <v>-1719524</v>
      </c>
      <c r="AB42" s="128">
        <f>'28'!AC16</f>
        <v>45313106</v>
      </c>
      <c r="AC42" s="128">
        <f>'28'!AD16</f>
        <v>9458601</v>
      </c>
      <c r="AD42" s="128">
        <f>'28'!AE16</f>
        <v>181146549</v>
      </c>
      <c r="AE42" s="128">
        <f>'28'!AF16</f>
        <v>4876759</v>
      </c>
      <c r="AF42" s="128">
        <f>'28'!AG16</f>
        <v>59019042</v>
      </c>
      <c r="AG42" s="128">
        <f>'28'!AH16</f>
        <v>26742963</v>
      </c>
      <c r="AH42" s="128">
        <f>'28'!AI16</f>
        <v>76215106</v>
      </c>
      <c r="AI42" s="128">
        <f>'28'!AJ16</f>
        <v>45789280</v>
      </c>
      <c r="AJ42" s="128">
        <f>'28'!AK16</f>
        <v>0</v>
      </c>
      <c r="AK42" s="128">
        <f>'28'!AL16</f>
        <v>88482590</v>
      </c>
      <c r="AL42" s="128">
        <f>'28'!AM16</f>
        <v>4797396</v>
      </c>
      <c r="AM42" s="129"/>
    </row>
    <row r="43" spans="1:39" s="130" customFormat="1" ht="25.5" customHeight="1" x14ac:dyDescent="0.2">
      <c r="A43" s="134">
        <v>29</v>
      </c>
      <c r="B43" s="132" t="s">
        <v>927</v>
      </c>
      <c r="C43" s="128">
        <f>'29'!D16</f>
        <v>296801196</v>
      </c>
      <c r="D43" s="128">
        <f>'29'!E16</f>
        <v>140820418</v>
      </c>
      <c r="E43" s="128">
        <f>'29'!F16</f>
        <v>72580453</v>
      </c>
      <c r="F43" s="128">
        <f>'29'!G16</f>
        <v>1511366</v>
      </c>
      <c r="G43" s="128">
        <f>'29'!H16</f>
        <v>0</v>
      </c>
      <c r="H43" s="128">
        <f>'29'!I16</f>
        <v>142928176</v>
      </c>
      <c r="I43" s="128">
        <f>'29'!J16</f>
        <v>650000</v>
      </c>
      <c r="J43" s="128">
        <f>'29'!K16</f>
        <v>3403410</v>
      </c>
      <c r="K43" s="128">
        <f>'29'!L16</f>
        <v>0</v>
      </c>
      <c r="L43" s="128">
        <f>'29'!M16</f>
        <v>6720001</v>
      </c>
      <c r="M43" s="128">
        <f>'29'!N16</f>
        <v>1064380</v>
      </c>
      <c r="N43" s="128">
        <f>'29'!O16</f>
        <v>1214811</v>
      </c>
      <c r="O43" s="128">
        <f>'29'!P16</f>
        <v>296331725</v>
      </c>
      <c r="P43" s="128">
        <f>'29'!Q16</f>
        <v>146401527</v>
      </c>
      <c r="Q43" s="128">
        <f>'29'!R16</f>
        <v>77191903</v>
      </c>
      <c r="R43" s="128">
        <f>'29'!S16</f>
        <v>13520660</v>
      </c>
      <c r="S43" s="128">
        <f>'29'!T16</f>
        <v>0</v>
      </c>
      <c r="T43" s="128">
        <f>'29'!U16</f>
        <v>2987696</v>
      </c>
      <c r="U43" s="128">
        <f>'29'!V16</f>
        <v>540448</v>
      </c>
      <c r="V43" s="128">
        <f>'29'!W16</f>
        <v>2545530</v>
      </c>
      <c r="W43" s="128">
        <f>'29'!X16</f>
        <v>9399950</v>
      </c>
      <c r="X43" s="128">
        <f>'29'!Y16</f>
        <v>8893326</v>
      </c>
      <c r="Y43" s="128">
        <f>'29'!Z16</f>
        <v>23479635</v>
      </c>
      <c r="Z43" s="128">
        <f>'29'!AA16</f>
        <v>12133072</v>
      </c>
      <c r="AA43" s="128">
        <f>'29'!AB16</f>
        <v>-762022</v>
      </c>
      <c r="AB43" s="128">
        <f>'29'!AC16</f>
        <v>56236641</v>
      </c>
      <c r="AC43" s="128">
        <f>'29'!AD16</f>
        <v>4957773</v>
      </c>
      <c r="AD43" s="128">
        <f>'29'!AE16</f>
        <v>137293273</v>
      </c>
      <c r="AE43" s="128">
        <f>'29'!AF16</f>
        <v>3655511</v>
      </c>
      <c r="AF43" s="128">
        <f>'29'!AG16</f>
        <v>16486340</v>
      </c>
      <c r="AG43" s="128">
        <f>'29'!AH16</f>
        <v>21210847</v>
      </c>
      <c r="AH43" s="128">
        <f>'29'!AI16</f>
        <v>27461888</v>
      </c>
      <c r="AI43" s="128">
        <f>'29'!AJ16</f>
        <v>5391013</v>
      </c>
      <c r="AJ43" s="128">
        <f>'29'!AK16</f>
        <v>0</v>
      </c>
      <c r="AK43" s="128">
        <f>'29'!AL16</f>
        <v>22703595</v>
      </c>
      <c r="AL43" s="128">
        <f>'29'!AM16</f>
        <v>934844</v>
      </c>
      <c r="AM43" s="129"/>
    </row>
    <row r="44" spans="1:39" s="130" customFormat="1" ht="25.5" customHeight="1" x14ac:dyDescent="0.2">
      <c r="A44" s="134">
        <v>30</v>
      </c>
      <c r="B44" s="132" t="s">
        <v>928</v>
      </c>
      <c r="C44" s="128">
        <f>'30'!D16</f>
        <v>265429430</v>
      </c>
      <c r="D44" s="128">
        <f>'30'!E16</f>
        <v>140212338</v>
      </c>
      <c r="E44" s="128">
        <f>'30'!F16</f>
        <v>77926213</v>
      </c>
      <c r="F44" s="128">
        <f>'30'!G16</f>
        <v>1633257</v>
      </c>
      <c r="G44" s="128">
        <f>'30'!H16</f>
        <v>0</v>
      </c>
      <c r="H44" s="128">
        <f>'30'!I16</f>
        <v>114727151</v>
      </c>
      <c r="I44" s="128">
        <f>'30'!J16</f>
        <v>937300</v>
      </c>
      <c r="J44" s="128">
        <f>'30'!K16</f>
        <v>775900</v>
      </c>
      <c r="K44" s="128">
        <f>'30'!L16</f>
        <v>0</v>
      </c>
      <c r="L44" s="128">
        <f>'30'!M16</f>
        <v>7411122</v>
      </c>
      <c r="M44" s="128">
        <f>'30'!N16</f>
        <v>1223609</v>
      </c>
      <c r="N44" s="128">
        <f>'30'!O16</f>
        <v>142010</v>
      </c>
      <c r="O44" s="128">
        <f>'30'!P16</f>
        <v>247307483</v>
      </c>
      <c r="P44" s="128">
        <f>'30'!Q16</f>
        <v>116562689</v>
      </c>
      <c r="Q44" s="128">
        <f>'30'!R16</f>
        <v>68099559</v>
      </c>
      <c r="R44" s="128">
        <f>'30'!S16</f>
        <v>2646994</v>
      </c>
      <c r="S44" s="128">
        <f>'30'!T16</f>
        <v>2100000</v>
      </c>
      <c r="T44" s="128">
        <f>'30'!U16</f>
        <v>3577434</v>
      </c>
      <c r="U44" s="128">
        <f>'30'!V16</f>
        <v>350000</v>
      </c>
      <c r="V44" s="128">
        <f>'30'!W16</f>
        <v>9361885</v>
      </c>
      <c r="W44" s="128">
        <f>'30'!X16</f>
        <v>7990342</v>
      </c>
      <c r="X44" s="128">
        <f>'30'!Y16</f>
        <v>868105</v>
      </c>
      <c r="Y44" s="128">
        <f>'30'!Z16</f>
        <v>28358420</v>
      </c>
      <c r="Z44" s="128">
        <f>'30'!AA16</f>
        <v>8199534</v>
      </c>
      <c r="AA44" s="128">
        <f>'30'!AB16</f>
        <v>-807479</v>
      </c>
      <c r="AB44" s="128">
        <f>'30'!AC16</f>
        <v>18394169</v>
      </c>
      <c r="AC44" s="128">
        <f>'30'!AD16</f>
        <v>2249857</v>
      </c>
      <c r="AD44" s="128">
        <f>'30'!AE16</f>
        <v>115265395</v>
      </c>
      <c r="AE44" s="128">
        <f>'30'!AF16</f>
        <v>5867729</v>
      </c>
      <c r="AF44" s="128">
        <f>'30'!AG16</f>
        <v>9066525</v>
      </c>
      <c r="AG44" s="128">
        <f>'30'!AH16</f>
        <v>12237422</v>
      </c>
      <c r="AH44" s="128">
        <f>'30'!AI16</f>
        <v>52240748</v>
      </c>
      <c r="AI44" s="128">
        <f>'30'!AJ16</f>
        <v>8195953</v>
      </c>
      <c r="AJ44" s="128">
        <f>'30'!AK16</f>
        <v>0</v>
      </c>
      <c r="AK44" s="128">
        <f>'30'!AL16</f>
        <v>23282793</v>
      </c>
      <c r="AL44" s="128">
        <f>'30'!AM16</f>
        <v>506892</v>
      </c>
      <c r="AM44" s="129"/>
    </row>
    <row r="45" spans="1:39" s="130" customFormat="1" ht="25.5" customHeight="1" x14ac:dyDescent="0.2">
      <c r="A45" s="134">
        <v>31</v>
      </c>
      <c r="B45" s="132" t="s">
        <v>929</v>
      </c>
      <c r="C45" s="128">
        <f>'31'!D16</f>
        <v>722927731</v>
      </c>
      <c r="D45" s="128">
        <f>'31'!E16</f>
        <v>347770517</v>
      </c>
      <c r="E45" s="128">
        <f>'31'!F16</f>
        <v>201663025</v>
      </c>
      <c r="F45" s="128">
        <f>'31'!G16</f>
        <v>8743746</v>
      </c>
      <c r="G45" s="128">
        <f>'31'!H16</f>
        <v>0</v>
      </c>
      <c r="H45" s="128">
        <f>'31'!I16</f>
        <v>185746829</v>
      </c>
      <c r="I45" s="128">
        <f>'31'!J16</f>
        <v>0</v>
      </c>
      <c r="J45" s="128">
        <f>'31'!K16</f>
        <v>1416000</v>
      </c>
      <c r="K45" s="128">
        <f>'31'!L16</f>
        <v>0</v>
      </c>
      <c r="L45" s="128">
        <f>'31'!M16</f>
        <v>1648813</v>
      </c>
      <c r="M45" s="128">
        <f>'31'!N16</f>
        <v>182374127</v>
      </c>
      <c r="N45" s="128">
        <f>'31'!O16</f>
        <v>3971445</v>
      </c>
      <c r="O45" s="128">
        <f>'31'!P16</f>
        <v>719379189</v>
      </c>
      <c r="P45" s="128">
        <f>'31'!Q16</f>
        <v>177321798</v>
      </c>
      <c r="Q45" s="128">
        <f>'31'!R16</f>
        <v>119701826</v>
      </c>
      <c r="R45" s="128">
        <f>'31'!S16</f>
        <v>8784106</v>
      </c>
      <c r="S45" s="128">
        <f>'31'!T16</f>
        <v>64528546</v>
      </c>
      <c r="T45" s="128">
        <f>'31'!U16</f>
        <v>52224934</v>
      </c>
      <c r="U45" s="128">
        <f>'31'!V16</f>
        <v>245159</v>
      </c>
      <c r="V45" s="128">
        <f>'31'!W16</f>
        <v>200846004</v>
      </c>
      <c r="W45" s="128">
        <f>'31'!X16</f>
        <v>29207759</v>
      </c>
      <c r="X45" s="128">
        <f>'31'!Y16</f>
        <v>3628914</v>
      </c>
      <c r="Y45" s="128">
        <f>'31'!Z16</f>
        <v>31370693</v>
      </c>
      <c r="Z45" s="128">
        <f>'31'!AA16</f>
        <v>36648711</v>
      </c>
      <c r="AA45" s="128">
        <f>'31'!AB16</f>
        <v>-5129261</v>
      </c>
      <c r="AB45" s="128">
        <f>'31'!AC16</f>
        <v>70869625</v>
      </c>
      <c r="AC45" s="128">
        <f>'31'!AD16</f>
        <v>10518429</v>
      </c>
      <c r="AD45" s="128">
        <f>'31'!AE16</f>
        <v>179092374</v>
      </c>
      <c r="AE45" s="128">
        <f>'31'!AF16</f>
        <v>8095236</v>
      </c>
      <c r="AF45" s="128">
        <f>'31'!AG16</f>
        <v>98252315</v>
      </c>
      <c r="AG45" s="128">
        <f>'31'!AH16</f>
        <v>52058828</v>
      </c>
      <c r="AH45" s="128">
        <f>'31'!AI16</f>
        <v>58101496</v>
      </c>
      <c r="AI45" s="128">
        <f>'31'!AJ16</f>
        <v>30885430</v>
      </c>
      <c r="AJ45" s="128">
        <f>'31'!AK16</f>
        <v>0</v>
      </c>
      <c r="AK45" s="128">
        <f>'31'!AL16</f>
        <v>211258407</v>
      </c>
      <c r="AL45" s="128">
        <f>'31'!AM16</f>
        <v>247049</v>
      </c>
      <c r="AM45" s="129"/>
    </row>
    <row r="46" spans="1:39" s="130" customFormat="1" ht="25.5" customHeight="1" x14ac:dyDescent="0.2">
      <c r="A46" s="134">
        <v>32</v>
      </c>
      <c r="B46" s="132" t="s">
        <v>930</v>
      </c>
      <c r="C46" s="128">
        <f>'32'!D16</f>
        <v>323236899</v>
      </c>
      <c r="D46" s="128">
        <f>'32'!E16</f>
        <v>153044707</v>
      </c>
      <c r="E46" s="128">
        <f>'32'!F16</f>
        <v>87473814</v>
      </c>
      <c r="F46" s="128">
        <f>'32'!G16</f>
        <v>0</v>
      </c>
      <c r="G46" s="128">
        <f>'32'!H16</f>
        <v>0</v>
      </c>
      <c r="H46" s="128">
        <f>'32'!I16</f>
        <v>124835534</v>
      </c>
      <c r="I46" s="128">
        <f>'32'!J16</f>
        <v>0</v>
      </c>
      <c r="J46" s="128">
        <f>'32'!K16</f>
        <v>3516130</v>
      </c>
      <c r="K46" s="128">
        <f>'32'!L16</f>
        <v>0</v>
      </c>
      <c r="L46" s="128">
        <f>'32'!M16</f>
        <v>14689187</v>
      </c>
      <c r="M46" s="128">
        <f>'32'!N16</f>
        <v>25550516</v>
      </c>
      <c r="N46" s="128">
        <f>'32'!O16</f>
        <v>1600825</v>
      </c>
      <c r="O46" s="128">
        <f>'32'!P16</f>
        <v>313163301</v>
      </c>
      <c r="P46" s="128">
        <f>'32'!Q16</f>
        <v>140347033</v>
      </c>
      <c r="Q46" s="128">
        <f>'32'!R16</f>
        <v>66352486</v>
      </c>
      <c r="R46" s="128">
        <f>'32'!S16</f>
        <v>5434861</v>
      </c>
      <c r="S46" s="128">
        <f>'32'!T16</f>
        <v>4600000</v>
      </c>
      <c r="T46" s="128">
        <f>'32'!U16</f>
        <v>6902057</v>
      </c>
      <c r="U46" s="128">
        <f>'32'!V16</f>
        <v>0</v>
      </c>
      <c r="V46" s="128">
        <f>'32'!W16</f>
        <v>47032160</v>
      </c>
      <c r="W46" s="128">
        <f>'32'!X16</f>
        <v>8226510</v>
      </c>
      <c r="X46" s="128">
        <f>'32'!Y16</f>
        <v>3023507</v>
      </c>
      <c r="Y46" s="128">
        <f>'32'!Z16</f>
        <v>12260547</v>
      </c>
      <c r="Z46" s="128">
        <f>'32'!AA16</f>
        <v>19181811</v>
      </c>
      <c r="AA46" s="128">
        <f>'32'!AB16</f>
        <v>-197671</v>
      </c>
      <c r="AB46" s="128">
        <f>'32'!AC16</f>
        <v>27131513</v>
      </c>
      <c r="AC46" s="128">
        <f>'32'!AD16</f>
        <v>5295992</v>
      </c>
      <c r="AD46" s="128">
        <f>'32'!AE16</f>
        <v>131572000</v>
      </c>
      <c r="AE46" s="128">
        <f>'32'!AF16</f>
        <v>3644040</v>
      </c>
      <c r="AF46" s="128">
        <f>'32'!AG16</f>
        <v>42920354</v>
      </c>
      <c r="AG46" s="128">
        <f>'32'!AH16</f>
        <v>19856453</v>
      </c>
      <c r="AH46" s="128">
        <f>'32'!AI16</f>
        <v>34127091</v>
      </c>
      <c r="AI46" s="128">
        <f>'32'!AJ16</f>
        <v>15367810</v>
      </c>
      <c r="AJ46" s="128">
        <f>'32'!AK16</f>
        <v>0</v>
      </c>
      <c r="AK46" s="128">
        <f>'32'!AL16</f>
        <v>33194661</v>
      </c>
      <c r="AL46" s="128">
        <f>'32'!AM16</f>
        <v>53387</v>
      </c>
      <c r="AM46" s="129"/>
    </row>
    <row r="47" spans="1:39" s="130" customFormat="1" ht="25.5" customHeight="1" x14ac:dyDescent="0.2">
      <c r="A47" s="134">
        <v>33</v>
      </c>
      <c r="B47" s="132" t="s">
        <v>931</v>
      </c>
      <c r="C47" s="128">
        <f>'33'!D16</f>
        <v>147320631</v>
      </c>
      <c r="D47" s="128">
        <f>'33'!E16</f>
        <v>73512711</v>
      </c>
      <c r="E47" s="128">
        <f>'33'!F16</f>
        <v>38996153</v>
      </c>
      <c r="F47" s="128">
        <f>'33'!G16</f>
        <v>83753</v>
      </c>
      <c r="G47" s="128">
        <f>'33'!H16</f>
        <v>0</v>
      </c>
      <c r="H47" s="128">
        <f>'33'!I16</f>
        <v>65336853</v>
      </c>
      <c r="I47" s="128">
        <f>'33'!J16</f>
        <v>482000</v>
      </c>
      <c r="J47" s="128">
        <f>'33'!K16</f>
        <v>615990</v>
      </c>
      <c r="K47" s="128">
        <f>'33'!L16</f>
        <v>0</v>
      </c>
      <c r="L47" s="128">
        <f>'33'!M16</f>
        <v>1954847</v>
      </c>
      <c r="M47" s="128">
        <f>'33'!N16</f>
        <v>5275303</v>
      </c>
      <c r="N47" s="128">
        <f>'33'!O16</f>
        <v>142927</v>
      </c>
      <c r="O47" s="128">
        <f>'33'!P16</f>
        <v>138610088</v>
      </c>
      <c r="P47" s="128">
        <f>'33'!Q16</f>
        <v>69927643</v>
      </c>
      <c r="Q47" s="128">
        <f>'33'!R16</f>
        <v>27692549</v>
      </c>
      <c r="R47" s="128">
        <f>'33'!S16</f>
        <v>1865572</v>
      </c>
      <c r="S47" s="128">
        <f>'33'!T16</f>
        <v>4518277</v>
      </c>
      <c r="T47" s="128">
        <f>'33'!U16</f>
        <v>2499173</v>
      </c>
      <c r="U47" s="128">
        <f>'33'!V16</f>
        <v>0</v>
      </c>
      <c r="V47" s="128">
        <f>'33'!W16</f>
        <v>7237806</v>
      </c>
      <c r="W47" s="128">
        <f>'33'!X16</f>
        <v>3250444</v>
      </c>
      <c r="X47" s="128">
        <f>'33'!Y16</f>
        <v>3447881</v>
      </c>
      <c r="Y47" s="128">
        <f>'33'!Z16</f>
        <v>9470723</v>
      </c>
      <c r="Z47" s="128">
        <f>'33'!AA16</f>
        <v>9098027</v>
      </c>
      <c r="AA47" s="128">
        <f>'33'!AB16</f>
        <v>-398007</v>
      </c>
      <c r="AB47" s="128">
        <f>'33'!AC16</f>
        <v>14169675</v>
      </c>
      <c r="AC47" s="128">
        <f>'33'!AD16</f>
        <v>2690858</v>
      </c>
      <c r="AD47" s="128">
        <f>'33'!AE16</f>
        <v>67465424</v>
      </c>
      <c r="AE47" s="128">
        <f>'33'!AF16</f>
        <v>890721</v>
      </c>
      <c r="AF47" s="128">
        <f>'33'!AG16</f>
        <v>9175207</v>
      </c>
      <c r="AG47" s="128">
        <f>'33'!AH16</f>
        <v>10054137</v>
      </c>
      <c r="AH47" s="128">
        <f>'33'!AI16</f>
        <v>18614995</v>
      </c>
      <c r="AI47" s="128">
        <f>'33'!AJ16</f>
        <v>4338905</v>
      </c>
      <c r="AJ47" s="128">
        <f>'33'!AK16</f>
        <v>0</v>
      </c>
      <c r="AK47" s="128">
        <f>'33'!AL16</f>
        <v>10468670</v>
      </c>
      <c r="AL47" s="128">
        <f>'33'!AM16</f>
        <v>741496</v>
      </c>
      <c r="AM47" s="129"/>
    </row>
    <row r="48" spans="1:39" s="130" customFormat="1" ht="25.5" customHeight="1" x14ac:dyDescent="0.2">
      <c r="A48" s="134">
        <v>34</v>
      </c>
      <c r="B48" s="132" t="s">
        <v>932</v>
      </c>
      <c r="C48" s="128">
        <f>'34'!D16</f>
        <v>519296697</v>
      </c>
      <c r="D48" s="128">
        <f>'34'!E16</f>
        <v>347407652</v>
      </c>
      <c r="E48" s="128">
        <f>'34'!F16</f>
        <v>199770043</v>
      </c>
      <c r="F48" s="128">
        <f>'34'!G16</f>
        <v>10891090</v>
      </c>
      <c r="G48" s="128">
        <f>'34'!H16</f>
        <v>0</v>
      </c>
      <c r="H48" s="128">
        <f>'34'!I16</f>
        <v>141205919</v>
      </c>
      <c r="I48" s="128">
        <f>'34'!J16</f>
        <v>0</v>
      </c>
      <c r="J48" s="128">
        <f>'34'!K16</f>
        <v>1319730</v>
      </c>
      <c r="K48" s="128">
        <f>'34'!L16</f>
        <v>0</v>
      </c>
      <c r="L48" s="128">
        <f>'34'!M16</f>
        <v>6041736</v>
      </c>
      <c r="M48" s="128">
        <f>'34'!N16</f>
        <v>21455564</v>
      </c>
      <c r="N48" s="128">
        <f>'34'!O16</f>
        <v>1866096</v>
      </c>
      <c r="O48" s="128">
        <f>'34'!P16</f>
        <v>448126197</v>
      </c>
      <c r="P48" s="128">
        <f>'34'!Q16</f>
        <v>142975629</v>
      </c>
      <c r="Q48" s="128">
        <f>'34'!R16</f>
        <v>80840659</v>
      </c>
      <c r="R48" s="128">
        <f>'34'!S16</f>
        <v>4919235</v>
      </c>
      <c r="S48" s="128">
        <f>'34'!T16</f>
        <v>23922893</v>
      </c>
      <c r="T48" s="128">
        <f>'34'!U16</f>
        <v>52133286</v>
      </c>
      <c r="U48" s="128">
        <f>'34'!V16</f>
        <v>5147782</v>
      </c>
      <c r="V48" s="128">
        <f>'34'!W16</f>
        <v>48450100</v>
      </c>
      <c r="W48" s="128">
        <f>'34'!X16</f>
        <v>13277642</v>
      </c>
      <c r="X48" s="128">
        <f>'34'!Y16</f>
        <v>2714476</v>
      </c>
      <c r="Y48" s="128">
        <f>'34'!Z16</f>
        <v>55452748</v>
      </c>
      <c r="Z48" s="128">
        <f>'34'!AA16</f>
        <v>26503944</v>
      </c>
      <c r="AA48" s="128">
        <f>'34'!AB16</f>
        <v>-8212197</v>
      </c>
      <c r="AB48" s="128">
        <f>'34'!AC16</f>
        <v>26174656</v>
      </c>
      <c r="AC48" s="128">
        <f>'34'!AD16</f>
        <v>4796511</v>
      </c>
      <c r="AD48" s="128">
        <f>'34'!AE16</f>
        <v>148448535</v>
      </c>
      <c r="AE48" s="128">
        <f>'34'!AF16</f>
        <v>1831675</v>
      </c>
      <c r="AF48" s="128">
        <f>'34'!AG16</f>
        <v>41367793</v>
      </c>
      <c r="AG48" s="128">
        <f>'34'!AH16</f>
        <v>28949175</v>
      </c>
      <c r="AH48" s="128">
        <f>'34'!AI16</f>
        <v>30704451</v>
      </c>
      <c r="AI48" s="128">
        <f>'34'!AJ16</f>
        <v>24068815</v>
      </c>
      <c r="AJ48" s="128">
        <f>'34'!AK16</f>
        <v>312025</v>
      </c>
      <c r="AK48" s="128">
        <f>'34'!AL16</f>
        <v>141280792</v>
      </c>
      <c r="AL48" s="128">
        <f>'34'!AM16</f>
        <v>191769</v>
      </c>
      <c r="AM48" s="129"/>
    </row>
    <row r="49" spans="1:39" s="130" customFormat="1" ht="25.5" customHeight="1" x14ac:dyDescent="0.2">
      <c r="A49" s="134">
        <v>35</v>
      </c>
      <c r="B49" s="132" t="s">
        <v>933</v>
      </c>
      <c r="C49" s="128">
        <f>'35'!D16</f>
        <v>476268313</v>
      </c>
      <c r="D49" s="128">
        <f>'35'!E16</f>
        <v>209300535</v>
      </c>
      <c r="E49" s="128">
        <f>'35'!F16</f>
        <v>96713172</v>
      </c>
      <c r="F49" s="128">
        <f>'35'!G16</f>
        <v>4755664</v>
      </c>
      <c r="G49" s="128">
        <f>'35'!H16</f>
        <v>0</v>
      </c>
      <c r="H49" s="128">
        <f>'35'!I16</f>
        <v>188593699</v>
      </c>
      <c r="I49" s="128">
        <f>'35'!J16</f>
        <v>0</v>
      </c>
      <c r="J49" s="128">
        <f>'35'!K16</f>
        <v>24011328</v>
      </c>
      <c r="K49" s="128">
        <f>'35'!L16</f>
        <v>0</v>
      </c>
      <c r="L49" s="128">
        <f>'35'!M16</f>
        <v>22167820</v>
      </c>
      <c r="M49" s="128">
        <f>'35'!N16</f>
        <v>30559169</v>
      </c>
      <c r="N49" s="128">
        <f>'35'!O16</f>
        <v>1635762</v>
      </c>
      <c r="O49" s="128">
        <f>'35'!P16</f>
        <v>475079824</v>
      </c>
      <c r="P49" s="128">
        <f>'35'!Q16</f>
        <v>204716341</v>
      </c>
      <c r="Q49" s="128">
        <f>'35'!R16</f>
        <v>99565312</v>
      </c>
      <c r="R49" s="128">
        <f>'35'!S16</f>
        <v>12170244</v>
      </c>
      <c r="S49" s="128">
        <f>'35'!T16</f>
        <v>19044252</v>
      </c>
      <c r="T49" s="128">
        <f>'35'!U16</f>
        <v>9295323</v>
      </c>
      <c r="U49" s="128">
        <f>'35'!V16</f>
        <v>9227402</v>
      </c>
      <c r="V49" s="128">
        <f>'35'!W16</f>
        <v>48250350</v>
      </c>
      <c r="W49" s="128">
        <f>'35'!X16</f>
        <v>7522539</v>
      </c>
      <c r="X49" s="128">
        <f>'35'!Y16</f>
        <v>9589426</v>
      </c>
      <c r="Y49" s="128">
        <f>'35'!Z16</f>
        <v>36184584</v>
      </c>
      <c r="Z49" s="128">
        <f>'35'!AA16</f>
        <v>20146365</v>
      </c>
      <c r="AA49" s="128">
        <f>'35'!AB16</f>
        <v>-632314</v>
      </c>
      <c r="AB49" s="128">
        <f>'35'!AC16</f>
        <v>36083995</v>
      </c>
      <c r="AC49" s="128">
        <f>'35'!AD16</f>
        <v>7391970</v>
      </c>
      <c r="AD49" s="128">
        <f>'35'!AE16</f>
        <v>202724039</v>
      </c>
      <c r="AE49" s="128">
        <f>'35'!AF16</f>
        <v>11385823</v>
      </c>
      <c r="AF49" s="128">
        <f>'35'!AG16</f>
        <v>28385755</v>
      </c>
      <c r="AG49" s="128">
        <f>'35'!AH16</f>
        <v>24838593</v>
      </c>
      <c r="AH49" s="128">
        <f>'35'!AI16</f>
        <v>43140791</v>
      </c>
      <c r="AI49" s="128">
        <f>'35'!AJ16</f>
        <v>26181074</v>
      </c>
      <c r="AJ49" s="128">
        <f>'35'!AK16</f>
        <v>31224490</v>
      </c>
      <c r="AK49" s="128">
        <f>'35'!AL16</f>
        <v>62673154</v>
      </c>
      <c r="AL49" s="128">
        <f>'35'!AM16</f>
        <v>1050140</v>
      </c>
      <c r="AM49" s="129"/>
    </row>
    <row r="50" spans="1:39" s="130" customFormat="1" ht="25.5" customHeight="1" x14ac:dyDescent="0.2">
      <c r="A50" s="134">
        <v>36</v>
      </c>
      <c r="B50" s="132" t="s">
        <v>934</v>
      </c>
      <c r="C50" s="128">
        <f>'36'!D16</f>
        <v>227805106</v>
      </c>
      <c r="D50" s="128">
        <f>'36'!E16</f>
        <v>85396741</v>
      </c>
      <c r="E50" s="128">
        <f>'36'!F16</f>
        <v>47119670</v>
      </c>
      <c r="F50" s="128">
        <f>'36'!G16</f>
        <v>1495147</v>
      </c>
      <c r="G50" s="128">
        <f>'36'!H16</f>
        <v>0</v>
      </c>
      <c r="H50" s="128">
        <f>'36'!I16</f>
        <v>88959403</v>
      </c>
      <c r="I50" s="128">
        <f>'36'!J16</f>
        <v>0</v>
      </c>
      <c r="J50" s="128">
        <f>'36'!K16</f>
        <v>12935500</v>
      </c>
      <c r="K50" s="128">
        <f>'36'!L16</f>
        <v>0</v>
      </c>
      <c r="L50" s="128">
        <f>'36'!M16</f>
        <v>14727853</v>
      </c>
      <c r="M50" s="128">
        <f>'36'!N16</f>
        <v>25182357</v>
      </c>
      <c r="N50" s="128">
        <f>'36'!O16</f>
        <v>603252</v>
      </c>
      <c r="O50" s="128">
        <f>'36'!P16</f>
        <v>224605992</v>
      </c>
      <c r="P50" s="128">
        <f>'36'!Q16</f>
        <v>100517506</v>
      </c>
      <c r="Q50" s="128">
        <f>'36'!R16</f>
        <v>47194659</v>
      </c>
      <c r="R50" s="128">
        <f>'36'!S16</f>
        <v>1361306</v>
      </c>
      <c r="S50" s="128">
        <f>'36'!T16</f>
        <v>679513</v>
      </c>
      <c r="T50" s="128">
        <f>'36'!U16</f>
        <v>3558505</v>
      </c>
      <c r="U50" s="128">
        <f>'36'!V16</f>
        <v>2422524</v>
      </c>
      <c r="V50" s="128">
        <f>'36'!W16</f>
        <v>38521984</v>
      </c>
      <c r="W50" s="128">
        <f>'36'!X16</f>
        <v>4424334</v>
      </c>
      <c r="X50" s="128">
        <f>'36'!Y16</f>
        <v>1908324</v>
      </c>
      <c r="Y50" s="128">
        <f>'36'!Z16</f>
        <v>19948879</v>
      </c>
      <c r="Z50" s="128">
        <f>'36'!AA16</f>
        <v>4205016</v>
      </c>
      <c r="AA50" s="128">
        <f>'36'!AB16</f>
        <v>-136558</v>
      </c>
      <c r="AB50" s="128">
        <f>'36'!AC16</f>
        <v>15747084</v>
      </c>
      <c r="AC50" s="128">
        <f>'36'!AD16</f>
        <v>3346488</v>
      </c>
      <c r="AD50" s="128">
        <f>'36'!AE16</f>
        <v>98346797</v>
      </c>
      <c r="AE50" s="128">
        <f>'36'!AF16</f>
        <v>3591609</v>
      </c>
      <c r="AF50" s="128">
        <f>'36'!AG16</f>
        <v>10585199</v>
      </c>
      <c r="AG50" s="128">
        <f>'36'!AH16</f>
        <v>15765449</v>
      </c>
      <c r="AH50" s="128">
        <f>'36'!AI16</f>
        <v>52728956</v>
      </c>
      <c r="AI50" s="128">
        <f>'36'!AJ16</f>
        <v>6834232</v>
      </c>
      <c r="AJ50" s="128">
        <f>'36'!AK16</f>
        <v>0</v>
      </c>
      <c r="AK50" s="128">
        <f>'36'!AL16</f>
        <v>16948203</v>
      </c>
      <c r="AL50" s="128">
        <f>'36'!AM16</f>
        <v>711975</v>
      </c>
      <c r="AM50" s="129"/>
    </row>
    <row r="51" spans="1:39" s="130" customFormat="1" ht="25.5" customHeight="1" x14ac:dyDescent="0.2">
      <c r="A51" s="134">
        <v>37</v>
      </c>
      <c r="B51" s="132" t="s">
        <v>935</v>
      </c>
      <c r="C51" s="128">
        <f>'37'!D16</f>
        <v>922077020</v>
      </c>
      <c r="D51" s="128">
        <f>'37'!E16</f>
        <v>554521237</v>
      </c>
      <c r="E51" s="128">
        <f>'37'!F16</f>
        <v>329444541</v>
      </c>
      <c r="F51" s="128">
        <f>'37'!G16</f>
        <v>21461111</v>
      </c>
      <c r="G51" s="128">
        <f>'37'!H16</f>
        <v>0</v>
      </c>
      <c r="H51" s="128">
        <f>'37'!I16</f>
        <v>243120037</v>
      </c>
      <c r="I51" s="128">
        <f>'37'!J16</f>
        <v>0</v>
      </c>
      <c r="J51" s="128">
        <f>'37'!K16</f>
        <v>3987360</v>
      </c>
      <c r="K51" s="128">
        <f>'37'!L16</f>
        <v>0</v>
      </c>
      <c r="L51" s="128">
        <f>'37'!M16</f>
        <v>42988450</v>
      </c>
      <c r="M51" s="128">
        <f>'37'!N16</f>
        <v>77439936</v>
      </c>
      <c r="N51" s="128">
        <f>'37'!O16</f>
        <v>20000</v>
      </c>
      <c r="O51" s="128">
        <f>'37'!P16</f>
        <v>911883967</v>
      </c>
      <c r="P51" s="128">
        <f>'37'!Q16</f>
        <v>297652954</v>
      </c>
      <c r="Q51" s="128">
        <f>'37'!R16</f>
        <v>258537974</v>
      </c>
      <c r="R51" s="128">
        <f>'37'!S16</f>
        <v>12767710</v>
      </c>
      <c r="S51" s="128">
        <f>'37'!T16</f>
        <v>118159300</v>
      </c>
      <c r="T51" s="128">
        <f>'37'!U16</f>
        <v>20337341</v>
      </c>
      <c r="U51" s="128">
        <f>'37'!V16</f>
        <v>0</v>
      </c>
      <c r="V51" s="128">
        <f>'37'!W16</f>
        <v>101540361</v>
      </c>
      <c r="W51" s="128">
        <f>'37'!X16</f>
        <v>17729359</v>
      </c>
      <c r="X51" s="128">
        <f>'37'!Y16</f>
        <v>5754771</v>
      </c>
      <c r="Y51" s="128">
        <f>'37'!Z16</f>
        <v>58697546</v>
      </c>
      <c r="Z51" s="128">
        <f>'37'!AA16</f>
        <v>30890594</v>
      </c>
      <c r="AA51" s="128">
        <f>'37'!AB16</f>
        <v>-10183943</v>
      </c>
      <c r="AB51" s="128">
        <f>'37'!AC16</f>
        <v>69269817</v>
      </c>
      <c r="AC51" s="128">
        <f>'37'!AD16</f>
        <v>20464113</v>
      </c>
      <c r="AD51" s="128">
        <f>'37'!AE16</f>
        <v>276897744</v>
      </c>
      <c r="AE51" s="128">
        <f>'37'!AF16</f>
        <v>43342665</v>
      </c>
      <c r="AF51" s="128">
        <f>'37'!AG16</f>
        <v>82281453</v>
      </c>
      <c r="AG51" s="128">
        <f>'37'!AH16</f>
        <v>51107894</v>
      </c>
      <c r="AH51" s="128">
        <f>'37'!AI16</f>
        <v>95948231</v>
      </c>
      <c r="AI51" s="128">
        <f>'37'!AJ16</f>
        <v>20222242</v>
      </c>
      <c r="AJ51" s="128">
        <f>'37'!AK16</f>
        <v>58190924</v>
      </c>
      <c r="AK51" s="128">
        <f>'37'!AL16</f>
        <v>194131583</v>
      </c>
      <c r="AL51" s="128">
        <f>'37'!AM16</f>
        <v>27301</v>
      </c>
      <c r="AM51" s="129"/>
    </row>
    <row r="52" spans="1:39" s="130" customFormat="1" ht="25.5" customHeight="1" x14ac:dyDescent="0.2">
      <c r="A52" s="134">
        <v>38</v>
      </c>
      <c r="B52" s="132" t="s">
        <v>936</v>
      </c>
      <c r="C52" s="128">
        <f>'38'!D16</f>
        <v>232729784</v>
      </c>
      <c r="D52" s="128">
        <f>'38'!E16</f>
        <v>114386216</v>
      </c>
      <c r="E52" s="128">
        <f>'38'!F16</f>
        <v>53123268</v>
      </c>
      <c r="F52" s="128">
        <f>'38'!G16</f>
        <v>152656</v>
      </c>
      <c r="G52" s="128">
        <f>'38'!H16</f>
        <v>0</v>
      </c>
      <c r="H52" s="128">
        <f>'38'!I16</f>
        <v>63671672</v>
      </c>
      <c r="I52" s="128">
        <f>'38'!J16</f>
        <v>0</v>
      </c>
      <c r="J52" s="128">
        <f>'38'!K16</f>
        <v>965310</v>
      </c>
      <c r="K52" s="128">
        <f>'38'!L16</f>
        <v>0</v>
      </c>
      <c r="L52" s="128">
        <f>'38'!M16</f>
        <v>20018695</v>
      </c>
      <c r="M52" s="128">
        <f>'38'!N16</f>
        <v>33687891</v>
      </c>
      <c r="N52" s="128">
        <f>'38'!O16</f>
        <v>0</v>
      </c>
      <c r="O52" s="128">
        <f>'38'!P16</f>
        <v>232249935</v>
      </c>
      <c r="P52" s="128">
        <f>'38'!Q16</f>
        <v>66893866</v>
      </c>
      <c r="Q52" s="128">
        <f>'38'!R16</f>
        <v>40419810</v>
      </c>
      <c r="R52" s="128">
        <f>'38'!S16</f>
        <v>144000</v>
      </c>
      <c r="S52" s="128">
        <f>'38'!T16</f>
        <v>21099363</v>
      </c>
      <c r="T52" s="128">
        <f>'38'!U16</f>
        <v>1635700</v>
      </c>
      <c r="U52" s="128">
        <f>'38'!V16</f>
        <v>0</v>
      </c>
      <c r="V52" s="128">
        <f>'38'!W16</f>
        <v>72129847</v>
      </c>
      <c r="W52" s="128">
        <f>'38'!X16</f>
        <v>5486877</v>
      </c>
      <c r="X52" s="128">
        <f>'38'!Y16</f>
        <v>632992</v>
      </c>
      <c r="Y52" s="128">
        <f>'38'!Z16</f>
        <v>22105645</v>
      </c>
      <c r="Z52" s="128">
        <f>'38'!AA16</f>
        <v>1884476</v>
      </c>
      <c r="AA52" s="128">
        <f>'38'!AB16</f>
        <v>-182641</v>
      </c>
      <c r="AB52" s="128">
        <f>'38'!AC16</f>
        <v>7721146</v>
      </c>
      <c r="AC52" s="128">
        <f>'38'!AD16</f>
        <v>2758006</v>
      </c>
      <c r="AD52" s="128">
        <f>'38'!AE16</f>
        <v>73085109</v>
      </c>
      <c r="AE52" s="128">
        <f>'38'!AF16</f>
        <v>1221294</v>
      </c>
      <c r="AF52" s="128">
        <f>'38'!AG16</f>
        <v>11350440</v>
      </c>
      <c r="AG52" s="128">
        <f>'38'!AH16</f>
        <v>12069052</v>
      </c>
      <c r="AH52" s="128">
        <f>'38'!AI16</f>
        <v>80429019</v>
      </c>
      <c r="AI52" s="128">
        <f>'38'!AJ16</f>
        <v>10523459</v>
      </c>
      <c r="AJ52" s="128">
        <f>'38'!AK16</f>
        <v>15693313</v>
      </c>
      <c r="AK52" s="128">
        <f>'38'!AL16</f>
        <v>13185185</v>
      </c>
      <c r="AL52" s="128">
        <f>'38'!AM16</f>
        <v>4213912</v>
      </c>
      <c r="AM52" s="129"/>
    </row>
    <row r="53" spans="1:39" s="130" customFormat="1" ht="25.5" customHeight="1" x14ac:dyDescent="0.2">
      <c r="A53" s="134">
        <v>39</v>
      </c>
      <c r="B53" s="132" t="s">
        <v>937</v>
      </c>
      <c r="C53" s="128">
        <f>'39'!D16</f>
        <v>299090500</v>
      </c>
      <c r="D53" s="128">
        <f>'39'!E16</f>
        <v>124473254</v>
      </c>
      <c r="E53" s="128">
        <f>'39'!F16</f>
        <v>59673773</v>
      </c>
      <c r="F53" s="128">
        <f>'39'!G16</f>
        <v>1261434</v>
      </c>
      <c r="G53" s="128">
        <f>'39'!H16</f>
        <v>0</v>
      </c>
      <c r="H53" s="128">
        <f>'39'!I16</f>
        <v>136905429</v>
      </c>
      <c r="I53" s="128">
        <f>'39'!J16</f>
        <v>73000</v>
      </c>
      <c r="J53" s="128">
        <f>'39'!K16</f>
        <v>6441430</v>
      </c>
      <c r="K53" s="128">
        <f>'39'!L16</f>
        <v>0</v>
      </c>
      <c r="L53" s="128">
        <f>'39'!M16</f>
        <v>9448963</v>
      </c>
      <c r="M53" s="128">
        <f>'39'!N16</f>
        <v>21147714</v>
      </c>
      <c r="N53" s="128">
        <f>'39'!O16</f>
        <v>600710</v>
      </c>
      <c r="O53" s="128">
        <f>'39'!P16</f>
        <v>305591732</v>
      </c>
      <c r="P53" s="128">
        <f>'39'!Q16</f>
        <v>137754431</v>
      </c>
      <c r="Q53" s="128">
        <f>'39'!R16</f>
        <v>70924995</v>
      </c>
      <c r="R53" s="128">
        <f>'39'!S16</f>
        <v>1571402</v>
      </c>
      <c r="S53" s="128">
        <f>'39'!T16</f>
        <v>2843576</v>
      </c>
      <c r="T53" s="128">
        <f>'39'!U16</f>
        <v>12224031</v>
      </c>
      <c r="U53" s="128">
        <f>'39'!V16</f>
        <v>1710246</v>
      </c>
      <c r="V53" s="128">
        <f>'39'!W16</f>
        <v>51949758</v>
      </c>
      <c r="W53" s="128">
        <f>'39'!X16</f>
        <v>7575398</v>
      </c>
      <c r="X53" s="128">
        <f>'39'!Y16</f>
        <v>3037608</v>
      </c>
      <c r="Y53" s="128">
        <f>'39'!Z16</f>
        <v>14066895</v>
      </c>
      <c r="Z53" s="128">
        <f>'39'!AA16</f>
        <v>2281081</v>
      </c>
      <c r="AA53" s="128">
        <f>'39'!AB16</f>
        <v>-347689</v>
      </c>
      <c r="AB53" s="128">
        <f>'39'!AC16</f>
        <v>17922863</v>
      </c>
      <c r="AC53" s="128">
        <f>'39'!AD16</f>
        <v>7636019</v>
      </c>
      <c r="AD53" s="128">
        <f>'39'!AE16</f>
        <v>140464659</v>
      </c>
      <c r="AE53" s="128">
        <f>'39'!AF16</f>
        <v>3104993</v>
      </c>
      <c r="AF53" s="128">
        <f>'39'!AG16</f>
        <v>15393255</v>
      </c>
      <c r="AG53" s="128">
        <f>'39'!AH16</f>
        <v>26015475</v>
      </c>
      <c r="AH53" s="128">
        <f>'39'!AI16</f>
        <v>26504660</v>
      </c>
      <c r="AI53" s="128">
        <f>'39'!AJ16</f>
        <v>20467259</v>
      </c>
      <c r="AJ53" s="128">
        <f>'39'!AK16</f>
        <v>1142881</v>
      </c>
      <c r="AK53" s="128">
        <f>'39'!AL16</f>
        <v>26991707</v>
      </c>
      <c r="AL53" s="128">
        <f>'39'!AM16</f>
        <v>19947961</v>
      </c>
      <c r="AM53" s="129"/>
    </row>
    <row r="54" spans="1:39" s="130" customFormat="1" ht="25.5" customHeight="1" x14ac:dyDescent="0.2">
      <c r="A54" s="134">
        <v>40</v>
      </c>
      <c r="B54" s="132" t="s">
        <v>938</v>
      </c>
      <c r="C54" s="128">
        <f>'40'!D16</f>
        <v>316040283</v>
      </c>
      <c r="D54" s="128">
        <f>'40'!E16</f>
        <v>147205822</v>
      </c>
      <c r="E54" s="128">
        <f>'40'!F16</f>
        <v>77744558</v>
      </c>
      <c r="F54" s="128">
        <f>'40'!G16</f>
        <v>1405261</v>
      </c>
      <c r="G54" s="128">
        <f>'40'!H16</f>
        <v>0</v>
      </c>
      <c r="H54" s="128">
        <f>'40'!I16</f>
        <v>128520781</v>
      </c>
      <c r="I54" s="128">
        <f>'40'!J16</f>
        <v>29000</v>
      </c>
      <c r="J54" s="128">
        <f>'40'!K16</f>
        <v>6200360</v>
      </c>
      <c r="K54" s="128">
        <f>'40'!L16</f>
        <v>0</v>
      </c>
      <c r="L54" s="128">
        <f>'40'!M16</f>
        <v>12265106</v>
      </c>
      <c r="M54" s="128">
        <f>'40'!N16</f>
        <v>21332784</v>
      </c>
      <c r="N54" s="128">
        <f>'40'!O16</f>
        <v>486430</v>
      </c>
      <c r="O54" s="128">
        <f>'40'!P16</f>
        <v>311959549</v>
      </c>
      <c r="P54" s="128">
        <f>'40'!Q16</f>
        <v>133752569</v>
      </c>
      <c r="Q54" s="128">
        <f>'40'!R16</f>
        <v>49784206</v>
      </c>
      <c r="R54" s="128">
        <f>'40'!S16</f>
        <v>1204321</v>
      </c>
      <c r="S54" s="128">
        <f>'40'!T16</f>
        <v>12881872</v>
      </c>
      <c r="T54" s="128">
        <f>'40'!U16</f>
        <v>4631182</v>
      </c>
      <c r="U54" s="128">
        <f>'40'!V16</f>
        <v>5300332</v>
      </c>
      <c r="V54" s="128">
        <f>'40'!W16</f>
        <v>51576878</v>
      </c>
      <c r="W54" s="128">
        <f>'40'!X16</f>
        <v>13434018</v>
      </c>
      <c r="X54" s="128">
        <f>'40'!Y16</f>
        <v>4908892</v>
      </c>
      <c r="Y54" s="128">
        <f>'40'!Z16</f>
        <v>19060170</v>
      </c>
      <c r="Z54" s="128">
        <f>'40'!AA16</f>
        <v>15656914</v>
      </c>
      <c r="AA54" s="128">
        <f>'40'!AB16</f>
        <v>-231805</v>
      </c>
      <c r="AB54" s="128">
        <f>'40'!AC16</f>
        <v>20494401</v>
      </c>
      <c r="AC54" s="128">
        <f>'40'!AD16</f>
        <v>4489780</v>
      </c>
      <c r="AD54" s="128">
        <f>'40'!AE16</f>
        <v>124889886</v>
      </c>
      <c r="AE54" s="128">
        <f>'40'!AF16</f>
        <v>3339319</v>
      </c>
      <c r="AF54" s="128">
        <f>'40'!AG16</f>
        <v>36371144</v>
      </c>
      <c r="AG54" s="128">
        <f>'40'!AH16</f>
        <v>23197093</v>
      </c>
      <c r="AH54" s="128">
        <f>'40'!AI16</f>
        <v>25907838</v>
      </c>
      <c r="AI54" s="128">
        <f>'40'!AJ16</f>
        <v>7190525</v>
      </c>
      <c r="AJ54" s="128">
        <f>'40'!AK16</f>
        <v>6224485</v>
      </c>
      <c r="AK54" s="128">
        <f>'40'!AL16</f>
        <v>59589078</v>
      </c>
      <c r="AL54" s="128">
        <f>'40'!AM16</f>
        <v>266000</v>
      </c>
      <c r="AM54" s="129"/>
    </row>
    <row r="55" spans="1:39" s="130" customFormat="1" ht="25.5" customHeight="1" x14ac:dyDescent="0.2">
      <c r="A55" s="151">
        <v>41</v>
      </c>
      <c r="B55" s="148" t="s">
        <v>939</v>
      </c>
      <c r="C55" s="128">
        <f>'41'!D16</f>
        <v>246507673</v>
      </c>
      <c r="D55" s="128">
        <f>'41'!E16</f>
        <v>111756911</v>
      </c>
      <c r="E55" s="128">
        <f>'41'!F16</f>
        <v>60413725</v>
      </c>
      <c r="F55" s="128">
        <f>'41'!G16</f>
        <v>1264351</v>
      </c>
      <c r="G55" s="128">
        <f>'41'!H16</f>
        <v>0</v>
      </c>
      <c r="H55" s="128">
        <f>'41'!I16</f>
        <v>94712052</v>
      </c>
      <c r="I55" s="128">
        <f>'41'!J16</f>
        <v>500000</v>
      </c>
      <c r="J55" s="128">
        <f>'41'!K16</f>
        <v>7463170</v>
      </c>
      <c r="K55" s="128">
        <f>'41'!L16</f>
        <v>0</v>
      </c>
      <c r="L55" s="128">
        <f>'41'!M16</f>
        <v>17538566</v>
      </c>
      <c r="M55" s="128">
        <f>'41'!N16</f>
        <v>14305125</v>
      </c>
      <c r="N55" s="128">
        <f>'41'!O16</f>
        <v>231849</v>
      </c>
      <c r="O55" s="128">
        <f>'41'!P16</f>
        <v>242227548</v>
      </c>
      <c r="P55" s="128">
        <f>'41'!Q16</f>
        <v>102806385</v>
      </c>
      <c r="Q55" s="128">
        <f>'41'!R16</f>
        <v>44117270</v>
      </c>
      <c r="R55" s="128">
        <f>'41'!S16</f>
        <v>1115057</v>
      </c>
      <c r="S55" s="128">
        <f>'41'!T16</f>
        <v>6734517</v>
      </c>
      <c r="T55" s="128">
        <f>'41'!U16</f>
        <v>16061268</v>
      </c>
      <c r="U55" s="128">
        <f>'41'!V16</f>
        <v>59678</v>
      </c>
      <c r="V55" s="128">
        <f>'41'!W16</f>
        <v>39183541</v>
      </c>
      <c r="W55" s="128">
        <f>'41'!X16</f>
        <v>7298585</v>
      </c>
      <c r="X55" s="128">
        <f>'41'!Y16</f>
        <v>336991</v>
      </c>
      <c r="Y55" s="128">
        <f>'41'!Z16</f>
        <v>17314324</v>
      </c>
      <c r="Z55" s="128">
        <f>'41'!AA16</f>
        <v>7439791</v>
      </c>
      <c r="AA55" s="128">
        <f>'41'!AB16</f>
        <v>-239859</v>
      </c>
      <c r="AB55" s="128">
        <f>'41'!AC16</f>
        <v>14799830</v>
      </c>
      <c r="AC55" s="128">
        <f>'41'!AD16</f>
        <v>3512683</v>
      </c>
      <c r="AD55" s="128">
        <f>'41'!AE16</f>
        <v>100943139</v>
      </c>
      <c r="AE55" s="128">
        <f>'41'!AF16</f>
        <v>5725662</v>
      </c>
      <c r="AF55" s="128">
        <f>'41'!AG16</f>
        <v>20529527</v>
      </c>
      <c r="AG55" s="128">
        <f>'41'!AH16</f>
        <v>17987460</v>
      </c>
      <c r="AH55" s="128">
        <f>'41'!AI16</f>
        <v>14438738</v>
      </c>
      <c r="AI55" s="128">
        <f>'41'!AJ16</f>
        <v>5909449</v>
      </c>
      <c r="AJ55" s="128">
        <f>'41'!AK16</f>
        <v>28597814</v>
      </c>
      <c r="AK55" s="128">
        <f>'41'!AL16</f>
        <v>20899025</v>
      </c>
      <c r="AL55" s="128">
        <f>'41'!AM16</f>
        <v>8884221</v>
      </c>
      <c r="AM55" s="129"/>
    </row>
    <row r="56" spans="1:39" s="130" customFormat="1" ht="25.5" customHeight="1" x14ac:dyDescent="0.2">
      <c r="A56" s="152">
        <v>42</v>
      </c>
      <c r="B56" s="149" t="s">
        <v>940</v>
      </c>
      <c r="C56" s="150">
        <f>'42'!D16</f>
        <v>8068359583</v>
      </c>
      <c r="D56" s="150">
        <f>'42'!E16</f>
        <v>6543603955</v>
      </c>
      <c r="E56" s="150">
        <f>'42'!F16</f>
        <v>4528503614</v>
      </c>
      <c r="F56" s="150">
        <f>'42'!G16</f>
        <v>491462803</v>
      </c>
      <c r="G56" s="150">
        <f>'42'!H16</f>
        <v>0</v>
      </c>
      <c r="H56" s="150">
        <f>'42'!I16</f>
        <v>1139191746</v>
      </c>
      <c r="I56" s="150">
        <f>'42'!J16</f>
        <v>0</v>
      </c>
      <c r="J56" s="150">
        <f>'42'!K16</f>
        <v>31549080</v>
      </c>
      <c r="K56" s="150">
        <f>'42'!L16</f>
        <v>0</v>
      </c>
      <c r="L56" s="150">
        <f>'42'!M16</f>
        <v>319340644</v>
      </c>
      <c r="M56" s="150">
        <f>'42'!N16</f>
        <v>32342585</v>
      </c>
      <c r="N56" s="150">
        <f>'42'!O16</f>
        <v>2331573</v>
      </c>
      <c r="O56" s="150">
        <f>'42'!P16</f>
        <v>7554718474</v>
      </c>
      <c r="P56" s="150">
        <f>'42'!Q16</f>
        <v>1261372850</v>
      </c>
      <c r="Q56" s="150">
        <f>'42'!R16</f>
        <v>2073483121</v>
      </c>
      <c r="R56" s="150">
        <f>'42'!S16</f>
        <v>232762359</v>
      </c>
      <c r="S56" s="150">
        <f>'42'!T16</f>
        <v>1256732320</v>
      </c>
      <c r="T56" s="150">
        <f>'42'!U16</f>
        <v>643463005</v>
      </c>
      <c r="U56" s="150">
        <f>'42'!V16</f>
        <v>45212930</v>
      </c>
      <c r="V56" s="150">
        <f>'42'!W16</f>
        <v>195051855</v>
      </c>
      <c r="W56" s="150">
        <f>'42'!X16</f>
        <v>379482220</v>
      </c>
      <c r="X56" s="150">
        <f>'42'!Y16</f>
        <v>126641360</v>
      </c>
      <c r="Y56" s="150">
        <f>'42'!Z16</f>
        <v>1010891367</v>
      </c>
      <c r="Z56" s="150">
        <f>'42'!AA16</f>
        <v>379926404</v>
      </c>
      <c r="AA56" s="150">
        <f>'42'!AB16</f>
        <v>-50301317</v>
      </c>
      <c r="AB56" s="150">
        <f>'42'!AC16</f>
        <v>740099179</v>
      </c>
      <c r="AC56" s="150">
        <f>'42'!AD16</f>
        <v>175475370</v>
      </c>
      <c r="AD56" s="150">
        <f>'42'!AE16</f>
        <v>1543044116</v>
      </c>
      <c r="AE56" s="150">
        <f>'42'!AF16</f>
        <v>294722524</v>
      </c>
      <c r="AF56" s="150">
        <f>'42'!AG16</f>
        <v>865467673</v>
      </c>
      <c r="AG56" s="150">
        <f>'42'!AH16</f>
        <v>754402091</v>
      </c>
      <c r="AH56" s="150">
        <f>'42'!AI16</f>
        <v>522650251</v>
      </c>
      <c r="AI56" s="150">
        <f>'42'!AJ16</f>
        <v>639474305</v>
      </c>
      <c r="AJ56" s="150">
        <f>'42'!AK16</f>
        <v>788270710</v>
      </c>
      <c r="AK56" s="150">
        <f>'42'!AL16</f>
        <v>1227478629</v>
      </c>
      <c r="AL56" s="150">
        <f>'42'!AM16</f>
        <v>3633626</v>
      </c>
      <c r="AM56" s="129"/>
    </row>
    <row r="60" spans="1:39" x14ac:dyDescent="0.2">
      <c r="Q60" s="135"/>
    </row>
    <row r="62" spans="1:39" x14ac:dyDescent="0.2">
      <c r="M62" s="135"/>
      <c r="P62" s="135"/>
    </row>
    <row r="65" spans="17:17" x14ac:dyDescent="0.2">
      <c r="Q65" s="135">
        <f>Q60-Q61</f>
        <v>0</v>
      </c>
    </row>
  </sheetData>
  <sheetProtection selectLockedCells="1" selectUnlockedCells="1"/>
  <mergeCells count="15">
    <mergeCell ref="A13:B13"/>
    <mergeCell ref="A14:B14"/>
    <mergeCell ref="K9:K11"/>
    <mergeCell ref="L9:L11"/>
    <mergeCell ref="M9:M11"/>
    <mergeCell ref="N9:N11"/>
    <mergeCell ref="P9:Y10"/>
    <mergeCell ref="AB9:AL10"/>
    <mergeCell ref="A9:B12"/>
    <mergeCell ref="D9:F9"/>
    <mergeCell ref="G9:G11"/>
    <mergeCell ref="H9:H11"/>
    <mergeCell ref="I9:I11"/>
    <mergeCell ref="J9:J11"/>
    <mergeCell ref="E10:F10"/>
  </mergeCells>
  <pageMargins left="0.70833333333333337" right="0.31527777777777777" top="0.74791666666666667" bottom="0.74791666666666667" header="0.51180555555555551" footer="0.51180555555555551"/>
  <pageSetup paperSize="8" scale="55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AM65"/>
  <sheetViews>
    <sheetView zoomScaleSheetLayoutView="83" workbookViewId="0">
      <pane xSplit="2" ySplit="13" topLeftCell="V53" activePane="bottomRight" state="frozen"/>
      <selection pane="topRight" activeCell="C1" sqref="C1"/>
      <selection pane="bottomLeft" activeCell="A14" sqref="A14"/>
      <selection pane="bottomRight" activeCell="X54" sqref="X54"/>
    </sheetView>
  </sheetViews>
  <sheetFormatPr defaultRowHeight="12.75" x14ac:dyDescent="0.2"/>
  <cols>
    <col min="1" max="1" width="3.5703125" style="112" customWidth="1"/>
    <col min="2" max="2" width="13.85546875" style="112" customWidth="1"/>
    <col min="3" max="3" width="15.5703125" style="112" customWidth="1"/>
    <col min="4" max="4" width="15.7109375" style="112" customWidth="1"/>
    <col min="5" max="5" width="15.42578125" style="112" customWidth="1"/>
    <col min="6" max="6" width="14" style="112" customWidth="1"/>
    <col min="7" max="8" width="13.85546875" style="112" customWidth="1"/>
    <col min="9" max="9" width="12.42578125" style="112" customWidth="1"/>
    <col min="10" max="10" width="13.85546875" style="112" customWidth="1"/>
    <col min="11" max="11" width="16.7109375" style="112" customWidth="1"/>
    <col min="12" max="13" width="14.28515625" style="112" customWidth="1"/>
    <col min="14" max="14" width="14" style="112" customWidth="1"/>
    <col min="15" max="15" width="15.28515625" style="116" customWidth="1"/>
    <col min="16" max="16" width="15.5703125" style="112" customWidth="1"/>
    <col min="17" max="17" width="15.140625" style="112" customWidth="1"/>
    <col min="18" max="18" width="13.5703125" style="112" customWidth="1"/>
    <col min="19" max="20" width="14" style="112" customWidth="1"/>
    <col min="21" max="22" width="14.140625" style="112" customWidth="1"/>
    <col min="23" max="23" width="14.28515625" style="112" customWidth="1"/>
    <col min="24" max="24" width="12.140625" style="112" customWidth="1"/>
    <col min="25" max="25" width="14.5703125" style="112" customWidth="1"/>
    <col min="26" max="26" width="14.7109375" style="112" customWidth="1"/>
    <col min="27" max="27" width="13" style="112" customWidth="1"/>
    <col min="28" max="28" width="14.5703125" style="112" customWidth="1"/>
    <col min="29" max="29" width="12.28515625" style="112" customWidth="1"/>
    <col min="30" max="30" width="15.28515625" style="112" customWidth="1"/>
    <col min="31" max="31" width="12.85546875" style="112" customWidth="1"/>
    <col min="32" max="32" width="13.85546875" style="112" customWidth="1"/>
    <col min="33" max="33" width="14.5703125" style="112" customWidth="1"/>
    <col min="34" max="35" width="14.28515625" style="112" customWidth="1"/>
    <col min="36" max="36" width="14.5703125" style="112" customWidth="1"/>
    <col min="37" max="37" width="14.28515625" style="112" customWidth="1"/>
    <col min="38" max="38" width="12.5703125" style="112" customWidth="1"/>
    <col min="39" max="39" width="11" style="111" customWidth="1"/>
    <col min="40" max="256" width="9.140625" style="112"/>
    <col min="257" max="257" width="3.5703125" style="112" customWidth="1"/>
    <col min="258" max="258" width="13.85546875" style="112" customWidth="1"/>
    <col min="259" max="259" width="15.5703125" style="112" customWidth="1"/>
    <col min="260" max="260" width="15.7109375" style="112" customWidth="1"/>
    <col min="261" max="261" width="15.42578125" style="112" customWidth="1"/>
    <col min="262" max="262" width="14" style="112" customWidth="1"/>
    <col min="263" max="264" width="13.85546875" style="112" customWidth="1"/>
    <col min="265" max="265" width="12.42578125" style="112" customWidth="1"/>
    <col min="266" max="266" width="13.85546875" style="112" customWidth="1"/>
    <col min="267" max="267" width="16.7109375" style="112" customWidth="1"/>
    <col min="268" max="269" width="14.28515625" style="112" customWidth="1"/>
    <col min="270" max="270" width="14" style="112" customWidth="1"/>
    <col min="271" max="271" width="15.28515625" style="112" customWidth="1"/>
    <col min="272" max="272" width="15.5703125" style="112" customWidth="1"/>
    <col min="273" max="273" width="15.140625" style="112" customWidth="1"/>
    <col min="274" max="274" width="13.5703125" style="112" customWidth="1"/>
    <col min="275" max="276" width="14" style="112" customWidth="1"/>
    <col min="277" max="278" width="14.140625" style="112" customWidth="1"/>
    <col min="279" max="279" width="14.28515625" style="112" customWidth="1"/>
    <col min="280" max="280" width="12.140625" style="112" customWidth="1"/>
    <col min="281" max="281" width="14.5703125" style="112" customWidth="1"/>
    <col min="282" max="282" width="14.7109375" style="112" customWidth="1"/>
    <col min="283" max="283" width="13" style="112" customWidth="1"/>
    <col min="284" max="284" width="14.5703125" style="112" customWidth="1"/>
    <col min="285" max="285" width="12.28515625" style="112" customWidth="1"/>
    <col min="286" max="286" width="15.28515625" style="112" customWidth="1"/>
    <col min="287" max="287" width="12.85546875" style="112" customWidth="1"/>
    <col min="288" max="288" width="13.85546875" style="112" customWidth="1"/>
    <col min="289" max="289" width="14.5703125" style="112" customWidth="1"/>
    <col min="290" max="291" width="14.28515625" style="112" customWidth="1"/>
    <col min="292" max="292" width="14.5703125" style="112" customWidth="1"/>
    <col min="293" max="293" width="14.28515625" style="112" customWidth="1"/>
    <col min="294" max="294" width="12.5703125" style="112" customWidth="1"/>
    <col min="295" max="295" width="11" style="112" customWidth="1"/>
    <col min="296" max="512" width="9.140625" style="112"/>
    <col min="513" max="513" width="3.5703125" style="112" customWidth="1"/>
    <col min="514" max="514" width="13.85546875" style="112" customWidth="1"/>
    <col min="515" max="515" width="15.5703125" style="112" customWidth="1"/>
    <col min="516" max="516" width="15.7109375" style="112" customWidth="1"/>
    <col min="517" max="517" width="15.42578125" style="112" customWidth="1"/>
    <col min="518" max="518" width="14" style="112" customWidth="1"/>
    <col min="519" max="520" width="13.85546875" style="112" customWidth="1"/>
    <col min="521" max="521" width="12.42578125" style="112" customWidth="1"/>
    <col min="522" max="522" width="13.85546875" style="112" customWidth="1"/>
    <col min="523" max="523" width="16.7109375" style="112" customWidth="1"/>
    <col min="524" max="525" width="14.28515625" style="112" customWidth="1"/>
    <col min="526" max="526" width="14" style="112" customWidth="1"/>
    <col min="527" max="527" width="15.28515625" style="112" customWidth="1"/>
    <col min="528" max="528" width="15.5703125" style="112" customWidth="1"/>
    <col min="529" max="529" width="15.140625" style="112" customWidth="1"/>
    <col min="530" max="530" width="13.5703125" style="112" customWidth="1"/>
    <col min="531" max="532" width="14" style="112" customWidth="1"/>
    <col min="533" max="534" width="14.140625" style="112" customWidth="1"/>
    <col min="535" max="535" width="14.28515625" style="112" customWidth="1"/>
    <col min="536" max="536" width="12.140625" style="112" customWidth="1"/>
    <col min="537" max="537" width="14.5703125" style="112" customWidth="1"/>
    <col min="538" max="538" width="14.7109375" style="112" customWidth="1"/>
    <col min="539" max="539" width="13" style="112" customWidth="1"/>
    <col min="540" max="540" width="14.5703125" style="112" customWidth="1"/>
    <col min="541" max="541" width="12.28515625" style="112" customWidth="1"/>
    <col min="542" max="542" width="15.28515625" style="112" customWidth="1"/>
    <col min="543" max="543" width="12.85546875" style="112" customWidth="1"/>
    <col min="544" max="544" width="13.85546875" style="112" customWidth="1"/>
    <col min="545" max="545" width="14.5703125" style="112" customWidth="1"/>
    <col min="546" max="547" width="14.28515625" style="112" customWidth="1"/>
    <col min="548" max="548" width="14.5703125" style="112" customWidth="1"/>
    <col min="549" max="549" width="14.28515625" style="112" customWidth="1"/>
    <col min="550" max="550" width="12.5703125" style="112" customWidth="1"/>
    <col min="551" max="551" width="11" style="112" customWidth="1"/>
    <col min="552" max="768" width="9.140625" style="112"/>
    <col min="769" max="769" width="3.5703125" style="112" customWidth="1"/>
    <col min="770" max="770" width="13.85546875" style="112" customWidth="1"/>
    <col min="771" max="771" width="15.5703125" style="112" customWidth="1"/>
    <col min="772" max="772" width="15.7109375" style="112" customWidth="1"/>
    <col min="773" max="773" width="15.42578125" style="112" customWidth="1"/>
    <col min="774" max="774" width="14" style="112" customWidth="1"/>
    <col min="775" max="776" width="13.85546875" style="112" customWidth="1"/>
    <col min="777" max="777" width="12.42578125" style="112" customWidth="1"/>
    <col min="778" max="778" width="13.85546875" style="112" customWidth="1"/>
    <col min="779" max="779" width="16.7109375" style="112" customWidth="1"/>
    <col min="780" max="781" width="14.28515625" style="112" customWidth="1"/>
    <col min="782" max="782" width="14" style="112" customWidth="1"/>
    <col min="783" max="783" width="15.28515625" style="112" customWidth="1"/>
    <col min="784" max="784" width="15.5703125" style="112" customWidth="1"/>
    <col min="785" max="785" width="15.140625" style="112" customWidth="1"/>
    <col min="786" max="786" width="13.5703125" style="112" customWidth="1"/>
    <col min="787" max="788" width="14" style="112" customWidth="1"/>
    <col min="789" max="790" width="14.140625" style="112" customWidth="1"/>
    <col min="791" max="791" width="14.28515625" style="112" customWidth="1"/>
    <col min="792" max="792" width="12.140625" style="112" customWidth="1"/>
    <col min="793" max="793" width="14.5703125" style="112" customWidth="1"/>
    <col min="794" max="794" width="14.7109375" style="112" customWidth="1"/>
    <col min="795" max="795" width="13" style="112" customWidth="1"/>
    <col min="796" max="796" width="14.5703125" style="112" customWidth="1"/>
    <col min="797" max="797" width="12.28515625" style="112" customWidth="1"/>
    <col min="798" max="798" width="15.28515625" style="112" customWidth="1"/>
    <col min="799" max="799" width="12.85546875" style="112" customWidth="1"/>
    <col min="800" max="800" width="13.85546875" style="112" customWidth="1"/>
    <col min="801" max="801" width="14.5703125" style="112" customWidth="1"/>
    <col min="802" max="803" width="14.28515625" style="112" customWidth="1"/>
    <col min="804" max="804" width="14.5703125" style="112" customWidth="1"/>
    <col min="805" max="805" width="14.28515625" style="112" customWidth="1"/>
    <col min="806" max="806" width="12.5703125" style="112" customWidth="1"/>
    <col min="807" max="807" width="11" style="112" customWidth="1"/>
    <col min="808" max="1024" width="9.140625" style="112"/>
    <col min="1025" max="1025" width="3.5703125" style="112" customWidth="1"/>
    <col min="1026" max="1026" width="13.85546875" style="112" customWidth="1"/>
    <col min="1027" max="1027" width="15.5703125" style="112" customWidth="1"/>
    <col min="1028" max="1028" width="15.7109375" style="112" customWidth="1"/>
    <col min="1029" max="1029" width="15.42578125" style="112" customWidth="1"/>
    <col min="1030" max="1030" width="14" style="112" customWidth="1"/>
    <col min="1031" max="1032" width="13.85546875" style="112" customWidth="1"/>
    <col min="1033" max="1033" width="12.42578125" style="112" customWidth="1"/>
    <col min="1034" max="1034" width="13.85546875" style="112" customWidth="1"/>
    <col min="1035" max="1035" width="16.7109375" style="112" customWidth="1"/>
    <col min="1036" max="1037" width="14.28515625" style="112" customWidth="1"/>
    <col min="1038" max="1038" width="14" style="112" customWidth="1"/>
    <col min="1039" max="1039" width="15.28515625" style="112" customWidth="1"/>
    <col min="1040" max="1040" width="15.5703125" style="112" customWidth="1"/>
    <col min="1041" max="1041" width="15.140625" style="112" customWidth="1"/>
    <col min="1042" max="1042" width="13.5703125" style="112" customWidth="1"/>
    <col min="1043" max="1044" width="14" style="112" customWidth="1"/>
    <col min="1045" max="1046" width="14.140625" style="112" customWidth="1"/>
    <col min="1047" max="1047" width="14.28515625" style="112" customWidth="1"/>
    <col min="1048" max="1048" width="12.140625" style="112" customWidth="1"/>
    <col min="1049" max="1049" width="14.5703125" style="112" customWidth="1"/>
    <col min="1050" max="1050" width="14.7109375" style="112" customWidth="1"/>
    <col min="1051" max="1051" width="13" style="112" customWidth="1"/>
    <col min="1052" max="1052" width="14.5703125" style="112" customWidth="1"/>
    <col min="1053" max="1053" width="12.28515625" style="112" customWidth="1"/>
    <col min="1054" max="1054" width="15.28515625" style="112" customWidth="1"/>
    <col min="1055" max="1055" width="12.85546875" style="112" customWidth="1"/>
    <col min="1056" max="1056" width="13.85546875" style="112" customWidth="1"/>
    <col min="1057" max="1057" width="14.5703125" style="112" customWidth="1"/>
    <col min="1058" max="1059" width="14.28515625" style="112" customWidth="1"/>
    <col min="1060" max="1060" width="14.5703125" style="112" customWidth="1"/>
    <col min="1061" max="1061" width="14.28515625" style="112" customWidth="1"/>
    <col min="1062" max="1062" width="12.5703125" style="112" customWidth="1"/>
    <col min="1063" max="1063" width="11" style="112" customWidth="1"/>
    <col min="1064" max="1280" width="9.140625" style="112"/>
    <col min="1281" max="1281" width="3.5703125" style="112" customWidth="1"/>
    <col min="1282" max="1282" width="13.85546875" style="112" customWidth="1"/>
    <col min="1283" max="1283" width="15.5703125" style="112" customWidth="1"/>
    <col min="1284" max="1284" width="15.7109375" style="112" customWidth="1"/>
    <col min="1285" max="1285" width="15.42578125" style="112" customWidth="1"/>
    <col min="1286" max="1286" width="14" style="112" customWidth="1"/>
    <col min="1287" max="1288" width="13.85546875" style="112" customWidth="1"/>
    <col min="1289" max="1289" width="12.42578125" style="112" customWidth="1"/>
    <col min="1290" max="1290" width="13.85546875" style="112" customWidth="1"/>
    <col min="1291" max="1291" width="16.7109375" style="112" customWidth="1"/>
    <col min="1292" max="1293" width="14.28515625" style="112" customWidth="1"/>
    <col min="1294" max="1294" width="14" style="112" customWidth="1"/>
    <col min="1295" max="1295" width="15.28515625" style="112" customWidth="1"/>
    <col min="1296" max="1296" width="15.5703125" style="112" customWidth="1"/>
    <col min="1297" max="1297" width="15.140625" style="112" customWidth="1"/>
    <col min="1298" max="1298" width="13.5703125" style="112" customWidth="1"/>
    <col min="1299" max="1300" width="14" style="112" customWidth="1"/>
    <col min="1301" max="1302" width="14.140625" style="112" customWidth="1"/>
    <col min="1303" max="1303" width="14.28515625" style="112" customWidth="1"/>
    <col min="1304" max="1304" width="12.140625" style="112" customWidth="1"/>
    <col min="1305" max="1305" width="14.5703125" style="112" customWidth="1"/>
    <col min="1306" max="1306" width="14.7109375" style="112" customWidth="1"/>
    <col min="1307" max="1307" width="13" style="112" customWidth="1"/>
    <col min="1308" max="1308" width="14.5703125" style="112" customWidth="1"/>
    <col min="1309" max="1309" width="12.28515625" style="112" customWidth="1"/>
    <col min="1310" max="1310" width="15.28515625" style="112" customWidth="1"/>
    <col min="1311" max="1311" width="12.85546875" style="112" customWidth="1"/>
    <col min="1312" max="1312" width="13.85546875" style="112" customWidth="1"/>
    <col min="1313" max="1313" width="14.5703125" style="112" customWidth="1"/>
    <col min="1314" max="1315" width="14.28515625" style="112" customWidth="1"/>
    <col min="1316" max="1316" width="14.5703125" style="112" customWidth="1"/>
    <col min="1317" max="1317" width="14.28515625" style="112" customWidth="1"/>
    <col min="1318" max="1318" width="12.5703125" style="112" customWidth="1"/>
    <col min="1319" max="1319" width="11" style="112" customWidth="1"/>
    <col min="1320" max="1536" width="9.140625" style="112"/>
    <col min="1537" max="1537" width="3.5703125" style="112" customWidth="1"/>
    <col min="1538" max="1538" width="13.85546875" style="112" customWidth="1"/>
    <col min="1539" max="1539" width="15.5703125" style="112" customWidth="1"/>
    <col min="1540" max="1540" width="15.7109375" style="112" customWidth="1"/>
    <col min="1541" max="1541" width="15.42578125" style="112" customWidth="1"/>
    <col min="1542" max="1542" width="14" style="112" customWidth="1"/>
    <col min="1543" max="1544" width="13.85546875" style="112" customWidth="1"/>
    <col min="1545" max="1545" width="12.42578125" style="112" customWidth="1"/>
    <col min="1546" max="1546" width="13.85546875" style="112" customWidth="1"/>
    <col min="1547" max="1547" width="16.7109375" style="112" customWidth="1"/>
    <col min="1548" max="1549" width="14.28515625" style="112" customWidth="1"/>
    <col min="1550" max="1550" width="14" style="112" customWidth="1"/>
    <col min="1551" max="1551" width="15.28515625" style="112" customWidth="1"/>
    <col min="1552" max="1552" width="15.5703125" style="112" customWidth="1"/>
    <col min="1553" max="1553" width="15.140625" style="112" customWidth="1"/>
    <col min="1554" max="1554" width="13.5703125" style="112" customWidth="1"/>
    <col min="1555" max="1556" width="14" style="112" customWidth="1"/>
    <col min="1557" max="1558" width="14.140625" style="112" customWidth="1"/>
    <col min="1559" max="1559" width="14.28515625" style="112" customWidth="1"/>
    <col min="1560" max="1560" width="12.140625" style="112" customWidth="1"/>
    <col min="1561" max="1561" width="14.5703125" style="112" customWidth="1"/>
    <col min="1562" max="1562" width="14.7109375" style="112" customWidth="1"/>
    <col min="1563" max="1563" width="13" style="112" customWidth="1"/>
    <col min="1564" max="1564" width="14.5703125" style="112" customWidth="1"/>
    <col min="1565" max="1565" width="12.28515625" style="112" customWidth="1"/>
    <col min="1566" max="1566" width="15.28515625" style="112" customWidth="1"/>
    <col min="1567" max="1567" width="12.85546875" style="112" customWidth="1"/>
    <col min="1568" max="1568" width="13.85546875" style="112" customWidth="1"/>
    <col min="1569" max="1569" width="14.5703125" style="112" customWidth="1"/>
    <col min="1570" max="1571" width="14.28515625" style="112" customWidth="1"/>
    <col min="1572" max="1572" width="14.5703125" style="112" customWidth="1"/>
    <col min="1573" max="1573" width="14.28515625" style="112" customWidth="1"/>
    <col min="1574" max="1574" width="12.5703125" style="112" customWidth="1"/>
    <col min="1575" max="1575" width="11" style="112" customWidth="1"/>
    <col min="1576" max="1792" width="9.140625" style="112"/>
    <col min="1793" max="1793" width="3.5703125" style="112" customWidth="1"/>
    <col min="1794" max="1794" width="13.85546875" style="112" customWidth="1"/>
    <col min="1795" max="1795" width="15.5703125" style="112" customWidth="1"/>
    <col min="1796" max="1796" width="15.7109375" style="112" customWidth="1"/>
    <col min="1797" max="1797" width="15.42578125" style="112" customWidth="1"/>
    <col min="1798" max="1798" width="14" style="112" customWidth="1"/>
    <col min="1799" max="1800" width="13.85546875" style="112" customWidth="1"/>
    <col min="1801" max="1801" width="12.42578125" style="112" customWidth="1"/>
    <col min="1802" max="1802" width="13.85546875" style="112" customWidth="1"/>
    <col min="1803" max="1803" width="16.7109375" style="112" customWidth="1"/>
    <col min="1804" max="1805" width="14.28515625" style="112" customWidth="1"/>
    <col min="1806" max="1806" width="14" style="112" customWidth="1"/>
    <col min="1807" max="1807" width="15.28515625" style="112" customWidth="1"/>
    <col min="1808" max="1808" width="15.5703125" style="112" customWidth="1"/>
    <col min="1809" max="1809" width="15.140625" style="112" customWidth="1"/>
    <col min="1810" max="1810" width="13.5703125" style="112" customWidth="1"/>
    <col min="1811" max="1812" width="14" style="112" customWidth="1"/>
    <col min="1813" max="1814" width="14.140625" style="112" customWidth="1"/>
    <col min="1815" max="1815" width="14.28515625" style="112" customWidth="1"/>
    <col min="1816" max="1816" width="12.140625" style="112" customWidth="1"/>
    <col min="1817" max="1817" width="14.5703125" style="112" customWidth="1"/>
    <col min="1818" max="1818" width="14.7109375" style="112" customWidth="1"/>
    <col min="1819" max="1819" width="13" style="112" customWidth="1"/>
    <col min="1820" max="1820" width="14.5703125" style="112" customWidth="1"/>
    <col min="1821" max="1821" width="12.28515625" style="112" customWidth="1"/>
    <col min="1822" max="1822" width="15.28515625" style="112" customWidth="1"/>
    <col min="1823" max="1823" width="12.85546875" style="112" customWidth="1"/>
    <col min="1824" max="1824" width="13.85546875" style="112" customWidth="1"/>
    <col min="1825" max="1825" width="14.5703125" style="112" customWidth="1"/>
    <col min="1826" max="1827" width="14.28515625" style="112" customWidth="1"/>
    <col min="1828" max="1828" width="14.5703125" style="112" customWidth="1"/>
    <col min="1829" max="1829" width="14.28515625" style="112" customWidth="1"/>
    <col min="1830" max="1830" width="12.5703125" style="112" customWidth="1"/>
    <col min="1831" max="1831" width="11" style="112" customWidth="1"/>
    <col min="1832" max="2048" width="9.140625" style="112"/>
    <col min="2049" max="2049" width="3.5703125" style="112" customWidth="1"/>
    <col min="2050" max="2050" width="13.85546875" style="112" customWidth="1"/>
    <col min="2051" max="2051" width="15.5703125" style="112" customWidth="1"/>
    <col min="2052" max="2052" width="15.7109375" style="112" customWidth="1"/>
    <col min="2053" max="2053" width="15.42578125" style="112" customWidth="1"/>
    <col min="2054" max="2054" width="14" style="112" customWidth="1"/>
    <col min="2055" max="2056" width="13.85546875" style="112" customWidth="1"/>
    <col min="2057" max="2057" width="12.42578125" style="112" customWidth="1"/>
    <col min="2058" max="2058" width="13.85546875" style="112" customWidth="1"/>
    <col min="2059" max="2059" width="16.7109375" style="112" customWidth="1"/>
    <col min="2060" max="2061" width="14.28515625" style="112" customWidth="1"/>
    <col min="2062" max="2062" width="14" style="112" customWidth="1"/>
    <col min="2063" max="2063" width="15.28515625" style="112" customWidth="1"/>
    <col min="2064" max="2064" width="15.5703125" style="112" customWidth="1"/>
    <col min="2065" max="2065" width="15.140625" style="112" customWidth="1"/>
    <col min="2066" max="2066" width="13.5703125" style="112" customWidth="1"/>
    <col min="2067" max="2068" width="14" style="112" customWidth="1"/>
    <col min="2069" max="2070" width="14.140625" style="112" customWidth="1"/>
    <col min="2071" max="2071" width="14.28515625" style="112" customWidth="1"/>
    <col min="2072" max="2072" width="12.140625" style="112" customWidth="1"/>
    <col min="2073" max="2073" width="14.5703125" style="112" customWidth="1"/>
    <col min="2074" max="2074" width="14.7109375" style="112" customWidth="1"/>
    <col min="2075" max="2075" width="13" style="112" customWidth="1"/>
    <col min="2076" max="2076" width="14.5703125" style="112" customWidth="1"/>
    <col min="2077" max="2077" width="12.28515625" style="112" customWidth="1"/>
    <col min="2078" max="2078" width="15.28515625" style="112" customWidth="1"/>
    <col min="2079" max="2079" width="12.85546875" style="112" customWidth="1"/>
    <col min="2080" max="2080" width="13.85546875" style="112" customWidth="1"/>
    <col min="2081" max="2081" width="14.5703125" style="112" customWidth="1"/>
    <col min="2082" max="2083" width="14.28515625" style="112" customWidth="1"/>
    <col min="2084" max="2084" width="14.5703125" style="112" customWidth="1"/>
    <col min="2085" max="2085" width="14.28515625" style="112" customWidth="1"/>
    <col min="2086" max="2086" width="12.5703125" style="112" customWidth="1"/>
    <col min="2087" max="2087" width="11" style="112" customWidth="1"/>
    <col min="2088" max="2304" width="9.140625" style="112"/>
    <col min="2305" max="2305" width="3.5703125" style="112" customWidth="1"/>
    <col min="2306" max="2306" width="13.85546875" style="112" customWidth="1"/>
    <col min="2307" max="2307" width="15.5703125" style="112" customWidth="1"/>
    <col min="2308" max="2308" width="15.7109375" style="112" customWidth="1"/>
    <col min="2309" max="2309" width="15.42578125" style="112" customWidth="1"/>
    <col min="2310" max="2310" width="14" style="112" customWidth="1"/>
    <col min="2311" max="2312" width="13.85546875" style="112" customWidth="1"/>
    <col min="2313" max="2313" width="12.42578125" style="112" customWidth="1"/>
    <col min="2314" max="2314" width="13.85546875" style="112" customWidth="1"/>
    <col min="2315" max="2315" width="16.7109375" style="112" customWidth="1"/>
    <col min="2316" max="2317" width="14.28515625" style="112" customWidth="1"/>
    <col min="2318" max="2318" width="14" style="112" customWidth="1"/>
    <col min="2319" max="2319" width="15.28515625" style="112" customWidth="1"/>
    <col min="2320" max="2320" width="15.5703125" style="112" customWidth="1"/>
    <col min="2321" max="2321" width="15.140625" style="112" customWidth="1"/>
    <col min="2322" max="2322" width="13.5703125" style="112" customWidth="1"/>
    <col min="2323" max="2324" width="14" style="112" customWidth="1"/>
    <col min="2325" max="2326" width="14.140625" style="112" customWidth="1"/>
    <col min="2327" max="2327" width="14.28515625" style="112" customWidth="1"/>
    <col min="2328" max="2328" width="12.140625" style="112" customWidth="1"/>
    <col min="2329" max="2329" width="14.5703125" style="112" customWidth="1"/>
    <col min="2330" max="2330" width="14.7109375" style="112" customWidth="1"/>
    <col min="2331" max="2331" width="13" style="112" customWidth="1"/>
    <col min="2332" max="2332" width="14.5703125" style="112" customWidth="1"/>
    <col min="2333" max="2333" width="12.28515625" style="112" customWidth="1"/>
    <col min="2334" max="2334" width="15.28515625" style="112" customWidth="1"/>
    <col min="2335" max="2335" width="12.85546875" style="112" customWidth="1"/>
    <col min="2336" max="2336" width="13.85546875" style="112" customWidth="1"/>
    <col min="2337" max="2337" width="14.5703125" style="112" customWidth="1"/>
    <col min="2338" max="2339" width="14.28515625" style="112" customWidth="1"/>
    <col min="2340" max="2340" width="14.5703125" style="112" customWidth="1"/>
    <col min="2341" max="2341" width="14.28515625" style="112" customWidth="1"/>
    <col min="2342" max="2342" width="12.5703125" style="112" customWidth="1"/>
    <col min="2343" max="2343" width="11" style="112" customWidth="1"/>
    <col min="2344" max="2560" width="9.140625" style="112"/>
    <col min="2561" max="2561" width="3.5703125" style="112" customWidth="1"/>
    <col min="2562" max="2562" width="13.85546875" style="112" customWidth="1"/>
    <col min="2563" max="2563" width="15.5703125" style="112" customWidth="1"/>
    <col min="2564" max="2564" width="15.7109375" style="112" customWidth="1"/>
    <col min="2565" max="2565" width="15.42578125" style="112" customWidth="1"/>
    <col min="2566" max="2566" width="14" style="112" customWidth="1"/>
    <col min="2567" max="2568" width="13.85546875" style="112" customWidth="1"/>
    <col min="2569" max="2569" width="12.42578125" style="112" customWidth="1"/>
    <col min="2570" max="2570" width="13.85546875" style="112" customWidth="1"/>
    <col min="2571" max="2571" width="16.7109375" style="112" customWidth="1"/>
    <col min="2572" max="2573" width="14.28515625" style="112" customWidth="1"/>
    <col min="2574" max="2574" width="14" style="112" customWidth="1"/>
    <col min="2575" max="2575" width="15.28515625" style="112" customWidth="1"/>
    <col min="2576" max="2576" width="15.5703125" style="112" customWidth="1"/>
    <col min="2577" max="2577" width="15.140625" style="112" customWidth="1"/>
    <col min="2578" max="2578" width="13.5703125" style="112" customWidth="1"/>
    <col min="2579" max="2580" width="14" style="112" customWidth="1"/>
    <col min="2581" max="2582" width="14.140625" style="112" customWidth="1"/>
    <col min="2583" max="2583" width="14.28515625" style="112" customWidth="1"/>
    <col min="2584" max="2584" width="12.140625" style="112" customWidth="1"/>
    <col min="2585" max="2585" width="14.5703125" style="112" customWidth="1"/>
    <col min="2586" max="2586" width="14.7109375" style="112" customWidth="1"/>
    <col min="2587" max="2587" width="13" style="112" customWidth="1"/>
    <col min="2588" max="2588" width="14.5703125" style="112" customWidth="1"/>
    <col min="2589" max="2589" width="12.28515625" style="112" customWidth="1"/>
    <col min="2590" max="2590" width="15.28515625" style="112" customWidth="1"/>
    <col min="2591" max="2591" width="12.85546875" style="112" customWidth="1"/>
    <col min="2592" max="2592" width="13.85546875" style="112" customWidth="1"/>
    <col min="2593" max="2593" width="14.5703125" style="112" customWidth="1"/>
    <col min="2594" max="2595" width="14.28515625" style="112" customWidth="1"/>
    <col min="2596" max="2596" width="14.5703125" style="112" customWidth="1"/>
    <col min="2597" max="2597" width="14.28515625" style="112" customWidth="1"/>
    <col min="2598" max="2598" width="12.5703125" style="112" customWidth="1"/>
    <col min="2599" max="2599" width="11" style="112" customWidth="1"/>
    <col min="2600" max="2816" width="9.140625" style="112"/>
    <col min="2817" max="2817" width="3.5703125" style="112" customWidth="1"/>
    <col min="2818" max="2818" width="13.85546875" style="112" customWidth="1"/>
    <col min="2819" max="2819" width="15.5703125" style="112" customWidth="1"/>
    <col min="2820" max="2820" width="15.7109375" style="112" customWidth="1"/>
    <col min="2821" max="2821" width="15.42578125" style="112" customWidth="1"/>
    <col min="2822" max="2822" width="14" style="112" customWidth="1"/>
    <col min="2823" max="2824" width="13.85546875" style="112" customWidth="1"/>
    <col min="2825" max="2825" width="12.42578125" style="112" customWidth="1"/>
    <col min="2826" max="2826" width="13.85546875" style="112" customWidth="1"/>
    <col min="2827" max="2827" width="16.7109375" style="112" customWidth="1"/>
    <col min="2828" max="2829" width="14.28515625" style="112" customWidth="1"/>
    <col min="2830" max="2830" width="14" style="112" customWidth="1"/>
    <col min="2831" max="2831" width="15.28515625" style="112" customWidth="1"/>
    <col min="2832" max="2832" width="15.5703125" style="112" customWidth="1"/>
    <col min="2833" max="2833" width="15.140625" style="112" customWidth="1"/>
    <col min="2834" max="2834" width="13.5703125" style="112" customWidth="1"/>
    <col min="2835" max="2836" width="14" style="112" customWidth="1"/>
    <col min="2837" max="2838" width="14.140625" style="112" customWidth="1"/>
    <col min="2839" max="2839" width="14.28515625" style="112" customWidth="1"/>
    <col min="2840" max="2840" width="12.140625" style="112" customWidth="1"/>
    <col min="2841" max="2841" width="14.5703125" style="112" customWidth="1"/>
    <col min="2842" max="2842" width="14.7109375" style="112" customWidth="1"/>
    <col min="2843" max="2843" width="13" style="112" customWidth="1"/>
    <col min="2844" max="2844" width="14.5703125" style="112" customWidth="1"/>
    <col min="2845" max="2845" width="12.28515625" style="112" customWidth="1"/>
    <col min="2846" max="2846" width="15.28515625" style="112" customWidth="1"/>
    <col min="2847" max="2847" width="12.85546875" style="112" customWidth="1"/>
    <col min="2848" max="2848" width="13.85546875" style="112" customWidth="1"/>
    <col min="2849" max="2849" width="14.5703125" style="112" customWidth="1"/>
    <col min="2850" max="2851" width="14.28515625" style="112" customWidth="1"/>
    <col min="2852" max="2852" width="14.5703125" style="112" customWidth="1"/>
    <col min="2853" max="2853" width="14.28515625" style="112" customWidth="1"/>
    <col min="2854" max="2854" width="12.5703125" style="112" customWidth="1"/>
    <col min="2855" max="2855" width="11" style="112" customWidth="1"/>
    <col min="2856" max="3072" width="9.140625" style="112"/>
    <col min="3073" max="3073" width="3.5703125" style="112" customWidth="1"/>
    <col min="3074" max="3074" width="13.85546875" style="112" customWidth="1"/>
    <col min="3075" max="3075" width="15.5703125" style="112" customWidth="1"/>
    <col min="3076" max="3076" width="15.7109375" style="112" customWidth="1"/>
    <col min="3077" max="3077" width="15.42578125" style="112" customWidth="1"/>
    <col min="3078" max="3078" width="14" style="112" customWidth="1"/>
    <col min="3079" max="3080" width="13.85546875" style="112" customWidth="1"/>
    <col min="3081" max="3081" width="12.42578125" style="112" customWidth="1"/>
    <col min="3082" max="3082" width="13.85546875" style="112" customWidth="1"/>
    <col min="3083" max="3083" width="16.7109375" style="112" customWidth="1"/>
    <col min="3084" max="3085" width="14.28515625" style="112" customWidth="1"/>
    <col min="3086" max="3086" width="14" style="112" customWidth="1"/>
    <col min="3087" max="3087" width="15.28515625" style="112" customWidth="1"/>
    <col min="3088" max="3088" width="15.5703125" style="112" customWidth="1"/>
    <col min="3089" max="3089" width="15.140625" style="112" customWidth="1"/>
    <col min="3090" max="3090" width="13.5703125" style="112" customWidth="1"/>
    <col min="3091" max="3092" width="14" style="112" customWidth="1"/>
    <col min="3093" max="3094" width="14.140625" style="112" customWidth="1"/>
    <col min="3095" max="3095" width="14.28515625" style="112" customWidth="1"/>
    <col min="3096" max="3096" width="12.140625" style="112" customWidth="1"/>
    <col min="3097" max="3097" width="14.5703125" style="112" customWidth="1"/>
    <col min="3098" max="3098" width="14.7109375" style="112" customWidth="1"/>
    <col min="3099" max="3099" width="13" style="112" customWidth="1"/>
    <col min="3100" max="3100" width="14.5703125" style="112" customWidth="1"/>
    <col min="3101" max="3101" width="12.28515625" style="112" customWidth="1"/>
    <col min="3102" max="3102" width="15.28515625" style="112" customWidth="1"/>
    <col min="3103" max="3103" width="12.85546875" style="112" customWidth="1"/>
    <col min="3104" max="3104" width="13.85546875" style="112" customWidth="1"/>
    <col min="3105" max="3105" width="14.5703125" style="112" customWidth="1"/>
    <col min="3106" max="3107" width="14.28515625" style="112" customWidth="1"/>
    <col min="3108" max="3108" width="14.5703125" style="112" customWidth="1"/>
    <col min="3109" max="3109" width="14.28515625" style="112" customWidth="1"/>
    <col min="3110" max="3110" width="12.5703125" style="112" customWidth="1"/>
    <col min="3111" max="3111" width="11" style="112" customWidth="1"/>
    <col min="3112" max="3328" width="9.140625" style="112"/>
    <col min="3329" max="3329" width="3.5703125" style="112" customWidth="1"/>
    <col min="3330" max="3330" width="13.85546875" style="112" customWidth="1"/>
    <col min="3331" max="3331" width="15.5703125" style="112" customWidth="1"/>
    <col min="3332" max="3332" width="15.7109375" style="112" customWidth="1"/>
    <col min="3333" max="3333" width="15.42578125" style="112" customWidth="1"/>
    <col min="3334" max="3334" width="14" style="112" customWidth="1"/>
    <col min="3335" max="3336" width="13.85546875" style="112" customWidth="1"/>
    <col min="3337" max="3337" width="12.42578125" style="112" customWidth="1"/>
    <col min="3338" max="3338" width="13.85546875" style="112" customWidth="1"/>
    <col min="3339" max="3339" width="16.7109375" style="112" customWidth="1"/>
    <col min="3340" max="3341" width="14.28515625" style="112" customWidth="1"/>
    <col min="3342" max="3342" width="14" style="112" customWidth="1"/>
    <col min="3343" max="3343" width="15.28515625" style="112" customWidth="1"/>
    <col min="3344" max="3344" width="15.5703125" style="112" customWidth="1"/>
    <col min="3345" max="3345" width="15.140625" style="112" customWidth="1"/>
    <col min="3346" max="3346" width="13.5703125" style="112" customWidth="1"/>
    <col min="3347" max="3348" width="14" style="112" customWidth="1"/>
    <col min="3349" max="3350" width="14.140625" style="112" customWidth="1"/>
    <col min="3351" max="3351" width="14.28515625" style="112" customWidth="1"/>
    <col min="3352" max="3352" width="12.140625" style="112" customWidth="1"/>
    <col min="3353" max="3353" width="14.5703125" style="112" customWidth="1"/>
    <col min="3354" max="3354" width="14.7109375" style="112" customWidth="1"/>
    <col min="3355" max="3355" width="13" style="112" customWidth="1"/>
    <col min="3356" max="3356" width="14.5703125" style="112" customWidth="1"/>
    <col min="3357" max="3357" width="12.28515625" style="112" customWidth="1"/>
    <col min="3358" max="3358" width="15.28515625" style="112" customWidth="1"/>
    <col min="3359" max="3359" width="12.85546875" style="112" customWidth="1"/>
    <col min="3360" max="3360" width="13.85546875" style="112" customWidth="1"/>
    <col min="3361" max="3361" width="14.5703125" style="112" customWidth="1"/>
    <col min="3362" max="3363" width="14.28515625" style="112" customWidth="1"/>
    <col min="3364" max="3364" width="14.5703125" style="112" customWidth="1"/>
    <col min="3365" max="3365" width="14.28515625" style="112" customWidth="1"/>
    <col min="3366" max="3366" width="12.5703125" style="112" customWidth="1"/>
    <col min="3367" max="3367" width="11" style="112" customWidth="1"/>
    <col min="3368" max="3584" width="9.140625" style="112"/>
    <col min="3585" max="3585" width="3.5703125" style="112" customWidth="1"/>
    <col min="3586" max="3586" width="13.85546875" style="112" customWidth="1"/>
    <col min="3587" max="3587" width="15.5703125" style="112" customWidth="1"/>
    <col min="3588" max="3588" width="15.7109375" style="112" customWidth="1"/>
    <col min="3589" max="3589" width="15.42578125" style="112" customWidth="1"/>
    <col min="3590" max="3590" width="14" style="112" customWidth="1"/>
    <col min="3591" max="3592" width="13.85546875" style="112" customWidth="1"/>
    <col min="3593" max="3593" width="12.42578125" style="112" customWidth="1"/>
    <col min="3594" max="3594" width="13.85546875" style="112" customWidth="1"/>
    <col min="3595" max="3595" width="16.7109375" style="112" customWidth="1"/>
    <col min="3596" max="3597" width="14.28515625" style="112" customWidth="1"/>
    <col min="3598" max="3598" width="14" style="112" customWidth="1"/>
    <col min="3599" max="3599" width="15.28515625" style="112" customWidth="1"/>
    <col min="3600" max="3600" width="15.5703125" style="112" customWidth="1"/>
    <col min="3601" max="3601" width="15.140625" style="112" customWidth="1"/>
    <col min="3602" max="3602" width="13.5703125" style="112" customWidth="1"/>
    <col min="3603" max="3604" width="14" style="112" customWidth="1"/>
    <col min="3605" max="3606" width="14.140625" style="112" customWidth="1"/>
    <col min="3607" max="3607" width="14.28515625" style="112" customWidth="1"/>
    <col min="3608" max="3608" width="12.140625" style="112" customWidth="1"/>
    <col min="3609" max="3609" width="14.5703125" style="112" customWidth="1"/>
    <col min="3610" max="3610" width="14.7109375" style="112" customWidth="1"/>
    <col min="3611" max="3611" width="13" style="112" customWidth="1"/>
    <col min="3612" max="3612" width="14.5703125" style="112" customWidth="1"/>
    <col min="3613" max="3613" width="12.28515625" style="112" customWidth="1"/>
    <col min="3614" max="3614" width="15.28515625" style="112" customWidth="1"/>
    <col min="3615" max="3615" width="12.85546875" style="112" customWidth="1"/>
    <col min="3616" max="3616" width="13.85546875" style="112" customWidth="1"/>
    <col min="3617" max="3617" width="14.5703125" style="112" customWidth="1"/>
    <col min="3618" max="3619" width="14.28515625" style="112" customWidth="1"/>
    <col min="3620" max="3620" width="14.5703125" style="112" customWidth="1"/>
    <col min="3621" max="3621" width="14.28515625" style="112" customWidth="1"/>
    <col min="3622" max="3622" width="12.5703125" style="112" customWidth="1"/>
    <col min="3623" max="3623" width="11" style="112" customWidth="1"/>
    <col min="3624" max="3840" width="9.140625" style="112"/>
    <col min="3841" max="3841" width="3.5703125" style="112" customWidth="1"/>
    <col min="3842" max="3842" width="13.85546875" style="112" customWidth="1"/>
    <col min="3843" max="3843" width="15.5703125" style="112" customWidth="1"/>
    <col min="3844" max="3844" width="15.7109375" style="112" customWidth="1"/>
    <col min="3845" max="3845" width="15.42578125" style="112" customWidth="1"/>
    <col min="3846" max="3846" width="14" style="112" customWidth="1"/>
    <col min="3847" max="3848" width="13.85546875" style="112" customWidth="1"/>
    <col min="3849" max="3849" width="12.42578125" style="112" customWidth="1"/>
    <col min="3850" max="3850" width="13.85546875" style="112" customWidth="1"/>
    <col min="3851" max="3851" width="16.7109375" style="112" customWidth="1"/>
    <col min="3852" max="3853" width="14.28515625" style="112" customWidth="1"/>
    <col min="3854" max="3854" width="14" style="112" customWidth="1"/>
    <col min="3855" max="3855" width="15.28515625" style="112" customWidth="1"/>
    <col min="3856" max="3856" width="15.5703125" style="112" customWidth="1"/>
    <col min="3857" max="3857" width="15.140625" style="112" customWidth="1"/>
    <col min="3858" max="3858" width="13.5703125" style="112" customWidth="1"/>
    <col min="3859" max="3860" width="14" style="112" customWidth="1"/>
    <col min="3861" max="3862" width="14.140625" style="112" customWidth="1"/>
    <col min="3863" max="3863" width="14.28515625" style="112" customWidth="1"/>
    <col min="3864" max="3864" width="12.140625" style="112" customWidth="1"/>
    <col min="3865" max="3865" width="14.5703125" style="112" customWidth="1"/>
    <col min="3866" max="3866" width="14.7109375" style="112" customWidth="1"/>
    <col min="3867" max="3867" width="13" style="112" customWidth="1"/>
    <col min="3868" max="3868" width="14.5703125" style="112" customWidth="1"/>
    <col min="3869" max="3869" width="12.28515625" style="112" customWidth="1"/>
    <col min="3870" max="3870" width="15.28515625" style="112" customWidth="1"/>
    <col min="3871" max="3871" width="12.85546875" style="112" customWidth="1"/>
    <col min="3872" max="3872" width="13.85546875" style="112" customWidth="1"/>
    <col min="3873" max="3873" width="14.5703125" style="112" customWidth="1"/>
    <col min="3874" max="3875" width="14.28515625" style="112" customWidth="1"/>
    <col min="3876" max="3876" width="14.5703125" style="112" customWidth="1"/>
    <col min="3877" max="3877" width="14.28515625" style="112" customWidth="1"/>
    <col min="3878" max="3878" width="12.5703125" style="112" customWidth="1"/>
    <col min="3879" max="3879" width="11" style="112" customWidth="1"/>
    <col min="3880" max="4096" width="9.140625" style="112"/>
    <col min="4097" max="4097" width="3.5703125" style="112" customWidth="1"/>
    <col min="4098" max="4098" width="13.85546875" style="112" customWidth="1"/>
    <col min="4099" max="4099" width="15.5703125" style="112" customWidth="1"/>
    <col min="4100" max="4100" width="15.7109375" style="112" customWidth="1"/>
    <col min="4101" max="4101" width="15.42578125" style="112" customWidth="1"/>
    <col min="4102" max="4102" width="14" style="112" customWidth="1"/>
    <col min="4103" max="4104" width="13.85546875" style="112" customWidth="1"/>
    <col min="4105" max="4105" width="12.42578125" style="112" customWidth="1"/>
    <col min="4106" max="4106" width="13.85546875" style="112" customWidth="1"/>
    <col min="4107" max="4107" width="16.7109375" style="112" customWidth="1"/>
    <col min="4108" max="4109" width="14.28515625" style="112" customWidth="1"/>
    <col min="4110" max="4110" width="14" style="112" customWidth="1"/>
    <col min="4111" max="4111" width="15.28515625" style="112" customWidth="1"/>
    <col min="4112" max="4112" width="15.5703125" style="112" customWidth="1"/>
    <col min="4113" max="4113" width="15.140625" style="112" customWidth="1"/>
    <col min="4114" max="4114" width="13.5703125" style="112" customWidth="1"/>
    <col min="4115" max="4116" width="14" style="112" customWidth="1"/>
    <col min="4117" max="4118" width="14.140625" style="112" customWidth="1"/>
    <col min="4119" max="4119" width="14.28515625" style="112" customWidth="1"/>
    <col min="4120" max="4120" width="12.140625" style="112" customWidth="1"/>
    <col min="4121" max="4121" width="14.5703125" style="112" customWidth="1"/>
    <col min="4122" max="4122" width="14.7109375" style="112" customWidth="1"/>
    <col min="4123" max="4123" width="13" style="112" customWidth="1"/>
    <col min="4124" max="4124" width="14.5703125" style="112" customWidth="1"/>
    <col min="4125" max="4125" width="12.28515625" style="112" customWidth="1"/>
    <col min="4126" max="4126" width="15.28515625" style="112" customWidth="1"/>
    <col min="4127" max="4127" width="12.85546875" style="112" customWidth="1"/>
    <col min="4128" max="4128" width="13.85546875" style="112" customWidth="1"/>
    <col min="4129" max="4129" width="14.5703125" style="112" customWidth="1"/>
    <col min="4130" max="4131" width="14.28515625" style="112" customWidth="1"/>
    <col min="4132" max="4132" width="14.5703125" style="112" customWidth="1"/>
    <col min="4133" max="4133" width="14.28515625" style="112" customWidth="1"/>
    <col min="4134" max="4134" width="12.5703125" style="112" customWidth="1"/>
    <col min="4135" max="4135" width="11" style="112" customWidth="1"/>
    <col min="4136" max="4352" width="9.140625" style="112"/>
    <col min="4353" max="4353" width="3.5703125" style="112" customWidth="1"/>
    <col min="4354" max="4354" width="13.85546875" style="112" customWidth="1"/>
    <col min="4355" max="4355" width="15.5703125" style="112" customWidth="1"/>
    <col min="4356" max="4356" width="15.7109375" style="112" customWidth="1"/>
    <col min="4357" max="4357" width="15.42578125" style="112" customWidth="1"/>
    <col min="4358" max="4358" width="14" style="112" customWidth="1"/>
    <col min="4359" max="4360" width="13.85546875" style="112" customWidth="1"/>
    <col min="4361" max="4361" width="12.42578125" style="112" customWidth="1"/>
    <col min="4362" max="4362" width="13.85546875" style="112" customWidth="1"/>
    <col min="4363" max="4363" width="16.7109375" style="112" customWidth="1"/>
    <col min="4364" max="4365" width="14.28515625" style="112" customWidth="1"/>
    <col min="4366" max="4366" width="14" style="112" customWidth="1"/>
    <col min="4367" max="4367" width="15.28515625" style="112" customWidth="1"/>
    <col min="4368" max="4368" width="15.5703125" style="112" customWidth="1"/>
    <col min="4369" max="4369" width="15.140625" style="112" customWidth="1"/>
    <col min="4370" max="4370" width="13.5703125" style="112" customWidth="1"/>
    <col min="4371" max="4372" width="14" style="112" customWidth="1"/>
    <col min="4373" max="4374" width="14.140625" style="112" customWidth="1"/>
    <col min="4375" max="4375" width="14.28515625" style="112" customWidth="1"/>
    <col min="4376" max="4376" width="12.140625" style="112" customWidth="1"/>
    <col min="4377" max="4377" width="14.5703125" style="112" customWidth="1"/>
    <col min="4378" max="4378" width="14.7109375" style="112" customWidth="1"/>
    <col min="4379" max="4379" width="13" style="112" customWidth="1"/>
    <col min="4380" max="4380" width="14.5703125" style="112" customWidth="1"/>
    <col min="4381" max="4381" width="12.28515625" style="112" customWidth="1"/>
    <col min="4382" max="4382" width="15.28515625" style="112" customWidth="1"/>
    <col min="4383" max="4383" width="12.85546875" style="112" customWidth="1"/>
    <col min="4384" max="4384" width="13.85546875" style="112" customWidth="1"/>
    <col min="4385" max="4385" width="14.5703125" style="112" customWidth="1"/>
    <col min="4386" max="4387" width="14.28515625" style="112" customWidth="1"/>
    <col min="4388" max="4388" width="14.5703125" style="112" customWidth="1"/>
    <col min="4389" max="4389" width="14.28515625" style="112" customWidth="1"/>
    <col min="4390" max="4390" width="12.5703125" style="112" customWidth="1"/>
    <col min="4391" max="4391" width="11" style="112" customWidth="1"/>
    <col min="4392" max="4608" width="9.140625" style="112"/>
    <col min="4609" max="4609" width="3.5703125" style="112" customWidth="1"/>
    <col min="4610" max="4610" width="13.85546875" style="112" customWidth="1"/>
    <col min="4611" max="4611" width="15.5703125" style="112" customWidth="1"/>
    <col min="4612" max="4612" width="15.7109375" style="112" customWidth="1"/>
    <col min="4613" max="4613" width="15.42578125" style="112" customWidth="1"/>
    <col min="4614" max="4614" width="14" style="112" customWidth="1"/>
    <col min="4615" max="4616" width="13.85546875" style="112" customWidth="1"/>
    <col min="4617" max="4617" width="12.42578125" style="112" customWidth="1"/>
    <col min="4618" max="4618" width="13.85546875" style="112" customWidth="1"/>
    <col min="4619" max="4619" width="16.7109375" style="112" customWidth="1"/>
    <col min="4620" max="4621" width="14.28515625" style="112" customWidth="1"/>
    <col min="4622" max="4622" width="14" style="112" customWidth="1"/>
    <col min="4623" max="4623" width="15.28515625" style="112" customWidth="1"/>
    <col min="4624" max="4624" width="15.5703125" style="112" customWidth="1"/>
    <col min="4625" max="4625" width="15.140625" style="112" customWidth="1"/>
    <col min="4626" max="4626" width="13.5703125" style="112" customWidth="1"/>
    <col min="4627" max="4628" width="14" style="112" customWidth="1"/>
    <col min="4629" max="4630" width="14.140625" style="112" customWidth="1"/>
    <col min="4631" max="4631" width="14.28515625" style="112" customWidth="1"/>
    <col min="4632" max="4632" width="12.140625" style="112" customWidth="1"/>
    <col min="4633" max="4633" width="14.5703125" style="112" customWidth="1"/>
    <col min="4634" max="4634" width="14.7109375" style="112" customWidth="1"/>
    <col min="4635" max="4635" width="13" style="112" customWidth="1"/>
    <col min="4636" max="4636" width="14.5703125" style="112" customWidth="1"/>
    <col min="4637" max="4637" width="12.28515625" style="112" customWidth="1"/>
    <col min="4638" max="4638" width="15.28515625" style="112" customWidth="1"/>
    <col min="4639" max="4639" width="12.85546875" style="112" customWidth="1"/>
    <col min="4640" max="4640" width="13.85546875" style="112" customWidth="1"/>
    <col min="4641" max="4641" width="14.5703125" style="112" customWidth="1"/>
    <col min="4642" max="4643" width="14.28515625" style="112" customWidth="1"/>
    <col min="4644" max="4644" width="14.5703125" style="112" customWidth="1"/>
    <col min="4645" max="4645" width="14.28515625" style="112" customWidth="1"/>
    <col min="4646" max="4646" width="12.5703125" style="112" customWidth="1"/>
    <col min="4647" max="4647" width="11" style="112" customWidth="1"/>
    <col min="4648" max="4864" width="9.140625" style="112"/>
    <col min="4865" max="4865" width="3.5703125" style="112" customWidth="1"/>
    <col min="4866" max="4866" width="13.85546875" style="112" customWidth="1"/>
    <col min="4867" max="4867" width="15.5703125" style="112" customWidth="1"/>
    <col min="4868" max="4868" width="15.7109375" style="112" customWidth="1"/>
    <col min="4869" max="4869" width="15.42578125" style="112" customWidth="1"/>
    <col min="4870" max="4870" width="14" style="112" customWidth="1"/>
    <col min="4871" max="4872" width="13.85546875" style="112" customWidth="1"/>
    <col min="4873" max="4873" width="12.42578125" style="112" customWidth="1"/>
    <col min="4874" max="4874" width="13.85546875" style="112" customWidth="1"/>
    <col min="4875" max="4875" width="16.7109375" style="112" customWidth="1"/>
    <col min="4876" max="4877" width="14.28515625" style="112" customWidth="1"/>
    <col min="4878" max="4878" width="14" style="112" customWidth="1"/>
    <col min="4879" max="4879" width="15.28515625" style="112" customWidth="1"/>
    <col min="4880" max="4880" width="15.5703125" style="112" customWidth="1"/>
    <col min="4881" max="4881" width="15.140625" style="112" customWidth="1"/>
    <col min="4882" max="4882" width="13.5703125" style="112" customWidth="1"/>
    <col min="4883" max="4884" width="14" style="112" customWidth="1"/>
    <col min="4885" max="4886" width="14.140625" style="112" customWidth="1"/>
    <col min="4887" max="4887" width="14.28515625" style="112" customWidth="1"/>
    <col min="4888" max="4888" width="12.140625" style="112" customWidth="1"/>
    <col min="4889" max="4889" width="14.5703125" style="112" customWidth="1"/>
    <col min="4890" max="4890" width="14.7109375" style="112" customWidth="1"/>
    <col min="4891" max="4891" width="13" style="112" customWidth="1"/>
    <col min="4892" max="4892" width="14.5703125" style="112" customWidth="1"/>
    <col min="4893" max="4893" width="12.28515625" style="112" customWidth="1"/>
    <col min="4894" max="4894" width="15.28515625" style="112" customWidth="1"/>
    <col min="4895" max="4895" width="12.85546875" style="112" customWidth="1"/>
    <col min="4896" max="4896" width="13.85546875" style="112" customWidth="1"/>
    <col min="4897" max="4897" width="14.5703125" style="112" customWidth="1"/>
    <col min="4898" max="4899" width="14.28515625" style="112" customWidth="1"/>
    <col min="4900" max="4900" width="14.5703125" style="112" customWidth="1"/>
    <col min="4901" max="4901" width="14.28515625" style="112" customWidth="1"/>
    <col min="4902" max="4902" width="12.5703125" style="112" customWidth="1"/>
    <col min="4903" max="4903" width="11" style="112" customWidth="1"/>
    <col min="4904" max="5120" width="9.140625" style="112"/>
    <col min="5121" max="5121" width="3.5703125" style="112" customWidth="1"/>
    <col min="5122" max="5122" width="13.85546875" style="112" customWidth="1"/>
    <col min="5123" max="5123" width="15.5703125" style="112" customWidth="1"/>
    <col min="5124" max="5124" width="15.7109375" style="112" customWidth="1"/>
    <col min="5125" max="5125" width="15.42578125" style="112" customWidth="1"/>
    <col min="5126" max="5126" width="14" style="112" customWidth="1"/>
    <col min="5127" max="5128" width="13.85546875" style="112" customWidth="1"/>
    <col min="5129" max="5129" width="12.42578125" style="112" customWidth="1"/>
    <col min="5130" max="5130" width="13.85546875" style="112" customWidth="1"/>
    <col min="5131" max="5131" width="16.7109375" style="112" customWidth="1"/>
    <col min="5132" max="5133" width="14.28515625" style="112" customWidth="1"/>
    <col min="5134" max="5134" width="14" style="112" customWidth="1"/>
    <col min="5135" max="5135" width="15.28515625" style="112" customWidth="1"/>
    <col min="5136" max="5136" width="15.5703125" style="112" customWidth="1"/>
    <col min="5137" max="5137" width="15.140625" style="112" customWidth="1"/>
    <col min="5138" max="5138" width="13.5703125" style="112" customWidth="1"/>
    <col min="5139" max="5140" width="14" style="112" customWidth="1"/>
    <col min="5141" max="5142" width="14.140625" style="112" customWidth="1"/>
    <col min="5143" max="5143" width="14.28515625" style="112" customWidth="1"/>
    <col min="5144" max="5144" width="12.140625" style="112" customWidth="1"/>
    <col min="5145" max="5145" width="14.5703125" style="112" customWidth="1"/>
    <col min="5146" max="5146" width="14.7109375" style="112" customWidth="1"/>
    <col min="5147" max="5147" width="13" style="112" customWidth="1"/>
    <col min="5148" max="5148" width="14.5703125" style="112" customWidth="1"/>
    <col min="5149" max="5149" width="12.28515625" style="112" customWidth="1"/>
    <col min="5150" max="5150" width="15.28515625" style="112" customWidth="1"/>
    <col min="5151" max="5151" width="12.85546875" style="112" customWidth="1"/>
    <col min="5152" max="5152" width="13.85546875" style="112" customWidth="1"/>
    <col min="5153" max="5153" width="14.5703125" style="112" customWidth="1"/>
    <col min="5154" max="5155" width="14.28515625" style="112" customWidth="1"/>
    <col min="5156" max="5156" width="14.5703125" style="112" customWidth="1"/>
    <col min="5157" max="5157" width="14.28515625" style="112" customWidth="1"/>
    <col min="5158" max="5158" width="12.5703125" style="112" customWidth="1"/>
    <col min="5159" max="5159" width="11" style="112" customWidth="1"/>
    <col min="5160" max="5376" width="9.140625" style="112"/>
    <col min="5377" max="5377" width="3.5703125" style="112" customWidth="1"/>
    <col min="5378" max="5378" width="13.85546875" style="112" customWidth="1"/>
    <col min="5379" max="5379" width="15.5703125" style="112" customWidth="1"/>
    <col min="5380" max="5380" width="15.7109375" style="112" customWidth="1"/>
    <col min="5381" max="5381" width="15.42578125" style="112" customWidth="1"/>
    <col min="5382" max="5382" width="14" style="112" customWidth="1"/>
    <col min="5383" max="5384" width="13.85546875" style="112" customWidth="1"/>
    <col min="5385" max="5385" width="12.42578125" style="112" customWidth="1"/>
    <col min="5386" max="5386" width="13.85546875" style="112" customWidth="1"/>
    <col min="5387" max="5387" width="16.7109375" style="112" customWidth="1"/>
    <col min="5388" max="5389" width="14.28515625" style="112" customWidth="1"/>
    <col min="5390" max="5390" width="14" style="112" customWidth="1"/>
    <col min="5391" max="5391" width="15.28515625" style="112" customWidth="1"/>
    <col min="5392" max="5392" width="15.5703125" style="112" customWidth="1"/>
    <col min="5393" max="5393" width="15.140625" style="112" customWidth="1"/>
    <col min="5394" max="5394" width="13.5703125" style="112" customWidth="1"/>
    <col min="5395" max="5396" width="14" style="112" customWidth="1"/>
    <col min="5397" max="5398" width="14.140625" style="112" customWidth="1"/>
    <col min="5399" max="5399" width="14.28515625" style="112" customWidth="1"/>
    <col min="5400" max="5400" width="12.140625" style="112" customWidth="1"/>
    <col min="5401" max="5401" width="14.5703125" style="112" customWidth="1"/>
    <col min="5402" max="5402" width="14.7109375" style="112" customWidth="1"/>
    <col min="5403" max="5403" width="13" style="112" customWidth="1"/>
    <col min="5404" max="5404" width="14.5703125" style="112" customWidth="1"/>
    <col min="5405" max="5405" width="12.28515625" style="112" customWidth="1"/>
    <col min="5406" max="5406" width="15.28515625" style="112" customWidth="1"/>
    <col min="5407" max="5407" width="12.85546875" style="112" customWidth="1"/>
    <col min="5408" max="5408" width="13.85546875" style="112" customWidth="1"/>
    <col min="5409" max="5409" width="14.5703125" style="112" customWidth="1"/>
    <col min="5410" max="5411" width="14.28515625" style="112" customWidth="1"/>
    <col min="5412" max="5412" width="14.5703125" style="112" customWidth="1"/>
    <col min="5413" max="5413" width="14.28515625" style="112" customWidth="1"/>
    <col min="5414" max="5414" width="12.5703125" style="112" customWidth="1"/>
    <col min="5415" max="5415" width="11" style="112" customWidth="1"/>
    <col min="5416" max="5632" width="9.140625" style="112"/>
    <col min="5633" max="5633" width="3.5703125" style="112" customWidth="1"/>
    <col min="5634" max="5634" width="13.85546875" style="112" customWidth="1"/>
    <col min="5635" max="5635" width="15.5703125" style="112" customWidth="1"/>
    <col min="5636" max="5636" width="15.7109375" style="112" customWidth="1"/>
    <col min="5637" max="5637" width="15.42578125" style="112" customWidth="1"/>
    <col min="5638" max="5638" width="14" style="112" customWidth="1"/>
    <col min="5639" max="5640" width="13.85546875" style="112" customWidth="1"/>
    <col min="5641" max="5641" width="12.42578125" style="112" customWidth="1"/>
    <col min="5642" max="5642" width="13.85546875" style="112" customWidth="1"/>
    <col min="5643" max="5643" width="16.7109375" style="112" customWidth="1"/>
    <col min="5644" max="5645" width="14.28515625" style="112" customWidth="1"/>
    <col min="5646" max="5646" width="14" style="112" customWidth="1"/>
    <col min="5647" max="5647" width="15.28515625" style="112" customWidth="1"/>
    <col min="5648" max="5648" width="15.5703125" style="112" customWidth="1"/>
    <col min="5649" max="5649" width="15.140625" style="112" customWidth="1"/>
    <col min="5650" max="5650" width="13.5703125" style="112" customWidth="1"/>
    <col min="5651" max="5652" width="14" style="112" customWidth="1"/>
    <col min="5653" max="5654" width="14.140625" style="112" customWidth="1"/>
    <col min="5655" max="5655" width="14.28515625" style="112" customWidth="1"/>
    <col min="5656" max="5656" width="12.140625" style="112" customWidth="1"/>
    <col min="5657" max="5657" width="14.5703125" style="112" customWidth="1"/>
    <col min="5658" max="5658" width="14.7109375" style="112" customWidth="1"/>
    <col min="5659" max="5659" width="13" style="112" customWidth="1"/>
    <col min="5660" max="5660" width="14.5703125" style="112" customWidth="1"/>
    <col min="5661" max="5661" width="12.28515625" style="112" customWidth="1"/>
    <col min="5662" max="5662" width="15.28515625" style="112" customWidth="1"/>
    <col min="5663" max="5663" width="12.85546875" style="112" customWidth="1"/>
    <col min="5664" max="5664" width="13.85546875" style="112" customWidth="1"/>
    <col min="5665" max="5665" width="14.5703125" style="112" customWidth="1"/>
    <col min="5666" max="5667" width="14.28515625" style="112" customWidth="1"/>
    <col min="5668" max="5668" width="14.5703125" style="112" customWidth="1"/>
    <col min="5669" max="5669" width="14.28515625" style="112" customWidth="1"/>
    <col min="5670" max="5670" width="12.5703125" style="112" customWidth="1"/>
    <col min="5671" max="5671" width="11" style="112" customWidth="1"/>
    <col min="5672" max="5888" width="9.140625" style="112"/>
    <col min="5889" max="5889" width="3.5703125" style="112" customWidth="1"/>
    <col min="5890" max="5890" width="13.85546875" style="112" customWidth="1"/>
    <col min="5891" max="5891" width="15.5703125" style="112" customWidth="1"/>
    <col min="5892" max="5892" width="15.7109375" style="112" customWidth="1"/>
    <col min="5893" max="5893" width="15.42578125" style="112" customWidth="1"/>
    <col min="5894" max="5894" width="14" style="112" customWidth="1"/>
    <col min="5895" max="5896" width="13.85546875" style="112" customWidth="1"/>
    <col min="5897" max="5897" width="12.42578125" style="112" customWidth="1"/>
    <col min="5898" max="5898" width="13.85546875" style="112" customWidth="1"/>
    <col min="5899" max="5899" width="16.7109375" style="112" customWidth="1"/>
    <col min="5900" max="5901" width="14.28515625" style="112" customWidth="1"/>
    <col min="5902" max="5902" width="14" style="112" customWidth="1"/>
    <col min="5903" max="5903" width="15.28515625" style="112" customWidth="1"/>
    <col min="5904" max="5904" width="15.5703125" style="112" customWidth="1"/>
    <col min="5905" max="5905" width="15.140625" style="112" customWidth="1"/>
    <col min="5906" max="5906" width="13.5703125" style="112" customWidth="1"/>
    <col min="5907" max="5908" width="14" style="112" customWidth="1"/>
    <col min="5909" max="5910" width="14.140625" style="112" customWidth="1"/>
    <col min="5911" max="5911" width="14.28515625" style="112" customWidth="1"/>
    <col min="5912" max="5912" width="12.140625" style="112" customWidth="1"/>
    <col min="5913" max="5913" width="14.5703125" style="112" customWidth="1"/>
    <col min="5914" max="5914" width="14.7109375" style="112" customWidth="1"/>
    <col min="5915" max="5915" width="13" style="112" customWidth="1"/>
    <col min="5916" max="5916" width="14.5703125" style="112" customWidth="1"/>
    <col min="5917" max="5917" width="12.28515625" style="112" customWidth="1"/>
    <col min="5918" max="5918" width="15.28515625" style="112" customWidth="1"/>
    <col min="5919" max="5919" width="12.85546875" style="112" customWidth="1"/>
    <col min="5920" max="5920" width="13.85546875" style="112" customWidth="1"/>
    <col min="5921" max="5921" width="14.5703125" style="112" customWidth="1"/>
    <col min="5922" max="5923" width="14.28515625" style="112" customWidth="1"/>
    <col min="5924" max="5924" width="14.5703125" style="112" customWidth="1"/>
    <col min="5925" max="5925" width="14.28515625" style="112" customWidth="1"/>
    <col min="5926" max="5926" width="12.5703125" style="112" customWidth="1"/>
    <col min="5927" max="5927" width="11" style="112" customWidth="1"/>
    <col min="5928" max="6144" width="9.140625" style="112"/>
    <col min="6145" max="6145" width="3.5703125" style="112" customWidth="1"/>
    <col min="6146" max="6146" width="13.85546875" style="112" customWidth="1"/>
    <col min="6147" max="6147" width="15.5703125" style="112" customWidth="1"/>
    <col min="6148" max="6148" width="15.7109375" style="112" customWidth="1"/>
    <col min="6149" max="6149" width="15.42578125" style="112" customWidth="1"/>
    <col min="6150" max="6150" width="14" style="112" customWidth="1"/>
    <col min="6151" max="6152" width="13.85546875" style="112" customWidth="1"/>
    <col min="6153" max="6153" width="12.42578125" style="112" customWidth="1"/>
    <col min="6154" max="6154" width="13.85546875" style="112" customWidth="1"/>
    <col min="6155" max="6155" width="16.7109375" style="112" customWidth="1"/>
    <col min="6156" max="6157" width="14.28515625" style="112" customWidth="1"/>
    <col min="6158" max="6158" width="14" style="112" customWidth="1"/>
    <col min="6159" max="6159" width="15.28515625" style="112" customWidth="1"/>
    <col min="6160" max="6160" width="15.5703125" style="112" customWidth="1"/>
    <col min="6161" max="6161" width="15.140625" style="112" customWidth="1"/>
    <col min="6162" max="6162" width="13.5703125" style="112" customWidth="1"/>
    <col min="6163" max="6164" width="14" style="112" customWidth="1"/>
    <col min="6165" max="6166" width="14.140625" style="112" customWidth="1"/>
    <col min="6167" max="6167" width="14.28515625" style="112" customWidth="1"/>
    <col min="6168" max="6168" width="12.140625" style="112" customWidth="1"/>
    <col min="6169" max="6169" width="14.5703125" style="112" customWidth="1"/>
    <col min="6170" max="6170" width="14.7109375" style="112" customWidth="1"/>
    <col min="6171" max="6171" width="13" style="112" customWidth="1"/>
    <col min="6172" max="6172" width="14.5703125" style="112" customWidth="1"/>
    <col min="6173" max="6173" width="12.28515625" style="112" customWidth="1"/>
    <col min="6174" max="6174" width="15.28515625" style="112" customWidth="1"/>
    <col min="6175" max="6175" width="12.85546875" style="112" customWidth="1"/>
    <col min="6176" max="6176" width="13.85546875" style="112" customWidth="1"/>
    <col min="6177" max="6177" width="14.5703125" style="112" customWidth="1"/>
    <col min="6178" max="6179" width="14.28515625" style="112" customWidth="1"/>
    <col min="6180" max="6180" width="14.5703125" style="112" customWidth="1"/>
    <col min="6181" max="6181" width="14.28515625" style="112" customWidth="1"/>
    <col min="6182" max="6182" width="12.5703125" style="112" customWidth="1"/>
    <col min="6183" max="6183" width="11" style="112" customWidth="1"/>
    <col min="6184" max="6400" width="9.140625" style="112"/>
    <col min="6401" max="6401" width="3.5703125" style="112" customWidth="1"/>
    <col min="6402" max="6402" width="13.85546875" style="112" customWidth="1"/>
    <col min="6403" max="6403" width="15.5703125" style="112" customWidth="1"/>
    <col min="6404" max="6404" width="15.7109375" style="112" customWidth="1"/>
    <col min="6405" max="6405" width="15.42578125" style="112" customWidth="1"/>
    <col min="6406" max="6406" width="14" style="112" customWidth="1"/>
    <col min="6407" max="6408" width="13.85546875" style="112" customWidth="1"/>
    <col min="6409" max="6409" width="12.42578125" style="112" customWidth="1"/>
    <col min="6410" max="6410" width="13.85546875" style="112" customWidth="1"/>
    <col min="6411" max="6411" width="16.7109375" style="112" customWidth="1"/>
    <col min="6412" max="6413" width="14.28515625" style="112" customWidth="1"/>
    <col min="6414" max="6414" width="14" style="112" customWidth="1"/>
    <col min="6415" max="6415" width="15.28515625" style="112" customWidth="1"/>
    <col min="6416" max="6416" width="15.5703125" style="112" customWidth="1"/>
    <col min="6417" max="6417" width="15.140625" style="112" customWidth="1"/>
    <col min="6418" max="6418" width="13.5703125" style="112" customWidth="1"/>
    <col min="6419" max="6420" width="14" style="112" customWidth="1"/>
    <col min="6421" max="6422" width="14.140625" style="112" customWidth="1"/>
    <col min="6423" max="6423" width="14.28515625" style="112" customWidth="1"/>
    <col min="6424" max="6424" width="12.140625" style="112" customWidth="1"/>
    <col min="6425" max="6425" width="14.5703125" style="112" customWidth="1"/>
    <col min="6426" max="6426" width="14.7109375" style="112" customWidth="1"/>
    <col min="6427" max="6427" width="13" style="112" customWidth="1"/>
    <col min="6428" max="6428" width="14.5703125" style="112" customWidth="1"/>
    <col min="6429" max="6429" width="12.28515625" style="112" customWidth="1"/>
    <col min="6430" max="6430" width="15.28515625" style="112" customWidth="1"/>
    <col min="6431" max="6431" width="12.85546875" style="112" customWidth="1"/>
    <col min="6432" max="6432" width="13.85546875" style="112" customWidth="1"/>
    <col min="6433" max="6433" width="14.5703125" style="112" customWidth="1"/>
    <col min="6434" max="6435" width="14.28515625" style="112" customWidth="1"/>
    <col min="6436" max="6436" width="14.5703125" style="112" customWidth="1"/>
    <col min="6437" max="6437" width="14.28515625" style="112" customWidth="1"/>
    <col min="6438" max="6438" width="12.5703125" style="112" customWidth="1"/>
    <col min="6439" max="6439" width="11" style="112" customWidth="1"/>
    <col min="6440" max="6656" width="9.140625" style="112"/>
    <col min="6657" max="6657" width="3.5703125" style="112" customWidth="1"/>
    <col min="6658" max="6658" width="13.85546875" style="112" customWidth="1"/>
    <col min="6659" max="6659" width="15.5703125" style="112" customWidth="1"/>
    <col min="6660" max="6660" width="15.7109375" style="112" customWidth="1"/>
    <col min="6661" max="6661" width="15.42578125" style="112" customWidth="1"/>
    <col min="6662" max="6662" width="14" style="112" customWidth="1"/>
    <col min="6663" max="6664" width="13.85546875" style="112" customWidth="1"/>
    <col min="6665" max="6665" width="12.42578125" style="112" customWidth="1"/>
    <col min="6666" max="6666" width="13.85546875" style="112" customWidth="1"/>
    <col min="6667" max="6667" width="16.7109375" style="112" customWidth="1"/>
    <col min="6668" max="6669" width="14.28515625" style="112" customWidth="1"/>
    <col min="6670" max="6670" width="14" style="112" customWidth="1"/>
    <col min="6671" max="6671" width="15.28515625" style="112" customWidth="1"/>
    <col min="6672" max="6672" width="15.5703125" style="112" customWidth="1"/>
    <col min="6673" max="6673" width="15.140625" style="112" customWidth="1"/>
    <col min="6674" max="6674" width="13.5703125" style="112" customWidth="1"/>
    <col min="6675" max="6676" width="14" style="112" customWidth="1"/>
    <col min="6677" max="6678" width="14.140625" style="112" customWidth="1"/>
    <col min="6679" max="6679" width="14.28515625" style="112" customWidth="1"/>
    <col min="6680" max="6680" width="12.140625" style="112" customWidth="1"/>
    <col min="6681" max="6681" width="14.5703125" style="112" customWidth="1"/>
    <col min="6682" max="6682" width="14.7109375" style="112" customWidth="1"/>
    <col min="6683" max="6683" width="13" style="112" customWidth="1"/>
    <col min="6684" max="6684" width="14.5703125" style="112" customWidth="1"/>
    <col min="6685" max="6685" width="12.28515625" style="112" customWidth="1"/>
    <col min="6686" max="6686" width="15.28515625" style="112" customWidth="1"/>
    <col min="6687" max="6687" width="12.85546875" style="112" customWidth="1"/>
    <col min="6688" max="6688" width="13.85546875" style="112" customWidth="1"/>
    <col min="6689" max="6689" width="14.5703125" style="112" customWidth="1"/>
    <col min="6690" max="6691" width="14.28515625" style="112" customWidth="1"/>
    <col min="6692" max="6692" width="14.5703125" style="112" customWidth="1"/>
    <col min="6693" max="6693" width="14.28515625" style="112" customWidth="1"/>
    <col min="6694" max="6694" width="12.5703125" style="112" customWidth="1"/>
    <col min="6695" max="6695" width="11" style="112" customWidth="1"/>
    <col min="6696" max="6912" width="9.140625" style="112"/>
    <col min="6913" max="6913" width="3.5703125" style="112" customWidth="1"/>
    <col min="6914" max="6914" width="13.85546875" style="112" customWidth="1"/>
    <col min="6915" max="6915" width="15.5703125" style="112" customWidth="1"/>
    <col min="6916" max="6916" width="15.7109375" style="112" customWidth="1"/>
    <col min="6917" max="6917" width="15.42578125" style="112" customWidth="1"/>
    <col min="6918" max="6918" width="14" style="112" customWidth="1"/>
    <col min="6919" max="6920" width="13.85546875" style="112" customWidth="1"/>
    <col min="6921" max="6921" width="12.42578125" style="112" customWidth="1"/>
    <col min="6922" max="6922" width="13.85546875" style="112" customWidth="1"/>
    <col min="6923" max="6923" width="16.7109375" style="112" customWidth="1"/>
    <col min="6924" max="6925" width="14.28515625" style="112" customWidth="1"/>
    <col min="6926" max="6926" width="14" style="112" customWidth="1"/>
    <col min="6927" max="6927" width="15.28515625" style="112" customWidth="1"/>
    <col min="6928" max="6928" width="15.5703125" style="112" customWidth="1"/>
    <col min="6929" max="6929" width="15.140625" style="112" customWidth="1"/>
    <col min="6930" max="6930" width="13.5703125" style="112" customWidth="1"/>
    <col min="6931" max="6932" width="14" style="112" customWidth="1"/>
    <col min="6933" max="6934" width="14.140625" style="112" customWidth="1"/>
    <col min="6935" max="6935" width="14.28515625" style="112" customWidth="1"/>
    <col min="6936" max="6936" width="12.140625" style="112" customWidth="1"/>
    <col min="6937" max="6937" width="14.5703125" style="112" customWidth="1"/>
    <col min="6938" max="6938" width="14.7109375" style="112" customWidth="1"/>
    <col min="6939" max="6939" width="13" style="112" customWidth="1"/>
    <col min="6940" max="6940" width="14.5703125" style="112" customWidth="1"/>
    <col min="6941" max="6941" width="12.28515625" style="112" customWidth="1"/>
    <col min="6942" max="6942" width="15.28515625" style="112" customWidth="1"/>
    <col min="6943" max="6943" width="12.85546875" style="112" customWidth="1"/>
    <col min="6944" max="6944" width="13.85546875" style="112" customWidth="1"/>
    <col min="6945" max="6945" width="14.5703125" style="112" customWidth="1"/>
    <col min="6946" max="6947" width="14.28515625" style="112" customWidth="1"/>
    <col min="6948" max="6948" width="14.5703125" style="112" customWidth="1"/>
    <col min="6949" max="6949" width="14.28515625" style="112" customWidth="1"/>
    <col min="6950" max="6950" width="12.5703125" style="112" customWidth="1"/>
    <col min="6951" max="6951" width="11" style="112" customWidth="1"/>
    <col min="6952" max="7168" width="9.140625" style="112"/>
    <col min="7169" max="7169" width="3.5703125" style="112" customWidth="1"/>
    <col min="7170" max="7170" width="13.85546875" style="112" customWidth="1"/>
    <col min="7171" max="7171" width="15.5703125" style="112" customWidth="1"/>
    <col min="7172" max="7172" width="15.7109375" style="112" customWidth="1"/>
    <col min="7173" max="7173" width="15.42578125" style="112" customWidth="1"/>
    <col min="7174" max="7174" width="14" style="112" customWidth="1"/>
    <col min="7175" max="7176" width="13.85546875" style="112" customWidth="1"/>
    <col min="7177" max="7177" width="12.42578125" style="112" customWidth="1"/>
    <col min="7178" max="7178" width="13.85546875" style="112" customWidth="1"/>
    <col min="7179" max="7179" width="16.7109375" style="112" customWidth="1"/>
    <col min="7180" max="7181" width="14.28515625" style="112" customWidth="1"/>
    <col min="7182" max="7182" width="14" style="112" customWidth="1"/>
    <col min="7183" max="7183" width="15.28515625" style="112" customWidth="1"/>
    <col min="7184" max="7184" width="15.5703125" style="112" customWidth="1"/>
    <col min="7185" max="7185" width="15.140625" style="112" customWidth="1"/>
    <col min="7186" max="7186" width="13.5703125" style="112" customWidth="1"/>
    <col min="7187" max="7188" width="14" style="112" customWidth="1"/>
    <col min="7189" max="7190" width="14.140625" style="112" customWidth="1"/>
    <col min="7191" max="7191" width="14.28515625" style="112" customWidth="1"/>
    <col min="7192" max="7192" width="12.140625" style="112" customWidth="1"/>
    <col min="7193" max="7193" width="14.5703125" style="112" customWidth="1"/>
    <col min="7194" max="7194" width="14.7109375" style="112" customWidth="1"/>
    <col min="7195" max="7195" width="13" style="112" customWidth="1"/>
    <col min="7196" max="7196" width="14.5703125" style="112" customWidth="1"/>
    <col min="7197" max="7197" width="12.28515625" style="112" customWidth="1"/>
    <col min="7198" max="7198" width="15.28515625" style="112" customWidth="1"/>
    <col min="7199" max="7199" width="12.85546875" style="112" customWidth="1"/>
    <col min="7200" max="7200" width="13.85546875" style="112" customWidth="1"/>
    <col min="7201" max="7201" width="14.5703125" style="112" customWidth="1"/>
    <col min="7202" max="7203" width="14.28515625" style="112" customWidth="1"/>
    <col min="7204" max="7204" width="14.5703125" style="112" customWidth="1"/>
    <col min="7205" max="7205" width="14.28515625" style="112" customWidth="1"/>
    <col min="7206" max="7206" width="12.5703125" style="112" customWidth="1"/>
    <col min="7207" max="7207" width="11" style="112" customWidth="1"/>
    <col min="7208" max="7424" width="9.140625" style="112"/>
    <col min="7425" max="7425" width="3.5703125" style="112" customWidth="1"/>
    <col min="7426" max="7426" width="13.85546875" style="112" customWidth="1"/>
    <col min="7427" max="7427" width="15.5703125" style="112" customWidth="1"/>
    <col min="7428" max="7428" width="15.7109375" style="112" customWidth="1"/>
    <col min="7429" max="7429" width="15.42578125" style="112" customWidth="1"/>
    <col min="7430" max="7430" width="14" style="112" customWidth="1"/>
    <col min="7431" max="7432" width="13.85546875" style="112" customWidth="1"/>
    <col min="7433" max="7433" width="12.42578125" style="112" customWidth="1"/>
    <col min="7434" max="7434" width="13.85546875" style="112" customWidth="1"/>
    <col min="7435" max="7435" width="16.7109375" style="112" customWidth="1"/>
    <col min="7436" max="7437" width="14.28515625" style="112" customWidth="1"/>
    <col min="7438" max="7438" width="14" style="112" customWidth="1"/>
    <col min="7439" max="7439" width="15.28515625" style="112" customWidth="1"/>
    <col min="7440" max="7440" width="15.5703125" style="112" customWidth="1"/>
    <col min="7441" max="7441" width="15.140625" style="112" customWidth="1"/>
    <col min="7442" max="7442" width="13.5703125" style="112" customWidth="1"/>
    <col min="7443" max="7444" width="14" style="112" customWidth="1"/>
    <col min="7445" max="7446" width="14.140625" style="112" customWidth="1"/>
    <col min="7447" max="7447" width="14.28515625" style="112" customWidth="1"/>
    <col min="7448" max="7448" width="12.140625" style="112" customWidth="1"/>
    <col min="7449" max="7449" width="14.5703125" style="112" customWidth="1"/>
    <col min="7450" max="7450" width="14.7109375" style="112" customWidth="1"/>
    <col min="7451" max="7451" width="13" style="112" customWidth="1"/>
    <col min="7452" max="7452" width="14.5703125" style="112" customWidth="1"/>
    <col min="7453" max="7453" width="12.28515625" style="112" customWidth="1"/>
    <col min="7454" max="7454" width="15.28515625" style="112" customWidth="1"/>
    <col min="7455" max="7455" width="12.85546875" style="112" customWidth="1"/>
    <col min="7456" max="7456" width="13.85546875" style="112" customWidth="1"/>
    <col min="7457" max="7457" width="14.5703125" style="112" customWidth="1"/>
    <col min="7458" max="7459" width="14.28515625" style="112" customWidth="1"/>
    <col min="7460" max="7460" width="14.5703125" style="112" customWidth="1"/>
    <col min="7461" max="7461" width="14.28515625" style="112" customWidth="1"/>
    <col min="7462" max="7462" width="12.5703125" style="112" customWidth="1"/>
    <col min="7463" max="7463" width="11" style="112" customWidth="1"/>
    <col min="7464" max="7680" width="9.140625" style="112"/>
    <col min="7681" max="7681" width="3.5703125" style="112" customWidth="1"/>
    <col min="7682" max="7682" width="13.85546875" style="112" customWidth="1"/>
    <col min="7683" max="7683" width="15.5703125" style="112" customWidth="1"/>
    <col min="7684" max="7684" width="15.7109375" style="112" customWidth="1"/>
    <col min="7685" max="7685" width="15.42578125" style="112" customWidth="1"/>
    <col min="7686" max="7686" width="14" style="112" customWidth="1"/>
    <col min="7687" max="7688" width="13.85546875" style="112" customWidth="1"/>
    <col min="7689" max="7689" width="12.42578125" style="112" customWidth="1"/>
    <col min="7690" max="7690" width="13.85546875" style="112" customWidth="1"/>
    <col min="7691" max="7691" width="16.7109375" style="112" customWidth="1"/>
    <col min="7692" max="7693" width="14.28515625" style="112" customWidth="1"/>
    <col min="7694" max="7694" width="14" style="112" customWidth="1"/>
    <col min="7695" max="7695" width="15.28515625" style="112" customWidth="1"/>
    <col min="7696" max="7696" width="15.5703125" style="112" customWidth="1"/>
    <col min="7697" max="7697" width="15.140625" style="112" customWidth="1"/>
    <col min="7698" max="7698" width="13.5703125" style="112" customWidth="1"/>
    <col min="7699" max="7700" width="14" style="112" customWidth="1"/>
    <col min="7701" max="7702" width="14.140625" style="112" customWidth="1"/>
    <col min="7703" max="7703" width="14.28515625" style="112" customWidth="1"/>
    <col min="7704" max="7704" width="12.140625" style="112" customWidth="1"/>
    <col min="7705" max="7705" width="14.5703125" style="112" customWidth="1"/>
    <col min="7706" max="7706" width="14.7109375" style="112" customWidth="1"/>
    <col min="7707" max="7707" width="13" style="112" customWidth="1"/>
    <col min="7708" max="7708" width="14.5703125" style="112" customWidth="1"/>
    <col min="7709" max="7709" width="12.28515625" style="112" customWidth="1"/>
    <col min="7710" max="7710" width="15.28515625" style="112" customWidth="1"/>
    <col min="7711" max="7711" width="12.85546875" style="112" customWidth="1"/>
    <col min="7712" max="7712" width="13.85546875" style="112" customWidth="1"/>
    <col min="7713" max="7713" width="14.5703125" style="112" customWidth="1"/>
    <col min="7714" max="7715" width="14.28515625" style="112" customWidth="1"/>
    <col min="7716" max="7716" width="14.5703125" style="112" customWidth="1"/>
    <col min="7717" max="7717" width="14.28515625" style="112" customWidth="1"/>
    <col min="7718" max="7718" width="12.5703125" style="112" customWidth="1"/>
    <col min="7719" max="7719" width="11" style="112" customWidth="1"/>
    <col min="7720" max="7936" width="9.140625" style="112"/>
    <col min="7937" max="7937" width="3.5703125" style="112" customWidth="1"/>
    <col min="7938" max="7938" width="13.85546875" style="112" customWidth="1"/>
    <col min="7939" max="7939" width="15.5703125" style="112" customWidth="1"/>
    <col min="7940" max="7940" width="15.7109375" style="112" customWidth="1"/>
    <col min="7941" max="7941" width="15.42578125" style="112" customWidth="1"/>
    <col min="7942" max="7942" width="14" style="112" customWidth="1"/>
    <col min="7943" max="7944" width="13.85546875" style="112" customWidth="1"/>
    <col min="7945" max="7945" width="12.42578125" style="112" customWidth="1"/>
    <col min="7946" max="7946" width="13.85546875" style="112" customWidth="1"/>
    <col min="7947" max="7947" width="16.7109375" style="112" customWidth="1"/>
    <col min="7948" max="7949" width="14.28515625" style="112" customWidth="1"/>
    <col min="7950" max="7950" width="14" style="112" customWidth="1"/>
    <col min="7951" max="7951" width="15.28515625" style="112" customWidth="1"/>
    <col min="7952" max="7952" width="15.5703125" style="112" customWidth="1"/>
    <col min="7953" max="7953" width="15.140625" style="112" customWidth="1"/>
    <col min="7954" max="7954" width="13.5703125" style="112" customWidth="1"/>
    <col min="7955" max="7956" width="14" style="112" customWidth="1"/>
    <col min="7957" max="7958" width="14.140625" style="112" customWidth="1"/>
    <col min="7959" max="7959" width="14.28515625" style="112" customWidth="1"/>
    <col min="7960" max="7960" width="12.140625" style="112" customWidth="1"/>
    <col min="7961" max="7961" width="14.5703125" style="112" customWidth="1"/>
    <col min="7962" max="7962" width="14.7109375" style="112" customWidth="1"/>
    <col min="7963" max="7963" width="13" style="112" customWidth="1"/>
    <col min="7964" max="7964" width="14.5703125" style="112" customWidth="1"/>
    <col min="7965" max="7965" width="12.28515625" style="112" customWidth="1"/>
    <col min="7966" max="7966" width="15.28515625" style="112" customWidth="1"/>
    <col min="7967" max="7967" width="12.85546875" style="112" customWidth="1"/>
    <col min="7968" max="7968" width="13.85546875" style="112" customWidth="1"/>
    <col min="7969" max="7969" width="14.5703125" style="112" customWidth="1"/>
    <col min="7970" max="7971" width="14.28515625" style="112" customWidth="1"/>
    <col min="7972" max="7972" width="14.5703125" style="112" customWidth="1"/>
    <col min="7973" max="7973" width="14.28515625" style="112" customWidth="1"/>
    <col min="7974" max="7974" width="12.5703125" style="112" customWidth="1"/>
    <col min="7975" max="7975" width="11" style="112" customWidth="1"/>
    <col min="7976" max="8192" width="9.140625" style="112"/>
    <col min="8193" max="8193" width="3.5703125" style="112" customWidth="1"/>
    <col min="8194" max="8194" width="13.85546875" style="112" customWidth="1"/>
    <col min="8195" max="8195" width="15.5703125" style="112" customWidth="1"/>
    <col min="8196" max="8196" width="15.7109375" style="112" customWidth="1"/>
    <col min="8197" max="8197" width="15.42578125" style="112" customWidth="1"/>
    <col min="8198" max="8198" width="14" style="112" customWidth="1"/>
    <col min="8199" max="8200" width="13.85546875" style="112" customWidth="1"/>
    <col min="8201" max="8201" width="12.42578125" style="112" customWidth="1"/>
    <col min="8202" max="8202" width="13.85546875" style="112" customWidth="1"/>
    <col min="8203" max="8203" width="16.7109375" style="112" customWidth="1"/>
    <col min="8204" max="8205" width="14.28515625" style="112" customWidth="1"/>
    <col min="8206" max="8206" width="14" style="112" customWidth="1"/>
    <col min="8207" max="8207" width="15.28515625" style="112" customWidth="1"/>
    <col min="8208" max="8208" width="15.5703125" style="112" customWidth="1"/>
    <col min="8209" max="8209" width="15.140625" style="112" customWidth="1"/>
    <col min="8210" max="8210" width="13.5703125" style="112" customWidth="1"/>
    <col min="8211" max="8212" width="14" style="112" customWidth="1"/>
    <col min="8213" max="8214" width="14.140625" style="112" customWidth="1"/>
    <col min="8215" max="8215" width="14.28515625" style="112" customWidth="1"/>
    <col min="8216" max="8216" width="12.140625" style="112" customWidth="1"/>
    <col min="8217" max="8217" width="14.5703125" style="112" customWidth="1"/>
    <col min="8218" max="8218" width="14.7109375" style="112" customWidth="1"/>
    <col min="8219" max="8219" width="13" style="112" customWidth="1"/>
    <col min="8220" max="8220" width="14.5703125" style="112" customWidth="1"/>
    <col min="8221" max="8221" width="12.28515625" style="112" customWidth="1"/>
    <col min="8222" max="8222" width="15.28515625" style="112" customWidth="1"/>
    <col min="8223" max="8223" width="12.85546875" style="112" customWidth="1"/>
    <col min="8224" max="8224" width="13.85546875" style="112" customWidth="1"/>
    <col min="8225" max="8225" width="14.5703125" style="112" customWidth="1"/>
    <col min="8226" max="8227" width="14.28515625" style="112" customWidth="1"/>
    <col min="8228" max="8228" width="14.5703125" style="112" customWidth="1"/>
    <col min="8229" max="8229" width="14.28515625" style="112" customWidth="1"/>
    <col min="8230" max="8230" width="12.5703125" style="112" customWidth="1"/>
    <col min="8231" max="8231" width="11" style="112" customWidth="1"/>
    <col min="8232" max="8448" width="9.140625" style="112"/>
    <col min="8449" max="8449" width="3.5703125" style="112" customWidth="1"/>
    <col min="8450" max="8450" width="13.85546875" style="112" customWidth="1"/>
    <col min="8451" max="8451" width="15.5703125" style="112" customWidth="1"/>
    <col min="8452" max="8452" width="15.7109375" style="112" customWidth="1"/>
    <col min="8453" max="8453" width="15.42578125" style="112" customWidth="1"/>
    <col min="8454" max="8454" width="14" style="112" customWidth="1"/>
    <col min="8455" max="8456" width="13.85546875" style="112" customWidth="1"/>
    <col min="8457" max="8457" width="12.42578125" style="112" customWidth="1"/>
    <col min="8458" max="8458" width="13.85546875" style="112" customWidth="1"/>
    <col min="8459" max="8459" width="16.7109375" style="112" customWidth="1"/>
    <col min="8460" max="8461" width="14.28515625" style="112" customWidth="1"/>
    <col min="8462" max="8462" width="14" style="112" customWidth="1"/>
    <col min="8463" max="8463" width="15.28515625" style="112" customWidth="1"/>
    <col min="8464" max="8464" width="15.5703125" style="112" customWidth="1"/>
    <col min="8465" max="8465" width="15.140625" style="112" customWidth="1"/>
    <col min="8466" max="8466" width="13.5703125" style="112" customWidth="1"/>
    <col min="8467" max="8468" width="14" style="112" customWidth="1"/>
    <col min="8469" max="8470" width="14.140625" style="112" customWidth="1"/>
    <col min="8471" max="8471" width="14.28515625" style="112" customWidth="1"/>
    <col min="8472" max="8472" width="12.140625" style="112" customWidth="1"/>
    <col min="8473" max="8473" width="14.5703125" style="112" customWidth="1"/>
    <col min="8474" max="8474" width="14.7109375" style="112" customWidth="1"/>
    <col min="8475" max="8475" width="13" style="112" customWidth="1"/>
    <col min="8476" max="8476" width="14.5703125" style="112" customWidth="1"/>
    <col min="8477" max="8477" width="12.28515625" style="112" customWidth="1"/>
    <col min="8478" max="8478" width="15.28515625" style="112" customWidth="1"/>
    <col min="8479" max="8479" width="12.85546875" style="112" customWidth="1"/>
    <col min="8480" max="8480" width="13.85546875" style="112" customWidth="1"/>
    <col min="8481" max="8481" width="14.5703125" style="112" customWidth="1"/>
    <col min="8482" max="8483" width="14.28515625" style="112" customWidth="1"/>
    <col min="8484" max="8484" width="14.5703125" style="112" customWidth="1"/>
    <col min="8485" max="8485" width="14.28515625" style="112" customWidth="1"/>
    <col min="8486" max="8486" width="12.5703125" style="112" customWidth="1"/>
    <col min="8487" max="8487" width="11" style="112" customWidth="1"/>
    <col min="8488" max="8704" width="9.140625" style="112"/>
    <col min="8705" max="8705" width="3.5703125" style="112" customWidth="1"/>
    <col min="8706" max="8706" width="13.85546875" style="112" customWidth="1"/>
    <col min="8707" max="8707" width="15.5703125" style="112" customWidth="1"/>
    <col min="8708" max="8708" width="15.7109375" style="112" customWidth="1"/>
    <col min="8709" max="8709" width="15.42578125" style="112" customWidth="1"/>
    <col min="8710" max="8710" width="14" style="112" customWidth="1"/>
    <col min="8711" max="8712" width="13.85546875" style="112" customWidth="1"/>
    <col min="8713" max="8713" width="12.42578125" style="112" customWidth="1"/>
    <col min="8714" max="8714" width="13.85546875" style="112" customWidth="1"/>
    <col min="8715" max="8715" width="16.7109375" style="112" customWidth="1"/>
    <col min="8716" max="8717" width="14.28515625" style="112" customWidth="1"/>
    <col min="8718" max="8718" width="14" style="112" customWidth="1"/>
    <col min="8719" max="8719" width="15.28515625" style="112" customWidth="1"/>
    <col min="8720" max="8720" width="15.5703125" style="112" customWidth="1"/>
    <col min="8721" max="8721" width="15.140625" style="112" customWidth="1"/>
    <col min="8722" max="8722" width="13.5703125" style="112" customWidth="1"/>
    <col min="8723" max="8724" width="14" style="112" customWidth="1"/>
    <col min="8725" max="8726" width="14.140625" style="112" customWidth="1"/>
    <col min="8727" max="8727" width="14.28515625" style="112" customWidth="1"/>
    <col min="8728" max="8728" width="12.140625" style="112" customWidth="1"/>
    <col min="8729" max="8729" width="14.5703125" style="112" customWidth="1"/>
    <col min="8730" max="8730" width="14.7109375" style="112" customWidth="1"/>
    <col min="8731" max="8731" width="13" style="112" customWidth="1"/>
    <col min="8732" max="8732" width="14.5703125" style="112" customWidth="1"/>
    <col min="8733" max="8733" width="12.28515625" style="112" customWidth="1"/>
    <col min="8734" max="8734" width="15.28515625" style="112" customWidth="1"/>
    <col min="8735" max="8735" width="12.85546875" style="112" customWidth="1"/>
    <col min="8736" max="8736" width="13.85546875" style="112" customWidth="1"/>
    <col min="8737" max="8737" width="14.5703125" style="112" customWidth="1"/>
    <col min="8738" max="8739" width="14.28515625" style="112" customWidth="1"/>
    <col min="8740" max="8740" width="14.5703125" style="112" customWidth="1"/>
    <col min="8741" max="8741" width="14.28515625" style="112" customWidth="1"/>
    <col min="8742" max="8742" width="12.5703125" style="112" customWidth="1"/>
    <col min="8743" max="8743" width="11" style="112" customWidth="1"/>
    <col min="8744" max="8960" width="9.140625" style="112"/>
    <col min="8961" max="8961" width="3.5703125" style="112" customWidth="1"/>
    <col min="8962" max="8962" width="13.85546875" style="112" customWidth="1"/>
    <col min="8963" max="8963" width="15.5703125" style="112" customWidth="1"/>
    <col min="8964" max="8964" width="15.7109375" style="112" customWidth="1"/>
    <col min="8965" max="8965" width="15.42578125" style="112" customWidth="1"/>
    <col min="8966" max="8966" width="14" style="112" customWidth="1"/>
    <col min="8967" max="8968" width="13.85546875" style="112" customWidth="1"/>
    <col min="8969" max="8969" width="12.42578125" style="112" customWidth="1"/>
    <col min="8970" max="8970" width="13.85546875" style="112" customWidth="1"/>
    <col min="8971" max="8971" width="16.7109375" style="112" customWidth="1"/>
    <col min="8972" max="8973" width="14.28515625" style="112" customWidth="1"/>
    <col min="8974" max="8974" width="14" style="112" customWidth="1"/>
    <col min="8975" max="8975" width="15.28515625" style="112" customWidth="1"/>
    <col min="8976" max="8976" width="15.5703125" style="112" customWidth="1"/>
    <col min="8977" max="8977" width="15.140625" style="112" customWidth="1"/>
    <col min="8978" max="8978" width="13.5703125" style="112" customWidth="1"/>
    <col min="8979" max="8980" width="14" style="112" customWidth="1"/>
    <col min="8981" max="8982" width="14.140625" style="112" customWidth="1"/>
    <col min="8983" max="8983" width="14.28515625" style="112" customWidth="1"/>
    <col min="8984" max="8984" width="12.140625" style="112" customWidth="1"/>
    <col min="8985" max="8985" width="14.5703125" style="112" customWidth="1"/>
    <col min="8986" max="8986" width="14.7109375" style="112" customWidth="1"/>
    <col min="8987" max="8987" width="13" style="112" customWidth="1"/>
    <col min="8988" max="8988" width="14.5703125" style="112" customWidth="1"/>
    <col min="8989" max="8989" width="12.28515625" style="112" customWidth="1"/>
    <col min="8990" max="8990" width="15.28515625" style="112" customWidth="1"/>
    <col min="8991" max="8991" width="12.85546875" style="112" customWidth="1"/>
    <col min="8992" max="8992" width="13.85546875" style="112" customWidth="1"/>
    <col min="8993" max="8993" width="14.5703125" style="112" customWidth="1"/>
    <col min="8994" max="8995" width="14.28515625" style="112" customWidth="1"/>
    <col min="8996" max="8996" width="14.5703125" style="112" customWidth="1"/>
    <col min="8997" max="8997" width="14.28515625" style="112" customWidth="1"/>
    <col min="8998" max="8998" width="12.5703125" style="112" customWidth="1"/>
    <col min="8999" max="8999" width="11" style="112" customWidth="1"/>
    <col min="9000" max="9216" width="9.140625" style="112"/>
    <col min="9217" max="9217" width="3.5703125" style="112" customWidth="1"/>
    <col min="9218" max="9218" width="13.85546875" style="112" customWidth="1"/>
    <col min="9219" max="9219" width="15.5703125" style="112" customWidth="1"/>
    <col min="9220" max="9220" width="15.7109375" style="112" customWidth="1"/>
    <col min="9221" max="9221" width="15.42578125" style="112" customWidth="1"/>
    <col min="9222" max="9222" width="14" style="112" customWidth="1"/>
    <col min="9223" max="9224" width="13.85546875" style="112" customWidth="1"/>
    <col min="9225" max="9225" width="12.42578125" style="112" customWidth="1"/>
    <col min="9226" max="9226" width="13.85546875" style="112" customWidth="1"/>
    <col min="9227" max="9227" width="16.7109375" style="112" customWidth="1"/>
    <col min="9228" max="9229" width="14.28515625" style="112" customWidth="1"/>
    <col min="9230" max="9230" width="14" style="112" customWidth="1"/>
    <col min="9231" max="9231" width="15.28515625" style="112" customWidth="1"/>
    <col min="9232" max="9232" width="15.5703125" style="112" customWidth="1"/>
    <col min="9233" max="9233" width="15.140625" style="112" customWidth="1"/>
    <col min="9234" max="9234" width="13.5703125" style="112" customWidth="1"/>
    <col min="9235" max="9236" width="14" style="112" customWidth="1"/>
    <col min="9237" max="9238" width="14.140625" style="112" customWidth="1"/>
    <col min="9239" max="9239" width="14.28515625" style="112" customWidth="1"/>
    <col min="9240" max="9240" width="12.140625" style="112" customWidth="1"/>
    <col min="9241" max="9241" width="14.5703125" style="112" customWidth="1"/>
    <col min="9242" max="9242" width="14.7109375" style="112" customWidth="1"/>
    <col min="9243" max="9243" width="13" style="112" customWidth="1"/>
    <col min="9244" max="9244" width="14.5703125" style="112" customWidth="1"/>
    <col min="9245" max="9245" width="12.28515625" style="112" customWidth="1"/>
    <col min="9246" max="9246" width="15.28515625" style="112" customWidth="1"/>
    <col min="9247" max="9247" width="12.85546875" style="112" customWidth="1"/>
    <col min="9248" max="9248" width="13.85546875" style="112" customWidth="1"/>
    <col min="9249" max="9249" width="14.5703125" style="112" customWidth="1"/>
    <col min="9250" max="9251" width="14.28515625" style="112" customWidth="1"/>
    <col min="9252" max="9252" width="14.5703125" style="112" customWidth="1"/>
    <col min="9253" max="9253" width="14.28515625" style="112" customWidth="1"/>
    <col min="9254" max="9254" width="12.5703125" style="112" customWidth="1"/>
    <col min="9255" max="9255" width="11" style="112" customWidth="1"/>
    <col min="9256" max="9472" width="9.140625" style="112"/>
    <col min="9473" max="9473" width="3.5703125" style="112" customWidth="1"/>
    <col min="9474" max="9474" width="13.85546875" style="112" customWidth="1"/>
    <col min="9475" max="9475" width="15.5703125" style="112" customWidth="1"/>
    <col min="9476" max="9476" width="15.7109375" style="112" customWidth="1"/>
    <col min="9477" max="9477" width="15.42578125" style="112" customWidth="1"/>
    <col min="9478" max="9478" width="14" style="112" customWidth="1"/>
    <col min="9479" max="9480" width="13.85546875" style="112" customWidth="1"/>
    <col min="9481" max="9481" width="12.42578125" style="112" customWidth="1"/>
    <col min="9482" max="9482" width="13.85546875" style="112" customWidth="1"/>
    <col min="9483" max="9483" width="16.7109375" style="112" customWidth="1"/>
    <col min="9484" max="9485" width="14.28515625" style="112" customWidth="1"/>
    <col min="9486" max="9486" width="14" style="112" customWidth="1"/>
    <col min="9487" max="9487" width="15.28515625" style="112" customWidth="1"/>
    <col min="9488" max="9488" width="15.5703125" style="112" customWidth="1"/>
    <col min="9489" max="9489" width="15.140625" style="112" customWidth="1"/>
    <col min="9490" max="9490" width="13.5703125" style="112" customWidth="1"/>
    <col min="9491" max="9492" width="14" style="112" customWidth="1"/>
    <col min="9493" max="9494" width="14.140625" style="112" customWidth="1"/>
    <col min="9495" max="9495" width="14.28515625" style="112" customWidth="1"/>
    <col min="9496" max="9496" width="12.140625" style="112" customWidth="1"/>
    <col min="9497" max="9497" width="14.5703125" style="112" customWidth="1"/>
    <col min="9498" max="9498" width="14.7109375" style="112" customWidth="1"/>
    <col min="9499" max="9499" width="13" style="112" customWidth="1"/>
    <col min="9500" max="9500" width="14.5703125" style="112" customWidth="1"/>
    <col min="9501" max="9501" width="12.28515625" style="112" customWidth="1"/>
    <col min="9502" max="9502" width="15.28515625" style="112" customWidth="1"/>
    <col min="9503" max="9503" width="12.85546875" style="112" customWidth="1"/>
    <col min="9504" max="9504" width="13.85546875" style="112" customWidth="1"/>
    <col min="9505" max="9505" width="14.5703125" style="112" customWidth="1"/>
    <col min="9506" max="9507" width="14.28515625" style="112" customWidth="1"/>
    <col min="9508" max="9508" width="14.5703125" style="112" customWidth="1"/>
    <col min="9509" max="9509" width="14.28515625" style="112" customWidth="1"/>
    <col min="9510" max="9510" width="12.5703125" style="112" customWidth="1"/>
    <col min="9511" max="9511" width="11" style="112" customWidth="1"/>
    <col min="9512" max="9728" width="9.140625" style="112"/>
    <col min="9729" max="9729" width="3.5703125" style="112" customWidth="1"/>
    <col min="9730" max="9730" width="13.85546875" style="112" customWidth="1"/>
    <col min="9731" max="9731" width="15.5703125" style="112" customWidth="1"/>
    <col min="9732" max="9732" width="15.7109375" style="112" customWidth="1"/>
    <col min="9733" max="9733" width="15.42578125" style="112" customWidth="1"/>
    <col min="9734" max="9734" width="14" style="112" customWidth="1"/>
    <col min="9735" max="9736" width="13.85546875" style="112" customWidth="1"/>
    <col min="9737" max="9737" width="12.42578125" style="112" customWidth="1"/>
    <col min="9738" max="9738" width="13.85546875" style="112" customWidth="1"/>
    <col min="9739" max="9739" width="16.7109375" style="112" customWidth="1"/>
    <col min="9740" max="9741" width="14.28515625" style="112" customWidth="1"/>
    <col min="9742" max="9742" width="14" style="112" customWidth="1"/>
    <col min="9743" max="9743" width="15.28515625" style="112" customWidth="1"/>
    <col min="9744" max="9744" width="15.5703125" style="112" customWidth="1"/>
    <col min="9745" max="9745" width="15.140625" style="112" customWidth="1"/>
    <col min="9746" max="9746" width="13.5703125" style="112" customWidth="1"/>
    <col min="9747" max="9748" width="14" style="112" customWidth="1"/>
    <col min="9749" max="9750" width="14.140625" style="112" customWidth="1"/>
    <col min="9751" max="9751" width="14.28515625" style="112" customWidth="1"/>
    <col min="9752" max="9752" width="12.140625" style="112" customWidth="1"/>
    <col min="9753" max="9753" width="14.5703125" style="112" customWidth="1"/>
    <col min="9754" max="9754" width="14.7109375" style="112" customWidth="1"/>
    <col min="9755" max="9755" width="13" style="112" customWidth="1"/>
    <col min="9756" max="9756" width="14.5703125" style="112" customWidth="1"/>
    <col min="9757" max="9757" width="12.28515625" style="112" customWidth="1"/>
    <col min="9758" max="9758" width="15.28515625" style="112" customWidth="1"/>
    <col min="9759" max="9759" width="12.85546875" style="112" customWidth="1"/>
    <col min="9760" max="9760" width="13.85546875" style="112" customWidth="1"/>
    <col min="9761" max="9761" width="14.5703125" style="112" customWidth="1"/>
    <col min="9762" max="9763" width="14.28515625" style="112" customWidth="1"/>
    <col min="9764" max="9764" width="14.5703125" style="112" customWidth="1"/>
    <col min="9765" max="9765" width="14.28515625" style="112" customWidth="1"/>
    <col min="9766" max="9766" width="12.5703125" style="112" customWidth="1"/>
    <col min="9767" max="9767" width="11" style="112" customWidth="1"/>
    <col min="9768" max="9984" width="9.140625" style="112"/>
    <col min="9985" max="9985" width="3.5703125" style="112" customWidth="1"/>
    <col min="9986" max="9986" width="13.85546875" style="112" customWidth="1"/>
    <col min="9987" max="9987" width="15.5703125" style="112" customWidth="1"/>
    <col min="9988" max="9988" width="15.7109375" style="112" customWidth="1"/>
    <col min="9989" max="9989" width="15.42578125" style="112" customWidth="1"/>
    <col min="9990" max="9990" width="14" style="112" customWidth="1"/>
    <col min="9991" max="9992" width="13.85546875" style="112" customWidth="1"/>
    <col min="9993" max="9993" width="12.42578125" style="112" customWidth="1"/>
    <col min="9994" max="9994" width="13.85546875" style="112" customWidth="1"/>
    <col min="9995" max="9995" width="16.7109375" style="112" customWidth="1"/>
    <col min="9996" max="9997" width="14.28515625" style="112" customWidth="1"/>
    <col min="9998" max="9998" width="14" style="112" customWidth="1"/>
    <col min="9999" max="9999" width="15.28515625" style="112" customWidth="1"/>
    <col min="10000" max="10000" width="15.5703125" style="112" customWidth="1"/>
    <col min="10001" max="10001" width="15.140625" style="112" customWidth="1"/>
    <col min="10002" max="10002" width="13.5703125" style="112" customWidth="1"/>
    <col min="10003" max="10004" width="14" style="112" customWidth="1"/>
    <col min="10005" max="10006" width="14.140625" style="112" customWidth="1"/>
    <col min="10007" max="10007" width="14.28515625" style="112" customWidth="1"/>
    <col min="10008" max="10008" width="12.140625" style="112" customWidth="1"/>
    <col min="10009" max="10009" width="14.5703125" style="112" customWidth="1"/>
    <col min="10010" max="10010" width="14.7109375" style="112" customWidth="1"/>
    <col min="10011" max="10011" width="13" style="112" customWidth="1"/>
    <col min="10012" max="10012" width="14.5703125" style="112" customWidth="1"/>
    <col min="10013" max="10013" width="12.28515625" style="112" customWidth="1"/>
    <col min="10014" max="10014" width="15.28515625" style="112" customWidth="1"/>
    <col min="10015" max="10015" width="12.85546875" style="112" customWidth="1"/>
    <col min="10016" max="10016" width="13.85546875" style="112" customWidth="1"/>
    <col min="10017" max="10017" width="14.5703125" style="112" customWidth="1"/>
    <col min="10018" max="10019" width="14.28515625" style="112" customWidth="1"/>
    <col min="10020" max="10020" width="14.5703125" style="112" customWidth="1"/>
    <col min="10021" max="10021" width="14.28515625" style="112" customWidth="1"/>
    <col min="10022" max="10022" width="12.5703125" style="112" customWidth="1"/>
    <col min="10023" max="10023" width="11" style="112" customWidth="1"/>
    <col min="10024" max="10240" width="9.140625" style="112"/>
    <col min="10241" max="10241" width="3.5703125" style="112" customWidth="1"/>
    <col min="10242" max="10242" width="13.85546875" style="112" customWidth="1"/>
    <col min="10243" max="10243" width="15.5703125" style="112" customWidth="1"/>
    <col min="10244" max="10244" width="15.7109375" style="112" customWidth="1"/>
    <col min="10245" max="10245" width="15.42578125" style="112" customWidth="1"/>
    <col min="10246" max="10246" width="14" style="112" customWidth="1"/>
    <col min="10247" max="10248" width="13.85546875" style="112" customWidth="1"/>
    <col min="10249" max="10249" width="12.42578125" style="112" customWidth="1"/>
    <col min="10250" max="10250" width="13.85546875" style="112" customWidth="1"/>
    <col min="10251" max="10251" width="16.7109375" style="112" customWidth="1"/>
    <col min="10252" max="10253" width="14.28515625" style="112" customWidth="1"/>
    <col min="10254" max="10254" width="14" style="112" customWidth="1"/>
    <col min="10255" max="10255" width="15.28515625" style="112" customWidth="1"/>
    <col min="10256" max="10256" width="15.5703125" style="112" customWidth="1"/>
    <col min="10257" max="10257" width="15.140625" style="112" customWidth="1"/>
    <col min="10258" max="10258" width="13.5703125" style="112" customWidth="1"/>
    <col min="10259" max="10260" width="14" style="112" customWidth="1"/>
    <col min="10261" max="10262" width="14.140625" style="112" customWidth="1"/>
    <col min="10263" max="10263" width="14.28515625" style="112" customWidth="1"/>
    <col min="10264" max="10264" width="12.140625" style="112" customWidth="1"/>
    <col min="10265" max="10265" width="14.5703125" style="112" customWidth="1"/>
    <col min="10266" max="10266" width="14.7109375" style="112" customWidth="1"/>
    <col min="10267" max="10267" width="13" style="112" customWidth="1"/>
    <col min="10268" max="10268" width="14.5703125" style="112" customWidth="1"/>
    <col min="10269" max="10269" width="12.28515625" style="112" customWidth="1"/>
    <col min="10270" max="10270" width="15.28515625" style="112" customWidth="1"/>
    <col min="10271" max="10271" width="12.85546875" style="112" customWidth="1"/>
    <col min="10272" max="10272" width="13.85546875" style="112" customWidth="1"/>
    <col min="10273" max="10273" width="14.5703125" style="112" customWidth="1"/>
    <col min="10274" max="10275" width="14.28515625" style="112" customWidth="1"/>
    <col min="10276" max="10276" width="14.5703125" style="112" customWidth="1"/>
    <col min="10277" max="10277" width="14.28515625" style="112" customWidth="1"/>
    <col min="10278" max="10278" width="12.5703125" style="112" customWidth="1"/>
    <col min="10279" max="10279" width="11" style="112" customWidth="1"/>
    <col min="10280" max="10496" width="9.140625" style="112"/>
    <col min="10497" max="10497" width="3.5703125" style="112" customWidth="1"/>
    <col min="10498" max="10498" width="13.85546875" style="112" customWidth="1"/>
    <col min="10499" max="10499" width="15.5703125" style="112" customWidth="1"/>
    <col min="10500" max="10500" width="15.7109375" style="112" customWidth="1"/>
    <col min="10501" max="10501" width="15.42578125" style="112" customWidth="1"/>
    <col min="10502" max="10502" width="14" style="112" customWidth="1"/>
    <col min="10503" max="10504" width="13.85546875" style="112" customWidth="1"/>
    <col min="10505" max="10505" width="12.42578125" style="112" customWidth="1"/>
    <col min="10506" max="10506" width="13.85546875" style="112" customWidth="1"/>
    <col min="10507" max="10507" width="16.7109375" style="112" customWidth="1"/>
    <col min="10508" max="10509" width="14.28515625" style="112" customWidth="1"/>
    <col min="10510" max="10510" width="14" style="112" customWidth="1"/>
    <col min="10511" max="10511" width="15.28515625" style="112" customWidth="1"/>
    <col min="10512" max="10512" width="15.5703125" style="112" customWidth="1"/>
    <col min="10513" max="10513" width="15.140625" style="112" customWidth="1"/>
    <col min="10514" max="10514" width="13.5703125" style="112" customWidth="1"/>
    <col min="10515" max="10516" width="14" style="112" customWidth="1"/>
    <col min="10517" max="10518" width="14.140625" style="112" customWidth="1"/>
    <col min="10519" max="10519" width="14.28515625" style="112" customWidth="1"/>
    <col min="10520" max="10520" width="12.140625" style="112" customWidth="1"/>
    <col min="10521" max="10521" width="14.5703125" style="112" customWidth="1"/>
    <col min="10522" max="10522" width="14.7109375" style="112" customWidth="1"/>
    <col min="10523" max="10523" width="13" style="112" customWidth="1"/>
    <col min="10524" max="10524" width="14.5703125" style="112" customWidth="1"/>
    <col min="10525" max="10525" width="12.28515625" style="112" customWidth="1"/>
    <col min="10526" max="10526" width="15.28515625" style="112" customWidth="1"/>
    <col min="10527" max="10527" width="12.85546875" style="112" customWidth="1"/>
    <col min="10528" max="10528" width="13.85546875" style="112" customWidth="1"/>
    <col min="10529" max="10529" width="14.5703125" style="112" customWidth="1"/>
    <col min="10530" max="10531" width="14.28515625" style="112" customWidth="1"/>
    <col min="10532" max="10532" width="14.5703125" style="112" customWidth="1"/>
    <col min="10533" max="10533" width="14.28515625" style="112" customWidth="1"/>
    <col min="10534" max="10534" width="12.5703125" style="112" customWidth="1"/>
    <col min="10535" max="10535" width="11" style="112" customWidth="1"/>
    <col min="10536" max="10752" width="9.140625" style="112"/>
    <col min="10753" max="10753" width="3.5703125" style="112" customWidth="1"/>
    <col min="10754" max="10754" width="13.85546875" style="112" customWidth="1"/>
    <col min="10755" max="10755" width="15.5703125" style="112" customWidth="1"/>
    <col min="10756" max="10756" width="15.7109375" style="112" customWidth="1"/>
    <col min="10757" max="10757" width="15.42578125" style="112" customWidth="1"/>
    <col min="10758" max="10758" width="14" style="112" customWidth="1"/>
    <col min="10759" max="10760" width="13.85546875" style="112" customWidth="1"/>
    <col min="10761" max="10761" width="12.42578125" style="112" customWidth="1"/>
    <col min="10762" max="10762" width="13.85546875" style="112" customWidth="1"/>
    <col min="10763" max="10763" width="16.7109375" style="112" customWidth="1"/>
    <col min="10764" max="10765" width="14.28515625" style="112" customWidth="1"/>
    <col min="10766" max="10766" width="14" style="112" customWidth="1"/>
    <col min="10767" max="10767" width="15.28515625" style="112" customWidth="1"/>
    <col min="10768" max="10768" width="15.5703125" style="112" customWidth="1"/>
    <col min="10769" max="10769" width="15.140625" style="112" customWidth="1"/>
    <col min="10770" max="10770" width="13.5703125" style="112" customWidth="1"/>
    <col min="10771" max="10772" width="14" style="112" customWidth="1"/>
    <col min="10773" max="10774" width="14.140625" style="112" customWidth="1"/>
    <col min="10775" max="10775" width="14.28515625" style="112" customWidth="1"/>
    <col min="10776" max="10776" width="12.140625" style="112" customWidth="1"/>
    <col min="10777" max="10777" width="14.5703125" style="112" customWidth="1"/>
    <col min="10778" max="10778" width="14.7109375" style="112" customWidth="1"/>
    <col min="10779" max="10779" width="13" style="112" customWidth="1"/>
    <col min="10780" max="10780" width="14.5703125" style="112" customWidth="1"/>
    <col min="10781" max="10781" width="12.28515625" style="112" customWidth="1"/>
    <col min="10782" max="10782" width="15.28515625" style="112" customWidth="1"/>
    <col min="10783" max="10783" width="12.85546875" style="112" customWidth="1"/>
    <col min="10784" max="10784" width="13.85546875" style="112" customWidth="1"/>
    <col min="10785" max="10785" width="14.5703125" style="112" customWidth="1"/>
    <col min="10786" max="10787" width="14.28515625" style="112" customWidth="1"/>
    <col min="10788" max="10788" width="14.5703125" style="112" customWidth="1"/>
    <col min="10789" max="10789" width="14.28515625" style="112" customWidth="1"/>
    <col min="10790" max="10790" width="12.5703125" style="112" customWidth="1"/>
    <col min="10791" max="10791" width="11" style="112" customWidth="1"/>
    <col min="10792" max="11008" width="9.140625" style="112"/>
    <col min="11009" max="11009" width="3.5703125" style="112" customWidth="1"/>
    <col min="11010" max="11010" width="13.85546875" style="112" customWidth="1"/>
    <col min="11011" max="11011" width="15.5703125" style="112" customWidth="1"/>
    <col min="11012" max="11012" width="15.7109375" style="112" customWidth="1"/>
    <col min="11013" max="11013" width="15.42578125" style="112" customWidth="1"/>
    <col min="11014" max="11014" width="14" style="112" customWidth="1"/>
    <col min="11015" max="11016" width="13.85546875" style="112" customWidth="1"/>
    <col min="11017" max="11017" width="12.42578125" style="112" customWidth="1"/>
    <col min="11018" max="11018" width="13.85546875" style="112" customWidth="1"/>
    <col min="11019" max="11019" width="16.7109375" style="112" customWidth="1"/>
    <col min="11020" max="11021" width="14.28515625" style="112" customWidth="1"/>
    <col min="11022" max="11022" width="14" style="112" customWidth="1"/>
    <col min="11023" max="11023" width="15.28515625" style="112" customWidth="1"/>
    <col min="11024" max="11024" width="15.5703125" style="112" customWidth="1"/>
    <col min="11025" max="11025" width="15.140625" style="112" customWidth="1"/>
    <col min="11026" max="11026" width="13.5703125" style="112" customWidth="1"/>
    <col min="11027" max="11028" width="14" style="112" customWidth="1"/>
    <col min="11029" max="11030" width="14.140625" style="112" customWidth="1"/>
    <col min="11031" max="11031" width="14.28515625" style="112" customWidth="1"/>
    <col min="11032" max="11032" width="12.140625" style="112" customWidth="1"/>
    <col min="11033" max="11033" width="14.5703125" style="112" customWidth="1"/>
    <col min="11034" max="11034" width="14.7109375" style="112" customWidth="1"/>
    <col min="11035" max="11035" width="13" style="112" customWidth="1"/>
    <col min="11036" max="11036" width="14.5703125" style="112" customWidth="1"/>
    <col min="11037" max="11037" width="12.28515625" style="112" customWidth="1"/>
    <col min="11038" max="11038" width="15.28515625" style="112" customWidth="1"/>
    <col min="11039" max="11039" width="12.85546875" style="112" customWidth="1"/>
    <col min="11040" max="11040" width="13.85546875" style="112" customWidth="1"/>
    <col min="11041" max="11041" width="14.5703125" style="112" customWidth="1"/>
    <col min="11042" max="11043" width="14.28515625" style="112" customWidth="1"/>
    <col min="11044" max="11044" width="14.5703125" style="112" customWidth="1"/>
    <col min="11045" max="11045" width="14.28515625" style="112" customWidth="1"/>
    <col min="11046" max="11046" width="12.5703125" style="112" customWidth="1"/>
    <col min="11047" max="11047" width="11" style="112" customWidth="1"/>
    <col min="11048" max="11264" width="9.140625" style="112"/>
    <col min="11265" max="11265" width="3.5703125" style="112" customWidth="1"/>
    <col min="11266" max="11266" width="13.85546875" style="112" customWidth="1"/>
    <col min="11267" max="11267" width="15.5703125" style="112" customWidth="1"/>
    <col min="11268" max="11268" width="15.7109375" style="112" customWidth="1"/>
    <col min="11269" max="11269" width="15.42578125" style="112" customWidth="1"/>
    <col min="11270" max="11270" width="14" style="112" customWidth="1"/>
    <col min="11271" max="11272" width="13.85546875" style="112" customWidth="1"/>
    <col min="11273" max="11273" width="12.42578125" style="112" customWidth="1"/>
    <col min="11274" max="11274" width="13.85546875" style="112" customWidth="1"/>
    <col min="11275" max="11275" width="16.7109375" style="112" customWidth="1"/>
    <col min="11276" max="11277" width="14.28515625" style="112" customWidth="1"/>
    <col min="11278" max="11278" width="14" style="112" customWidth="1"/>
    <col min="11279" max="11279" width="15.28515625" style="112" customWidth="1"/>
    <col min="11280" max="11280" width="15.5703125" style="112" customWidth="1"/>
    <col min="11281" max="11281" width="15.140625" style="112" customWidth="1"/>
    <col min="11282" max="11282" width="13.5703125" style="112" customWidth="1"/>
    <col min="11283" max="11284" width="14" style="112" customWidth="1"/>
    <col min="11285" max="11286" width="14.140625" style="112" customWidth="1"/>
    <col min="11287" max="11287" width="14.28515625" style="112" customWidth="1"/>
    <col min="11288" max="11288" width="12.140625" style="112" customWidth="1"/>
    <col min="11289" max="11289" width="14.5703125" style="112" customWidth="1"/>
    <col min="11290" max="11290" width="14.7109375" style="112" customWidth="1"/>
    <col min="11291" max="11291" width="13" style="112" customWidth="1"/>
    <col min="11292" max="11292" width="14.5703125" style="112" customWidth="1"/>
    <col min="11293" max="11293" width="12.28515625" style="112" customWidth="1"/>
    <col min="11294" max="11294" width="15.28515625" style="112" customWidth="1"/>
    <col min="11295" max="11295" width="12.85546875" style="112" customWidth="1"/>
    <col min="11296" max="11296" width="13.85546875" style="112" customWidth="1"/>
    <col min="11297" max="11297" width="14.5703125" style="112" customWidth="1"/>
    <col min="11298" max="11299" width="14.28515625" style="112" customWidth="1"/>
    <col min="11300" max="11300" width="14.5703125" style="112" customWidth="1"/>
    <col min="11301" max="11301" width="14.28515625" style="112" customWidth="1"/>
    <col min="11302" max="11302" width="12.5703125" style="112" customWidth="1"/>
    <col min="11303" max="11303" width="11" style="112" customWidth="1"/>
    <col min="11304" max="11520" width="9.140625" style="112"/>
    <col min="11521" max="11521" width="3.5703125" style="112" customWidth="1"/>
    <col min="11522" max="11522" width="13.85546875" style="112" customWidth="1"/>
    <col min="11523" max="11523" width="15.5703125" style="112" customWidth="1"/>
    <col min="11524" max="11524" width="15.7109375" style="112" customWidth="1"/>
    <col min="11525" max="11525" width="15.42578125" style="112" customWidth="1"/>
    <col min="11526" max="11526" width="14" style="112" customWidth="1"/>
    <col min="11527" max="11528" width="13.85546875" style="112" customWidth="1"/>
    <col min="11529" max="11529" width="12.42578125" style="112" customWidth="1"/>
    <col min="11530" max="11530" width="13.85546875" style="112" customWidth="1"/>
    <col min="11531" max="11531" width="16.7109375" style="112" customWidth="1"/>
    <col min="11532" max="11533" width="14.28515625" style="112" customWidth="1"/>
    <col min="11534" max="11534" width="14" style="112" customWidth="1"/>
    <col min="11535" max="11535" width="15.28515625" style="112" customWidth="1"/>
    <col min="11536" max="11536" width="15.5703125" style="112" customWidth="1"/>
    <col min="11537" max="11537" width="15.140625" style="112" customWidth="1"/>
    <col min="11538" max="11538" width="13.5703125" style="112" customWidth="1"/>
    <col min="11539" max="11540" width="14" style="112" customWidth="1"/>
    <col min="11541" max="11542" width="14.140625" style="112" customWidth="1"/>
    <col min="11543" max="11543" width="14.28515625" style="112" customWidth="1"/>
    <col min="11544" max="11544" width="12.140625" style="112" customWidth="1"/>
    <col min="11545" max="11545" width="14.5703125" style="112" customWidth="1"/>
    <col min="11546" max="11546" width="14.7109375" style="112" customWidth="1"/>
    <col min="11547" max="11547" width="13" style="112" customWidth="1"/>
    <col min="11548" max="11548" width="14.5703125" style="112" customWidth="1"/>
    <col min="11549" max="11549" width="12.28515625" style="112" customWidth="1"/>
    <col min="11550" max="11550" width="15.28515625" style="112" customWidth="1"/>
    <col min="11551" max="11551" width="12.85546875" style="112" customWidth="1"/>
    <col min="11552" max="11552" width="13.85546875" style="112" customWidth="1"/>
    <col min="11553" max="11553" width="14.5703125" style="112" customWidth="1"/>
    <col min="11554" max="11555" width="14.28515625" style="112" customWidth="1"/>
    <col min="11556" max="11556" width="14.5703125" style="112" customWidth="1"/>
    <col min="11557" max="11557" width="14.28515625" style="112" customWidth="1"/>
    <col min="11558" max="11558" width="12.5703125" style="112" customWidth="1"/>
    <col min="11559" max="11559" width="11" style="112" customWidth="1"/>
    <col min="11560" max="11776" width="9.140625" style="112"/>
    <col min="11777" max="11777" width="3.5703125" style="112" customWidth="1"/>
    <col min="11778" max="11778" width="13.85546875" style="112" customWidth="1"/>
    <col min="11779" max="11779" width="15.5703125" style="112" customWidth="1"/>
    <col min="11780" max="11780" width="15.7109375" style="112" customWidth="1"/>
    <col min="11781" max="11781" width="15.42578125" style="112" customWidth="1"/>
    <col min="11782" max="11782" width="14" style="112" customWidth="1"/>
    <col min="11783" max="11784" width="13.85546875" style="112" customWidth="1"/>
    <col min="11785" max="11785" width="12.42578125" style="112" customWidth="1"/>
    <col min="11786" max="11786" width="13.85546875" style="112" customWidth="1"/>
    <col min="11787" max="11787" width="16.7109375" style="112" customWidth="1"/>
    <col min="11788" max="11789" width="14.28515625" style="112" customWidth="1"/>
    <col min="11790" max="11790" width="14" style="112" customWidth="1"/>
    <col min="11791" max="11791" width="15.28515625" style="112" customWidth="1"/>
    <col min="11792" max="11792" width="15.5703125" style="112" customWidth="1"/>
    <col min="11793" max="11793" width="15.140625" style="112" customWidth="1"/>
    <col min="11794" max="11794" width="13.5703125" style="112" customWidth="1"/>
    <col min="11795" max="11796" width="14" style="112" customWidth="1"/>
    <col min="11797" max="11798" width="14.140625" style="112" customWidth="1"/>
    <col min="11799" max="11799" width="14.28515625" style="112" customWidth="1"/>
    <col min="11800" max="11800" width="12.140625" style="112" customWidth="1"/>
    <col min="11801" max="11801" width="14.5703125" style="112" customWidth="1"/>
    <col min="11802" max="11802" width="14.7109375" style="112" customWidth="1"/>
    <col min="11803" max="11803" width="13" style="112" customWidth="1"/>
    <col min="11804" max="11804" width="14.5703125" style="112" customWidth="1"/>
    <col min="11805" max="11805" width="12.28515625" style="112" customWidth="1"/>
    <col min="11806" max="11806" width="15.28515625" style="112" customWidth="1"/>
    <col min="11807" max="11807" width="12.85546875" style="112" customWidth="1"/>
    <col min="11808" max="11808" width="13.85546875" style="112" customWidth="1"/>
    <col min="11809" max="11809" width="14.5703125" style="112" customWidth="1"/>
    <col min="11810" max="11811" width="14.28515625" style="112" customWidth="1"/>
    <col min="11812" max="11812" width="14.5703125" style="112" customWidth="1"/>
    <col min="11813" max="11813" width="14.28515625" style="112" customWidth="1"/>
    <col min="11814" max="11814" width="12.5703125" style="112" customWidth="1"/>
    <col min="11815" max="11815" width="11" style="112" customWidth="1"/>
    <col min="11816" max="12032" width="9.140625" style="112"/>
    <col min="12033" max="12033" width="3.5703125" style="112" customWidth="1"/>
    <col min="12034" max="12034" width="13.85546875" style="112" customWidth="1"/>
    <col min="12035" max="12035" width="15.5703125" style="112" customWidth="1"/>
    <col min="12036" max="12036" width="15.7109375" style="112" customWidth="1"/>
    <col min="12037" max="12037" width="15.42578125" style="112" customWidth="1"/>
    <col min="12038" max="12038" width="14" style="112" customWidth="1"/>
    <col min="12039" max="12040" width="13.85546875" style="112" customWidth="1"/>
    <col min="12041" max="12041" width="12.42578125" style="112" customWidth="1"/>
    <col min="12042" max="12042" width="13.85546875" style="112" customWidth="1"/>
    <col min="12043" max="12043" width="16.7109375" style="112" customWidth="1"/>
    <col min="12044" max="12045" width="14.28515625" style="112" customWidth="1"/>
    <col min="12046" max="12046" width="14" style="112" customWidth="1"/>
    <col min="12047" max="12047" width="15.28515625" style="112" customWidth="1"/>
    <col min="12048" max="12048" width="15.5703125" style="112" customWidth="1"/>
    <col min="12049" max="12049" width="15.140625" style="112" customWidth="1"/>
    <col min="12050" max="12050" width="13.5703125" style="112" customWidth="1"/>
    <col min="12051" max="12052" width="14" style="112" customWidth="1"/>
    <col min="12053" max="12054" width="14.140625" style="112" customWidth="1"/>
    <col min="12055" max="12055" width="14.28515625" style="112" customWidth="1"/>
    <col min="12056" max="12056" width="12.140625" style="112" customWidth="1"/>
    <col min="12057" max="12057" width="14.5703125" style="112" customWidth="1"/>
    <col min="12058" max="12058" width="14.7109375" style="112" customWidth="1"/>
    <col min="12059" max="12059" width="13" style="112" customWidth="1"/>
    <col min="12060" max="12060" width="14.5703125" style="112" customWidth="1"/>
    <col min="12061" max="12061" width="12.28515625" style="112" customWidth="1"/>
    <col min="12062" max="12062" width="15.28515625" style="112" customWidth="1"/>
    <col min="12063" max="12063" width="12.85546875" style="112" customWidth="1"/>
    <col min="12064" max="12064" width="13.85546875" style="112" customWidth="1"/>
    <col min="12065" max="12065" width="14.5703125" style="112" customWidth="1"/>
    <col min="12066" max="12067" width="14.28515625" style="112" customWidth="1"/>
    <col min="12068" max="12068" width="14.5703125" style="112" customWidth="1"/>
    <col min="12069" max="12069" width="14.28515625" style="112" customWidth="1"/>
    <col min="12070" max="12070" width="12.5703125" style="112" customWidth="1"/>
    <col min="12071" max="12071" width="11" style="112" customWidth="1"/>
    <col min="12072" max="12288" width="9.140625" style="112"/>
    <col min="12289" max="12289" width="3.5703125" style="112" customWidth="1"/>
    <col min="12290" max="12290" width="13.85546875" style="112" customWidth="1"/>
    <col min="12291" max="12291" width="15.5703125" style="112" customWidth="1"/>
    <col min="12292" max="12292" width="15.7109375" style="112" customWidth="1"/>
    <col min="12293" max="12293" width="15.42578125" style="112" customWidth="1"/>
    <col min="12294" max="12294" width="14" style="112" customWidth="1"/>
    <col min="12295" max="12296" width="13.85546875" style="112" customWidth="1"/>
    <col min="12297" max="12297" width="12.42578125" style="112" customWidth="1"/>
    <col min="12298" max="12298" width="13.85546875" style="112" customWidth="1"/>
    <col min="12299" max="12299" width="16.7109375" style="112" customWidth="1"/>
    <col min="12300" max="12301" width="14.28515625" style="112" customWidth="1"/>
    <col min="12302" max="12302" width="14" style="112" customWidth="1"/>
    <col min="12303" max="12303" width="15.28515625" style="112" customWidth="1"/>
    <col min="12304" max="12304" width="15.5703125" style="112" customWidth="1"/>
    <col min="12305" max="12305" width="15.140625" style="112" customWidth="1"/>
    <col min="12306" max="12306" width="13.5703125" style="112" customWidth="1"/>
    <col min="12307" max="12308" width="14" style="112" customWidth="1"/>
    <col min="12309" max="12310" width="14.140625" style="112" customWidth="1"/>
    <col min="12311" max="12311" width="14.28515625" style="112" customWidth="1"/>
    <col min="12312" max="12312" width="12.140625" style="112" customWidth="1"/>
    <col min="12313" max="12313" width="14.5703125" style="112" customWidth="1"/>
    <col min="12314" max="12314" width="14.7109375" style="112" customWidth="1"/>
    <col min="12315" max="12315" width="13" style="112" customWidth="1"/>
    <col min="12316" max="12316" width="14.5703125" style="112" customWidth="1"/>
    <col min="12317" max="12317" width="12.28515625" style="112" customWidth="1"/>
    <col min="12318" max="12318" width="15.28515625" style="112" customWidth="1"/>
    <col min="12319" max="12319" width="12.85546875" style="112" customWidth="1"/>
    <col min="12320" max="12320" width="13.85546875" style="112" customWidth="1"/>
    <col min="12321" max="12321" width="14.5703125" style="112" customWidth="1"/>
    <col min="12322" max="12323" width="14.28515625" style="112" customWidth="1"/>
    <col min="12324" max="12324" width="14.5703125" style="112" customWidth="1"/>
    <col min="12325" max="12325" width="14.28515625" style="112" customWidth="1"/>
    <col min="12326" max="12326" width="12.5703125" style="112" customWidth="1"/>
    <col min="12327" max="12327" width="11" style="112" customWidth="1"/>
    <col min="12328" max="12544" width="9.140625" style="112"/>
    <col min="12545" max="12545" width="3.5703125" style="112" customWidth="1"/>
    <col min="12546" max="12546" width="13.85546875" style="112" customWidth="1"/>
    <col min="12547" max="12547" width="15.5703125" style="112" customWidth="1"/>
    <col min="12548" max="12548" width="15.7109375" style="112" customWidth="1"/>
    <col min="12549" max="12549" width="15.42578125" style="112" customWidth="1"/>
    <col min="12550" max="12550" width="14" style="112" customWidth="1"/>
    <col min="12551" max="12552" width="13.85546875" style="112" customWidth="1"/>
    <col min="12553" max="12553" width="12.42578125" style="112" customWidth="1"/>
    <col min="12554" max="12554" width="13.85546875" style="112" customWidth="1"/>
    <col min="12555" max="12555" width="16.7109375" style="112" customWidth="1"/>
    <col min="12556" max="12557" width="14.28515625" style="112" customWidth="1"/>
    <col min="12558" max="12558" width="14" style="112" customWidth="1"/>
    <col min="12559" max="12559" width="15.28515625" style="112" customWidth="1"/>
    <col min="12560" max="12560" width="15.5703125" style="112" customWidth="1"/>
    <col min="12561" max="12561" width="15.140625" style="112" customWidth="1"/>
    <col min="12562" max="12562" width="13.5703125" style="112" customWidth="1"/>
    <col min="12563" max="12564" width="14" style="112" customWidth="1"/>
    <col min="12565" max="12566" width="14.140625" style="112" customWidth="1"/>
    <col min="12567" max="12567" width="14.28515625" style="112" customWidth="1"/>
    <col min="12568" max="12568" width="12.140625" style="112" customWidth="1"/>
    <col min="12569" max="12569" width="14.5703125" style="112" customWidth="1"/>
    <col min="12570" max="12570" width="14.7109375" style="112" customWidth="1"/>
    <col min="12571" max="12571" width="13" style="112" customWidth="1"/>
    <col min="12572" max="12572" width="14.5703125" style="112" customWidth="1"/>
    <col min="12573" max="12573" width="12.28515625" style="112" customWidth="1"/>
    <col min="12574" max="12574" width="15.28515625" style="112" customWidth="1"/>
    <col min="12575" max="12575" width="12.85546875" style="112" customWidth="1"/>
    <col min="12576" max="12576" width="13.85546875" style="112" customWidth="1"/>
    <col min="12577" max="12577" width="14.5703125" style="112" customWidth="1"/>
    <col min="12578" max="12579" width="14.28515625" style="112" customWidth="1"/>
    <col min="12580" max="12580" width="14.5703125" style="112" customWidth="1"/>
    <col min="12581" max="12581" width="14.28515625" style="112" customWidth="1"/>
    <col min="12582" max="12582" width="12.5703125" style="112" customWidth="1"/>
    <col min="12583" max="12583" width="11" style="112" customWidth="1"/>
    <col min="12584" max="12800" width="9.140625" style="112"/>
    <col min="12801" max="12801" width="3.5703125" style="112" customWidth="1"/>
    <col min="12802" max="12802" width="13.85546875" style="112" customWidth="1"/>
    <col min="12803" max="12803" width="15.5703125" style="112" customWidth="1"/>
    <col min="12804" max="12804" width="15.7109375" style="112" customWidth="1"/>
    <col min="12805" max="12805" width="15.42578125" style="112" customWidth="1"/>
    <col min="12806" max="12806" width="14" style="112" customWidth="1"/>
    <col min="12807" max="12808" width="13.85546875" style="112" customWidth="1"/>
    <col min="12809" max="12809" width="12.42578125" style="112" customWidth="1"/>
    <col min="12810" max="12810" width="13.85546875" style="112" customWidth="1"/>
    <col min="12811" max="12811" width="16.7109375" style="112" customWidth="1"/>
    <col min="12812" max="12813" width="14.28515625" style="112" customWidth="1"/>
    <col min="12814" max="12814" width="14" style="112" customWidth="1"/>
    <col min="12815" max="12815" width="15.28515625" style="112" customWidth="1"/>
    <col min="12816" max="12816" width="15.5703125" style="112" customWidth="1"/>
    <col min="12817" max="12817" width="15.140625" style="112" customWidth="1"/>
    <col min="12818" max="12818" width="13.5703125" style="112" customWidth="1"/>
    <col min="12819" max="12820" width="14" style="112" customWidth="1"/>
    <col min="12821" max="12822" width="14.140625" style="112" customWidth="1"/>
    <col min="12823" max="12823" width="14.28515625" style="112" customWidth="1"/>
    <col min="12824" max="12824" width="12.140625" style="112" customWidth="1"/>
    <col min="12825" max="12825" width="14.5703125" style="112" customWidth="1"/>
    <col min="12826" max="12826" width="14.7109375" style="112" customWidth="1"/>
    <col min="12827" max="12827" width="13" style="112" customWidth="1"/>
    <col min="12828" max="12828" width="14.5703125" style="112" customWidth="1"/>
    <col min="12829" max="12829" width="12.28515625" style="112" customWidth="1"/>
    <col min="12830" max="12830" width="15.28515625" style="112" customWidth="1"/>
    <col min="12831" max="12831" width="12.85546875" style="112" customWidth="1"/>
    <col min="12832" max="12832" width="13.85546875" style="112" customWidth="1"/>
    <col min="12833" max="12833" width="14.5703125" style="112" customWidth="1"/>
    <col min="12834" max="12835" width="14.28515625" style="112" customWidth="1"/>
    <col min="12836" max="12836" width="14.5703125" style="112" customWidth="1"/>
    <col min="12837" max="12837" width="14.28515625" style="112" customWidth="1"/>
    <col min="12838" max="12838" width="12.5703125" style="112" customWidth="1"/>
    <col min="12839" max="12839" width="11" style="112" customWidth="1"/>
    <col min="12840" max="13056" width="9.140625" style="112"/>
    <col min="13057" max="13057" width="3.5703125" style="112" customWidth="1"/>
    <col min="13058" max="13058" width="13.85546875" style="112" customWidth="1"/>
    <col min="13059" max="13059" width="15.5703125" style="112" customWidth="1"/>
    <col min="13060" max="13060" width="15.7109375" style="112" customWidth="1"/>
    <col min="13061" max="13061" width="15.42578125" style="112" customWidth="1"/>
    <col min="13062" max="13062" width="14" style="112" customWidth="1"/>
    <col min="13063" max="13064" width="13.85546875" style="112" customWidth="1"/>
    <col min="13065" max="13065" width="12.42578125" style="112" customWidth="1"/>
    <col min="13066" max="13066" width="13.85546875" style="112" customWidth="1"/>
    <col min="13067" max="13067" width="16.7109375" style="112" customWidth="1"/>
    <col min="13068" max="13069" width="14.28515625" style="112" customWidth="1"/>
    <col min="13070" max="13070" width="14" style="112" customWidth="1"/>
    <col min="13071" max="13071" width="15.28515625" style="112" customWidth="1"/>
    <col min="13072" max="13072" width="15.5703125" style="112" customWidth="1"/>
    <col min="13073" max="13073" width="15.140625" style="112" customWidth="1"/>
    <col min="13074" max="13074" width="13.5703125" style="112" customWidth="1"/>
    <col min="13075" max="13076" width="14" style="112" customWidth="1"/>
    <col min="13077" max="13078" width="14.140625" style="112" customWidth="1"/>
    <col min="13079" max="13079" width="14.28515625" style="112" customWidth="1"/>
    <col min="13080" max="13080" width="12.140625" style="112" customWidth="1"/>
    <col min="13081" max="13081" width="14.5703125" style="112" customWidth="1"/>
    <col min="13082" max="13082" width="14.7109375" style="112" customWidth="1"/>
    <col min="13083" max="13083" width="13" style="112" customWidth="1"/>
    <col min="13084" max="13084" width="14.5703125" style="112" customWidth="1"/>
    <col min="13085" max="13085" width="12.28515625" style="112" customWidth="1"/>
    <col min="13086" max="13086" width="15.28515625" style="112" customWidth="1"/>
    <col min="13087" max="13087" width="12.85546875" style="112" customWidth="1"/>
    <col min="13088" max="13088" width="13.85546875" style="112" customWidth="1"/>
    <col min="13089" max="13089" width="14.5703125" style="112" customWidth="1"/>
    <col min="13090" max="13091" width="14.28515625" style="112" customWidth="1"/>
    <col min="13092" max="13092" width="14.5703125" style="112" customWidth="1"/>
    <col min="13093" max="13093" width="14.28515625" style="112" customWidth="1"/>
    <col min="13094" max="13094" width="12.5703125" style="112" customWidth="1"/>
    <col min="13095" max="13095" width="11" style="112" customWidth="1"/>
    <col min="13096" max="13312" width="9.140625" style="112"/>
    <col min="13313" max="13313" width="3.5703125" style="112" customWidth="1"/>
    <col min="13314" max="13314" width="13.85546875" style="112" customWidth="1"/>
    <col min="13315" max="13315" width="15.5703125" style="112" customWidth="1"/>
    <col min="13316" max="13316" width="15.7109375" style="112" customWidth="1"/>
    <col min="13317" max="13317" width="15.42578125" style="112" customWidth="1"/>
    <col min="13318" max="13318" width="14" style="112" customWidth="1"/>
    <col min="13319" max="13320" width="13.85546875" style="112" customWidth="1"/>
    <col min="13321" max="13321" width="12.42578125" style="112" customWidth="1"/>
    <col min="13322" max="13322" width="13.85546875" style="112" customWidth="1"/>
    <col min="13323" max="13323" width="16.7109375" style="112" customWidth="1"/>
    <col min="13324" max="13325" width="14.28515625" style="112" customWidth="1"/>
    <col min="13326" max="13326" width="14" style="112" customWidth="1"/>
    <col min="13327" max="13327" width="15.28515625" style="112" customWidth="1"/>
    <col min="13328" max="13328" width="15.5703125" style="112" customWidth="1"/>
    <col min="13329" max="13329" width="15.140625" style="112" customWidth="1"/>
    <col min="13330" max="13330" width="13.5703125" style="112" customWidth="1"/>
    <col min="13331" max="13332" width="14" style="112" customWidth="1"/>
    <col min="13333" max="13334" width="14.140625" style="112" customWidth="1"/>
    <col min="13335" max="13335" width="14.28515625" style="112" customWidth="1"/>
    <col min="13336" max="13336" width="12.140625" style="112" customWidth="1"/>
    <col min="13337" max="13337" width="14.5703125" style="112" customWidth="1"/>
    <col min="13338" max="13338" width="14.7109375" style="112" customWidth="1"/>
    <col min="13339" max="13339" width="13" style="112" customWidth="1"/>
    <col min="13340" max="13340" width="14.5703125" style="112" customWidth="1"/>
    <col min="13341" max="13341" width="12.28515625" style="112" customWidth="1"/>
    <col min="13342" max="13342" width="15.28515625" style="112" customWidth="1"/>
    <col min="13343" max="13343" width="12.85546875" style="112" customWidth="1"/>
    <col min="13344" max="13344" width="13.85546875" style="112" customWidth="1"/>
    <col min="13345" max="13345" width="14.5703125" style="112" customWidth="1"/>
    <col min="13346" max="13347" width="14.28515625" style="112" customWidth="1"/>
    <col min="13348" max="13348" width="14.5703125" style="112" customWidth="1"/>
    <col min="13349" max="13349" width="14.28515625" style="112" customWidth="1"/>
    <col min="13350" max="13350" width="12.5703125" style="112" customWidth="1"/>
    <col min="13351" max="13351" width="11" style="112" customWidth="1"/>
    <col min="13352" max="13568" width="9.140625" style="112"/>
    <col min="13569" max="13569" width="3.5703125" style="112" customWidth="1"/>
    <col min="13570" max="13570" width="13.85546875" style="112" customWidth="1"/>
    <col min="13571" max="13571" width="15.5703125" style="112" customWidth="1"/>
    <col min="13572" max="13572" width="15.7109375" style="112" customWidth="1"/>
    <col min="13573" max="13573" width="15.42578125" style="112" customWidth="1"/>
    <col min="13574" max="13574" width="14" style="112" customWidth="1"/>
    <col min="13575" max="13576" width="13.85546875" style="112" customWidth="1"/>
    <col min="13577" max="13577" width="12.42578125" style="112" customWidth="1"/>
    <col min="13578" max="13578" width="13.85546875" style="112" customWidth="1"/>
    <col min="13579" max="13579" width="16.7109375" style="112" customWidth="1"/>
    <col min="13580" max="13581" width="14.28515625" style="112" customWidth="1"/>
    <col min="13582" max="13582" width="14" style="112" customWidth="1"/>
    <col min="13583" max="13583" width="15.28515625" style="112" customWidth="1"/>
    <col min="13584" max="13584" width="15.5703125" style="112" customWidth="1"/>
    <col min="13585" max="13585" width="15.140625" style="112" customWidth="1"/>
    <col min="13586" max="13586" width="13.5703125" style="112" customWidth="1"/>
    <col min="13587" max="13588" width="14" style="112" customWidth="1"/>
    <col min="13589" max="13590" width="14.140625" style="112" customWidth="1"/>
    <col min="13591" max="13591" width="14.28515625" style="112" customWidth="1"/>
    <col min="13592" max="13592" width="12.140625" style="112" customWidth="1"/>
    <col min="13593" max="13593" width="14.5703125" style="112" customWidth="1"/>
    <col min="13594" max="13594" width="14.7109375" style="112" customWidth="1"/>
    <col min="13595" max="13595" width="13" style="112" customWidth="1"/>
    <col min="13596" max="13596" width="14.5703125" style="112" customWidth="1"/>
    <col min="13597" max="13597" width="12.28515625" style="112" customWidth="1"/>
    <col min="13598" max="13598" width="15.28515625" style="112" customWidth="1"/>
    <col min="13599" max="13599" width="12.85546875" style="112" customWidth="1"/>
    <col min="13600" max="13600" width="13.85546875" style="112" customWidth="1"/>
    <col min="13601" max="13601" width="14.5703125" style="112" customWidth="1"/>
    <col min="13602" max="13603" width="14.28515625" style="112" customWidth="1"/>
    <col min="13604" max="13604" width="14.5703125" style="112" customWidth="1"/>
    <col min="13605" max="13605" width="14.28515625" style="112" customWidth="1"/>
    <col min="13606" max="13606" width="12.5703125" style="112" customWidth="1"/>
    <col min="13607" max="13607" width="11" style="112" customWidth="1"/>
    <col min="13608" max="13824" width="9.140625" style="112"/>
    <col min="13825" max="13825" width="3.5703125" style="112" customWidth="1"/>
    <col min="13826" max="13826" width="13.85546875" style="112" customWidth="1"/>
    <col min="13827" max="13827" width="15.5703125" style="112" customWidth="1"/>
    <col min="13828" max="13828" width="15.7109375" style="112" customWidth="1"/>
    <col min="13829" max="13829" width="15.42578125" style="112" customWidth="1"/>
    <col min="13830" max="13830" width="14" style="112" customWidth="1"/>
    <col min="13831" max="13832" width="13.85546875" style="112" customWidth="1"/>
    <col min="13833" max="13833" width="12.42578125" style="112" customWidth="1"/>
    <col min="13834" max="13834" width="13.85546875" style="112" customWidth="1"/>
    <col min="13835" max="13835" width="16.7109375" style="112" customWidth="1"/>
    <col min="13836" max="13837" width="14.28515625" style="112" customWidth="1"/>
    <col min="13838" max="13838" width="14" style="112" customWidth="1"/>
    <col min="13839" max="13839" width="15.28515625" style="112" customWidth="1"/>
    <col min="13840" max="13840" width="15.5703125" style="112" customWidth="1"/>
    <col min="13841" max="13841" width="15.140625" style="112" customWidth="1"/>
    <col min="13842" max="13842" width="13.5703125" style="112" customWidth="1"/>
    <col min="13843" max="13844" width="14" style="112" customWidth="1"/>
    <col min="13845" max="13846" width="14.140625" style="112" customWidth="1"/>
    <col min="13847" max="13847" width="14.28515625" style="112" customWidth="1"/>
    <col min="13848" max="13848" width="12.140625" style="112" customWidth="1"/>
    <col min="13849" max="13849" width="14.5703125" style="112" customWidth="1"/>
    <col min="13850" max="13850" width="14.7109375" style="112" customWidth="1"/>
    <col min="13851" max="13851" width="13" style="112" customWidth="1"/>
    <col min="13852" max="13852" width="14.5703125" style="112" customWidth="1"/>
    <col min="13853" max="13853" width="12.28515625" style="112" customWidth="1"/>
    <col min="13854" max="13854" width="15.28515625" style="112" customWidth="1"/>
    <col min="13855" max="13855" width="12.85546875" style="112" customWidth="1"/>
    <col min="13856" max="13856" width="13.85546875" style="112" customWidth="1"/>
    <col min="13857" max="13857" width="14.5703125" style="112" customWidth="1"/>
    <col min="13858" max="13859" width="14.28515625" style="112" customWidth="1"/>
    <col min="13860" max="13860" width="14.5703125" style="112" customWidth="1"/>
    <col min="13861" max="13861" width="14.28515625" style="112" customWidth="1"/>
    <col min="13862" max="13862" width="12.5703125" style="112" customWidth="1"/>
    <col min="13863" max="13863" width="11" style="112" customWidth="1"/>
    <col min="13864" max="14080" width="9.140625" style="112"/>
    <col min="14081" max="14081" width="3.5703125" style="112" customWidth="1"/>
    <col min="14082" max="14082" width="13.85546875" style="112" customWidth="1"/>
    <col min="14083" max="14083" width="15.5703125" style="112" customWidth="1"/>
    <col min="14084" max="14084" width="15.7109375" style="112" customWidth="1"/>
    <col min="14085" max="14085" width="15.42578125" style="112" customWidth="1"/>
    <col min="14086" max="14086" width="14" style="112" customWidth="1"/>
    <col min="14087" max="14088" width="13.85546875" style="112" customWidth="1"/>
    <col min="14089" max="14089" width="12.42578125" style="112" customWidth="1"/>
    <col min="14090" max="14090" width="13.85546875" style="112" customWidth="1"/>
    <col min="14091" max="14091" width="16.7109375" style="112" customWidth="1"/>
    <col min="14092" max="14093" width="14.28515625" style="112" customWidth="1"/>
    <col min="14094" max="14094" width="14" style="112" customWidth="1"/>
    <col min="14095" max="14095" width="15.28515625" style="112" customWidth="1"/>
    <col min="14096" max="14096" width="15.5703125" style="112" customWidth="1"/>
    <col min="14097" max="14097" width="15.140625" style="112" customWidth="1"/>
    <col min="14098" max="14098" width="13.5703125" style="112" customWidth="1"/>
    <col min="14099" max="14100" width="14" style="112" customWidth="1"/>
    <col min="14101" max="14102" width="14.140625" style="112" customWidth="1"/>
    <col min="14103" max="14103" width="14.28515625" style="112" customWidth="1"/>
    <col min="14104" max="14104" width="12.140625" style="112" customWidth="1"/>
    <col min="14105" max="14105" width="14.5703125" style="112" customWidth="1"/>
    <col min="14106" max="14106" width="14.7109375" style="112" customWidth="1"/>
    <col min="14107" max="14107" width="13" style="112" customWidth="1"/>
    <col min="14108" max="14108" width="14.5703125" style="112" customWidth="1"/>
    <col min="14109" max="14109" width="12.28515625" style="112" customWidth="1"/>
    <col min="14110" max="14110" width="15.28515625" style="112" customWidth="1"/>
    <col min="14111" max="14111" width="12.85546875" style="112" customWidth="1"/>
    <col min="14112" max="14112" width="13.85546875" style="112" customWidth="1"/>
    <col min="14113" max="14113" width="14.5703125" style="112" customWidth="1"/>
    <col min="14114" max="14115" width="14.28515625" style="112" customWidth="1"/>
    <col min="14116" max="14116" width="14.5703125" style="112" customWidth="1"/>
    <col min="14117" max="14117" width="14.28515625" style="112" customWidth="1"/>
    <col min="14118" max="14118" width="12.5703125" style="112" customWidth="1"/>
    <col min="14119" max="14119" width="11" style="112" customWidth="1"/>
    <col min="14120" max="14336" width="9.140625" style="112"/>
    <col min="14337" max="14337" width="3.5703125" style="112" customWidth="1"/>
    <col min="14338" max="14338" width="13.85546875" style="112" customWidth="1"/>
    <col min="14339" max="14339" width="15.5703125" style="112" customWidth="1"/>
    <col min="14340" max="14340" width="15.7109375" style="112" customWidth="1"/>
    <col min="14341" max="14341" width="15.42578125" style="112" customWidth="1"/>
    <col min="14342" max="14342" width="14" style="112" customWidth="1"/>
    <col min="14343" max="14344" width="13.85546875" style="112" customWidth="1"/>
    <col min="14345" max="14345" width="12.42578125" style="112" customWidth="1"/>
    <col min="14346" max="14346" width="13.85546875" style="112" customWidth="1"/>
    <col min="14347" max="14347" width="16.7109375" style="112" customWidth="1"/>
    <col min="14348" max="14349" width="14.28515625" style="112" customWidth="1"/>
    <col min="14350" max="14350" width="14" style="112" customWidth="1"/>
    <col min="14351" max="14351" width="15.28515625" style="112" customWidth="1"/>
    <col min="14352" max="14352" width="15.5703125" style="112" customWidth="1"/>
    <col min="14353" max="14353" width="15.140625" style="112" customWidth="1"/>
    <col min="14354" max="14354" width="13.5703125" style="112" customWidth="1"/>
    <col min="14355" max="14356" width="14" style="112" customWidth="1"/>
    <col min="14357" max="14358" width="14.140625" style="112" customWidth="1"/>
    <col min="14359" max="14359" width="14.28515625" style="112" customWidth="1"/>
    <col min="14360" max="14360" width="12.140625" style="112" customWidth="1"/>
    <col min="14361" max="14361" width="14.5703125" style="112" customWidth="1"/>
    <col min="14362" max="14362" width="14.7109375" style="112" customWidth="1"/>
    <col min="14363" max="14363" width="13" style="112" customWidth="1"/>
    <col min="14364" max="14364" width="14.5703125" style="112" customWidth="1"/>
    <col min="14365" max="14365" width="12.28515625" style="112" customWidth="1"/>
    <col min="14366" max="14366" width="15.28515625" style="112" customWidth="1"/>
    <col min="14367" max="14367" width="12.85546875" style="112" customWidth="1"/>
    <col min="14368" max="14368" width="13.85546875" style="112" customWidth="1"/>
    <col min="14369" max="14369" width="14.5703125" style="112" customWidth="1"/>
    <col min="14370" max="14371" width="14.28515625" style="112" customWidth="1"/>
    <col min="14372" max="14372" width="14.5703125" style="112" customWidth="1"/>
    <col min="14373" max="14373" width="14.28515625" style="112" customWidth="1"/>
    <col min="14374" max="14374" width="12.5703125" style="112" customWidth="1"/>
    <col min="14375" max="14375" width="11" style="112" customWidth="1"/>
    <col min="14376" max="14592" width="9.140625" style="112"/>
    <col min="14593" max="14593" width="3.5703125" style="112" customWidth="1"/>
    <col min="14594" max="14594" width="13.85546875" style="112" customWidth="1"/>
    <col min="14595" max="14595" width="15.5703125" style="112" customWidth="1"/>
    <col min="14596" max="14596" width="15.7109375" style="112" customWidth="1"/>
    <col min="14597" max="14597" width="15.42578125" style="112" customWidth="1"/>
    <col min="14598" max="14598" width="14" style="112" customWidth="1"/>
    <col min="14599" max="14600" width="13.85546875" style="112" customWidth="1"/>
    <col min="14601" max="14601" width="12.42578125" style="112" customWidth="1"/>
    <col min="14602" max="14602" width="13.85546875" style="112" customWidth="1"/>
    <col min="14603" max="14603" width="16.7109375" style="112" customWidth="1"/>
    <col min="14604" max="14605" width="14.28515625" style="112" customWidth="1"/>
    <col min="14606" max="14606" width="14" style="112" customWidth="1"/>
    <col min="14607" max="14607" width="15.28515625" style="112" customWidth="1"/>
    <col min="14608" max="14608" width="15.5703125" style="112" customWidth="1"/>
    <col min="14609" max="14609" width="15.140625" style="112" customWidth="1"/>
    <col min="14610" max="14610" width="13.5703125" style="112" customWidth="1"/>
    <col min="14611" max="14612" width="14" style="112" customWidth="1"/>
    <col min="14613" max="14614" width="14.140625" style="112" customWidth="1"/>
    <col min="14615" max="14615" width="14.28515625" style="112" customWidth="1"/>
    <col min="14616" max="14616" width="12.140625" style="112" customWidth="1"/>
    <col min="14617" max="14617" width="14.5703125" style="112" customWidth="1"/>
    <col min="14618" max="14618" width="14.7109375" style="112" customWidth="1"/>
    <col min="14619" max="14619" width="13" style="112" customWidth="1"/>
    <col min="14620" max="14620" width="14.5703125" style="112" customWidth="1"/>
    <col min="14621" max="14621" width="12.28515625" style="112" customWidth="1"/>
    <col min="14622" max="14622" width="15.28515625" style="112" customWidth="1"/>
    <col min="14623" max="14623" width="12.85546875" style="112" customWidth="1"/>
    <col min="14624" max="14624" width="13.85546875" style="112" customWidth="1"/>
    <col min="14625" max="14625" width="14.5703125" style="112" customWidth="1"/>
    <col min="14626" max="14627" width="14.28515625" style="112" customWidth="1"/>
    <col min="14628" max="14628" width="14.5703125" style="112" customWidth="1"/>
    <col min="14629" max="14629" width="14.28515625" style="112" customWidth="1"/>
    <col min="14630" max="14630" width="12.5703125" style="112" customWidth="1"/>
    <col min="14631" max="14631" width="11" style="112" customWidth="1"/>
    <col min="14632" max="14848" width="9.140625" style="112"/>
    <col min="14849" max="14849" width="3.5703125" style="112" customWidth="1"/>
    <col min="14850" max="14850" width="13.85546875" style="112" customWidth="1"/>
    <col min="14851" max="14851" width="15.5703125" style="112" customWidth="1"/>
    <col min="14852" max="14852" width="15.7109375" style="112" customWidth="1"/>
    <col min="14853" max="14853" width="15.42578125" style="112" customWidth="1"/>
    <col min="14854" max="14854" width="14" style="112" customWidth="1"/>
    <col min="14855" max="14856" width="13.85546875" style="112" customWidth="1"/>
    <col min="14857" max="14857" width="12.42578125" style="112" customWidth="1"/>
    <col min="14858" max="14858" width="13.85546875" style="112" customWidth="1"/>
    <col min="14859" max="14859" width="16.7109375" style="112" customWidth="1"/>
    <col min="14860" max="14861" width="14.28515625" style="112" customWidth="1"/>
    <col min="14862" max="14862" width="14" style="112" customWidth="1"/>
    <col min="14863" max="14863" width="15.28515625" style="112" customWidth="1"/>
    <col min="14864" max="14864" width="15.5703125" style="112" customWidth="1"/>
    <col min="14865" max="14865" width="15.140625" style="112" customWidth="1"/>
    <col min="14866" max="14866" width="13.5703125" style="112" customWidth="1"/>
    <col min="14867" max="14868" width="14" style="112" customWidth="1"/>
    <col min="14869" max="14870" width="14.140625" style="112" customWidth="1"/>
    <col min="14871" max="14871" width="14.28515625" style="112" customWidth="1"/>
    <col min="14872" max="14872" width="12.140625" style="112" customWidth="1"/>
    <col min="14873" max="14873" width="14.5703125" style="112" customWidth="1"/>
    <col min="14874" max="14874" width="14.7109375" style="112" customWidth="1"/>
    <col min="14875" max="14875" width="13" style="112" customWidth="1"/>
    <col min="14876" max="14876" width="14.5703125" style="112" customWidth="1"/>
    <col min="14877" max="14877" width="12.28515625" style="112" customWidth="1"/>
    <col min="14878" max="14878" width="15.28515625" style="112" customWidth="1"/>
    <col min="14879" max="14879" width="12.85546875" style="112" customWidth="1"/>
    <col min="14880" max="14880" width="13.85546875" style="112" customWidth="1"/>
    <col min="14881" max="14881" width="14.5703125" style="112" customWidth="1"/>
    <col min="14882" max="14883" width="14.28515625" style="112" customWidth="1"/>
    <col min="14884" max="14884" width="14.5703125" style="112" customWidth="1"/>
    <col min="14885" max="14885" width="14.28515625" style="112" customWidth="1"/>
    <col min="14886" max="14886" width="12.5703125" style="112" customWidth="1"/>
    <col min="14887" max="14887" width="11" style="112" customWidth="1"/>
    <col min="14888" max="15104" width="9.140625" style="112"/>
    <col min="15105" max="15105" width="3.5703125" style="112" customWidth="1"/>
    <col min="15106" max="15106" width="13.85546875" style="112" customWidth="1"/>
    <col min="15107" max="15107" width="15.5703125" style="112" customWidth="1"/>
    <col min="15108" max="15108" width="15.7109375" style="112" customWidth="1"/>
    <col min="15109" max="15109" width="15.42578125" style="112" customWidth="1"/>
    <col min="15110" max="15110" width="14" style="112" customWidth="1"/>
    <col min="15111" max="15112" width="13.85546875" style="112" customWidth="1"/>
    <col min="15113" max="15113" width="12.42578125" style="112" customWidth="1"/>
    <col min="15114" max="15114" width="13.85546875" style="112" customWidth="1"/>
    <col min="15115" max="15115" width="16.7109375" style="112" customWidth="1"/>
    <col min="15116" max="15117" width="14.28515625" style="112" customWidth="1"/>
    <col min="15118" max="15118" width="14" style="112" customWidth="1"/>
    <col min="15119" max="15119" width="15.28515625" style="112" customWidth="1"/>
    <col min="15120" max="15120" width="15.5703125" style="112" customWidth="1"/>
    <col min="15121" max="15121" width="15.140625" style="112" customWidth="1"/>
    <col min="15122" max="15122" width="13.5703125" style="112" customWidth="1"/>
    <col min="15123" max="15124" width="14" style="112" customWidth="1"/>
    <col min="15125" max="15126" width="14.140625" style="112" customWidth="1"/>
    <col min="15127" max="15127" width="14.28515625" style="112" customWidth="1"/>
    <col min="15128" max="15128" width="12.140625" style="112" customWidth="1"/>
    <col min="15129" max="15129" width="14.5703125" style="112" customWidth="1"/>
    <col min="15130" max="15130" width="14.7109375" style="112" customWidth="1"/>
    <col min="15131" max="15131" width="13" style="112" customWidth="1"/>
    <col min="15132" max="15132" width="14.5703125" style="112" customWidth="1"/>
    <col min="15133" max="15133" width="12.28515625" style="112" customWidth="1"/>
    <col min="15134" max="15134" width="15.28515625" style="112" customWidth="1"/>
    <col min="15135" max="15135" width="12.85546875" style="112" customWidth="1"/>
    <col min="15136" max="15136" width="13.85546875" style="112" customWidth="1"/>
    <col min="15137" max="15137" width="14.5703125" style="112" customWidth="1"/>
    <col min="15138" max="15139" width="14.28515625" style="112" customWidth="1"/>
    <col min="15140" max="15140" width="14.5703125" style="112" customWidth="1"/>
    <col min="15141" max="15141" width="14.28515625" style="112" customWidth="1"/>
    <col min="15142" max="15142" width="12.5703125" style="112" customWidth="1"/>
    <col min="15143" max="15143" width="11" style="112" customWidth="1"/>
    <col min="15144" max="15360" width="9.140625" style="112"/>
    <col min="15361" max="15361" width="3.5703125" style="112" customWidth="1"/>
    <col min="15362" max="15362" width="13.85546875" style="112" customWidth="1"/>
    <col min="15363" max="15363" width="15.5703125" style="112" customWidth="1"/>
    <col min="15364" max="15364" width="15.7109375" style="112" customWidth="1"/>
    <col min="15365" max="15365" width="15.42578125" style="112" customWidth="1"/>
    <col min="15366" max="15366" width="14" style="112" customWidth="1"/>
    <col min="15367" max="15368" width="13.85546875" style="112" customWidth="1"/>
    <col min="15369" max="15369" width="12.42578125" style="112" customWidth="1"/>
    <col min="15370" max="15370" width="13.85546875" style="112" customWidth="1"/>
    <col min="15371" max="15371" width="16.7109375" style="112" customWidth="1"/>
    <col min="15372" max="15373" width="14.28515625" style="112" customWidth="1"/>
    <col min="15374" max="15374" width="14" style="112" customWidth="1"/>
    <col min="15375" max="15375" width="15.28515625" style="112" customWidth="1"/>
    <col min="15376" max="15376" width="15.5703125" style="112" customWidth="1"/>
    <col min="15377" max="15377" width="15.140625" style="112" customWidth="1"/>
    <col min="15378" max="15378" width="13.5703125" style="112" customWidth="1"/>
    <col min="15379" max="15380" width="14" style="112" customWidth="1"/>
    <col min="15381" max="15382" width="14.140625" style="112" customWidth="1"/>
    <col min="15383" max="15383" width="14.28515625" style="112" customWidth="1"/>
    <col min="15384" max="15384" width="12.140625" style="112" customWidth="1"/>
    <col min="15385" max="15385" width="14.5703125" style="112" customWidth="1"/>
    <col min="15386" max="15386" width="14.7109375" style="112" customWidth="1"/>
    <col min="15387" max="15387" width="13" style="112" customWidth="1"/>
    <col min="15388" max="15388" width="14.5703125" style="112" customWidth="1"/>
    <col min="15389" max="15389" width="12.28515625" style="112" customWidth="1"/>
    <col min="15390" max="15390" width="15.28515625" style="112" customWidth="1"/>
    <col min="15391" max="15391" width="12.85546875" style="112" customWidth="1"/>
    <col min="15392" max="15392" width="13.85546875" style="112" customWidth="1"/>
    <col min="15393" max="15393" width="14.5703125" style="112" customWidth="1"/>
    <col min="15394" max="15395" width="14.28515625" style="112" customWidth="1"/>
    <col min="15396" max="15396" width="14.5703125" style="112" customWidth="1"/>
    <col min="15397" max="15397" width="14.28515625" style="112" customWidth="1"/>
    <col min="15398" max="15398" width="12.5703125" style="112" customWidth="1"/>
    <col min="15399" max="15399" width="11" style="112" customWidth="1"/>
    <col min="15400" max="15616" width="9.140625" style="112"/>
    <col min="15617" max="15617" width="3.5703125" style="112" customWidth="1"/>
    <col min="15618" max="15618" width="13.85546875" style="112" customWidth="1"/>
    <col min="15619" max="15619" width="15.5703125" style="112" customWidth="1"/>
    <col min="15620" max="15620" width="15.7109375" style="112" customWidth="1"/>
    <col min="15621" max="15621" width="15.42578125" style="112" customWidth="1"/>
    <col min="15622" max="15622" width="14" style="112" customWidth="1"/>
    <col min="15623" max="15624" width="13.85546875" style="112" customWidth="1"/>
    <col min="15625" max="15625" width="12.42578125" style="112" customWidth="1"/>
    <col min="15626" max="15626" width="13.85546875" style="112" customWidth="1"/>
    <col min="15627" max="15627" width="16.7109375" style="112" customWidth="1"/>
    <col min="15628" max="15629" width="14.28515625" style="112" customWidth="1"/>
    <col min="15630" max="15630" width="14" style="112" customWidth="1"/>
    <col min="15631" max="15631" width="15.28515625" style="112" customWidth="1"/>
    <col min="15632" max="15632" width="15.5703125" style="112" customWidth="1"/>
    <col min="15633" max="15633" width="15.140625" style="112" customWidth="1"/>
    <col min="15634" max="15634" width="13.5703125" style="112" customWidth="1"/>
    <col min="15635" max="15636" width="14" style="112" customWidth="1"/>
    <col min="15637" max="15638" width="14.140625" style="112" customWidth="1"/>
    <col min="15639" max="15639" width="14.28515625" style="112" customWidth="1"/>
    <col min="15640" max="15640" width="12.140625" style="112" customWidth="1"/>
    <col min="15641" max="15641" width="14.5703125" style="112" customWidth="1"/>
    <col min="15642" max="15642" width="14.7109375" style="112" customWidth="1"/>
    <col min="15643" max="15643" width="13" style="112" customWidth="1"/>
    <col min="15644" max="15644" width="14.5703125" style="112" customWidth="1"/>
    <col min="15645" max="15645" width="12.28515625" style="112" customWidth="1"/>
    <col min="15646" max="15646" width="15.28515625" style="112" customWidth="1"/>
    <col min="15647" max="15647" width="12.85546875" style="112" customWidth="1"/>
    <col min="15648" max="15648" width="13.85546875" style="112" customWidth="1"/>
    <col min="15649" max="15649" width="14.5703125" style="112" customWidth="1"/>
    <col min="15650" max="15651" width="14.28515625" style="112" customWidth="1"/>
    <col min="15652" max="15652" width="14.5703125" style="112" customWidth="1"/>
    <col min="15653" max="15653" width="14.28515625" style="112" customWidth="1"/>
    <col min="15654" max="15654" width="12.5703125" style="112" customWidth="1"/>
    <col min="15655" max="15655" width="11" style="112" customWidth="1"/>
    <col min="15656" max="15872" width="9.140625" style="112"/>
    <col min="15873" max="15873" width="3.5703125" style="112" customWidth="1"/>
    <col min="15874" max="15874" width="13.85546875" style="112" customWidth="1"/>
    <col min="15875" max="15875" width="15.5703125" style="112" customWidth="1"/>
    <col min="15876" max="15876" width="15.7109375" style="112" customWidth="1"/>
    <col min="15877" max="15877" width="15.42578125" style="112" customWidth="1"/>
    <col min="15878" max="15878" width="14" style="112" customWidth="1"/>
    <col min="15879" max="15880" width="13.85546875" style="112" customWidth="1"/>
    <col min="15881" max="15881" width="12.42578125" style="112" customWidth="1"/>
    <col min="15882" max="15882" width="13.85546875" style="112" customWidth="1"/>
    <col min="15883" max="15883" width="16.7109375" style="112" customWidth="1"/>
    <col min="15884" max="15885" width="14.28515625" style="112" customWidth="1"/>
    <col min="15886" max="15886" width="14" style="112" customWidth="1"/>
    <col min="15887" max="15887" width="15.28515625" style="112" customWidth="1"/>
    <col min="15888" max="15888" width="15.5703125" style="112" customWidth="1"/>
    <col min="15889" max="15889" width="15.140625" style="112" customWidth="1"/>
    <col min="15890" max="15890" width="13.5703125" style="112" customWidth="1"/>
    <col min="15891" max="15892" width="14" style="112" customWidth="1"/>
    <col min="15893" max="15894" width="14.140625" style="112" customWidth="1"/>
    <col min="15895" max="15895" width="14.28515625" style="112" customWidth="1"/>
    <col min="15896" max="15896" width="12.140625" style="112" customWidth="1"/>
    <col min="15897" max="15897" width="14.5703125" style="112" customWidth="1"/>
    <col min="15898" max="15898" width="14.7109375" style="112" customWidth="1"/>
    <col min="15899" max="15899" width="13" style="112" customWidth="1"/>
    <col min="15900" max="15900" width="14.5703125" style="112" customWidth="1"/>
    <col min="15901" max="15901" width="12.28515625" style="112" customWidth="1"/>
    <col min="15902" max="15902" width="15.28515625" style="112" customWidth="1"/>
    <col min="15903" max="15903" width="12.85546875" style="112" customWidth="1"/>
    <col min="15904" max="15904" width="13.85546875" style="112" customWidth="1"/>
    <col min="15905" max="15905" width="14.5703125" style="112" customWidth="1"/>
    <col min="15906" max="15907" width="14.28515625" style="112" customWidth="1"/>
    <col min="15908" max="15908" width="14.5703125" style="112" customWidth="1"/>
    <col min="15909" max="15909" width="14.28515625" style="112" customWidth="1"/>
    <col min="15910" max="15910" width="12.5703125" style="112" customWidth="1"/>
    <col min="15911" max="15911" width="11" style="112" customWidth="1"/>
    <col min="15912" max="16128" width="9.140625" style="112"/>
    <col min="16129" max="16129" width="3.5703125" style="112" customWidth="1"/>
    <col min="16130" max="16130" width="13.85546875" style="112" customWidth="1"/>
    <col min="16131" max="16131" width="15.5703125" style="112" customWidth="1"/>
    <col min="16132" max="16132" width="15.7109375" style="112" customWidth="1"/>
    <col min="16133" max="16133" width="15.42578125" style="112" customWidth="1"/>
    <col min="16134" max="16134" width="14" style="112" customWidth="1"/>
    <col min="16135" max="16136" width="13.85546875" style="112" customWidth="1"/>
    <col min="16137" max="16137" width="12.42578125" style="112" customWidth="1"/>
    <col min="16138" max="16138" width="13.85546875" style="112" customWidth="1"/>
    <col min="16139" max="16139" width="16.7109375" style="112" customWidth="1"/>
    <col min="16140" max="16141" width="14.28515625" style="112" customWidth="1"/>
    <col min="16142" max="16142" width="14" style="112" customWidth="1"/>
    <col min="16143" max="16143" width="15.28515625" style="112" customWidth="1"/>
    <col min="16144" max="16144" width="15.5703125" style="112" customWidth="1"/>
    <col min="16145" max="16145" width="15.140625" style="112" customWidth="1"/>
    <col min="16146" max="16146" width="13.5703125" style="112" customWidth="1"/>
    <col min="16147" max="16148" width="14" style="112" customWidth="1"/>
    <col min="16149" max="16150" width="14.140625" style="112" customWidth="1"/>
    <col min="16151" max="16151" width="14.28515625" style="112" customWidth="1"/>
    <col min="16152" max="16152" width="12.140625" style="112" customWidth="1"/>
    <col min="16153" max="16153" width="14.5703125" style="112" customWidth="1"/>
    <col min="16154" max="16154" width="14.7109375" style="112" customWidth="1"/>
    <col min="16155" max="16155" width="13" style="112" customWidth="1"/>
    <col min="16156" max="16156" width="14.5703125" style="112" customWidth="1"/>
    <col min="16157" max="16157" width="12.28515625" style="112" customWidth="1"/>
    <col min="16158" max="16158" width="15.28515625" style="112" customWidth="1"/>
    <col min="16159" max="16159" width="12.85546875" style="112" customWidth="1"/>
    <col min="16160" max="16160" width="13.85546875" style="112" customWidth="1"/>
    <col min="16161" max="16161" width="14.5703125" style="112" customWidth="1"/>
    <col min="16162" max="16163" width="14.28515625" style="112" customWidth="1"/>
    <col min="16164" max="16164" width="14.5703125" style="112" customWidth="1"/>
    <col min="16165" max="16165" width="14.28515625" style="112" customWidth="1"/>
    <col min="16166" max="16166" width="12.5703125" style="112" customWidth="1"/>
    <col min="16167" max="16167" width="11" style="112" customWidth="1"/>
    <col min="16168" max="16384" width="9.140625" style="112"/>
  </cols>
  <sheetData>
    <row r="1" spans="1:39" s="95" customFormat="1" ht="15" x14ac:dyDescent="0.25">
      <c r="A1" s="91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3" t="s">
        <v>0</v>
      </c>
      <c r="AK1" s="93"/>
      <c r="AL1" s="91"/>
      <c r="AM1" s="94"/>
    </row>
    <row r="2" spans="1:39" s="95" customFormat="1" ht="15" x14ac:dyDescent="0.25">
      <c r="A2" s="91"/>
      <c r="B2" s="92" t="s">
        <v>942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4"/>
    </row>
    <row r="3" spans="1:39" s="95" customFormat="1" ht="15" x14ac:dyDescent="0.25">
      <c r="A3" s="91"/>
      <c r="B3" s="92" t="s">
        <v>941</v>
      </c>
      <c r="C3" s="96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7"/>
      <c r="R3" s="91"/>
      <c r="S3" s="91"/>
      <c r="T3" s="91"/>
      <c r="U3" s="91"/>
      <c r="V3" s="91"/>
      <c r="W3" s="91"/>
      <c r="X3" s="91"/>
      <c r="Y3" s="91"/>
      <c r="Z3" s="91"/>
      <c r="AA3" s="97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4"/>
    </row>
    <row r="4" spans="1:39" s="95" customFormat="1" ht="15" x14ac:dyDescent="0.25">
      <c r="A4" s="91"/>
      <c r="B4" s="91"/>
      <c r="C4" s="96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4"/>
    </row>
    <row r="5" spans="1:39" s="95" customFormat="1" ht="15" x14ac:dyDescent="0.25">
      <c r="A5" s="98"/>
      <c r="B5" s="98"/>
      <c r="C5" s="92"/>
      <c r="D5" s="99"/>
      <c r="H5" s="100" t="s">
        <v>2</v>
      </c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4"/>
    </row>
    <row r="6" spans="1:39" s="104" customFormat="1" x14ac:dyDescent="0.2">
      <c r="A6" s="101"/>
      <c r="B6" s="101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3"/>
    </row>
    <row r="7" spans="1:39" s="103" customFormat="1" ht="11.25" x14ac:dyDescent="0.2">
      <c r="A7" s="105"/>
      <c r="B7" s="105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</row>
    <row r="8" spans="1:39" x14ac:dyDescent="0.2">
      <c r="A8" s="106"/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7"/>
      <c r="AG8" s="108"/>
      <c r="AH8" s="109"/>
      <c r="AI8" s="109"/>
      <c r="AJ8" s="108"/>
      <c r="AK8" s="108"/>
      <c r="AL8" s="110" t="s">
        <v>3</v>
      </c>
    </row>
    <row r="9" spans="1:39" s="116" customFormat="1" ht="16.5" customHeight="1" x14ac:dyDescent="0.2">
      <c r="A9" s="648" t="s">
        <v>4</v>
      </c>
      <c r="B9" s="648"/>
      <c r="C9" s="113" t="s">
        <v>5</v>
      </c>
      <c r="D9" s="650" t="s">
        <v>6</v>
      </c>
      <c r="E9" s="650"/>
      <c r="F9" s="650"/>
      <c r="G9" s="647" t="s">
        <v>7</v>
      </c>
      <c r="H9" s="647" t="s">
        <v>8</v>
      </c>
      <c r="I9" s="647" t="s">
        <v>9</v>
      </c>
      <c r="J9" s="647" t="s">
        <v>10</v>
      </c>
      <c r="K9" s="647" t="s">
        <v>11</v>
      </c>
      <c r="L9" s="647" t="s">
        <v>12</v>
      </c>
      <c r="M9" s="647" t="s">
        <v>895</v>
      </c>
      <c r="N9" s="647" t="s">
        <v>14</v>
      </c>
      <c r="O9" s="113" t="s">
        <v>15</v>
      </c>
      <c r="P9" s="648" t="s">
        <v>16</v>
      </c>
      <c r="Q9" s="648"/>
      <c r="R9" s="648"/>
      <c r="S9" s="648"/>
      <c r="T9" s="648"/>
      <c r="U9" s="648"/>
      <c r="V9" s="648"/>
      <c r="W9" s="648"/>
      <c r="X9" s="648"/>
      <c r="Y9" s="648"/>
      <c r="Z9" s="114"/>
      <c r="AA9" s="114"/>
      <c r="AB9" s="649" t="s">
        <v>17</v>
      </c>
      <c r="AC9" s="649"/>
      <c r="AD9" s="649"/>
      <c r="AE9" s="649"/>
      <c r="AF9" s="649"/>
      <c r="AG9" s="649"/>
      <c r="AH9" s="649"/>
      <c r="AI9" s="649"/>
      <c r="AJ9" s="649"/>
      <c r="AK9" s="649"/>
      <c r="AL9" s="649"/>
      <c r="AM9" s="115"/>
    </row>
    <row r="10" spans="1:39" s="116" customFormat="1" ht="21" customHeight="1" x14ac:dyDescent="0.2">
      <c r="A10" s="648"/>
      <c r="B10" s="648"/>
      <c r="C10" s="117" t="s">
        <v>18</v>
      </c>
      <c r="D10" s="118"/>
      <c r="E10" s="649" t="s">
        <v>19</v>
      </c>
      <c r="F10" s="649"/>
      <c r="G10" s="647"/>
      <c r="H10" s="647"/>
      <c r="I10" s="647"/>
      <c r="J10" s="647"/>
      <c r="K10" s="647"/>
      <c r="L10" s="647"/>
      <c r="M10" s="647"/>
      <c r="N10" s="647"/>
      <c r="O10" s="117" t="s">
        <v>18</v>
      </c>
      <c r="P10" s="648"/>
      <c r="Q10" s="648"/>
      <c r="R10" s="648"/>
      <c r="S10" s="648"/>
      <c r="T10" s="648"/>
      <c r="U10" s="648"/>
      <c r="V10" s="648"/>
      <c r="W10" s="648"/>
      <c r="X10" s="648"/>
      <c r="Y10" s="648"/>
      <c r="Z10" s="119"/>
      <c r="AA10" s="119"/>
      <c r="AB10" s="649"/>
      <c r="AC10" s="649"/>
      <c r="AD10" s="649"/>
      <c r="AE10" s="649"/>
      <c r="AF10" s="649"/>
      <c r="AG10" s="649"/>
      <c r="AH10" s="649"/>
      <c r="AI10" s="649"/>
      <c r="AJ10" s="649"/>
      <c r="AK10" s="649"/>
      <c r="AL10" s="649"/>
      <c r="AM10" s="115"/>
    </row>
    <row r="11" spans="1:39" s="116" customFormat="1" ht="103.5" customHeight="1" x14ac:dyDescent="0.2">
      <c r="A11" s="648"/>
      <c r="B11" s="648"/>
      <c r="C11" s="120" t="s">
        <v>20</v>
      </c>
      <c r="D11" s="121" t="s">
        <v>21</v>
      </c>
      <c r="E11" s="122" t="s">
        <v>22</v>
      </c>
      <c r="F11" s="122" t="s">
        <v>23</v>
      </c>
      <c r="G11" s="647"/>
      <c r="H11" s="647"/>
      <c r="I11" s="647"/>
      <c r="J11" s="647"/>
      <c r="K11" s="647"/>
      <c r="L11" s="647"/>
      <c r="M11" s="647"/>
      <c r="N11" s="647"/>
      <c r="O11" s="120" t="s">
        <v>24</v>
      </c>
      <c r="P11" s="122" t="s">
        <v>25</v>
      </c>
      <c r="Q11" s="122" t="s">
        <v>26</v>
      </c>
      <c r="R11" s="122" t="s">
        <v>27</v>
      </c>
      <c r="S11" s="122" t="s">
        <v>12</v>
      </c>
      <c r="T11" s="122" t="s">
        <v>28</v>
      </c>
      <c r="U11" s="122" t="s">
        <v>29</v>
      </c>
      <c r="V11" s="122" t="s">
        <v>30</v>
      </c>
      <c r="W11" s="122" t="s">
        <v>31</v>
      </c>
      <c r="X11" s="122" t="s">
        <v>32</v>
      </c>
      <c r="Y11" s="122" t="s">
        <v>33</v>
      </c>
      <c r="Z11" s="121" t="s">
        <v>34</v>
      </c>
      <c r="AA11" s="121" t="s">
        <v>35</v>
      </c>
      <c r="AB11" s="122" t="s">
        <v>36</v>
      </c>
      <c r="AC11" s="122" t="s">
        <v>37</v>
      </c>
      <c r="AD11" s="122" t="s">
        <v>38</v>
      </c>
      <c r="AE11" s="122" t="s">
        <v>39</v>
      </c>
      <c r="AF11" s="122" t="s">
        <v>40</v>
      </c>
      <c r="AG11" s="122" t="s">
        <v>41</v>
      </c>
      <c r="AH11" s="122" t="s">
        <v>896</v>
      </c>
      <c r="AI11" s="122" t="s">
        <v>43</v>
      </c>
      <c r="AJ11" s="122" t="s">
        <v>44</v>
      </c>
      <c r="AK11" s="122" t="s">
        <v>45</v>
      </c>
      <c r="AL11" s="123" t="s">
        <v>32</v>
      </c>
      <c r="AM11" s="115"/>
    </row>
    <row r="12" spans="1:39" s="116" customFormat="1" x14ac:dyDescent="0.2">
      <c r="A12" s="648"/>
      <c r="B12" s="648"/>
      <c r="C12" s="124" t="s">
        <v>46</v>
      </c>
      <c r="D12" s="124" t="s">
        <v>47</v>
      </c>
      <c r="E12" s="124" t="s">
        <v>48</v>
      </c>
      <c r="F12" s="124" t="s">
        <v>49</v>
      </c>
      <c r="G12" s="124" t="s">
        <v>50</v>
      </c>
      <c r="H12" s="124" t="s">
        <v>51</v>
      </c>
      <c r="I12" s="124" t="s">
        <v>52</v>
      </c>
      <c r="J12" s="124" t="s">
        <v>53</v>
      </c>
      <c r="K12" s="124" t="s">
        <v>54</v>
      </c>
      <c r="L12" s="124" t="s">
        <v>55</v>
      </c>
      <c r="M12" s="124" t="s">
        <v>897</v>
      </c>
      <c r="N12" s="124"/>
      <c r="O12" s="124" t="s">
        <v>56</v>
      </c>
      <c r="P12" s="124" t="s">
        <v>57</v>
      </c>
      <c r="Q12" s="124">
        <v>20</v>
      </c>
      <c r="R12" s="124">
        <v>30</v>
      </c>
      <c r="S12" s="124" t="s">
        <v>58</v>
      </c>
      <c r="T12" s="124">
        <v>51</v>
      </c>
      <c r="U12" s="124" t="s">
        <v>59</v>
      </c>
      <c r="V12" s="124">
        <v>56</v>
      </c>
      <c r="W12" s="124" t="s">
        <v>60</v>
      </c>
      <c r="X12" s="124">
        <v>59</v>
      </c>
      <c r="Y12" s="124">
        <v>70</v>
      </c>
      <c r="Z12" s="124">
        <v>79</v>
      </c>
      <c r="AA12" s="124">
        <v>84</v>
      </c>
      <c r="AB12" s="124" t="s">
        <v>56</v>
      </c>
      <c r="AC12" s="124" t="s">
        <v>61</v>
      </c>
      <c r="AD12" s="124" t="s">
        <v>62</v>
      </c>
      <c r="AE12" s="124" t="s">
        <v>63</v>
      </c>
      <c r="AF12" s="124" t="s">
        <v>64</v>
      </c>
      <c r="AG12" s="124" t="s">
        <v>65</v>
      </c>
      <c r="AH12" s="124" t="s">
        <v>898</v>
      </c>
      <c r="AI12" s="124" t="s">
        <v>78</v>
      </c>
      <c r="AJ12" s="124" t="s">
        <v>67</v>
      </c>
      <c r="AK12" s="124" t="s">
        <v>68</v>
      </c>
      <c r="AL12" s="125"/>
      <c r="AM12" s="115"/>
    </row>
    <row r="13" spans="1:39" s="116" customFormat="1" x14ac:dyDescent="0.2">
      <c r="A13" s="651" t="s">
        <v>69</v>
      </c>
      <c r="B13" s="651"/>
      <c r="C13" s="126">
        <v>1</v>
      </c>
      <c r="D13" s="126">
        <v>2</v>
      </c>
      <c r="E13" s="126">
        <v>3</v>
      </c>
      <c r="F13" s="126">
        <v>4</v>
      </c>
      <c r="G13" s="126">
        <v>5</v>
      </c>
      <c r="H13" s="126">
        <v>6</v>
      </c>
      <c r="I13" s="126">
        <v>7</v>
      </c>
      <c r="J13" s="126">
        <v>8</v>
      </c>
      <c r="K13" s="126">
        <v>9</v>
      </c>
      <c r="L13" s="126">
        <v>10</v>
      </c>
      <c r="M13" s="126">
        <v>11</v>
      </c>
      <c r="N13" s="126">
        <v>12</v>
      </c>
      <c r="O13" s="126">
        <v>13</v>
      </c>
      <c r="P13" s="126">
        <v>14</v>
      </c>
      <c r="Q13" s="126">
        <v>15</v>
      </c>
      <c r="R13" s="126">
        <v>16</v>
      </c>
      <c r="S13" s="126">
        <v>17</v>
      </c>
      <c r="T13" s="126">
        <v>18</v>
      </c>
      <c r="U13" s="126">
        <v>19</v>
      </c>
      <c r="V13" s="126">
        <v>20</v>
      </c>
      <c r="W13" s="126">
        <v>21</v>
      </c>
      <c r="X13" s="126">
        <v>22</v>
      </c>
      <c r="Y13" s="126">
        <v>23</v>
      </c>
      <c r="Z13" s="126">
        <v>24</v>
      </c>
      <c r="AA13" s="126">
        <v>25</v>
      </c>
      <c r="AB13" s="126">
        <v>26</v>
      </c>
      <c r="AC13" s="126">
        <v>27</v>
      </c>
      <c r="AD13" s="126">
        <v>28</v>
      </c>
      <c r="AE13" s="126">
        <v>29</v>
      </c>
      <c r="AF13" s="126">
        <v>30</v>
      </c>
      <c r="AG13" s="126">
        <v>31</v>
      </c>
      <c r="AH13" s="126">
        <v>32</v>
      </c>
      <c r="AI13" s="126">
        <v>33</v>
      </c>
      <c r="AJ13" s="126">
        <v>34</v>
      </c>
      <c r="AK13" s="126">
        <v>35</v>
      </c>
      <c r="AL13" s="127">
        <v>36</v>
      </c>
      <c r="AM13" s="115"/>
    </row>
    <row r="14" spans="1:39" s="130" customFormat="1" ht="25.5" customHeight="1" x14ac:dyDescent="0.2">
      <c r="A14" s="652" t="s">
        <v>21</v>
      </c>
      <c r="B14" s="652"/>
      <c r="C14" s="128">
        <f>SUM(C15:C56)</f>
        <v>12447921825</v>
      </c>
      <c r="D14" s="128">
        <f t="shared" ref="D14:AL14" si="0">SUM(D15:D56)</f>
        <v>3282111066</v>
      </c>
      <c r="E14" s="128">
        <f t="shared" si="0"/>
        <v>1906421511</v>
      </c>
      <c r="F14" s="128">
        <f t="shared" si="0"/>
        <v>1085709984</v>
      </c>
      <c r="G14" s="128">
        <f t="shared" si="0"/>
        <v>2315038722</v>
      </c>
      <c r="H14" s="128">
        <f t="shared" si="0"/>
        <v>0</v>
      </c>
      <c r="I14" s="128">
        <f t="shared" si="0"/>
        <v>420732421</v>
      </c>
      <c r="J14" s="128">
        <f t="shared" si="0"/>
        <v>1372093786</v>
      </c>
      <c r="K14" s="128">
        <f t="shared" si="0"/>
        <v>0</v>
      </c>
      <c r="L14" s="128">
        <f t="shared" si="0"/>
        <v>3560351248</v>
      </c>
      <c r="M14" s="128">
        <f t="shared" si="0"/>
        <v>1451527852</v>
      </c>
      <c r="N14" s="128">
        <f t="shared" si="0"/>
        <v>46066730</v>
      </c>
      <c r="O14" s="128">
        <f t="shared" si="0"/>
        <v>12032651537</v>
      </c>
      <c r="P14" s="128">
        <f t="shared" si="0"/>
        <v>1784880866</v>
      </c>
      <c r="Q14" s="128">
        <f t="shared" si="0"/>
        <v>1590683035</v>
      </c>
      <c r="R14" s="128">
        <f t="shared" si="0"/>
        <v>65444610</v>
      </c>
      <c r="S14" s="128">
        <f t="shared" si="0"/>
        <v>17182543</v>
      </c>
      <c r="T14" s="128">
        <f t="shared" si="0"/>
        <v>1784451096</v>
      </c>
      <c r="U14" s="128">
        <f t="shared" si="0"/>
        <v>307948070</v>
      </c>
      <c r="V14" s="128">
        <f t="shared" si="0"/>
        <v>3099706153</v>
      </c>
      <c r="W14" s="128">
        <f t="shared" si="0"/>
        <v>2188434537</v>
      </c>
      <c r="X14" s="128">
        <f t="shared" si="0"/>
        <v>274119467</v>
      </c>
      <c r="Y14" s="128">
        <f t="shared" si="0"/>
        <v>739873221</v>
      </c>
      <c r="Z14" s="128">
        <f t="shared" si="0"/>
        <v>243431620</v>
      </c>
      <c r="AA14" s="128">
        <f t="shared" si="0"/>
        <v>-63503681</v>
      </c>
      <c r="AB14" s="128">
        <f t="shared" si="0"/>
        <v>1074716125</v>
      </c>
      <c r="AC14" s="128">
        <f t="shared" si="0"/>
        <v>42166971</v>
      </c>
      <c r="AD14" s="128">
        <f t="shared" si="0"/>
        <v>1023706467</v>
      </c>
      <c r="AE14" s="128">
        <f t="shared" si="0"/>
        <v>646569905</v>
      </c>
      <c r="AF14" s="128">
        <f t="shared" si="0"/>
        <v>941905288</v>
      </c>
      <c r="AG14" s="128">
        <f t="shared" si="0"/>
        <v>4139167077</v>
      </c>
      <c r="AH14" s="128">
        <f t="shared" si="0"/>
        <v>173489512</v>
      </c>
      <c r="AI14" s="128">
        <f t="shared" si="0"/>
        <v>1733401750</v>
      </c>
      <c r="AJ14" s="128">
        <f t="shared" si="0"/>
        <v>2800</v>
      </c>
      <c r="AK14" s="128">
        <f t="shared" si="0"/>
        <v>1922376655</v>
      </c>
      <c r="AL14" s="128">
        <f t="shared" si="0"/>
        <v>335148987</v>
      </c>
      <c r="AM14" s="129"/>
    </row>
    <row r="15" spans="1:39" s="130" customFormat="1" ht="25.5" customHeight="1" x14ac:dyDescent="0.2">
      <c r="A15" s="131">
        <v>1</v>
      </c>
      <c r="B15" s="132" t="s">
        <v>899</v>
      </c>
      <c r="C15" s="128">
        <f>'1'!D15</f>
        <v>293981763</v>
      </c>
      <c r="D15" s="128">
        <f>'1'!E15</f>
        <v>65295798</v>
      </c>
      <c r="E15" s="128">
        <f>'1'!F15</f>
        <v>37656006</v>
      </c>
      <c r="F15" s="128">
        <f>'1'!G15</f>
        <v>24071000</v>
      </c>
      <c r="G15" s="128">
        <f>'1'!H15</f>
        <v>52542986</v>
      </c>
      <c r="H15" s="128">
        <f>'1'!I15</f>
        <v>0</v>
      </c>
      <c r="I15" s="128">
        <f>'1'!J15</f>
        <v>16865000</v>
      </c>
      <c r="J15" s="128">
        <f>'1'!K15</f>
        <v>28178130</v>
      </c>
      <c r="K15" s="128">
        <f>'1'!L15</f>
        <v>0</v>
      </c>
      <c r="L15" s="128">
        <f>'1'!M15</f>
        <v>84237926</v>
      </c>
      <c r="M15" s="128">
        <f>'1'!N15</f>
        <v>46833292</v>
      </c>
      <c r="N15" s="128">
        <f>'1'!O15</f>
        <v>28631</v>
      </c>
      <c r="O15" s="128">
        <f>'1'!P15</f>
        <v>254395765</v>
      </c>
      <c r="P15" s="128">
        <f>'1'!Q15</f>
        <v>27105866</v>
      </c>
      <c r="Q15" s="128">
        <f>'1'!R15</f>
        <v>35005044</v>
      </c>
      <c r="R15" s="128">
        <f>'1'!S15</f>
        <v>1456971</v>
      </c>
      <c r="S15" s="128">
        <f>'1'!T15</f>
        <v>0</v>
      </c>
      <c r="T15" s="128">
        <f>'1'!U15</f>
        <v>18746387</v>
      </c>
      <c r="U15" s="128">
        <f>'1'!V15</f>
        <v>3032721</v>
      </c>
      <c r="V15" s="128">
        <f>'1'!W15</f>
        <v>83128249</v>
      </c>
      <c r="W15" s="128">
        <f>'1'!X15</f>
        <v>65429893</v>
      </c>
      <c r="X15" s="128">
        <f>'1'!Y15</f>
        <v>8540468</v>
      </c>
      <c r="Y15" s="128">
        <f>'1'!Z15</f>
        <v>7682874</v>
      </c>
      <c r="Z15" s="128">
        <f>'1'!AA15</f>
        <v>4310606</v>
      </c>
      <c r="AA15" s="128">
        <f>'1'!AB15</f>
        <v>-43314</v>
      </c>
      <c r="AB15" s="128">
        <f>'1'!AC15</f>
        <v>26112648</v>
      </c>
      <c r="AC15" s="128">
        <f>'1'!AD15</f>
        <v>1280982</v>
      </c>
      <c r="AD15" s="128">
        <f>'1'!AE15</f>
        <v>15991768</v>
      </c>
      <c r="AE15" s="128">
        <f>'1'!AF15</f>
        <v>4501622</v>
      </c>
      <c r="AF15" s="128">
        <f>'1'!AG15</f>
        <v>20594244</v>
      </c>
      <c r="AG15" s="128">
        <f>'1'!AH15</f>
        <v>94474149</v>
      </c>
      <c r="AH15" s="128">
        <f>'1'!AI15</f>
        <v>261077</v>
      </c>
      <c r="AI15" s="128">
        <f>'1'!AJ15</f>
        <v>72594626</v>
      </c>
      <c r="AJ15" s="128">
        <f>'1'!AK15</f>
        <v>0</v>
      </c>
      <c r="AK15" s="128">
        <f>'1'!AL15</f>
        <v>16540834</v>
      </c>
      <c r="AL15" s="128">
        <f>'1'!AM15</f>
        <v>2043815</v>
      </c>
      <c r="AM15" s="129"/>
    </row>
    <row r="16" spans="1:39" s="130" customFormat="1" ht="25.5" customHeight="1" x14ac:dyDescent="0.2">
      <c r="A16" s="131">
        <v>2</v>
      </c>
      <c r="B16" s="132" t="s">
        <v>900</v>
      </c>
      <c r="C16" s="128">
        <f>'2'!D15</f>
        <v>250238252</v>
      </c>
      <c r="D16" s="128">
        <f>'2'!E15</f>
        <v>93227866</v>
      </c>
      <c r="E16" s="128">
        <f>'2'!F15</f>
        <v>56745081</v>
      </c>
      <c r="F16" s="128">
        <f>'2'!G15</f>
        <v>24823911</v>
      </c>
      <c r="G16" s="128">
        <f>'2'!H15</f>
        <v>50529390</v>
      </c>
      <c r="H16" s="128">
        <f>'2'!I15</f>
        <v>0</v>
      </c>
      <c r="I16" s="128">
        <f>'2'!J15</f>
        <v>4769000</v>
      </c>
      <c r="J16" s="128">
        <f>'2'!K15</f>
        <v>16369000</v>
      </c>
      <c r="K16" s="128">
        <f>'2'!L15</f>
        <v>0</v>
      </c>
      <c r="L16" s="128">
        <f>'2'!M15</f>
        <v>69562889</v>
      </c>
      <c r="M16" s="128">
        <f>'2'!N15</f>
        <v>15742443</v>
      </c>
      <c r="N16" s="128">
        <f>'2'!O15</f>
        <v>37664</v>
      </c>
      <c r="O16" s="128">
        <f>'2'!P15</f>
        <v>245932835</v>
      </c>
      <c r="P16" s="128">
        <f>'2'!Q15</f>
        <v>37424170</v>
      </c>
      <c r="Q16" s="128">
        <f>'2'!R15</f>
        <v>31806442</v>
      </c>
      <c r="R16" s="128">
        <f>'2'!S15</f>
        <v>2775143</v>
      </c>
      <c r="S16" s="128">
        <f>'2'!T15</f>
        <v>2700000</v>
      </c>
      <c r="T16" s="128">
        <f>'2'!U15</f>
        <v>84519949</v>
      </c>
      <c r="U16" s="128">
        <f>'2'!V15</f>
        <v>7408217</v>
      </c>
      <c r="V16" s="128">
        <f>'2'!W15</f>
        <v>42191046</v>
      </c>
      <c r="W16" s="128">
        <f>'2'!X15</f>
        <v>8808917</v>
      </c>
      <c r="X16" s="128">
        <f>'2'!Y15</f>
        <v>5123677</v>
      </c>
      <c r="Y16" s="128">
        <f>'2'!Z15</f>
        <v>18677155</v>
      </c>
      <c r="Z16" s="128">
        <f>'2'!AA15</f>
        <v>6784380</v>
      </c>
      <c r="AA16" s="128">
        <f>'2'!AB15</f>
        <v>-2286261</v>
      </c>
      <c r="AB16" s="128">
        <f>'2'!AC15</f>
        <v>77815587</v>
      </c>
      <c r="AC16" s="128">
        <f>'2'!AD15</f>
        <v>1123192</v>
      </c>
      <c r="AD16" s="128">
        <f>'2'!AE15</f>
        <v>27264160</v>
      </c>
      <c r="AE16" s="128">
        <f>'2'!AF15</f>
        <v>6483019</v>
      </c>
      <c r="AF16" s="128">
        <f>'2'!AG15</f>
        <v>16001892</v>
      </c>
      <c r="AG16" s="128">
        <f>'2'!AH15</f>
        <v>85881785</v>
      </c>
      <c r="AH16" s="128">
        <f>'2'!AI15</f>
        <v>7408217</v>
      </c>
      <c r="AI16" s="128">
        <f>'2'!AJ15</f>
        <v>0</v>
      </c>
      <c r="AJ16" s="128">
        <f>'2'!AK15</f>
        <v>0</v>
      </c>
      <c r="AK16" s="128">
        <f>'2'!AL15</f>
        <v>22776983</v>
      </c>
      <c r="AL16" s="128">
        <f>'2'!AM15</f>
        <v>1178000</v>
      </c>
      <c r="AM16" s="129"/>
    </row>
    <row r="17" spans="1:39" s="130" customFormat="1" ht="25.5" customHeight="1" x14ac:dyDescent="0.2">
      <c r="A17" s="131">
        <v>3</v>
      </c>
      <c r="B17" s="132" t="s">
        <v>901</v>
      </c>
      <c r="C17" s="128">
        <f>'3'!D15</f>
        <v>339749699</v>
      </c>
      <c r="D17" s="128">
        <f>'3'!E15</f>
        <v>127803807</v>
      </c>
      <c r="E17" s="128">
        <f>'3'!F15</f>
        <v>80235147</v>
      </c>
      <c r="F17" s="128">
        <f>'3'!G15</f>
        <v>37286295</v>
      </c>
      <c r="G17" s="128">
        <f>'3'!H15</f>
        <v>71929898</v>
      </c>
      <c r="H17" s="128">
        <f>'3'!I15</f>
        <v>0</v>
      </c>
      <c r="I17" s="128">
        <f>'3'!J15</f>
        <v>2526000</v>
      </c>
      <c r="J17" s="128">
        <f>'3'!K15</f>
        <v>21464830</v>
      </c>
      <c r="K17" s="128">
        <f>'3'!L15</f>
        <v>0</v>
      </c>
      <c r="L17" s="128">
        <f>'3'!M15</f>
        <v>104020574</v>
      </c>
      <c r="M17" s="128">
        <f>'3'!N15</f>
        <v>11981490</v>
      </c>
      <c r="N17" s="128">
        <f>'3'!O15</f>
        <v>23100</v>
      </c>
      <c r="O17" s="128">
        <f>'3'!P15</f>
        <v>347222160</v>
      </c>
      <c r="P17" s="128">
        <f>'3'!Q15</f>
        <v>54721850</v>
      </c>
      <c r="Q17" s="128">
        <f>'3'!R15</f>
        <v>37237112</v>
      </c>
      <c r="R17" s="128">
        <f>'3'!S15</f>
        <v>1416065</v>
      </c>
      <c r="S17" s="128">
        <f>'3'!T15</f>
        <v>0</v>
      </c>
      <c r="T17" s="128">
        <f>'3'!U15</f>
        <v>47519921</v>
      </c>
      <c r="U17" s="128">
        <f>'3'!V15</f>
        <v>729806</v>
      </c>
      <c r="V17" s="128">
        <f>'3'!W15</f>
        <v>66292291</v>
      </c>
      <c r="W17" s="128">
        <f>'3'!X15</f>
        <v>103649775</v>
      </c>
      <c r="X17" s="128">
        <f>'3'!Y15</f>
        <v>6236260</v>
      </c>
      <c r="Y17" s="128">
        <f>'3'!Z15</f>
        <v>21092364</v>
      </c>
      <c r="Z17" s="128">
        <f>'3'!AA15</f>
        <v>8624704</v>
      </c>
      <c r="AA17" s="128">
        <f>'3'!AB15</f>
        <v>-297988</v>
      </c>
      <c r="AB17" s="128">
        <f>'3'!AC15</f>
        <v>29754831</v>
      </c>
      <c r="AC17" s="128">
        <f>'3'!AD15</f>
        <v>1231344</v>
      </c>
      <c r="AD17" s="128">
        <f>'3'!AE15</f>
        <v>30943157</v>
      </c>
      <c r="AE17" s="128">
        <f>'3'!AF15</f>
        <v>14862103</v>
      </c>
      <c r="AF17" s="128">
        <f>'3'!AG15</f>
        <v>28615695</v>
      </c>
      <c r="AG17" s="128">
        <f>'3'!AH15</f>
        <v>150416662</v>
      </c>
      <c r="AH17" s="128">
        <f>'3'!AI15</f>
        <v>1475748</v>
      </c>
      <c r="AI17" s="128">
        <f>'3'!AJ15</f>
        <v>51605812</v>
      </c>
      <c r="AJ17" s="128">
        <f>'3'!AK15</f>
        <v>0</v>
      </c>
      <c r="AK17" s="128">
        <f>'3'!AL15</f>
        <v>29980195</v>
      </c>
      <c r="AL17" s="128">
        <f>'3'!AM15</f>
        <v>8336613</v>
      </c>
      <c r="AM17" s="129"/>
    </row>
    <row r="18" spans="1:39" s="130" customFormat="1" ht="25.5" customHeight="1" x14ac:dyDescent="0.2">
      <c r="A18" s="131">
        <v>4</v>
      </c>
      <c r="B18" s="132" t="s">
        <v>902</v>
      </c>
      <c r="C18" s="128">
        <f>'4'!D15</f>
        <v>276155028</v>
      </c>
      <c r="D18" s="128">
        <f>'4'!E15</f>
        <v>76972388</v>
      </c>
      <c r="E18" s="128">
        <f>'4'!F15</f>
        <v>45026177</v>
      </c>
      <c r="F18" s="128">
        <f>'4'!G15</f>
        <v>28309000</v>
      </c>
      <c r="G18" s="128">
        <f>'4'!H15</f>
        <v>77844748</v>
      </c>
      <c r="H18" s="128">
        <f>'4'!I15</f>
        <v>0</v>
      </c>
      <c r="I18" s="128">
        <f>'4'!J15</f>
        <v>10559000</v>
      </c>
      <c r="J18" s="128">
        <f>'4'!K15</f>
        <v>22189000</v>
      </c>
      <c r="K18" s="128">
        <f>'4'!L15</f>
        <v>0</v>
      </c>
      <c r="L18" s="128">
        <f>'4'!M15</f>
        <v>74734136</v>
      </c>
      <c r="M18" s="128">
        <f>'4'!N15</f>
        <v>9393688</v>
      </c>
      <c r="N18" s="128">
        <f>'4'!O15</f>
        <v>4462068</v>
      </c>
      <c r="O18" s="128">
        <f>'4'!P15</f>
        <v>281827710</v>
      </c>
      <c r="P18" s="128">
        <f>'4'!Q15</f>
        <v>62508268</v>
      </c>
      <c r="Q18" s="128">
        <f>'4'!R15</f>
        <v>48091002</v>
      </c>
      <c r="R18" s="128">
        <f>'4'!S15</f>
        <v>1464870</v>
      </c>
      <c r="S18" s="128">
        <f>'4'!T15</f>
        <v>0</v>
      </c>
      <c r="T18" s="128">
        <f>'4'!U15</f>
        <v>23660271</v>
      </c>
      <c r="U18" s="128">
        <f>'4'!V15</f>
        <v>4846612</v>
      </c>
      <c r="V18" s="128">
        <f>'4'!W15</f>
        <v>17197229</v>
      </c>
      <c r="W18" s="128">
        <f>'4'!X15</f>
        <v>79072978</v>
      </c>
      <c r="X18" s="128">
        <f>'4'!Y15</f>
        <v>9088126</v>
      </c>
      <c r="Y18" s="128">
        <f>'4'!Z15</f>
        <v>7230461</v>
      </c>
      <c r="Z18" s="128">
        <f>'4'!AA15</f>
        <v>28667893</v>
      </c>
      <c r="AA18" s="128">
        <f>'4'!AB15</f>
        <v>0</v>
      </c>
      <c r="AB18" s="128">
        <f>'4'!AC15</f>
        <v>45885646</v>
      </c>
      <c r="AC18" s="128">
        <f>'4'!AD15</f>
        <v>986702</v>
      </c>
      <c r="AD18" s="128">
        <f>'4'!AE15</f>
        <v>28265527</v>
      </c>
      <c r="AE18" s="128">
        <f>'4'!AF15</f>
        <v>10611052</v>
      </c>
      <c r="AF18" s="128">
        <f>'4'!AG15</f>
        <v>18934554</v>
      </c>
      <c r="AG18" s="128">
        <f>'4'!AH15</f>
        <v>126246439</v>
      </c>
      <c r="AH18" s="128">
        <f>'4'!AI15</f>
        <v>174860</v>
      </c>
      <c r="AI18" s="128">
        <f>'4'!AJ15</f>
        <v>17858084</v>
      </c>
      <c r="AJ18" s="128">
        <f>'4'!AK15</f>
        <v>0</v>
      </c>
      <c r="AK18" s="128">
        <f>'4'!AL15</f>
        <v>28714896</v>
      </c>
      <c r="AL18" s="128">
        <f>'4'!AM15</f>
        <v>4149950</v>
      </c>
      <c r="AM18" s="129"/>
    </row>
    <row r="19" spans="1:39" s="130" customFormat="1" ht="25.5" customHeight="1" x14ac:dyDescent="0.2">
      <c r="A19" s="131">
        <v>5</v>
      </c>
      <c r="B19" s="132" t="s">
        <v>903</v>
      </c>
      <c r="C19" s="128">
        <f>'5'!D15</f>
        <v>419861699</v>
      </c>
      <c r="D19" s="128">
        <f>'5'!E15</f>
        <v>95423780</v>
      </c>
      <c r="E19" s="128">
        <f>'5'!F15</f>
        <v>60951890</v>
      </c>
      <c r="F19" s="128">
        <f>'5'!G15</f>
        <v>31166456</v>
      </c>
      <c r="G19" s="128">
        <f>'5'!H15</f>
        <v>86730000</v>
      </c>
      <c r="H19" s="128">
        <f>'5'!I15</f>
        <v>0</v>
      </c>
      <c r="I19" s="128">
        <f>'5'!J15</f>
        <v>12642000</v>
      </c>
      <c r="J19" s="128">
        <f>'5'!K15</f>
        <v>25511630</v>
      </c>
      <c r="K19" s="128">
        <f>'5'!L15</f>
        <v>0</v>
      </c>
      <c r="L19" s="128">
        <f>'5'!M15</f>
        <v>121196310</v>
      </c>
      <c r="M19" s="128">
        <f>'5'!N15</f>
        <v>77668251</v>
      </c>
      <c r="N19" s="128">
        <f>'5'!O15</f>
        <v>689728</v>
      </c>
      <c r="O19" s="128">
        <f>'5'!P15</f>
        <v>387823400</v>
      </c>
      <c r="P19" s="128">
        <f>'5'!Q15</f>
        <v>57939402</v>
      </c>
      <c r="Q19" s="128">
        <f>'5'!R15</f>
        <v>53442746</v>
      </c>
      <c r="R19" s="128">
        <f>'5'!S15</f>
        <v>2551609</v>
      </c>
      <c r="S19" s="128">
        <f>'5'!T15</f>
        <v>0</v>
      </c>
      <c r="T19" s="128">
        <f>'5'!U15</f>
        <v>119864720</v>
      </c>
      <c r="U19" s="128">
        <f>'5'!V15</f>
        <v>10424909</v>
      </c>
      <c r="V19" s="128">
        <f>'5'!W15</f>
        <v>107404607</v>
      </c>
      <c r="W19" s="128">
        <f>'5'!X15</f>
        <v>9352726</v>
      </c>
      <c r="X19" s="128">
        <f>'5'!Y15</f>
        <v>9445798</v>
      </c>
      <c r="Y19" s="128">
        <f>'5'!Z15</f>
        <v>14580282</v>
      </c>
      <c r="Z19" s="128">
        <f>'5'!AA15</f>
        <v>3587374</v>
      </c>
      <c r="AA19" s="128">
        <f>'5'!AB15</f>
        <v>-770773</v>
      </c>
      <c r="AB19" s="128">
        <f>'5'!AC15</f>
        <v>13118378</v>
      </c>
      <c r="AC19" s="128">
        <f>'5'!AD15</f>
        <v>906147</v>
      </c>
      <c r="AD19" s="128">
        <f>'5'!AE15</f>
        <v>45100945</v>
      </c>
      <c r="AE19" s="128">
        <f>'5'!AF15</f>
        <v>2007310</v>
      </c>
      <c r="AF19" s="128">
        <f>'5'!AG15</f>
        <v>39927096</v>
      </c>
      <c r="AG19" s="128">
        <f>'5'!AH15</f>
        <v>132328798</v>
      </c>
      <c r="AH19" s="128">
        <f>'5'!AI15</f>
        <v>0</v>
      </c>
      <c r="AI19" s="128">
        <f>'5'!AJ15</f>
        <v>50883929</v>
      </c>
      <c r="AJ19" s="128">
        <f>'5'!AK15</f>
        <v>0</v>
      </c>
      <c r="AK19" s="128">
        <f>'5'!AL15</f>
        <v>91440657</v>
      </c>
      <c r="AL19" s="128">
        <f>'5'!AM15</f>
        <v>12110140</v>
      </c>
      <c r="AM19" s="129"/>
    </row>
    <row r="20" spans="1:39" s="130" customFormat="1" ht="25.5" customHeight="1" x14ac:dyDescent="0.2">
      <c r="A20" s="131">
        <v>6</v>
      </c>
      <c r="B20" s="132" t="s">
        <v>904</v>
      </c>
      <c r="C20" s="128">
        <f>'6'!D15</f>
        <v>278609262</v>
      </c>
      <c r="D20" s="128">
        <f>'6'!E15</f>
        <v>51764407</v>
      </c>
      <c r="E20" s="128">
        <f>'6'!F15</f>
        <v>23865382</v>
      </c>
      <c r="F20" s="128">
        <f>'6'!G15</f>
        <v>20797771</v>
      </c>
      <c r="G20" s="128">
        <f>'6'!H15</f>
        <v>47609419</v>
      </c>
      <c r="H20" s="128">
        <f>'6'!I15</f>
        <v>0</v>
      </c>
      <c r="I20" s="128">
        <f>'6'!J15</f>
        <v>15478390</v>
      </c>
      <c r="J20" s="128">
        <f>'6'!K15</f>
        <v>42623000</v>
      </c>
      <c r="K20" s="128">
        <f>'6'!L15</f>
        <v>0</v>
      </c>
      <c r="L20" s="128">
        <f>'6'!M15</f>
        <v>109084561</v>
      </c>
      <c r="M20" s="128">
        <f>'6'!N15</f>
        <v>11578601</v>
      </c>
      <c r="N20" s="128">
        <f>'6'!O15</f>
        <v>470884</v>
      </c>
      <c r="O20" s="128">
        <f>'6'!P15</f>
        <v>266107745</v>
      </c>
      <c r="P20" s="128">
        <f>'6'!Q15</f>
        <v>35002592</v>
      </c>
      <c r="Q20" s="128">
        <f>'6'!R15</f>
        <v>37738924</v>
      </c>
      <c r="R20" s="128">
        <f>'6'!S15</f>
        <v>0</v>
      </c>
      <c r="S20" s="128">
        <f>'6'!T15</f>
        <v>0</v>
      </c>
      <c r="T20" s="128">
        <f>'6'!U15</f>
        <v>20873299</v>
      </c>
      <c r="U20" s="128">
        <f>'6'!V15</f>
        <v>786737</v>
      </c>
      <c r="V20" s="128">
        <f>'6'!W15</f>
        <v>31471525</v>
      </c>
      <c r="W20" s="128">
        <f>'6'!X15</f>
        <v>62154807</v>
      </c>
      <c r="X20" s="128">
        <f>'6'!Y15</f>
        <v>4220274</v>
      </c>
      <c r="Y20" s="128">
        <f>'6'!Z15</f>
        <v>73945121</v>
      </c>
      <c r="Z20" s="128">
        <f>'6'!AA15</f>
        <v>0</v>
      </c>
      <c r="AA20" s="128">
        <f>'6'!AB15</f>
        <v>-85534</v>
      </c>
      <c r="AB20" s="128">
        <f>'6'!AC15</f>
        <v>9561762</v>
      </c>
      <c r="AC20" s="128">
        <f>'6'!AD15</f>
        <v>1320328</v>
      </c>
      <c r="AD20" s="128">
        <f>'6'!AE15</f>
        <v>26220260</v>
      </c>
      <c r="AE20" s="128">
        <f>'6'!AF15</f>
        <v>35927038</v>
      </c>
      <c r="AF20" s="128">
        <f>'6'!AG15</f>
        <v>14485647</v>
      </c>
      <c r="AG20" s="128">
        <f>'6'!AH15</f>
        <v>78280054</v>
      </c>
      <c r="AH20" s="128">
        <f>'6'!AI15</f>
        <v>1928354</v>
      </c>
      <c r="AI20" s="128">
        <f>'6'!AJ15</f>
        <v>3025370</v>
      </c>
      <c r="AJ20" s="128">
        <f>'6'!AK15</f>
        <v>0</v>
      </c>
      <c r="AK20" s="128">
        <f>'6'!AL15</f>
        <v>86478818</v>
      </c>
      <c r="AL20" s="128">
        <f>'6'!AM15</f>
        <v>8880114</v>
      </c>
      <c r="AM20" s="129"/>
    </row>
    <row r="21" spans="1:39" s="130" customFormat="1" ht="25.5" customHeight="1" x14ac:dyDescent="0.2">
      <c r="A21" s="131">
        <v>7</v>
      </c>
      <c r="B21" s="132" t="s">
        <v>905</v>
      </c>
      <c r="C21" s="128">
        <f>'7'!D15</f>
        <v>267497103</v>
      </c>
      <c r="D21" s="128">
        <f>'7'!E15</f>
        <v>39348570</v>
      </c>
      <c r="E21" s="128">
        <f>'7'!F15</f>
        <v>21282598</v>
      </c>
      <c r="F21" s="128">
        <f>'7'!G15</f>
        <v>14197822</v>
      </c>
      <c r="G21" s="128">
        <f>'7'!H15</f>
        <v>50674778</v>
      </c>
      <c r="H21" s="128">
        <f>'7'!I15</f>
        <v>0</v>
      </c>
      <c r="I21" s="128">
        <f>'7'!J15</f>
        <v>6350000</v>
      </c>
      <c r="J21" s="128">
        <f>'7'!K15</f>
        <v>55469000</v>
      </c>
      <c r="K21" s="128">
        <f>'7'!L15</f>
        <v>0</v>
      </c>
      <c r="L21" s="128">
        <f>'7'!M15</f>
        <v>68805572</v>
      </c>
      <c r="M21" s="128">
        <f>'7'!N15</f>
        <v>45748868</v>
      </c>
      <c r="N21" s="128">
        <f>'7'!O15</f>
        <v>1100315</v>
      </c>
      <c r="O21" s="128">
        <f>'7'!P15</f>
        <v>245215388</v>
      </c>
      <c r="P21" s="128">
        <f>'7'!Q15</f>
        <v>43349312</v>
      </c>
      <c r="Q21" s="128">
        <f>'7'!R15</f>
        <v>29257018</v>
      </c>
      <c r="R21" s="128">
        <f>'7'!S15</f>
        <v>1119396</v>
      </c>
      <c r="S21" s="128">
        <f>'7'!T15</f>
        <v>0</v>
      </c>
      <c r="T21" s="128">
        <f>'7'!U15</f>
        <v>21993845</v>
      </c>
      <c r="U21" s="128">
        <f>'7'!V15</f>
        <v>3055825</v>
      </c>
      <c r="V21" s="128">
        <f>'7'!W15</f>
        <v>73842509</v>
      </c>
      <c r="W21" s="128">
        <f>'7'!X15</f>
        <v>58374952</v>
      </c>
      <c r="X21" s="128">
        <f>'7'!Y15</f>
        <v>3656031</v>
      </c>
      <c r="Y21" s="128">
        <f>'7'!Z15</f>
        <v>4671096</v>
      </c>
      <c r="Z21" s="128">
        <f>'7'!AA15</f>
        <v>6000000</v>
      </c>
      <c r="AA21" s="128">
        <f>'7'!AB15</f>
        <v>-104596</v>
      </c>
      <c r="AB21" s="128">
        <f>'7'!AC15</f>
        <v>10908729</v>
      </c>
      <c r="AC21" s="128">
        <f>'7'!AD15</f>
        <v>691193</v>
      </c>
      <c r="AD21" s="128">
        <f>'7'!AE15</f>
        <v>20833165</v>
      </c>
      <c r="AE21" s="128">
        <f>'7'!AF15</f>
        <v>15315985</v>
      </c>
      <c r="AF21" s="128">
        <f>'7'!AG15</f>
        <v>21865733</v>
      </c>
      <c r="AG21" s="128">
        <f>'7'!AH15</f>
        <v>87004896</v>
      </c>
      <c r="AH21" s="128">
        <f>'7'!AI15</f>
        <v>4183739</v>
      </c>
      <c r="AI21" s="128">
        <f>'7'!AJ15</f>
        <v>26607771</v>
      </c>
      <c r="AJ21" s="128">
        <f>'7'!AK15</f>
        <v>0</v>
      </c>
      <c r="AK21" s="128">
        <f>'7'!AL15</f>
        <v>51808715</v>
      </c>
      <c r="AL21" s="128">
        <f>'7'!AM15</f>
        <v>5995462</v>
      </c>
      <c r="AM21" s="129"/>
    </row>
    <row r="22" spans="1:39" s="130" customFormat="1" ht="25.5" customHeight="1" x14ac:dyDescent="0.2">
      <c r="A22" s="131">
        <v>8</v>
      </c>
      <c r="B22" s="132" t="s">
        <v>906</v>
      </c>
      <c r="C22" s="128">
        <f>'8'!D15</f>
        <v>277317025</v>
      </c>
      <c r="D22" s="128">
        <f>'8'!E15</f>
        <v>127245523</v>
      </c>
      <c r="E22" s="128">
        <f>'8'!F15</f>
        <v>85614643</v>
      </c>
      <c r="F22" s="128">
        <f>'8'!G15</f>
        <v>36849149</v>
      </c>
      <c r="G22" s="128">
        <f>'8'!H15</f>
        <v>60319094</v>
      </c>
      <c r="H22" s="128">
        <f>'8'!I15</f>
        <v>0</v>
      </c>
      <c r="I22" s="128">
        <f>'8'!J15</f>
        <v>14158200</v>
      </c>
      <c r="J22" s="128">
        <f>'8'!K15</f>
        <v>15109710</v>
      </c>
      <c r="K22" s="128">
        <f>'8'!L15</f>
        <v>0</v>
      </c>
      <c r="L22" s="128">
        <f>'8'!M15</f>
        <v>59344574</v>
      </c>
      <c r="M22" s="128">
        <f>'8'!N15</f>
        <v>679924</v>
      </c>
      <c r="N22" s="128">
        <f>'8'!O15</f>
        <v>460000</v>
      </c>
      <c r="O22" s="128">
        <f>'8'!P15</f>
        <v>235811344</v>
      </c>
      <c r="P22" s="128">
        <f>'8'!Q15</f>
        <v>53520789</v>
      </c>
      <c r="Q22" s="128">
        <f>'8'!R15</f>
        <v>31452443</v>
      </c>
      <c r="R22" s="128">
        <f>'8'!S15</f>
        <v>5022128</v>
      </c>
      <c r="S22" s="128">
        <f>'8'!T15</f>
        <v>0</v>
      </c>
      <c r="T22" s="128">
        <f>'8'!U15</f>
        <v>24956444</v>
      </c>
      <c r="U22" s="128">
        <f>'8'!V15</f>
        <v>3442195</v>
      </c>
      <c r="V22" s="128">
        <f>'8'!W15</f>
        <v>3832691</v>
      </c>
      <c r="W22" s="128">
        <f>'8'!X15</f>
        <v>68336454</v>
      </c>
      <c r="X22" s="128">
        <f>'8'!Y15</f>
        <v>5656563</v>
      </c>
      <c r="Y22" s="128">
        <f>'8'!Z15</f>
        <v>25865950</v>
      </c>
      <c r="Z22" s="128">
        <f>'8'!AA15</f>
        <v>15247213</v>
      </c>
      <c r="AA22" s="128">
        <f>'8'!AB15</f>
        <v>-1521526</v>
      </c>
      <c r="AB22" s="128">
        <f>'8'!AC15</f>
        <v>31231593</v>
      </c>
      <c r="AC22" s="128">
        <f>'8'!AD15</f>
        <v>664181</v>
      </c>
      <c r="AD22" s="128">
        <f>'8'!AE15</f>
        <v>29868870</v>
      </c>
      <c r="AE22" s="128">
        <f>'8'!AF15</f>
        <v>6789530</v>
      </c>
      <c r="AF22" s="128">
        <f>'8'!AG15</f>
        <v>18748286</v>
      </c>
      <c r="AG22" s="128">
        <f>'8'!AH15</f>
        <v>97816685</v>
      </c>
      <c r="AH22" s="128">
        <f>'8'!AI15</f>
        <v>3956991</v>
      </c>
      <c r="AI22" s="128">
        <f>'8'!AJ15</f>
        <v>419</v>
      </c>
      <c r="AJ22" s="128">
        <f>'8'!AK15</f>
        <v>0</v>
      </c>
      <c r="AK22" s="128">
        <f>'8'!AL15</f>
        <v>41868471</v>
      </c>
      <c r="AL22" s="128">
        <f>'8'!AM15</f>
        <v>4866318</v>
      </c>
      <c r="AM22" s="129"/>
    </row>
    <row r="23" spans="1:39" s="130" customFormat="1" ht="25.5" customHeight="1" x14ac:dyDescent="0.2">
      <c r="A23" s="131">
        <v>9</v>
      </c>
      <c r="B23" s="132" t="s">
        <v>907</v>
      </c>
      <c r="C23" s="128">
        <f>'9'!D15</f>
        <v>215665965</v>
      </c>
      <c r="D23" s="128">
        <f>'9'!E15</f>
        <v>61675736</v>
      </c>
      <c r="E23" s="128">
        <f>'9'!F15</f>
        <v>27722232</v>
      </c>
      <c r="F23" s="128">
        <f>'9'!G15</f>
        <v>25985456</v>
      </c>
      <c r="G23" s="128">
        <f>'9'!H15</f>
        <v>29212614</v>
      </c>
      <c r="H23" s="128">
        <f>'9'!I15</f>
        <v>0</v>
      </c>
      <c r="I23" s="128">
        <f>'9'!J15</f>
        <v>6450140</v>
      </c>
      <c r="J23" s="128">
        <f>'9'!K15</f>
        <v>27584000</v>
      </c>
      <c r="K23" s="128">
        <f>'9'!L15</f>
        <v>0</v>
      </c>
      <c r="L23" s="128">
        <f>'9'!M15</f>
        <v>54835539</v>
      </c>
      <c r="M23" s="128">
        <f>'9'!N15</f>
        <v>30422261</v>
      </c>
      <c r="N23" s="128">
        <f>'9'!O15</f>
        <v>5485675</v>
      </c>
      <c r="O23" s="128">
        <f>'9'!P15</f>
        <v>185207962</v>
      </c>
      <c r="P23" s="128">
        <f>'9'!Q15</f>
        <v>23969268</v>
      </c>
      <c r="Q23" s="128">
        <f>'9'!R15</f>
        <v>15608012</v>
      </c>
      <c r="R23" s="128">
        <f>'9'!S15</f>
        <v>0</v>
      </c>
      <c r="S23" s="128">
        <f>'9'!T15</f>
        <v>0</v>
      </c>
      <c r="T23" s="128">
        <f>'9'!U15</f>
        <v>19967076</v>
      </c>
      <c r="U23" s="128">
        <f>'9'!V15</f>
        <v>7027020</v>
      </c>
      <c r="V23" s="128">
        <f>'9'!W15</f>
        <v>56593903</v>
      </c>
      <c r="W23" s="128">
        <f>'9'!X15</f>
        <v>49215920</v>
      </c>
      <c r="X23" s="128">
        <f>'9'!Y15</f>
        <v>3284866</v>
      </c>
      <c r="Y23" s="128">
        <f>'9'!Z15</f>
        <v>9694439</v>
      </c>
      <c r="Z23" s="128">
        <f>'9'!AA15</f>
        <v>0</v>
      </c>
      <c r="AA23" s="128">
        <f>'9'!AB15</f>
        <v>-152542</v>
      </c>
      <c r="AB23" s="128">
        <f>'9'!AC15</f>
        <v>9632103</v>
      </c>
      <c r="AC23" s="128">
        <f>'9'!AD15</f>
        <v>855236</v>
      </c>
      <c r="AD23" s="128">
        <f>'9'!AE15</f>
        <v>13183653</v>
      </c>
      <c r="AE23" s="128">
        <f>'9'!AF15</f>
        <v>13005484</v>
      </c>
      <c r="AF23" s="128">
        <f>'9'!AG15</f>
        <v>15772028</v>
      </c>
      <c r="AG23" s="128">
        <f>'9'!AH15</f>
        <v>59280910</v>
      </c>
      <c r="AH23" s="128">
        <f>'9'!AI15</f>
        <v>5430016</v>
      </c>
      <c r="AI23" s="128">
        <f>'9'!AJ15</f>
        <v>56735801</v>
      </c>
      <c r="AJ23" s="128">
        <f>'9'!AK15</f>
        <v>0</v>
      </c>
      <c r="AK23" s="128">
        <f>'9'!AL15</f>
        <v>9667520</v>
      </c>
      <c r="AL23" s="128">
        <f>'9'!AM15</f>
        <v>1645211</v>
      </c>
      <c r="AM23" s="129"/>
    </row>
    <row r="24" spans="1:39" s="130" customFormat="1" ht="25.5" customHeight="1" x14ac:dyDescent="0.2">
      <c r="A24" s="131">
        <v>10</v>
      </c>
      <c r="B24" s="132" t="s">
        <v>908</v>
      </c>
      <c r="C24" s="128">
        <f>'10'!D15</f>
        <v>287787409</v>
      </c>
      <c r="D24" s="128">
        <f>'10'!E15</f>
        <v>61989584</v>
      </c>
      <c r="E24" s="128">
        <f>'10'!F15</f>
        <v>35537482</v>
      </c>
      <c r="F24" s="128">
        <f>'10'!G15</f>
        <v>23934956</v>
      </c>
      <c r="G24" s="128">
        <f>'10'!H15</f>
        <v>55499368</v>
      </c>
      <c r="H24" s="128">
        <f>'10'!I15</f>
        <v>0</v>
      </c>
      <c r="I24" s="128">
        <f>'10'!J15</f>
        <v>6743000</v>
      </c>
      <c r="J24" s="128">
        <f>'10'!K15</f>
        <v>32907000</v>
      </c>
      <c r="K24" s="128">
        <f>'10'!L15</f>
        <v>0</v>
      </c>
      <c r="L24" s="128">
        <f>'10'!M15</f>
        <v>91036500</v>
      </c>
      <c r="M24" s="128">
        <f>'10'!N15</f>
        <v>39557596</v>
      </c>
      <c r="N24" s="128">
        <f>'10'!O15</f>
        <v>54361</v>
      </c>
      <c r="O24" s="128">
        <f>'10'!P15</f>
        <v>279385132</v>
      </c>
      <c r="P24" s="128">
        <f>'10'!Q15</f>
        <v>45986830</v>
      </c>
      <c r="Q24" s="128">
        <f>'10'!R15</f>
        <v>51364426</v>
      </c>
      <c r="R24" s="128">
        <f>'10'!S15</f>
        <v>0</v>
      </c>
      <c r="S24" s="128">
        <f>'10'!T15</f>
        <v>0</v>
      </c>
      <c r="T24" s="128">
        <f>'10'!U15</f>
        <v>13569291</v>
      </c>
      <c r="U24" s="128">
        <f>'10'!V15</f>
        <v>0</v>
      </c>
      <c r="V24" s="128">
        <f>'10'!W15</f>
        <v>71275362</v>
      </c>
      <c r="W24" s="128">
        <f>'10'!X15</f>
        <v>69022767</v>
      </c>
      <c r="X24" s="128">
        <f>'10'!Y15</f>
        <v>5216096</v>
      </c>
      <c r="Y24" s="128">
        <f>'10'!Z15</f>
        <v>17530625</v>
      </c>
      <c r="Z24" s="128">
        <f>'10'!AA15</f>
        <v>5810668</v>
      </c>
      <c r="AA24" s="128">
        <f>'10'!AB15</f>
        <v>-390933</v>
      </c>
      <c r="AB24" s="128">
        <f>'10'!AC15</f>
        <v>29675988</v>
      </c>
      <c r="AC24" s="128">
        <f>'10'!AD15</f>
        <v>1289054</v>
      </c>
      <c r="AD24" s="128">
        <f>'10'!AE15</f>
        <v>25678369</v>
      </c>
      <c r="AE24" s="128">
        <f>'10'!AF15</f>
        <v>10855838</v>
      </c>
      <c r="AF24" s="128">
        <f>'10'!AG15</f>
        <v>14990044</v>
      </c>
      <c r="AG24" s="128">
        <f>'10'!AH15</f>
        <v>99000034</v>
      </c>
      <c r="AH24" s="128">
        <f>'10'!AI15</f>
        <v>0</v>
      </c>
      <c r="AI24" s="128">
        <f>'10'!AJ15</f>
        <v>3602264</v>
      </c>
      <c r="AJ24" s="128">
        <f>'10'!AK15</f>
        <v>0</v>
      </c>
      <c r="AK24" s="128">
        <f>'10'!AL15</f>
        <v>92524512</v>
      </c>
      <c r="AL24" s="128">
        <f>'10'!AM15</f>
        <v>1769029</v>
      </c>
      <c r="AM24" s="129"/>
    </row>
    <row r="25" spans="1:39" s="130" customFormat="1" ht="25.5" customHeight="1" x14ac:dyDescent="0.2">
      <c r="A25" s="131">
        <v>11</v>
      </c>
      <c r="B25" s="133" t="s">
        <v>909</v>
      </c>
      <c r="C25" s="128">
        <f>'11'!D15</f>
        <v>242667677</v>
      </c>
      <c r="D25" s="128">
        <f>'11'!E15</f>
        <v>41080582</v>
      </c>
      <c r="E25" s="128">
        <f>'11'!F15</f>
        <v>21509816</v>
      </c>
      <c r="F25" s="128">
        <f>'11'!G15</f>
        <v>18006000</v>
      </c>
      <c r="G25" s="128">
        <f>'11'!H15</f>
        <v>46062946</v>
      </c>
      <c r="H25" s="128">
        <f>'11'!I15</f>
        <v>0</v>
      </c>
      <c r="I25" s="128">
        <f>'11'!J15</f>
        <v>12153000</v>
      </c>
      <c r="J25" s="128">
        <f>'11'!K15</f>
        <v>49228000</v>
      </c>
      <c r="K25" s="128">
        <f>'11'!L15</f>
        <v>0</v>
      </c>
      <c r="L25" s="128">
        <f>'11'!M15</f>
        <v>70361046</v>
      </c>
      <c r="M25" s="128">
        <f>'11'!N15</f>
        <v>23782103</v>
      </c>
      <c r="N25" s="128">
        <f>'11'!O15</f>
        <v>0</v>
      </c>
      <c r="O25" s="128">
        <f>'11'!P15</f>
        <v>249296690</v>
      </c>
      <c r="P25" s="128">
        <f>'11'!Q15</f>
        <v>45422954</v>
      </c>
      <c r="Q25" s="128">
        <f>'11'!R15</f>
        <v>33650240</v>
      </c>
      <c r="R25" s="128">
        <f>'11'!S15</f>
        <v>4400000</v>
      </c>
      <c r="S25" s="128">
        <f>'11'!T15</f>
        <v>0</v>
      </c>
      <c r="T25" s="128">
        <f>'11'!U15</f>
        <v>8647104</v>
      </c>
      <c r="U25" s="128">
        <f>'11'!V15</f>
        <v>579142</v>
      </c>
      <c r="V25" s="128">
        <f>'11'!W15</f>
        <v>59972167</v>
      </c>
      <c r="W25" s="128">
        <f>'11'!X15</f>
        <v>46498828</v>
      </c>
      <c r="X25" s="128">
        <f>'11'!Y15</f>
        <v>5454123</v>
      </c>
      <c r="Y25" s="128">
        <f>'11'!Z15</f>
        <v>16427737</v>
      </c>
      <c r="Z25" s="128">
        <f>'11'!AA15</f>
        <v>28674896</v>
      </c>
      <c r="AA25" s="128">
        <f>'11'!AB15</f>
        <v>-430501</v>
      </c>
      <c r="AB25" s="128">
        <f>'11'!AC15</f>
        <v>27456396</v>
      </c>
      <c r="AC25" s="128">
        <f>'11'!AD15</f>
        <v>887900</v>
      </c>
      <c r="AD25" s="128">
        <f>'11'!AE15</f>
        <v>21335831</v>
      </c>
      <c r="AE25" s="128">
        <f>'11'!AF15</f>
        <v>1559657</v>
      </c>
      <c r="AF25" s="128">
        <f>'11'!AG15</f>
        <v>13358287</v>
      </c>
      <c r="AG25" s="128">
        <f>'11'!AH15</f>
        <v>76940097</v>
      </c>
      <c r="AH25" s="128">
        <f>'11'!AI15</f>
        <v>26474488</v>
      </c>
      <c r="AI25" s="128">
        <f>'11'!AJ15</f>
        <v>54851228</v>
      </c>
      <c r="AJ25" s="128">
        <f>'11'!AK15</f>
        <v>0</v>
      </c>
      <c r="AK25" s="128">
        <f>'11'!AL15</f>
        <v>0</v>
      </c>
      <c r="AL25" s="128">
        <f>'11'!AM15</f>
        <v>26432806</v>
      </c>
      <c r="AM25" s="129"/>
    </row>
    <row r="26" spans="1:39" s="130" customFormat="1" ht="25.5" customHeight="1" x14ac:dyDescent="0.2">
      <c r="A26" s="131">
        <v>12</v>
      </c>
      <c r="B26" s="132" t="s">
        <v>910</v>
      </c>
      <c r="C26" s="128">
        <f>'12'!D15</f>
        <v>234303877</v>
      </c>
      <c r="D26" s="128">
        <f>'12'!E15</f>
        <v>42023770</v>
      </c>
      <c r="E26" s="128">
        <f>'12'!F15</f>
        <v>21182829</v>
      </c>
      <c r="F26" s="128">
        <f>'12'!G15</f>
        <v>18829000</v>
      </c>
      <c r="G26" s="128">
        <f>'12'!H15</f>
        <v>32847347</v>
      </c>
      <c r="H26" s="128">
        <f>'12'!I15</f>
        <v>0</v>
      </c>
      <c r="I26" s="128">
        <f>'12'!J15</f>
        <v>12029630</v>
      </c>
      <c r="J26" s="128">
        <f>'12'!K15</f>
        <v>51555850</v>
      </c>
      <c r="K26" s="128">
        <f>'12'!L15</f>
        <v>0</v>
      </c>
      <c r="L26" s="128">
        <f>'12'!M15</f>
        <v>73262361</v>
      </c>
      <c r="M26" s="128">
        <f>'12'!N15</f>
        <v>20496705</v>
      </c>
      <c r="N26" s="128">
        <f>'12'!O15</f>
        <v>2088214</v>
      </c>
      <c r="O26" s="128">
        <f>'12'!P15</f>
        <v>212555161</v>
      </c>
      <c r="P26" s="128">
        <f>'12'!Q15</f>
        <v>26047825</v>
      </c>
      <c r="Q26" s="128">
        <f>'12'!R15</f>
        <v>31167234</v>
      </c>
      <c r="R26" s="128">
        <f>'12'!S15</f>
        <v>601713</v>
      </c>
      <c r="S26" s="128">
        <f>'12'!T15</f>
        <v>0</v>
      </c>
      <c r="T26" s="128">
        <f>'12'!U15</f>
        <v>18691738</v>
      </c>
      <c r="U26" s="128">
        <f>'12'!V15</f>
        <v>3704161</v>
      </c>
      <c r="V26" s="128">
        <f>'12'!W15</f>
        <v>55879517</v>
      </c>
      <c r="W26" s="128">
        <f>'12'!X15</f>
        <v>65149667</v>
      </c>
      <c r="X26" s="128">
        <f>'12'!Y15</f>
        <v>4614419</v>
      </c>
      <c r="Y26" s="128">
        <f>'12'!Z15</f>
        <v>5303556</v>
      </c>
      <c r="Z26" s="128">
        <f>'12'!AA15</f>
        <v>1613999</v>
      </c>
      <c r="AA26" s="128">
        <f>'12'!AB15</f>
        <v>-218668</v>
      </c>
      <c r="AB26" s="128">
        <f>'12'!AC15</f>
        <v>21677258</v>
      </c>
      <c r="AC26" s="128">
        <f>'12'!AD15</f>
        <v>375100</v>
      </c>
      <c r="AD26" s="128">
        <f>'12'!AE15</f>
        <v>9073798</v>
      </c>
      <c r="AE26" s="128">
        <f>'12'!AF15</f>
        <v>6891495</v>
      </c>
      <c r="AF26" s="128">
        <f>'12'!AG15</f>
        <v>16748815</v>
      </c>
      <c r="AG26" s="128">
        <f>'12'!AH15</f>
        <v>91651420</v>
      </c>
      <c r="AH26" s="128">
        <f>'12'!AI15</f>
        <v>97960</v>
      </c>
      <c r="AI26" s="128">
        <f>'12'!AJ15</f>
        <v>44057304</v>
      </c>
      <c r="AJ26" s="128">
        <f>'12'!AK15</f>
        <v>0</v>
      </c>
      <c r="AK26" s="128">
        <f>'12'!AL15</f>
        <v>15784075</v>
      </c>
      <c r="AL26" s="128">
        <f>'12'!AM15</f>
        <v>6197936</v>
      </c>
      <c r="AM26" s="129"/>
    </row>
    <row r="27" spans="1:39" s="130" customFormat="1" ht="25.5" customHeight="1" x14ac:dyDescent="0.2">
      <c r="A27" s="131">
        <v>13</v>
      </c>
      <c r="B27" s="132" t="s">
        <v>911</v>
      </c>
      <c r="C27" s="128">
        <f>'13'!D15</f>
        <v>446465948</v>
      </c>
      <c r="D27" s="128">
        <f>'13'!E15</f>
        <v>203757651</v>
      </c>
      <c r="E27" s="128">
        <f>'13'!F15</f>
        <v>125740400</v>
      </c>
      <c r="F27" s="128">
        <f>'13'!G15</f>
        <v>55170000</v>
      </c>
      <c r="G27" s="128">
        <f>'13'!H15</f>
        <v>86810937</v>
      </c>
      <c r="H27" s="128">
        <f>'13'!I15</f>
        <v>0</v>
      </c>
      <c r="I27" s="128">
        <f>'13'!J15</f>
        <v>10712440</v>
      </c>
      <c r="J27" s="128">
        <f>'13'!K15</f>
        <v>19041000</v>
      </c>
      <c r="K27" s="128">
        <f>'13'!L15</f>
        <v>0</v>
      </c>
      <c r="L27" s="128">
        <f>'13'!M15</f>
        <v>101710014</v>
      </c>
      <c r="M27" s="128">
        <f>'13'!N15</f>
        <v>21422072</v>
      </c>
      <c r="N27" s="128">
        <f>'13'!O15</f>
        <v>3011834</v>
      </c>
      <c r="O27" s="128">
        <f>'13'!P15</f>
        <v>419584746</v>
      </c>
      <c r="P27" s="128">
        <f>'13'!Q15</f>
        <v>78534460</v>
      </c>
      <c r="Q27" s="128">
        <f>'13'!R15</f>
        <v>48554149</v>
      </c>
      <c r="R27" s="128">
        <f>'13'!S15</f>
        <v>0</v>
      </c>
      <c r="S27" s="128">
        <f>'13'!T15</f>
        <v>0</v>
      </c>
      <c r="T27" s="128">
        <f>'13'!U15</f>
        <v>121263863</v>
      </c>
      <c r="U27" s="128">
        <f>'13'!V15</f>
        <v>81715120</v>
      </c>
      <c r="V27" s="128">
        <f>'13'!W15</f>
        <v>56699836</v>
      </c>
      <c r="W27" s="128">
        <f>'13'!X15</f>
        <v>10911686</v>
      </c>
      <c r="X27" s="128">
        <f>'13'!Y15</f>
        <v>14322169</v>
      </c>
      <c r="Y27" s="128">
        <f>'13'!Z15</f>
        <v>8354443</v>
      </c>
      <c r="Z27" s="128">
        <f>'13'!AA15</f>
        <v>0</v>
      </c>
      <c r="AA27" s="128">
        <f>'13'!AB15</f>
        <v>-770980</v>
      </c>
      <c r="AB27" s="128">
        <f>'13'!AC15</f>
        <v>16027092</v>
      </c>
      <c r="AC27" s="128">
        <f>'13'!AD15</f>
        <v>409352</v>
      </c>
      <c r="AD27" s="128">
        <f>'13'!AE15</f>
        <v>58390609</v>
      </c>
      <c r="AE27" s="128">
        <f>'13'!AF15</f>
        <v>8089609</v>
      </c>
      <c r="AF27" s="128">
        <f>'13'!AG15</f>
        <v>35823300</v>
      </c>
      <c r="AG27" s="128">
        <f>'13'!AH15</f>
        <v>142768113</v>
      </c>
      <c r="AH27" s="128">
        <f>'13'!AI15</f>
        <v>25883312</v>
      </c>
      <c r="AI27" s="128">
        <f>'13'!AJ15</f>
        <v>8579081</v>
      </c>
      <c r="AJ27" s="128">
        <f>'13'!AK15</f>
        <v>0</v>
      </c>
      <c r="AK27" s="128">
        <f>'13'!AL15</f>
        <v>92116168</v>
      </c>
      <c r="AL27" s="128">
        <f>'13'!AM15</f>
        <v>31498110</v>
      </c>
      <c r="AM27" s="129"/>
    </row>
    <row r="28" spans="1:39" s="130" customFormat="1" ht="25.5" customHeight="1" x14ac:dyDescent="0.2">
      <c r="A28" s="131">
        <v>14</v>
      </c>
      <c r="B28" s="132" t="s">
        <v>912</v>
      </c>
      <c r="C28" s="128">
        <f>'14'!D15</f>
        <v>484924542</v>
      </c>
      <c r="D28" s="128">
        <f>'14'!E15</f>
        <v>175010394</v>
      </c>
      <c r="E28" s="128">
        <f>'14'!F15</f>
        <v>110010649</v>
      </c>
      <c r="F28" s="128">
        <f>'14'!G15</f>
        <v>54448550</v>
      </c>
      <c r="G28" s="128">
        <f>'14'!H15</f>
        <v>72941014</v>
      </c>
      <c r="H28" s="128">
        <f>'14'!I15</f>
        <v>0</v>
      </c>
      <c r="I28" s="128">
        <f>'14'!J15</f>
        <v>0</v>
      </c>
      <c r="J28" s="128">
        <f>'14'!K15</f>
        <v>8919000</v>
      </c>
      <c r="K28" s="128">
        <f>'14'!L15</f>
        <v>0</v>
      </c>
      <c r="L28" s="128">
        <f>'14'!M15</f>
        <v>120939498</v>
      </c>
      <c r="M28" s="128">
        <f>'14'!N15</f>
        <v>104351390</v>
      </c>
      <c r="N28" s="128">
        <f>'14'!O15</f>
        <v>2763246</v>
      </c>
      <c r="O28" s="128">
        <f>'14'!P15</f>
        <v>459350789</v>
      </c>
      <c r="P28" s="128">
        <f>'14'!Q15</f>
        <v>58462118</v>
      </c>
      <c r="Q28" s="128">
        <f>'14'!R15</f>
        <v>48037076</v>
      </c>
      <c r="R28" s="128">
        <f>'14'!S15</f>
        <v>1568000</v>
      </c>
      <c r="S28" s="128">
        <f>'14'!T15</f>
        <v>0</v>
      </c>
      <c r="T28" s="128">
        <f>'14'!U15</f>
        <v>116627391</v>
      </c>
      <c r="U28" s="128">
        <f>'14'!V15</f>
        <v>8623620</v>
      </c>
      <c r="V28" s="128">
        <f>'14'!W15</f>
        <v>180651681</v>
      </c>
      <c r="W28" s="128">
        <f>'14'!X15</f>
        <v>15058145</v>
      </c>
      <c r="X28" s="128">
        <f>'14'!Y15</f>
        <v>7824992</v>
      </c>
      <c r="Y28" s="128">
        <f>'14'!Z15</f>
        <v>19031781</v>
      </c>
      <c r="Z28" s="128">
        <f>'14'!AA15</f>
        <v>3710000</v>
      </c>
      <c r="AA28" s="128">
        <f>'14'!AB15</f>
        <v>-244015</v>
      </c>
      <c r="AB28" s="128">
        <f>'14'!AC15</f>
        <v>45430136</v>
      </c>
      <c r="AC28" s="128">
        <f>'14'!AD15</f>
        <v>572819</v>
      </c>
      <c r="AD28" s="128">
        <f>'14'!AE15</f>
        <v>32901965</v>
      </c>
      <c r="AE28" s="128">
        <f>'14'!AF15</f>
        <v>35536132</v>
      </c>
      <c r="AF28" s="128">
        <f>'14'!AG15</f>
        <v>73440733</v>
      </c>
      <c r="AG28" s="128">
        <f>'14'!AH15</f>
        <v>119060175</v>
      </c>
      <c r="AH28" s="128">
        <f>'14'!AI15</f>
        <v>11922957</v>
      </c>
      <c r="AI28" s="128">
        <f>'14'!AJ15</f>
        <v>99481969</v>
      </c>
      <c r="AJ28" s="128">
        <f>'14'!AK15</f>
        <v>0</v>
      </c>
      <c r="AK28" s="128">
        <f>'14'!AL15</f>
        <v>31925307</v>
      </c>
      <c r="AL28" s="128">
        <f>'14'!AM15</f>
        <v>9078596</v>
      </c>
      <c r="AM28" s="129"/>
    </row>
    <row r="29" spans="1:39" s="130" customFormat="1" ht="25.5" customHeight="1" x14ac:dyDescent="0.2">
      <c r="A29" s="134">
        <v>15</v>
      </c>
      <c r="B29" s="132" t="s">
        <v>913</v>
      </c>
      <c r="C29" s="128">
        <f>'15'!D15</f>
        <v>209007509</v>
      </c>
      <c r="D29" s="128">
        <f>'15'!E15</f>
        <v>39948857</v>
      </c>
      <c r="E29" s="128">
        <f>'15'!F15</f>
        <v>18715097</v>
      </c>
      <c r="F29" s="128">
        <f>'15'!G15</f>
        <v>18383940</v>
      </c>
      <c r="G29" s="128">
        <f>'15'!H15</f>
        <v>27658722</v>
      </c>
      <c r="H29" s="128">
        <f>'15'!I15</f>
        <v>0</v>
      </c>
      <c r="I29" s="128">
        <f>'15'!J15</f>
        <v>8202000</v>
      </c>
      <c r="J29" s="128">
        <f>'15'!K15</f>
        <v>45302000</v>
      </c>
      <c r="K29" s="128">
        <f>'15'!L15</f>
        <v>0</v>
      </c>
      <c r="L29" s="128">
        <f>'15'!M15</f>
        <v>49183876</v>
      </c>
      <c r="M29" s="128">
        <f>'15'!N15</f>
        <v>38656885</v>
      </c>
      <c r="N29" s="128">
        <f>'15'!O15</f>
        <v>55169</v>
      </c>
      <c r="O29" s="128">
        <f>'15'!P15</f>
        <v>221280146</v>
      </c>
      <c r="P29" s="128">
        <f>'15'!Q15</f>
        <v>20983193</v>
      </c>
      <c r="Q29" s="128">
        <f>'15'!R15</f>
        <v>32386411</v>
      </c>
      <c r="R29" s="128">
        <f>'15'!S15</f>
        <v>0</v>
      </c>
      <c r="S29" s="128">
        <f>'15'!T15</f>
        <v>0</v>
      </c>
      <c r="T29" s="128">
        <f>'15'!U15</f>
        <v>8997967</v>
      </c>
      <c r="U29" s="128">
        <f>'15'!V15</f>
        <v>4547427</v>
      </c>
      <c r="V29" s="128">
        <f>'15'!W15</f>
        <v>110630140</v>
      </c>
      <c r="W29" s="128">
        <f>'15'!X15</f>
        <v>22352403</v>
      </c>
      <c r="X29" s="128">
        <f>'15'!Y15</f>
        <v>4451534</v>
      </c>
      <c r="Y29" s="128">
        <f>'15'!Z15</f>
        <v>17690018</v>
      </c>
      <c r="Z29" s="128">
        <f>'15'!AA15</f>
        <v>0</v>
      </c>
      <c r="AA29" s="128">
        <f>'15'!AB15</f>
        <v>-758947</v>
      </c>
      <c r="AB29" s="128">
        <f>'15'!AC15</f>
        <v>12172117</v>
      </c>
      <c r="AC29" s="128">
        <f>'15'!AD15</f>
        <v>614909</v>
      </c>
      <c r="AD29" s="128">
        <f>'15'!AE15</f>
        <v>10412618</v>
      </c>
      <c r="AE29" s="128">
        <f>'15'!AF15</f>
        <v>50131900</v>
      </c>
      <c r="AF29" s="128">
        <f>'15'!AG15</f>
        <v>11868099</v>
      </c>
      <c r="AG29" s="128">
        <f>'15'!AH15</f>
        <v>37484236</v>
      </c>
      <c r="AH29" s="128">
        <f>'15'!AI15</f>
        <v>230456</v>
      </c>
      <c r="AI29" s="128">
        <f>'15'!AJ15</f>
        <v>59379235</v>
      </c>
      <c r="AJ29" s="128">
        <f>'15'!AK15</f>
        <v>0</v>
      </c>
      <c r="AK29" s="128">
        <f>'15'!AL15</f>
        <v>36274033</v>
      </c>
      <c r="AL29" s="128">
        <f>'15'!AM15</f>
        <v>2712543</v>
      </c>
      <c r="AM29" s="129"/>
    </row>
    <row r="30" spans="1:39" s="130" customFormat="1" ht="25.5" customHeight="1" x14ac:dyDescent="0.2">
      <c r="A30" s="134">
        <v>16</v>
      </c>
      <c r="B30" s="132" t="s">
        <v>914</v>
      </c>
      <c r="C30" s="128">
        <f>'16'!D15</f>
        <v>260221042</v>
      </c>
      <c r="D30" s="128">
        <f>'16'!E15</f>
        <v>67190896</v>
      </c>
      <c r="E30" s="128">
        <f>'16'!F15</f>
        <v>34865213</v>
      </c>
      <c r="F30" s="128">
        <f>'16'!G15</f>
        <v>24283004</v>
      </c>
      <c r="G30" s="128">
        <f>'16'!H15</f>
        <v>45049000</v>
      </c>
      <c r="H30" s="128">
        <f>'16'!I15</f>
        <v>0</v>
      </c>
      <c r="I30" s="128">
        <f>'16'!J15</f>
        <v>17509000</v>
      </c>
      <c r="J30" s="128">
        <f>'16'!K15</f>
        <v>27638000</v>
      </c>
      <c r="K30" s="128">
        <f>'16'!L15</f>
        <v>0</v>
      </c>
      <c r="L30" s="128">
        <f>'16'!M15</f>
        <v>83403725</v>
      </c>
      <c r="M30" s="128">
        <f>'16'!N15</f>
        <v>19407321</v>
      </c>
      <c r="N30" s="128">
        <f>'16'!O15</f>
        <v>23100</v>
      </c>
      <c r="O30" s="128">
        <f>'16'!P15</f>
        <v>250752538</v>
      </c>
      <c r="P30" s="128">
        <f>'16'!Q15</f>
        <v>31163224</v>
      </c>
      <c r="Q30" s="128">
        <f>'16'!R15</f>
        <v>29339450</v>
      </c>
      <c r="R30" s="128">
        <f>'16'!S15</f>
        <v>4487788</v>
      </c>
      <c r="S30" s="128">
        <f>'16'!T15</f>
        <v>0</v>
      </c>
      <c r="T30" s="128">
        <f>'16'!U15</f>
        <v>14610855</v>
      </c>
      <c r="U30" s="128">
        <f>'16'!V15</f>
        <v>2793315</v>
      </c>
      <c r="V30" s="128">
        <f>'16'!W15</f>
        <v>38753764</v>
      </c>
      <c r="W30" s="128">
        <f>'16'!X15</f>
        <v>68901954</v>
      </c>
      <c r="X30" s="128">
        <f>'16'!Y15</f>
        <v>13164494</v>
      </c>
      <c r="Y30" s="128">
        <f>'16'!Z15</f>
        <v>36682933</v>
      </c>
      <c r="Z30" s="128">
        <f>'16'!AA15</f>
        <v>11502356</v>
      </c>
      <c r="AA30" s="128">
        <f>'16'!AB15</f>
        <v>-647595</v>
      </c>
      <c r="AB30" s="128">
        <f>'16'!AC15</f>
        <v>21446759</v>
      </c>
      <c r="AC30" s="128">
        <f>'16'!AD15</f>
        <v>2392605</v>
      </c>
      <c r="AD30" s="128">
        <f>'16'!AE15</f>
        <v>16355621</v>
      </c>
      <c r="AE30" s="128">
        <f>'16'!AF15</f>
        <v>1787671</v>
      </c>
      <c r="AF30" s="128">
        <f>'16'!AG15</f>
        <v>39627497</v>
      </c>
      <c r="AG30" s="128">
        <f>'16'!AH15</f>
        <v>92304269</v>
      </c>
      <c r="AH30" s="128">
        <f>'16'!AI15</f>
        <v>13306871</v>
      </c>
      <c r="AI30" s="128">
        <f>'16'!AJ15</f>
        <v>4653701</v>
      </c>
      <c r="AJ30" s="128">
        <f>'16'!AK15</f>
        <v>0</v>
      </c>
      <c r="AK30" s="128">
        <f>'16'!AL15</f>
        <v>52999442</v>
      </c>
      <c r="AL30" s="128">
        <f>'16'!AM15</f>
        <v>5878102</v>
      </c>
      <c r="AM30" s="129"/>
    </row>
    <row r="31" spans="1:39" s="130" customFormat="1" ht="25.5" customHeight="1" x14ac:dyDescent="0.2">
      <c r="A31" s="134">
        <v>17</v>
      </c>
      <c r="B31" s="132" t="s">
        <v>915</v>
      </c>
      <c r="C31" s="128">
        <f>'17'!D15</f>
        <v>310359978</v>
      </c>
      <c r="D31" s="128">
        <f>'17'!E15</f>
        <v>95931491</v>
      </c>
      <c r="E31" s="128">
        <f>'17'!F15</f>
        <v>63288363</v>
      </c>
      <c r="F31" s="128">
        <f>'17'!G15</f>
        <v>29080237</v>
      </c>
      <c r="G31" s="128">
        <f>'17'!H15</f>
        <v>63302589</v>
      </c>
      <c r="H31" s="128">
        <f>'17'!I15</f>
        <v>0</v>
      </c>
      <c r="I31" s="128">
        <f>'17'!J15</f>
        <v>10647000</v>
      </c>
      <c r="J31" s="128">
        <f>'17'!K15</f>
        <v>18410000</v>
      </c>
      <c r="K31" s="128">
        <f>'17'!L15</f>
        <v>0</v>
      </c>
      <c r="L31" s="128">
        <f>'17'!M15</f>
        <v>70259412</v>
      </c>
      <c r="M31" s="128">
        <f>'17'!N15</f>
        <v>47469343</v>
      </c>
      <c r="N31" s="128">
        <f>'17'!O15</f>
        <v>4340143</v>
      </c>
      <c r="O31" s="128">
        <f>'17'!P15</f>
        <v>351201325</v>
      </c>
      <c r="P31" s="128">
        <f>'17'!Q15</f>
        <v>48576222</v>
      </c>
      <c r="Q31" s="128">
        <f>'17'!R15</f>
        <v>50845348</v>
      </c>
      <c r="R31" s="128">
        <f>'17'!S15</f>
        <v>1031989</v>
      </c>
      <c r="S31" s="128">
        <f>'17'!T15</f>
        <v>0</v>
      </c>
      <c r="T31" s="128">
        <f>'17'!U15</f>
        <v>31366369</v>
      </c>
      <c r="U31" s="128">
        <f>'17'!V15</f>
        <v>12306366</v>
      </c>
      <c r="V31" s="128">
        <f>'17'!W15</f>
        <v>103336580</v>
      </c>
      <c r="W31" s="128">
        <f>'17'!X15</f>
        <v>65976151</v>
      </c>
      <c r="X31" s="128">
        <f>'17'!Y15</f>
        <v>4780666</v>
      </c>
      <c r="Y31" s="128">
        <f>'17'!Z15</f>
        <v>29779977</v>
      </c>
      <c r="Z31" s="128">
        <f>'17'!AA15</f>
        <v>3774570</v>
      </c>
      <c r="AA31" s="128">
        <f>'17'!AB15</f>
        <v>-572913</v>
      </c>
      <c r="AB31" s="128">
        <f>'17'!AC15</f>
        <v>57229790</v>
      </c>
      <c r="AC31" s="128">
        <f>'17'!AD15</f>
        <v>1373076</v>
      </c>
      <c r="AD31" s="128">
        <f>'17'!AE15</f>
        <v>30081497</v>
      </c>
      <c r="AE31" s="128">
        <f>'17'!AF15</f>
        <v>20635463</v>
      </c>
      <c r="AF31" s="128">
        <f>'17'!AG15</f>
        <v>26544608</v>
      </c>
      <c r="AG31" s="128">
        <f>'17'!AH15</f>
        <v>101335898</v>
      </c>
      <c r="AH31" s="128">
        <f>'17'!AI15</f>
        <v>4239381</v>
      </c>
      <c r="AI31" s="128">
        <f>'17'!AJ15</f>
        <v>59345111</v>
      </c>
      <c r="AJ31" s="128">
        <f>'17'!AK15</f>
        <v>0</v>
      </c>
      <c r="AK31" s="128">
        <f>'17'!AL15</f>
        <v>49136351</v>
      </c>
      <c r="AL31" s="128">
        <f>'17'!AM15</f>
        <v>1280150</v>
      </c>
      <c r="AM31" s="129"/>
    </row>
    <row r="32" spans="1:39" s="130" customFormat="1" ht="25.5" customHeight="1" x14ac:dyDescent="0.2">
      <c r="A32" s="134">
        <v>18</v>
      </c>
      <c r="B32" s="132" t="s">
        <v>916</v>
      </c>
      <c r="C32" s="128">
        <f>'18'!D15</f>
        <v>215585654</v>
      </c>
      <c r="D32" s="128">
        <f>'18'!E15</f>
        <v>82907892</v>
      </c>
      <c r="E32" s="128">
        <f>'18'!F15</f>
        <v>50301482</v>
      </c>
      <c r="F32" s="128">
        <f>'18'!G15</f>
        <v>30568959</v>
      </c>
      <c r="G32" s="128">
        <f>'18'!H15</f>
        <v>55655852</v>
      </c>
      <c r="H32" s="128">
        <f>'18'!I15</f>
        <v>0</v>
      </c>
      <c r="I32" s="128">
        <f>'18'!J15</f>
        <v>8000000</v>
      </c>
      <c r="J32" s="128">
        <f>'18'!K15</f>
        <v>11590000</v>
      </c>
      <c r="K32" s="128">
        <f>'18'!L15</f>
        <v>0</v>
      </c>
      <c r="L32" s="128">
        <f>'18'!M15</f>
        <v>51001078</v>
      </c>
      <c r="M32" s="128">
        <f>'18'!N15</f>
        <v>6414832</v>
      </c>
      <c r="N32" s="128">
        <f>'18'!O15</f>
        <v>16000</v>
      </c>
      <c r="O32" s="128">
        <f>'18'!P15</f>
        <v>206534339</v>
      </c>
      <c r="P32" s="128">
        <f>'18'!Q15</f>
        <v>48198621</v>
      </c>
      <c r="Q32" s="128">
        <f>'18'!R15</f>
        <v>17401082</v>
      </c>
      <c r="R32" s="128">
        <f>'18'!S15</f>
        <v>0</v>
      </c>
      <c r="S32" s="128">
        <f>'18'!T15</f>
        <v>0</v>
      </c>
      <c r="T32" s="128">
        <f>'18'!U15</f>
        <v>38631628</v>
      </c>
      <c r="U32" s="128">
        <f>'18'!V15</f>
        <v>10549330</v>
      </c>
      <c r="V32" s="128">
        <f>'18'!W15</f>
        <v>15088355</v>
      </c>
      <c r="W32" s="128">
        <f>'18'!X15</f>
        <v>59115685</v>
      </c>
      <c r="X32" s="128">
        <f>'18'!Y15</f>
        <v>4736690</v>
      </c>
      <c r="Y32" s="128">
        <f>'18'!Z15</f>
        <v>13164648</v>
      </c>
      <c r="Z32" s="128">
        <f>'18'!AA15</f>
        <v>0</v>
      </c>
      <c r="AA32" s="128">
        <f>'18'!AB15</f>
        <v>-351700</v>
      </c>
      <c r="AB32" s="128">
        <f>'18'!AC15</f>
        <v>28476938</v>
      </c>
      <c r="AC32" s="128">
        <f>'18'!AD15</f>
        <v>1064558</v>
      </c>
      <c r="AD32" s="128">
        <f>'18'!AE15</f>
        <v>29140522</v>
      </c>
      <c r="AE32" s="128">
        <f>'18'!AF15</f>
        <v>13986499</v>
      </c>
      <c r="AF32" s="128">
        <f>'18'!AG15</f>
        <v>24546235</v>
      </c>
      <c r="AG32" s="128">
        <f>'18'!AH15</f>
        <v>86054893</v>
      </c>
      <c r="AH32" s="128">
        <f>'18'!AI15</f>
        <v>0</v>
      </c>
      <c r="AI32" s="128">
        <f>'18'!AJ15</f>
        <v>0</v>
      </c>
      <c r="AJ32" s="128">
        <f>'18'!AK15</f>
        <v>0</v>
      </c>
      <c r="AK32" s="128">
        <f>'18'!AL15</f>
        <v>20976084</v>
      </c>
      <c r="AL32" s="128">
        <f>'18'!AM15</f>
        <v>2288610</v>
      </c>
      <c r="AM32" s="129"/>
    </row>
    <row r="33" spans="1:39" s="130" customFormat="1" ht="25.5" customHeight="1" x14ac:dyDescent="0.2">
      <c r="A33" s="134">
        <v>19</v>
      </c>
      <c r="B33" s="132" t="s">
        <v>917</v>
      </c>
      <c r="C33" s="128">
        <f>'19'!D15</f>
        <v>187691915</v>
      </c>
      <c r="D33" s="128">
        <f>'19'!E15</f>
        <v>39125064</v>
      </c>
      <c r="E33" s="128">
        <f>'19'!F15</f>
        <v>16817485</v>
      </c>
      <c r="F33" s="128">
        <f>'19'!G15</f>
        <v>17158816</v>
      </c>
      <c r="G33" s="128">
        <f>'19'!H15</f>
        <v>20792599</v>
      </c>
      <c r="H33" s="128">
        <f>'19'!I15</f>
        <v>0</v>
      </c>
      <c r="I33" s="128">
        <f>'19'!J15</f>
        <v>4885000</v>
      </c>
      <c r="J33" s="128">
        <f>'19'!K15</f>
        <v>53268070</v>
      </c>
      <c r="K33" s="128">
        <f>'19'!L15</f>
        <v>0</v>
      </c>
      <c r="L33" s="128">
        <f>'19'!M15</f>
        <v>45495444</v>
      </c>
      <c r="M33" s="128">
        <f>'19'!N15</f>
        <v>23490613</v>
      </c>
      <c r="N33" s="128">
        <f>'19'!O15</f>
        <v>635125</v>
      </c>
      <c r="O33" s="128">
        <f>'19'!P15</f>
        <v>170502322</v>
      </c>
      <c r="P33" s="128">
        <f>'19'!Q15</f>
        <v>22507548</v>
      </c>
      <c r="Q33" s="128">
        <f>'19'!R15</f>
        <v>16129296</v>
      </c>
      <c r="R33" s="128">
        <f>'19'!S15</f>
        <v>2484747</v>
      </c>
      <c r="S33" s="128">
        <f>'19'!T15</f>
        <v>0</v>
      </c>
      <c r="T33" s="128">
        <f>'19'!U15</f>
        <v>59088082</v>
      </c>
      <c r="U33" s="128">
        <f>'19'!V15</f>
        <v>0</v>
      </c>
      <c r="V33" s="128">
        <f>'19'!W15</f>
        <v>44791192</v>
      </c>
      <c r="W33" s="128">
        <f>'19'!X15</f>
        <v>5180134</v>
      </c>
      <c r="X33" s="128">
        <f>'19'!Y15</f>
        <v>6051940</v>
      </c>
      <c r="Y33" s="128">
        <f>'19'!Z15</f>
        <v>9316867</v>
      </c>
      <c r="Z33" s="128">
        <f>'19'!AA15</f>
        <v>5076751</v>
      </c>
      <c r="AA33" s="128">
        <f>'19'!AB15</f>
        <v>-124235</v>
      </c>
      <c r="AB33" s="128">
        <f>'19'!AC15</f>
        <v>12098963</v>
      </c>
      <c r="AC33" s="128">
        <f>'19'!AD15</f>
        <v>717599</v>
      </c>
      <c r="AD33" s="128">
        <f>'19'!AE15</f>
        <v>7114587</v>
      </c>
      <c r="AE33" s="128">
        <f>'19'!AF15</f>
        <v>12234476</v>
      </c>
      <c r="AF33" s="128">
        <f>'19'!AG15</f>
        <v>13337247</v>
      </c>
      <c r="AG33" s="128">
        <f>'19'!AH15</f>
        <v>63964550</v>
      </c>
      <c r="AH33" s="128">
        <f>'19'!AI15</f>
        <v>3485087</v>
      </c>
      <c r="AI33" s="128">
        <f>'19'!AJ15</f>
        <v>5291926</v>
      </c>
      <c r="AJ33" s="128">
        <f>'19'!AK15</f>
        <v>0</v>
      </c>
      <c r="AK33" s="128">
        <f>'19'!AL15</f>
        <v>49306266</v>
      </c>
      <c r="AL33" s="128">
        <f>'19'!AM15</f>
        <v>2951621</v>
      </c>
      <c r="AM33" s="129"/>
    </row>
    <row r="34" spans="1:39" s="130" customFormat="1" ht="25.5" customHeight="1" x14ac:dyDescent="0.2">
      <c r="A34" s="134">
        <v>20</v>
      </c>
      <c r="B34" s="132" t="s">
        <v>918</v>
      </c>
      <c r="C34" s="128">
        <f>'20'!D15</f>
        <v>228493947</v>
      </c>
      <c r="D34" s="128">
        <f>'20'!E15</f>
        <v>63197245</v>
      </c>
      <c r="E34" s="128">
        <f>'20'!F15</f>
        <v>34169628</v>
      </c>
      <c r="F34" s="128">
        <f>'20'!G15</f>
        <v>27168085</v>
      </c>
      <c r="G34" s="128">
        <f>'20'!H15</f>
        <v>37902121</v>
      </c>
      <c r="H34" s="128">
        <f>'20'!I15</f>
        <v>0</v>
      </c>
      <c r="I34" s="128">
        <f>'20'!J15</f>
        <v>10500000</v>
      </c>
      <c r="J34" s="128">
        <f>'20'!K15</f>
        <v>25596881</v>
      </c>
      <c r="K34" s="128">
        <f>'20'!L15</f>
        <v>0</v>
      </c>
      <c r="L34" s="128">
        <f>'20'!M15</f>
        <v>73008548</v>
      </c>
      <c r="M34" s="128">
        <f>'20'!N15</f>
        <v>18264662</v>
      </c>
      <c r="N34" s="128">
        <f>'20'!O15</f>
        <v>24490</v>
      </c>
      <c r="O34" s="128">
        <f>'20'!P15</f>
        <v>226926546</v>
      </c>
      <c r="P34" s="128">
        <f>'20'!Q15</f>
        <v>43915387</v>
      </c>
      <c r="Q34" s="128">
        <f>'20'!R15</f>
        <v>25252380</v>
      </c>
      <c r="R34" s="128">
        <f>'20'!S15</f>
        <v>603000</v>
      </c>
      <c r="S34" s="128">
        <f>'20'!T15</f>
        <v>0</v>
      </c>
      <c r="T34" s="128">
        <f>'20'!U15</f>
        <v>17790257</v>
      </c>
      <c r="U34" s="128">
        <f>'20'!V15</f>
        <v>18000</v>
      </c>
      <c r="V34" s="128">
        <f>'20'!W15</f>
        <v>48826521</v>
      </c>
      <c r="W34" s="128">
        <f>'20'!X15</f>
        <v>52327044</v>
      </c>
      <c r="X34" s="128">
        <f>'20'!Y15</f>
        <v>5707803</v>
      </c>
      <c r="Y34" s="128">
        <f>'20'!Z15</f>
        <v>29627410</v>
      </c>
      <c r="Z34" s="128">
        <f>'20'!AA15</f>
        <v>3008592</v>
      </c>
      <c r="AA34" s="128">
        <f>'20'!AB15</f>
        <v>-149848</v>
      </c>
      <c r="AB34" s="128">
        <f>'20'!AC15</f>
        <v>21413313</v>
      </c>
      <c r="AC34" s="128">
        <f>'20'!AD15</f>
        <v>384987</v>
      </c>
      <c r="AD34" s="128">
        <f>'20'!AE15</f>
        <v>15684303</v>
      </c>
      <c r="AE34" s="128">
        <f>'20'!AF15</f>
        <v>19829561</v>
      </c>
      <c r="AF34" s="128">
        <f>'20'!AG15</f>
        <v>13932560</v>
      </c>
      <c r="AG34" s="128">
        <f>'20'!AH15</f>
        <v>82432420</v>
      </c>
      <c r="AH34" s="128">
        <f>'20'!AI15</f>
        <v>1245433</v>
      </c>
      <c r="AI34" s="128">
        <f>'20'!AJ15</f>
        <v>700395</v>
      </c>
      <c r="AJ34" s="128">
        <f>'20'!AK15</f>
        <v>0</v>
      </c>
      <c r="AK34" s="128">
        <f>'20'!AL15</f>
        <v>69950247</v>
      </c>
      <c r="AL34" s="128">
        <f>'20'!AM15</f>
        <v>1353327</v>
      </c>
      <c r="AM34" s="129"/>
    </row>
    <row r="35" spans="1:39" s="130" customFormat="1" ht="25.5" customHeight="1" x14ac:dyDescent="0.2">
      <c r="A35" s="134">
        <v>21</v>
      </c>
      <c r="B35" s="132" t="s">
        <v>919</v>
      </c>
      <c r="C35" s="128">
        <f>'21'!D15</f>
        <v>221607598</v>
      </c>
      <c r="D35" s="128">
        <f>'21'!E15</f>
        <v>49905371</v>
      </c>
      <c r="E35" s="128">
        <f>'21'!F15</f>
        <v>25617613</v>
      </c>
      <c r="F35" s="128">
        <f>'21'!G15</f>
        <v>20497996</v>
      </c>
      <c r="G35" s="128">
        <f>'21'!H15</f>
        <v>40464926</v>
      </c>
      <c r="H35" s="128">
        <f>'21'!I15</f>
        <v>0</v>
      </c>
      <c r="I35" s="128">
        <f>'21'!J15</f>
        <v>3729270</v>
      </c>
      <c r="J35" s="128">
        <f>'21'!K15</f>
        <v>40367000</v>
      </c>
      <c r="K35" s="128">
        <f>'21'!L15</f>
        <v>0</v>
      </c>
      <c r="L35" s="128">
        <f>'21'!M15</f>
        <v>51170013</v>
      </c>
      <c r="M35" s="128">
        <f>'21'!N15</f>
        <v>35617825</v>
      </c>
      <c r="N35" s="128">
        <f>'21'!O15</f>
        <v>353193</v>
      </c>
      <c r="O35" s="128">
        <f>'21'!P15</f>
        <v>252105415</v>
      </c>
      <c r="P35" s="128">
        <f>'21'!Q15</f>
        <v>30598434</v>
      </c>
      <c r="Q35" s="128">
        <f>'21'!R15</f>
        <v>30247345</v>
      </c>
      <c r="R35" s="128">
        <f>'21'!S15</f>
        <v>1543299</v>
      </c>
      <c r="S35" s="128">
        <f>'21'!T15</f>
        <v>0</v>
      </c>
      <c r="T35" s="128">
        <f>'21'!U15</f>
        <v>15563448</v>
      </c>
      <c r="U35" s="128">
        <f>'21'!V15</f>
        <v>435233</v>
      </c>
      <c r="V35" s="128">
        <f>'21'!W15</f>
        <v>118820167</v>
      </c>
      <c r="W35" s="128">
        <f>'21'!X15</f>
        <v>33595990</v>
      </c>
      <c r="X35" s="128">
        <f>'21'!Y15</f>
        <v>10889242</v>
      </c>
      <c r="Y35" s="128">
        <f>'21'!Z15</f>
        <v>9232013</v>
      </c>
      <c r="Z35" s="128">
        <f>'21'!AA15</f>
        <v>2089778</v>
      </c>
      <c r="AA35" s="128">
        <f>'21'!AB15</f>
        <v>-909534</v>
      </c>
      <c r="AB35" s="128">
        <f>'21'!AC15</f>
        <v>22309555</v>
      </c>
      <c r="AC35" s="128">
        <f>'21'!AD15</f>
        <v>553481</v>
      </c>
      <c r="AD35" s="128">
        <f>'21'!AE15</f>
        <v>12520911</v>
      </c>
      <c r="AE35" s="128">
        <f>'21'!AF15</f>
        <v>9374016</v>
      </c>
      <c r="AF35" s="128">
        <f>'21'!AG15</f>
        <v>15904022</v>
      </c>
      <c r="AG35" s="128">
        <f>'21'!AH15</f>
        <v>58934851</v>
      </c>
      <c r="AH35" s="128">
        <f>'21'!AI15</f>
        <v>893936</v>
      </c>
      <c r="AI35" s="128">
        <f>'21'!AJ15</f>
        <v>89931652</v>
      </c>
      <c r="AJ35" s="128">
        <f>'21'!AK15</f>
        <v>0</v>
      </c>
      <c r="AK35" s="128">
        <f>'21'!AL15</f>
        <v>25748812</v>
      </c>
      <c r="AL35" s="128">
        <f>'21'!AM15</f>
        <v>15934179</v>
      </c>
      <c r="AM35" s="129"/>
    </row>
    <row r="36" spans="1:39" s="130" customFormat="1" ht="25.5" customHeight="1" x14ac:dyDescent="0.2">
      <c r="A36" s="134">
        <v>22</v>
      </c>
      <c r="B36" s="132" t="s">
        <v>920</v>
      </c>
      <c r="C36" s="128">
        <f>'22'!D15</f>
        <v>450397735</v>
      </c>
      <c r="D36" s="128">
        <f>'22'!E15</f>
        <v>73776631</v>
      </c>
      <c r="E36" s="128">
        <f>'22'!F15</f>
        <v>43815767</v>
      </c>
      <c r="F36" s="128">
        <f>'22'!G15</f>
        <v>27739681</v>
      </c>
      <c r="G36" s="128">
        <f>'22'!H15</f>
        <v>43889128</v>
      </c>
      <c r="H36" s="128">
        <f>'22'!I15</f>
        <v>0</v>
      </c>
      <c r="I36" s="128">
        <f>'22'!J15</f>
        <v>9340000</v>
      </c>
      <c r="J36" s="128">
        <f>'22'!K15</f>
        <v>21943000</v>
      </c>
      <c r="K36" s="128">
        <f>'22'!L15</f>
        <v>0</v>
      </c>
      <c r="L36" s="128">
        <f>'22'!M15</f>
        <v>149103159</v>
      </c>
      <c r="M36" s="128">
        <f>'22'!N15</f>
        <v>149754349</v>
      </c>
      <c r="N36" s="128">
        <f>'22'!O15</f>
        <v>2591468</v>
      </c>
      <c r="O36" s="128">
        <f>'22'!P15</f>
        <v>435598798</v>
      </c>
      <c r="P36" s="128">
        <f>'22'!Q15</f>
        <v>31050588</v>
      </c>
      <c r="Q36" s="128">
        <f>'22'!R15</f>
        <v>23467134</v>
      </c>
      <c r="R36" s="128">
        <f>'22'!S15</f>
        <v>2533908</v>
      </c>
      <c r="S36" s="128">
        <f>'22'!T15</f>
        <v>0</v>
      </c>
      <c r="T36" s="128">
        <f>'22'!U15</f>
        <v>33667729</v>
      </c>
      <c r="U36" s="128">
        <f>'22'!V15</f>
        <v>9331520</v>
      </c>
      <c r="V36" s="128">
        <f>'22'!W15</f>
        <v>225695433</v>
      </c>
      <c r="W36" s="128">
        <f>'22'!X15</f>
        <v>79102762</v>
      </c>
      <c r="X36" s="128">
        <f>'22'!Y15</f>
        <v>8343800</v>
      </c>
      <c r="Y36" s="128">
        <f>'22'!Z15</f>
        <v>19136611</v>
      </c>
      <c r="Z36" s="128">
        <f>'22'!AA15</f>
        <v>3360000</v>
      </c>
      <c r="AA36" s="128">
        <f>'22'!AB15</f>
        <v>-90687</v>
      </c>
      <c r="AB36" s="128">
        <f>'22'!AC15</f>
        <v>29273564</v>
      </c>
      <c r="AC36" s="128">
        <f>'22'!AD15</f>
        <v>312780</v>
      </c>
      <c r="AD36" s="128">
        <f>'22'!AE15</f>
        <v>21931432</v>
      </c>
      <c r="AE36" s="128">
        <f>'22'!AF15</f>
        <v>12177446</v>
      </c>
      <c r="AF36" s="128">
        <f>'22'!AG15</f>
        <v>22323418</v>
      </c>
      <c r="AG36" s="128">
        <f>'22'!AH15</f>
        <v>98322343</v>
      </c>
      <c r="AH36" s="128">
        <f>'22'!AI15</f>
        <v>0</v>
      </c>
      <c r="AI36" s="128">
        <f>'22'!AJ15</f>
        <v>193633258</v>
      </c>
      <c r="AJ36" s="128">
        <f>'22'!AK15</f>
        <v>0</v>
      </c>
      <c r="AK36" s="128">
        <f>'22'!AL15</f>
        <v>50851013</v>
      </c>
      <c r="AL36" s="128">
        <f>'22'!AM15</f>
        <v>6773544</v>
      </c>
      <c r="AM36" s="129"/>
    </row>
    <row r="37" spans="1:39" s="130" customFormat="1" ht="25.5" customHeight="1" x14ac:dyDescent="0.2">
      <c r="A37" s="134">
        <v>23</v>
      </c>
      <c r="B37" s="132" t="s">
        <v>921</v>
      </c>
      <c r="C37" s="128">
        <f>'23'!D15</f>
        <v>152513420</v>
      </c>
      <c r="D37" s="128">
        <f>'23'!E15</f>
        <v>40893179</v>
      </c>
      <c r="E37" s="128">
        <f>'23'!F15</f>
        <v>18957478</v>
      </c>
      <c r="F37" s="128">
        <f>'23'!G15</f>
        <v>16977834</v>
      </c>
      <c r="G37" s="128">
        <f>'23'!H15</f>
        <v>23466215</v>
      </c>
      <c r="H37" s="128">
        <f>'23'!I15</f>
        <v>0</v>
      </c>
      <c r="I37" s="128">
        <f>'23'!J15</f>
        <v>3500000</v>
      </c>
      <c r="J37" s="128">
        <f>'23'!K15</f>
        <v>46876000</v>
      </c>
      <c r="K37" s="128">
        <f>'23'!L15</f>
        <v>0</v>
      </c>
      <c r="L37" s="128">
        <f>'23'!M15</f>
        <v>36098391</v>
      </c>
      <c r="M37" s="128">
        <f>'23'!N15</f>
        <v>1587355</v>
      </c>
      <c r="N37" s="128">
        <f>'23'!O15</f>
        <v>92280</v>
      </c>
      <c r="O37" s="128">
        <f>'23'!P15</f>
        <v>103993445</v>
      </c>
      <c r="P37" s="128">
        <f>'23'!Q15</f>
        <v>14611932</v>
      </c>
      <c r="Q37" s="128">
        <f>'23'!R15</f>
        <v>11597173</v>
      </c>
      <c r="R37" s="128">
        <f>'23'!S15</f>
        <v>655183</v>
      </c>
      <c r="S37" s="128">
        <f>'23'!T15</f>
        <v>0</v>
      </c>
      <c r="T37" s="128">
        <f>'23'!U15</f>
        <v>18006995</v>
      </c>
      <c r="U37" s="128">
        <f>'23'!V15</f>
        <v>18156</v>
      </c>
      <c r="V37" s="128">
        <f>'23'!W15</f>
        <v>2599482</v>
      </c>
      <c r="W37" s="128">
        <f>'23'!X15</f>
        <v>36143941</v>
      </c>
      <c r="X37" s="128">
        <f>'23'!Y15</f>
        <v>1945879</v>
      </c>
      <c r="Y37" s="128">
        <f>'23'!Z15</f>
        <v>14534558</v>
      </c>
      <c r="Z37" s="128">
        <f>'23'!AA15</f>
        <v>3950000</v>
      </c>
      <c r="AA37" s="128">
        <f>'23'!AB15</f>
        <v>-69854</v>
      </c>
      <c r="AB37" s="128">
        <f>'23'!AC15</f>
        <v>10941260</v>
      </c>
      <c r="AC37" s="128">
        <f>'23'!AD15</f>
        <v>419952</v>
      </c>
      <c r="AD37" s="128">
        <f>'23'!AE15</f>
        <v>8549977</v>
      </c>
      <c r="AE37" s="128">
        <f>'23'!AF15</f>
        <v>5887179</v>
      </c>
      <c r="AF37" s="128">
        <f>'23'!AG15</f>
        <v>7237905</v>
      </c>
      <c r="AG37" s="128">
        <f>'23'!AH15</f>
        <v>54139645</v>
      </c>
      <c r="AH37" s="128">
        <f>'23'!AI15</f>
        <v>320828</v>
      </c>
      <c r="AI37" s="128">
        <f>'23'!AJ15</f>
        <v>73095</v>
      </c>
      <c r="AJ37" s="128">
        <f>'23'!AK15</f>
        <v>0</v>
      </c>
      <c r="AK37" s="128">
        <f>'23'!AL15</f>
        <v>14919502</v>
      </c>
      <c r="AL37" s="128">
        <f>'23'!AM15</f>
        <v>1504102</v>
      </c>
      <c r="AM37" s="129"/>
    </row>
    <row r="38" spans="1:39" s="130" customFormat="1" ht="25.5" customHeight="1" x14ac:dyDescent="0.2">
      <c r="A38" s="134">
        <v>24</v>
      </c>
      <c r="B38" s="132" t="s">
        <v>922</v>
      </c>
      <c r="C38" s="128">
        <f>'24'!D15</f>
        <v>517844713</v>
      </c>
      <c r="D38" s="128">
        <f>'24'!E15</f>
        <v>127490499</v>
      </c>
      <c r="E38" s="128">
        <f>'24'!F15</f>
        <v>85305031</v>
      </c>
      <c r="F38" s="128">
        <f>'24'!G15</f>
        <v>35468718</v>
      </c>
      <c r="G38" s="128">
        <f>'24'!H15</f>
        <v>129457686</v>
      </c>
      <c r="H38" s="128">
        <f>'24'!I15</f>
        <v>0</v>
      </c>
      <c r="I38" s="128">
        <f>'24'!J15</f>
        <v>17110000</v>
      </c>
      <c r="J38" s="128">
        <f>'24'!K15</f>
        <v>26387990</v>
      </c>
      <c r="K38" s="128">
        <f>'24'!L15</f>
        <v>0</v>
      </c>
      <c r="L38" s="128">
        <f>'24'!M15</f>
        <v>138110040</v>
      </c>
      <c r="M38" s="128">
        <f>'24'!N15</f>
        <v>77447783</v>
      </c>
      <c r="N38" s="128">
        <f>'24'!O15</f>
        <v>1840715</v>
      </c>
      <c r="O38" s="128">
        <f>'24'!P15</f>
        <v>518395669</v>
      </c>
      <c r="P38" s="128">
        <f>'24'!Q15</f>
        <v>94645825</v>
      </c>
      <c r="Q38" s="128">
        <f>'24'!R15</f>
        <v>34888238</v>
      </c>
      <c r="R38" s="128">
        <f>'24'!S15</f>
        <v>0</v>
      </c>
      <c r="S38" s="128">
        <f>'24'!T15</f>
        <v>0</v>
      </c>
      <c r="T38" s="128">
        <f>'24'!U15</f>
        <v>65464716</v>
      </c>
      <c r="U38" s="128">
        <f>'24'!V15</f>
        <v>41681267</v>
      </c>
      <c r="V38" s="128">
        <f>'24'!W15</f>
        <v>175008409</v>
      </c>
      <c r="W38" s="128">
        <f>'24'!X15</f>
        <v>117528409</v>
      </c>
      <c r="X38" s="128">
        <f>'24'!Y15</f>
        <v>12867567</v>
      </c>
      <c r="Y38" s="128">
        <f>'24'!Z15</f>
        <v>5639867</v>
      </c>
      <c r="Z38" s="128">
        <f>'24'!AA15</f>
        <v>0</v>
      </c>
      <c r="AA38" s="128">
        <f>'24'!AB15</f>
        <v>-29328629</v>
      </c>
      <c r="AB38" s="128">
        <f>'24'!AC15</f>
        <v>12969160</v>
      </c>
      <c r="AC38" s="128">
        <f>'24'!AD15</f>
        <v>2712198</v>
      </c>
      <c r="AD38" s="128">
        <f>'24'!AE15</f>
        <v>53211096</v>
      </c>
      <c r="AE38" s="128">
        <f>'24'!AF15</f>
        <v>18585208</v>
      </c>
      <c r="AF38" s="128">
        <f>'24'!AG15</f>
        <v>41543171</v>
      </c>
      <c r="AG38" s="128">
        <f>'24'!AH15</f>
        <v>184542938</v>
      </c>
      <c r="AH38" s="128">
        <f>'24'!AI15</f>
        <v>2318000</v>
      </c>
      <c r="AI38" s="128">
        <f>'24'!AJ15</f>
        <v>128821199</v>
      </c>
      <c r="AJ38" s="128">
        <f>'24'!AK15</f>
        <v>0</v>
      </c>
      <c r="AK38" s="128">
        <f>'24'!AL15</f>
        <v>46946191</v>
      </c>
      <c r="AL38" s="128">
        <f>'24'!AM15</f>
        <v>26746508</v>
      </c>
      <c r="AM38" s="129"/>
    </row>
    <row r="39" spans="1:39" s="130" customFormat="1" ht="25.5" customHeight="1" x14ac:dyDescent="0.2">
      <c r="A39" s="134">
        <v>25</v>
      </c>
      <c r="B39" s="132" t="s">
        <v>923</v>
      </c>
      <c r="C39" s="128">
        <f>'25'!D15</f>
        <v>251999857</v>
      </c>
      <c r="D39" s="128">
        <f>'25'!E15</f>
        <v>140143814</v>
      </c>
      <c r="E39" s="128">
        <f>'25'!F15</f>
        <v>98709292</v>
      </c>
      <c r="F39" s="128">
        <f>'25'!G15</f>
        <v>39097978</v>
      </c>
      <c r="G39" s="128">
        <f>'25'!H15</f>
        <v>29877076</v>
      </c>
      <c r="H39" s="128">
        <f>'25'!I15</f>
        <v>0</v>
      </c>
      <c r="I39" s="128">
        <f>'25'!J15</f>
        <v>2004000</v>
      </c>
      <c r="J39" s="128">
        <f>'25'!K15</f>
        <v>2924000</v>
      </c>
      <c r="K39" s="128">
        <f>'25'!L15</f>
        <v>0</v>
      </c>
      <c r="L39" s="128">
        <f>'25'!M15</f>
        <v>44261244</v>
      </c>
      <c r="M39" s="128">
        <f>'25'!N15</f>
        <v>32789723</v>
      </c>
      <c r="N39" s="128">
        <f>'25'!O15</f>
        <v>0</v>
      </c>
      <c r="O39" s="128">
        <f>'25'!P15</f>
        <v>278639310</v>
      </c>
      <c r="P39" s="128">
        <f>'25'!Q15</f>
        <v>26021529</v>
      </c>
      <c r="Q39" s="128">
        <f>'25'!R15</f>
        <v>23347235</v>
      </c>
      <c r="R39" s="128">
        <f>'25'!S15</f>
        <v>2091652</v>
      </c>
      <c r="S39" s="128">
        <f>'25'!T15</f>
        <v>0</v>
      </c>
      <c r="T39" s="128">
        <f>'25'!U15</f>
        <v>27035996</v>
      </c>
      <c r="U39" s="128">
        <f>'25'!V15</f>
        <v>38401793</v>
      </c>
      <c r="V39" s="128">
        <f>'25'!W15</f>
        <v>85541720</v>
      </c>
      <c r="W39" s="128">
        <f>'25'!X15</f>
        <v>41146438</v>
      </c>
      <c r="X39" s="128">
        <f>'25'!Y15</f>
        <v>2997672</v>
      </c>
      <c r="Y39" s="128">
        <f>'25'!Z15</f>
        <v>28469661</v>
      </c>
      <c r="Z39" s="128">
        <f>'25'!AA15</f>
        <v>3600000</v>
      </c>
      <c r="AA39" s="128">
        <f>'25'!AB15</f>
        <v>-14386</v>
      </c>
      <c r="AB39" s="128">
        <f>'25'!AC15</f>
        <v>97061853</v>
      </c>
      <c r="AC39" s="128">
        <f>'25'!AD15</f>
        <v>893065</v>
      </c>
      <c r="AD39" s="128">
        <f>'25'!AE15</f>
        <v>10995147</v>
      </c>
      <c r="AE39" s="128">
        <f>'25'!AF15</f>
        <v>84962589</v>
      </c>
      <c r="AF39" s="128">
        <f>'25'!AG15</f>
        <v>3553194</v>
      </c>
      <c r="AG39" s="128">
        <f>'25'!AH15</f>
        <v>63344165</v>
      </c>
      <c r="AH39" s="128">
        <f>'25'!AI15</f>
        <v>0</v>
      </c>
      <c r="AI39" s="128">
        <f>'25'!AJ15</f>
        <v>0</v>
      </c>
      <c r="AJ39" s="128">
        <f>'25'!AK15</f>
        <v>0</v>
      </c>
      <c r="AK39" s="128">
        <f>'25'!AL15</f>
        <v>15548040</v>
      </c>
      <c r="AL39" s="128">
        <f>'25'!AM15</f>
        <v>2281257</v>
      </c>
      <c r="AM39" s="129"/>
    </row>
    <row r="40" spans="1:39" s="130" customFormat="1" ht="25.5" customHeight="1" x14ac:dyDescent="0.2">
      <c r="A40" s="134">
        <v>26</v>
      </c>
      <c r="B40" s="132" t="s">
        <v>924</v>
      </c>
      <c r="C40" s="128">
        <f>'26'!D15</f>
        <v>380430343</v>
      </c>
      <c r="D40" s="128">
        <f>'26'!E15</f>
        <v>112545560</v>
      </c>
      <c r="E40" s="128">
        <f>'26'!F15</f>
        <v>37453389</v>
      </c>
      <c r="F40" s="128">
        <f>'26'!G15</f>
        <v>23117262</v>
      </c>
      <c r="G40" s="128">
        <f>'26'!H15</f>
        <v>62015277</v>
      </c>
      <c r="H40" s="128">
        <f>'26'!I15</f>
        <v>0</v>
      </c>
      <c r="I40" s="128">
        <f>'26'!J15</f>
        <v>19497000</v>
      </c>
      <c r="J40" s="128">
        <f>'26'!K15</f>
        <v>33465000</v>
      </c>
      <c r="K40" s="128">
        <f>'26'!L15</f>
        <v>0</v>
      </c>
      <c r="L40" s="128">
        <f>'26'!M15</f>
        <v>90326899</v>
      </c>
      <c r="M40" s="128">
        <f>'26'!N15</f>
        <v>62570671</v>
      </c>
      <c r="N40" s="128">
        <f>'26'!O15</f>
        <v>9936</v>
      </c>
      <c r="O40" s="128">
        <f>'26'!P15</f>
        <v>388696807</v>
      </c>
      <c r="P40" s="128">
        <f>'26'!Q15</f>
        <v>47592257</v>
      </c>
      <c r="Q40" s="128">
        <f>'26'!R15</f>
        <v>56561637</v>
      </c>
      <c r="R40" s="128">
        <f>'26'!S15</f>
        <v>406500</v>
      </c>
      <c r="S40" s="128">
        <f>'26'!T15</f>
        <v>0</v>
      </c>
      <c r="T40" s="128">
        <f>'26'!U15</f>
        <v>25952424</v>
      </c>
      <c r="U40" s="128">
        <f>'26'!V15</f>
        <v>496883</v>
      </c>
      <c r="V40" s="128">
        <f>'26'!W15</f>
        <v>176410255</v>
      </c>
      <c r="W40" s="128">
        <f>'26'!X15</f>
        <v>68035640</v>
      </c>
      <c r="X40" s="128">
        <f>'26'!Y15</f>
        <v>9270407</v>
      </c>
      <c r="Y40" s="128">
        <f>'26'!Z15</f>
        <v>4237831</v>
      </c>
      <c r="Z40" s="128">
        <f>'26'!AA15</f>
        <v>0</v>
      </c>
      <c r="AA40" s="128">
        <f>'26'!AB15</f>
        <v>-267027</v>
      </c>
      <c r="AB40" s="128">
        <f>'26'!AC15</f>
        <v>15258746</v>
      </c>
      <c r="AC40" s="128">
        <f>'26'!AD15</f>
        <v>755071</v>
      </c>
      <c r="AD40" s="128">
        <f>'26'!AE15</f>
        <v>30141936</v>
      </c>
      <c r="AE40" s="128">
        <f>'26'!AF15</f>
        <v>10045234</v>
      </c>
      <c r="AF40" s="128">
        <f>'26'!AG15</f>
        <v>31768321</v>
      </c>
      <c r="AG40" s="128">
        <f>'26'!AH15</f>
        <v>93091325</v>
      </c>
      <c r="AH40" s="128">
        <f>'26'!AI15</f>
        <v>7137</v>
      </c>
      <c r="AI40" s="128">
        <f>'26'!AJ15</f>
        <v>93395238</v>
      </c>
      <c r="AJ40" s="128">
        <f>'26'!AK15</f>
        <v>0</v>
      </c>
      <c r="AK40" s="128">
        <f>'26'!AL15</f>
        <v>105746042</v>
      </c>
      <c r="AL40" s="128">
        <f>'26'!AM15</f>
        <v>8487757</v>
      </c>
      <c r="AM40" s="129"/>
    </row>
    <row r="41" spans="1:39" s="130" customFormat="1" ht="25.5" customHeight="1" x14ac:dyDescent="0.2">
      <c r="A41" s="134">
        <v>27</v>
      </c>
      <c r="B41" s="132" t="s">
        <v>925</v>
      </c>
      <c r="C41" s="128">
        <f>'27'!D15</f>
        <v>233220335</v>
      </c>
      <c r="D41" s="128">
        <f>'27'!E15</f>
        <v>34207903</v>
      </c>
      <c r="E41" s="128">
        <f>'27'!F15</f>
        <v>17171843</v>
      </c>
      <c r="F41" s="128">
        <f>'27'!G15</f>
        <v>14565157</v>
      </c>
      <c r="G41" s="128">
        <f>'27'!H15</f>
        <v>33613360</v>
      </c>
      <c r="H41" s="128">
        <f>'27'!I15</f>
        <v>0</v>
      </c>
      <c r="I41" s="128">
        <f>'27'!J15</f>
        <v>819000</v>
      </c>
      <c r="J41" s="128">
        <f>'27'!K15</f>
        <v>54913120</v>
      </c>
      <c r="K41" s="128">
        <f>'27'!L15</f>
        <v>0</v>
      </c>
      <c r="L41" s="128">
        <f>'27'!M15</f>
        <v>79190765</v>
      </c>
      <c r="M41" s="128">
        <f>'27'!N15</f>
        <v>30360365</v>
      </c>
      <c r="N41" s="128">
        <f>'27'!O15</f>
        <v>115822</v>
      </c>
      <c r="O41" s="128">
        <f>'27'!P15</f>
        <v>243244443</v>
      </c>
      <c r="P41" s="128">
        <f>'27'!Q15</f>
        <v>31073712</v>
      </c>
      <c r="Q41" s="128">
        <f>'27'!R15</f>
        <v>32776755</v>
      </c>
      <c r="R41" s="128">
        <f>'27'!S15</f>
        <v>1446000</v>
      </c>
      <c r="S41" s="128">
        <f>'27'!T15</f>
        <v>0</v>
      </c>
      <c r="T41" s="128">
        <f>'27'!U15</f>
        <v>74483624</v>
      </c>
      <c r="U41" s="128">
        <f>'27'!V15</f>
        <v>0</v>
      </c>
      <c r="V41" s="128">
        <f>'27'!W15</f>
        <v>87473254</v>
      </c>
      <c r="W41" s="128">
        <f>'27'!X15</f>
        <v>3723029</v>
      </c>
      <c r="X41" s="128">
        <f>'27'!Y15</f>
        <v>3134704</v>
      </c>
      <c r="Y41" s="128">
        <f>'27'!Z15</f>
        <v>5804773</v>
      </c>
      <c r="Z41" s="128">
        <f>'27'!AA15</f>
        <v>5099000</v>
      </c>
      <c r="AA41" s="128">
        <f>'27'!AB15</f>
        <v>-1770408</v>
      </c>
      <c r="AB41" s="128">
        <f>'27'!AC15</f>
        <v>11148389</v>
      </c>
      <c r="AC41" s="128">
        <f>'27'!AD15</f>
        <v>1473549</v>
      </c>
      <c r="AD41" s="128">
        <f>'27'!AE15</f>
        <v>14236894</v>
      </c>
      <c r="AE41" s="128">
        <f>'27'!AF15</f>
        <v>10566943</v>
      </c>
      <c r="AF41" s="128">
        <f>'27'!AG15</f>
        <v>16123993</v>
      </c>
      <c r="AG41" s="128">
        <f>'27'!AH15</f>
        <v>88024849</v>
      </c>
      <c r="AH41" s="128">
        <f>'27'!AI15</f>
        <v>561000</v>
      </c>
      <c r="AI41" s="128">
        <f>'27'!AJ15</f>
        <v>65712033</v>
      </c>
      <c r="AJ41" s="128">
        <f>'27'!AK15</f>
        <v>0</v>
      </c>
      <c r="AK41" s="128">
        <f>'27'!AL15</f>
        <v>28723917</v>
      </c>
      <c r="AL41" s="128">
        <f>'27'!AM15</f>
        <v>6672876</v>
      </c>
      <c r="AM41" s="129"/>
    </row>
    <row r="42" spans="1:39" s="130" customFormat="1" ht="25.5" customHeight="1" x14ac:dyDescent="0.2">
      <c r="A42" s="134">
        <v>28</v>
      </c>
      <c r="B42" s="132" t="s">
        <v>926</v>
      </c>
      <c r="C42" s="128">
        <f>'28'!D15</f>
        <v>283769317</v>
      </c>
      <c r="D42" s="128">
        <f>'28'!E15</f>
        <v>93522339</v>
      </c>
      <c r="E42" s="128">
        <f>'28'!F15</f>
        <v>59033793</v>
      </c>
      <c r="F42" s="128">
        <f>'28'!G15</f>
        <v>29298750</v>
      </c>
      <c r="G42" s="128">
        <f>'28'!H15</f>
        <v>74385508</v>
      </c>
      <c r="H42" s="128">
        <f>'28'!I15</f>
        <v>0</v>
      </c>
      <c r="I42" s="128">
        <f>'28'!J15</f>
        <v>7103000</v>
      </c>
      <c r="J42" s="128">
        <f>'28'!K15</f>
        <v>23730790</v>
      </c>
      <c r="K42" s="128">
        <f>'28'!L15</f>
        <v>0</v>
      </c>
      <c r="L42" s="128">
        <f>'28'!M15</f>
        <v>70447498</v>
      </c>
      <c r="M42" s="128">
        <f>'28'!N15</f>
        <v>14493857</v>
      </c>
      <c r="N42" s="128">
        <f>'28'!O15</f>
        <v>86325</v>
      </c>
      <c r="O42" s="128">
        <f>'28'!P15</f>
        <v>273523902</v>
      </c>
      <c r="P42" s="128">
        <f>'28'!Q15</f>
        <v>50510718</v>
      </c>
      <c r="Q42" s="128">
        <f>'28'!R15</f>
        <v>57690858</v>
      </c>
      <c r="R42" s="128">
        <f>'28'!S15</f>
        <v>2010995</v>
      </c>
      <c r="S42" s="128">
        <f>'28'!T15</f>
        <v>0</v>
      </c>
      <c r="T42" s="128">
        <f>'28'!U15</f>
        <v>33471225</v>
      </c>
      <c r="U42" s="128">
        <f>'28'!V15</f>
        <v>7062481</v>
      </c>
      <c r="V42" s="128">
        <f>'28'!W15</f>
        <v>17693530</v>
      </c>
      <c r="W42" s="128">
        <f>'28'!X15</f>
        <v>77265729</v>
      </c>
      <c r="X42" s="128">
        <f>'28'!Y15</f>
        <v>9749301</v>
      </c>
      <c r="Y42" s="128">
        <f>'28'!Z15</f>
        <v>14368552</v>
      </c>
      <c r="Z42" s="128">
        <f>'28'!AA15</f>
        <v>4811957</v>
      </c>
      <c r="AA42" s="128">
        <f>'28'!AB15</f>
        <v>-1111444</v>
      </c>
      <c r="AB42" s="128">
        <f>'28'!AC15</f>
        <v>19054382</v>
      </c>
      <c r="AC42" s="128">
        <f>'28'!AD15</f>
        <v>422502</v>
      </c>
      <c r="AD42" s="128">
        <f>'28'!AE15</f>
        <v>23551062</v>
      </c>
      <c r="AE42" s="128">
        <f>'28'!AF15</f>
        <v>25078149</v>
      </c>
      <c r="AF42" s="128">
        <f>'28'!AG15</f>
        <v>27461974</v>
      </c>
      <c r="AG42" s="128">
        <f>'28'!AH15</f>
        <v>122762266</v>
      </c>
      <c r="AH42" s="128">
        <f>'28'!AI15</f>
        <v>0</v>
      </c>
      <c r="AI42" s="128">
        <f>'28'!AJ15</f>
        <v>3024623</v>
      </c>
      <c r="AJ42" s="128">
        <f>'28'!AK15</f>
        <v>0</v>
      </c>
      <c r="AK42" s="128">
        <f>'28'!AL15</f>
        <v>48138870</v>
      </c>
      <c r="AL42" s="128">
        <f>'28'!AM15</f>
        <v>4030074</v>
      </c>
      <c r="AM42" s="129"/>
    </row>
    <row r="43" spans="1:39" s="130" customFormat="1" ht="25.5" customHeight="1" x14ac:dyDescent="0.2">
      <c r="A43" s="134">
        <v>29</v>
      </c>
      <c r="B43" s="132" t="s">
        <v>927</v>
      </c>
      <c r="C43" s="128">
        <f>'29'!D15</f>
        <v>280210367</v>
      </c>
      <c r="D43" s="128">
        <f>'29'!E15</f>
        <v>58803657</v>
      </c>
      <c r="E43" s="128">
        <f>'29'!F15</f>
        <v>31258527</v>
      </c>
      <c r="F43" s="128">
        <f>'29'!G15</f>
        <v>22739613</v>
      </c>
      <c r="G43" s="128">
        <f>'29'!H15</f>
        <v>73790105</v>
      </c>
      <c r="H43" s="128">
        <f>'29'!I15</f>
        <v>0</v>
      </c>
      <c r="I43" s="128">
        <f>'29'!J15</f>
        <v>4010000</v>
      </c>
      <c r="J43" s="128">
        <f>'29'!K15</f>
        <v>39446000</v>
      </c>
      <c r="K43" s="128">
        <f>'29'!L15</f>
        <v>0</v>
      </c>
      <c r="L43" s="128">
        <f>'29'!M15</f>
        <v>87856829</v>
      </c>
      <c r="M43" s="128">
        <f>'29'!N15</f>
        <v>12614589</v>
      </c>
      <c r="N43" s="128">
        <f>'29'!O15</f>
        <v>3689187</v>
      </c>
      <c r="O43" s="128">
        <f>'29'!P15</f>
        <v>272997404</v>
      </c>
      <c r="P43" s="128">
        <f>'29'!Q15</f>
        <v>54469201</v>
      </c>
      <c r="Q43" s="128">
        <f>'29'!R15</f>
        <v>33965131</v>
      </c>
      <c r="R43" s="128">
        <f>'29'!S15</f>
        <v>1336860</v>
      </c>
      <c r="S43" s="128">
        <f>'29'!T15</f>
        <v>6367602</v>
      </c>
      <c r="T43" s="128">
        <f>'29'!U15</f>
        <v>25045975</v>
      </c>
      <c r="U43" s="128">
        <f>'29'!V15</f>
        <v>5525599</v>
      </c>
      <c r="V43" s="128">
        <f>'29'!W15</f>
        <v>24568604</v>
      </c>
      <c r="W43" s="128">
        <f>'29'!X15</f>
        <v>82900990</v>
      </c>
      <c r="X43" s="128">
        <f>'29'!Y15</f>
        <v>13145774</v>
      </c>
      <c r="Y43" s="128">
        <f>'29'!Z15</f>
        <v>22606354</v>
      </c>
      <c r="Z43" s="128">
        <f>'29'!AA15</f>
        <v>3855516</v>
      </c>
      <c r="AA43" s="128">
        <f>'29'!AB15</f>
        <v>-790202</v>
      </c>
      <c r="AB43" s="128">
        <f>'29'!AC15</f>
        <v>10740871</v>
      </c>
      <c r="AC43" s="128">
        <f>'29'!AD15</f>
        <v>747090</v>
      </c>
      <c r="AD43" s="128">
        <f>'29'!AE15</f>
        <v>47763559</v>
      </c>
      <c r="AE43" s="128">
        <f>'29'!AF15</f>
        <v>17513149</v>
      </c>
      <c r="AF43" s="128">
        <f>'29'!AG15</f>
        <v>24391208</v>
      </c>
      <c r="AG43" s="128">
        <f>'29'!AH15</f>
        <v>121542280</v>
      </c>
      <c r="AH43" s="128">
        <f>'29'!AI15</f>
        <v>5061760</v>
      </c>
      <c r="AI43" s="128">
        <f>'29'!AJ15</f>
        <v>5557347</v>
      </c>
      <c r="AJ43" s="128">
        <f>'29'!AK15</f>
        <v>0</v>
      </c>
      <c r="AK43" s="128">
        <f>'29'!AL15</f>
        <v>37564533</v>
      </c>
      <c r="AL43" s="128">
        <f>'29'!AM15</f>
        <v>2115607</v>
      </c>
      <c r="AM43" s="129"/>
    </row>
    <row r="44" spans="1:39" s="130" customFormat="1" ht="25.5" customHeight="1" x14ac:dyDescent="0.2">
      <c r="A44" s="134">
        <v>30</v>
      </c>
      <c r="B44" s="132" t="s">
        <v>928</v>
      </c>
      <c r="C44" s="128">
        <f>'30'!D15</f>
        <v>245377074</v>
      </c>
      <c r="D44" s="128">
        <f>'30'!E15</f>
        <v>50920254</v>
      </c>
      <c r="E44" s="128">
        <f>'30'!F15</f>
        <v>30623560</v>
      </c>
      <c r="F44" s="128">
        <f>'30'!G15</f>
        <v>17733191</v>
      </c>
      <c r="G44" s="128">
        <f>'30'!H15</f>
        <v>45619257</v>
      </c>
      <c r="H44" s="128">
        <f>'30'!I15</f>
        <v>0</v>
      </c>
      <c r="I44" s="128">
        <f>'30'!J15</f>
        <v>7113000</v>
      </c>
      <c r="J44" s="128">
        <f>'30'!K15</f>
        <v>43411000</v>
      </c>
      <c r="K44" s="128">
        <f>'30'!L15</f>
        <v>0</v>
      </c>
      <c r="L44" s="128">
        <f>'30'!M15</f>
        <v>89900042</v>
      </c>
      <c r="M44" s="128">
        <f>'30'!N15</f>
        <v>7768563</v>
      </c>
      <c r="N44" s="128">
        <f>'30'!O15</f>
        <v>644958</v>
      </c>
      <c r="O44" s="128">
        <f>'30'!P15</f>
        <v>264126091</v>
      </c>
      <c r="P44" s="128">
        <f>'30'!Q15</f>
        <v>43741302</v>
      </c>
      <c r="Q44" s="128">
        <f>'30'!R15</f>
        <v>51560885</v>
      </c>
      <c r="R44" s="128">
        <f>'30'!S15</f>
        <v>2237238</v>
      </c>
      <c r="S44" s="128">
        <f>'30'!T15</f>
        <v>0</v>
      </c>
      <c r="T44" s="128">
        <f>'30'!U15</f>
        <v>21151476</v>
      </c>
      <c r="U44" s="128">
        <f>'30'!V15</f>
        <v>109678</v>
      </c>
      <c r="V44" s="128">
        <f>'30'!W15</f>
        <v>55356768</v>
      </c>
      <c r="W44" s="128">
        <f>'30'!X15</f>
        <v>75976395</v>
      </c>
      <c r="X44" s="128">
        <f>'30'!Y15</f>
        <v>4756376</v>
      </c>
      <c r="Y44" s="128">
        <f>'30'!Z15</f>
        <v>4232850</v>
      </c>
      <c r="Z44" s="128">
        <f>'30'!AA15</f>
        <v>5292050</v>
      </c>
      <c r="AA44" s="128">
        <f>'30'!AB15</f>
        <v>-288927</v>
      </c>
      <c r="AB44" s="128">
        <f>'30'!AC15</f>
        <v>35469534</v>
      </c>
      <c r="AC44" s="128">
        <f>'30'!AD15</f>
        <v>1142996</v>
      </c>
      <c r="AD44" s="128">
        <f>'30'!AE15</f>
        <v>18025622</v>
      </c>
      <c r="AE44" s="128">
        <f>'30'!AF15</f>
        <v>9678177</v>
      </c>
      <c r="AF44" s="128">
        <f>'30'!AG15</f>
        <v>13154730</v>
      </c>
      <c r="AG44" s="128">
        <f>'30'!AH15</f>
        <v>112803609</v>
      </c>
      <c r="AH44" s="128">
        <f>'30'!AI15</f>
        <v>0</v>
      </c>
      <c r="AI44" s="128">
        <f>'30'!AJ15</f>
        <v>45027435</v>
      </c>
      <c r="AJ44" s="128">
        <f>'30'!AK15</f>
        <v>0</v>
      </c>
      <c r="AK44" s="128">
        <f>'30'!AL15</f>
        <v>26806707</v>
      </c>
      <c r="AL44" s="128">
        <f>'30'!AM15</f>
        <v>2017281</v>
      </c>
      <c r="AM44" s="129"/>
    </row>
    <row r="45" spans="1:39" s="130" customFormat="1" ht="25.5" customHeight="1" x14ac:dyDescent="0.2">
      <c r="A45" s="134">
        <v>31</v>
      </c>
      <c r="B45" s="132" t="s">
        <v>929</v>
      </c>
      <c r="C45" s="128">
        <f>'31'!D15</f>
        <v>475498433</v>
      </c>
      <c r="D45" s="128">
        <f>'31'!E15</f>
        <v>137955917</v>
      </c>
      <c r="E45" s="128">
        <f>'31'!F15</f>
        <v>91136813</v>
      </c>
      <c r="F45" s="128">
        <f>'31'!G15</f>
        <v>40374539</v>
      </c>
      <c r="G45" s="128">
        <f>'31'!H15</f>
        <v>74744204</v>
      </c>
      <c r="H45" s="128">
        <f>'31'!I15</f>
        <v>0</v>
      </c>
      <c r="I45" s="128">
        <f>'31'!J15</f>
        <v>5616000</v>
      </c>
      <c r="J45" s="128">
        <f>'31'!K15</f>
        <v>27946840</v>
      </c>
      <c r="K45" s="128">
        <f>'31'!L15</f>
        <v>0</v>
      </c>
      <c r="L45" s="128">
        <f>'31'!M15</f>
        <v>173138704</v>
      </c>
      <c r="M45" s="128">
        <f>'31'!N15</f>
        <v>56072347</v>
      </c>
      <c r="N45" s="128">
        <f>'31'!O15</f>
        <v>24421</v>
      </c>
      <c r="O45" s="128">
        <f>'31'!P15</f>
        <v>505781953</v>
      </c>
      <c r="P45" s="128">
        <f>'31'!Q15</f>
        <v>26410307</v>
      </c>
      <c r="Q45" s="128">
        <f>'31'!R15</f>
        <v>48583276</v>
      </c>
      <c r="R45" s="128">
        <f>'31'!S15</f>
        <v>6539577</v>
      </c>
      <c r="S45" s="128">
        <f>'31'!T15</f>
        <v>0</v>
      </c>
      <c r="T45" s="128">
        <f>'31'!U15</f>
        <v>228104125</v>
      </c>
      <c r="U45" s="128">
        <f>'31'!V15</f>
        <v>14221060</v>
      </c>
      <c r="V45" s="128">
        <f>'31'!W15</f>
        <v>149479617</v>
      </c>
      <c r="W45" s="128">
        <f>'31'!X15</f>
        <v>8235350</v>
      </c>
      <c r="X45" s="128">
        <f>'31'!Y15</f>
        <v>3368469</v>
      </c>
      <c r="Y45" s="128">
        <f>'31'!Z15</f>
        <v>19507262</v>
      </c>
      <c r="Z45" s="128">
        <f>'31'!AA15</f>
        <v>6726865</v>
      </c>
      <c r="AA45" s="128">
        <f>'31'!AB15</f>
        <v>-5393955</v>
      </c>
      <c r="AB45" s="128">
        <f>'31'!AC15</f>
        <v>47636955</v>
      </c>
      <c r="AC45" s="128">
        <f>'31'!AD15</f>
        <v>3800145</v>
      </c>
      <c r="AD45" s="128">
        <f>'31'!AE15</f>
        <v>25690382</v>
      </c>
      <c r="AE45" s="128">
        <f>'31'!AF15</f>
        <v>22709034</v>
      </c>
      <c r="AF45" s="128">
        <f>'31'!AG15</f>
        <v>25478908</v>
      </c>
      <c r="AG45" s="128">
        <f>'31'!AH15</f>
        <v>189197068</v>
      </c>
      <c r="AH45" s="128">
        <f>'31'!AI15</f>
        <v>33235527</v>
      </c>
      <c r="AI45" s="128">
        <f>'31'!AJ15</f>
        <v>82490558</v>
      </c>
      <c r="AJ45" s="128">
        <f>'31'!AK15</f>
        <v>0</v>
      </c>
      <c r="AK45" s="128">
        <f>'31'!AL15</f>
        <v>73354523</v>
      </c>
      <c r="AL45" s="128">
        <f>'31'!AM15</f>
        <v>2188853</v>
      </c>
      <c r="AM45" s="129"/>
    </row>
    <row r="46" spans="1:39" s="130" customFormat="1" ht="25.5" customHeight="1" x14ac:dyDescent="0.2">
      <c r="A46" s="134">
        <v>32</v>
      </c>
      <c r="B46" s="132" t="s">
        <v>930</v>
      </c>
      <c r="C46" s="128">
        <f>'32'!D15</f>
        <v>253622635</v>
      </c>
      <c r="D46" s="128">
        <f>'32'!E15</f>
        <v>62924050</v>
      </c>
      <c r="E46" s="128">
        <f>'32'!F15</f>
        <v>33185016</v>
      </c>
      <c r="F46" s="128">
        <f>'32'!G15</f>
        <v>25748119</v>
      </c>
      <c r="G46" s="128">
        <f>'32'!H15</f>
        <v>42735491</v>
      </c>
      <c r="H46" s="128">
        <f>'32'!I15</f>
        <v>0</v>
      </c>
      <c r="I46" s="128">
        <f>'32'!J15</f>
        <v>19095000</v>
      </c>
      <c r="J46" s="128">
        <f>'32'!K15</f>
        <v>37948370</v>
      </c>
      <c r="K46" s="128">
        <f>'32'!L15</f>
        <v>0</v>
      </c>
      <c r="L46" s="128">
        <f>'32'!M15</f>
        <v>64808965</v>
      </c>
      <c r="M46" s="128">
        <f>'32'!N15</f>
        <v>24609118</v>
      </c>
      <c r="N46" s="128">
        <f>'32'!O15</f>
        <v>1501641</v>
      </c>
      <c r="O46" s="128">
        <f>'32'!P15</f>
        <v>237855844</v>
      </c>
      <c r="P46" s="128">
        <f>'32'!Q15</f>
        <v>40528840</v>
      </c>
      <c r="Q46" s="128">
        <f>'32'!R15</f>
        <v>44977580</v>
      </c>
      <c r="R46" s="128">
        <f>'32'!S15</f>
        <v>1763000</v>
      </c>
      <c r="S46" s="128">
        <f>'32'!T15</f>
        <v>8010000</v>
      </c>
      <c r="T46" s="128">
        <f>'32'!U15</f>
        <v>36194785</v>
      </c>
      <c r="U46" s="128">
        <f>'32'!V15</f>
        <v>1027387</v>
      </c>
      <c r="V46" s="128">
        <f>'32'!W15</f>
        <v>9309902</v>
      </c>
      <c r="W46" s="128">
        <f>'32'!X15</f>
        <v>54164644</v>
      </c>
      <c r="X46" s="128">
        <f>'32'!Y15</f>
        <v>9503636</v>
      </c>
      <c r="Y46" s="128">
        <f>'32'!Z15</f>
        <v>10487991</v>
      </c>
      <c r="Z46" s="128">
        <f>'32'!AA15</f>
        <v>23558076</v>
      </c>
      <c r="AA46" s="128">
        <f>'32'!AB15</f>
        <v>-1669997</v>
      </c>
      <c r="AB46" s="128">
        <f>'32'!AC15</f>
        <v>31754239</v>
      </c>
      <c r="AC46" s="128">
        <f>'32'!AD15</f>
        <v>1157479</v>
      </c>
      <c r="AD46" s="128">
        <f>'32'!AE15</f>
        <v>15706869</v>
      </c>
      <c r="AE46" s="128">
        <f>'32'!AF15</f>
        <v>26845047</v>
      </c>
      <c r="AF46" s="128">
        <f>'32'!AG15</f>
        <v>18427676</v>
      </c>
      <c r="AG46" s="128">
        <f>'32'!AH15</f>
        <v>78156553</v>
      </c>
      <c r="AH46" s="128">
        <f>'32'!AI15</f>
        <v>765204</v>
      </c>
      <c r="AI46" s="128">
        <f>'32'!AJ15</f>
        <v>4935196</v>
      </c>
      <c r="AJ46" s="128">
        <f>'32'!AK15</f>
        <v>0</v>
      </c>
      <c r="AK46" s="128">
        <f>'32'!AL15</f>
        <v>57737150</v>
      </c>
      <c r="AL46" s="128">
        <f>'32'!AM15</f>
        <v>2370431</v>
      </c>
      <c r="AM46" s="129"/>
    </row>
    <row r="47" spans="1:39" s="130" customFormat="1" ht="25.5" customHeight="1" x14ac:dyDescent="0.2">
      <c r="A47" s="134">
        <v>33</v>
      </c>
      <c r="B47" s="132" t="s">
        <v>931</v>
      </c>
      <c r="C47" s="128">
        <f>'33'!D15</f>
        <v>246197297</v>
      </c>
      <c r="D47" s="128">
        <f>'33'!E15</f>
        <v>37932798</v>
      </c>
      <c r="E47" s="128">
        <f>'33'!F15</f>
        <v>18113812</v>
      </c>
      <c r="F47" s="128">
        <f>'33'!G15</f>
        <v>15807000</v>
      </c>
      <c r="G47" s="128">
        <f>'33'!H15</f>
        <v>38883994</v>
      </c>
      <c r="H47" s="128">
        <f>'33'!I15</f>
        <v>0</v>
      </c>
      <c r="I47" s="128">
        <f>'33'!J15</f>
        <v>7183350</v>
      </c>
      <c r="J47" s="128">
        <f>'33'!K15</f>
        <v>51633000</v>
      </c>
      <c r="K47" s="128">
        <f>'33'!L15</f>
        <v>0</v>
      </c>
      <c r="L47" s="128">
        <f>'33'!M15</f>
        <v>72788884</v>
      </c>
      <c r="M47" s="128">
        <f>'33'!N15</f>
        <v>37278082</v>
      </c>
      <c r="N47" s="128">
        <f>'33'!O15</f>
        <v>497189</v>
      </c>
      <c r="O47" s="128">
        <f>'33'!P15</f>
        <v>214676772</v>
      </c>
      <c r="P47" s="128">
        <f>'33'!Q15</f>
        <v>24305703</v>
      </c>
      <c r="Q47" s="128">
        <f>'33'!R15</f>
        <v>27072510</v>
      </c>
      <c r="R47" s="128">
        <f>'33'!S15</f>
        <v>0</v>
      </c>
      <c r="S47" s="128">
        <f>'33'!T15</f>
        <v>0</v>
      </c>
      <c r="T47" s="128">
        <f>'33'!U15</f>
        <v>11098776</v>
      </c>
      <c r="U47" s="128">
        <f>'33'!V15</f>
        <v>295178</v>
      </c>
      <c r="V47" s="128">
        <f>'33'!W15</f>
        <v>63479980</v>
      </c>
      <c r="W47" s="128">
        <f>'33'!X15</f>
        <v>53794068</v>
      </c>
      <c r="X47" s="128">
        <f>'33'!Y15</f>
        <v>10198026</v>
      </c>
      <c r="Y47" s="128">
        <f>'33'!Z15</f>
        <v>24980661</v>
      </c>
      <c r="Z47" s="128">
        <f>'33'!AA15</f>
        <v>0</v>
      </c>
      <c r="AA47" s="128">
        <f>'33'!AB15</f>
        <v>-548130</v>
      </c>
      <c r="AB47" s="128">
        <f>'33'!AC15</f>
        <v>9491148</v>
      </c>
      <c r="AC47" s="128">
        <f>'33'!AD15</f>
        <v>1181786</v>
      </c>
      <c r="AD47" s="128">
        <f>'33'!AE15</f>
        <v>11596423</v>
      </c>
      <c r="AE47" s="128">
        <f>'33'!AF15</f>
        <v>6002584</v>
      </c>
      <c r="AF47" s="128">
        <f>'33'!AG15</f>
        <v>43546812</v>
      </c>
      <c r="AG47" s="128">
        <f>'33'!AH15</f>
        <v>73731190</v>
      </c>
      <c r="AH47" s="128">
        <f>'33'!AI15</f>
        <v>185130</v>
      </c>
      <c r="AI47" s="128">
        <f>'33'!AJ15</f>
        <v>32808938</v>
      </c>
      <c r="AJ47" s="128">
        <f>'33'!AK15</f>
        <v>0</v>
      </c>
      <c r="AK47" s="128">
        <f>'33'!AL15</f>
        <v>32018776</v>
      </c>
      <c r="AL47" s="128">
        <f>'33'!AM15</f>
        <v>4113985</v>
      </c>
      <c r="AM47" s="129"/>
    </row>
    <row r="48" spans="1:39" s="130" customFormat="1" ht="25.5" customHeight="1" x14ac:dyDescent="0.2">
      <c r="A48" s="134">
        <v>34</v>
      </c>
      <c r="B48" s="132" t="s">
        <v>932</v>
      </c>
      <c r="C48" s="128">
        <f>'34'!D15</f>
        <v>312633576</v>
      </c>
      <c r="D48" s="128">
        <f>'34'!E15</f>
        <v>103018792</v>
      </c>
      <c r="E48" s="128">
        <f>'34'!F15</f>
        <v>67516633</v>
      </c>
      <c r="F48" s="128">
        <f>'34'!G15</f>
        <v>29664830</v>
      </c>
      <c r="G48" s="128">
        <f>'34'!H15</f>
        <v>67423000</v>
      </c>
      <c r="H48" s="128">
        <f>'34'!I15</f>
        <v>0</v>
      </c>
      <c r="I48" s="128">
        <f>'34'!J15</f>
        <v>17305000</v>
      </c>
      <c r="J48" s="128">
        <f>'34'!K15</f>
        <v>13365170</v>
      </c>
      <c r="K48" s="128">
        <f>'34'!L15</f>
        <v>0</v>
      </c>
      <c r="L48" s="128">
        <f>'34'!M15</f>
        <v>86250878</v>
      </c>
      <c r="M48" s="128">
        <f>'34'!N15</f>
        <v>25269706</v>
      </c>
      <c r="N48" s="128">
        <f>'34'!O15</f>
        <v>1030</v>
      </c>
      <c r="O48" s="128">
        <f>'34'!P15</f>
        <v>291272605</v>
      </c>
      <c r="P48" s="128">
        <f>'34'!Q15</f>
        <v>45010069</v>
      </c>
      <c r="Q48" s="128">
        <f>'34'!R15</f>
        <v>60934090</v>
      </c>
      <c r="R48" s="128">
        <f>'34'!S15</f>
        <v>2078371</v>
      </c>
      <c r="S48" s="128">
        <f>'34'!T15</f>
        <v>104941</v>
      </c>
      <c r="T48" s="128">
        <f>'34'!U15</f>
        <v>43449560</v>
      </c>
      <c r="U48" s="128">
        <f>'34'!V15</f>
        <v>3079814</v>
      </c>
      <c r="V48" s="128">
        <f>'34'!W15</f>
        <v>38864253</v>
      </c>
      <c r="W48" s="128">
        <f>'34'!X15</f>
        <v>65066691</v>
      </c>
      <c r="X48" s="128">
        <f>'34'!Y15</f>
        <v>7345662</v>
      </c>
      <c r="Y48" s="128">
        <f>'34'!Z15</f>
        <v>21901562</v>
      </c>
      <c r="Z48" s="128">
        <f>'34'!AA15</f>
        <v>4500000</v>
      </c>
      <c r="AA48" s="128">
        <f>'34'!AB15</f>
        <v>-1062408</v>
      </c>
      <c r="AB48" s="128">
        <f>'34'!AC15</f>
        <v>27007250</v>
      </c>
      <c r="AC48" s="128">
        <f>'34'!AD15</f>
        <v>2463649</v>
      </c>
      <c r="AD48" s="128">
        <f>'34'!AE15</f>
        <v>26016208</v>
      </c>
      <c r="AE48" s="128">
        <f>'34'!AF15</f>
        <v>14261074</v>
      </c>
      <c r="AF48" s="128">
        <f>'34'!AG15</f>
        <v>29768697</v>
      </c>
      <c r="AG48" s="128">
        <f>'34'!AH15</f>
        <v>109741576</v>
      </c>
      <c r="AH48" s="128">
        <f>'34'!AI15</f>
        <v>386923</v>
      </c>
      <c r="AI48" s="128">
        <f>'34'!AJ15</f>
        <v>1161694</v>
      </c>
      <c r="AJ48" s="128">
        <f>'34'!AK15</f>
        <v>0</v>
      </c>
      <c r="AK48" s="128">
        <f>'34'!AL15</f>
        <v>79926534</v>
      </c>
      <c r="AL48" s="128">
        <f>'34'!AM15</f>
        <v>539000</v>
      </c>
      <c r="AM48" s="129"/>
    </row>
    <row r="49" spans="1:39" s="130" customFormat="1" ht="25.5" customHeight="1" x14ac:dyDescent="0.2">
      <c r="A49" s="134">
        <v>35</v>
      </c>
      <c r="B49" s="132" t="s">
        <v>933</v>
      </c>
      <c r="C49" s="128">
        <f>'35'!D15</f>
        <v>406283099</v>
      </c>
      <c r="D49" s="128">
        <f>'35'!E15</f>
        <v>66734958</v>
      </c>
      <c r="E49" s="128">
        <f>'35'!F15</f>
        <v>40713858</v>
      </c>
      <c r="F49" s="128">
        <f>'35'!G15</f>
        <v>23422561</v>
      </c>
      <c r="G49" s="128">
        <f>'35'!H15</f>
        <v>111005308</v>
      </c>
      <c r="H49" s="128">
        <f>'35'!I15</f>
        <v>0</v>
      </c>
      <c r="I49" s="128">
        <f>'35'!J15</f>
        <v>21856000</v>
      </c>
      <c r="J49" s="128">
        <f>'35'!K15</f>
        <v>38514950</v>
      </c>
      <c r="K49" s="128">
        <f>'35'!L15</f>
        <v>0</v>
      </c>
      <c r="L49" s="128">
        <f>'35'!M15</f>
        <v>122494835</v>
      </c>
      <c r="M49" s="128">
        <f>'35'!N15</f>
        <v>37821901</v>
      </c>
      <c r="N49" s="128">
        <f>'35'!O15</f>
        <v>7855147</v>
      </c>
      <c r="O49" s="128">
        <f>'35'!P15</f>
        <v>411164819</v>
      </c>
      <c r="P49" s="128">
        <f>'35'!Q15</f>
        <v>77319952</v>
      </c>
      <c r="Q49" s="128">
        <f>'35'!R15</f>
        <v>32567357</v>
      </c>
      <c r="R49" s="128">
        <f>'35'!S15</f>
        <v>673610</v>
      </c>
      <c r="S49" s="128">
        <f>'35'!T15</f>
        <v>0</v>
      </c>
      <c r="T49" s="128">
        <f>'35'!U15</f>
        <v>64591150</v>
      </c>
      <c r="U49" s="128">
        <f>'35'!V15</f>
        <v>2461000</v>
      </c>
      <c r="V49" s="128">
        <f>'35'!W15</f>
        <v>100459948</v>
      </c>
      <c r="W49" s="128">
        <f>'35'!X15</f>
        <v>110741561</v>
      </c>
      <c r="X49" s="128">
        <f>'35'!Y15</f>
        <v>6602786</v>
      </c>
      <c r="Y49" s="128">
        <f>'35'!Z15</f>
        <v>13679530</v>
      </c>
      <c r="Z49" s="128">
        <f>'35'!AA15</f>
        <v>2743967</v>
      </c>
      <c r="AA49" s="128">
        <f>'35'!AB15</f>
        <v>-676042</v>
      </c>
      <c r="AB49" s="128">
        <f>'35'!AC15</f>
        <v>21160193</v>
      </c>
      <c r="AC49" s="128">
        <f>'35'!AD15</f>
        <v>558779</v>
      </c>
      <c r="AD49" s="128">
        <f>'35'!AE15</f>
        <v>59014848</v>
      </c>
      <c r="AE49" s="128">
        <f>'35'!AF15</f>
        <v>6579883</v>
      </c>
      <c r="AF49" s="128">
        <f>'35'!AG15</f>
        <v>46749616</v>
      </c>
      <c r="AG49" s="128">
        <f>'35'!AH15</f>
        <v>152582506</v>
      </c>
      <c r="AH49" s="128">
        <f>'35'!AI15</f>
        <v>0</v>
      </c>
      <c r="AI49" s="128">
        <f>'35'!AJ15</f>
        <v>64974938</v>
      </c>
      <c r="AJ49" s="128">
        <f>'35'!AK15</f>
        <v>0</v>
      </c>
      <c r="AK49" s="128">
        <f>'35'!AL15</f>
        <v>54345946</v>
      </c>
      <c r="AL49" s="128">
        <f>'35'!AM15</f>
        <v>5198110</v>
      </c>
      <c r="AM49" s="129"/>
    </row>
    <row r="50" spans="1:39" s="130" customFormat="1" ht="25.5" customHeight="1" x14ac:dyDescent="0.2">
      <c r="A50" s="134">
        <v>36</v>
      </c>
      <c r="B50" s="132" t="s">
        <v>934</v>
      </c>
      <c r="C50" s="128">
        <f>'36'!D15</f>
        <v>242977682</v>
      </c>
      <c r="D50" s="128">
        <f>'36'!E15</f>
        <v>41068734</v>
      </c>
      <c r="E50" s="128">
        <f>'36'!F15</f>
        <v>22044942</v>
      </c>
      <c r="F50" s="128">
        <f>'36'!G15</f>
        <v>15900209</v>
      </c>
      <c r="G50" s="128">
        <f>'36'!H15</f>
        <v>32933971</v>
      </c>
      <c r="H50" s="128">
        <f>'36'!I15</f>
        <v>0</v>
      </c>
      <c r="I50" s="128">
        <f>'36'!J15</f>
        <v>19885000</v>
      </c>
      <c r="J50" s="128">
        <f>'36'!K15</f>
        <v>62703470</v>
      </c>
      <c r="K50" s="128">
        <f>'36'!L15</f>
        <v>0</v>
      </c>
      <c r="L50" s="128">
        <f>'36'!M15</f>
        <v>64273643</v>
      </c>
      <c r="M50" s="128">
        <f>'36'!N15</f>
        <v>21995375</v>
      </c>
      <c r="N50" s="128">
        <f>'36'!O15</f>
        <v>117489</v>
      </c>
      <c r="O50" s="128">
        <f>'36'!P15</f>
        <v>227744450</v>
      </c>
      <c r="P50" s="128">
        <f>'36'!Q15</f>
        <v>26877707</v>
      </c>
      <c r="Q50" s="128">
        <f>'36'!R15</f>
        <v>56532908</v>
      </c>
      <c r="R50" s="128">
        <f>'36'!S15</f>
        <v>1505200</v>
      </c>
      <c r="S50" s="128">
        <f>'36'!T15</f>
        <v>0</v>
      </c>
      <c r="T50" s="128">
        <f>'36'!U15</f>
        <v>55820117</v>
      </c>
      <c r="U50" s="128">
        <f>'36'!V15</f>
        <v>0</v>
      </c>
      <c r="V50" s="128">
        <f>'36'!W15</f>
        <v>52853985</v>
      </c>
      <c r="W50" s="128">
        <f>'36'!X15</f>
        <v>6969605</v>
      </c>
      <c r="X50" s="128">
        <f>'36'!Y15</f>
        <v>3429893</v>
      </c>
      <c r="Y50" s="128">
        <f>'36'!Z15</f>
        <v>20161139</v>
      </c>
      <c r="Z50" s="128">
        <f>'36'!AA15</f>
        <v>3744991</v>
      </c>
      <c r="AA50" s="128">
        <f>'36'!AB15</f>
        <v>-151095</v>
      </c>
      <c r="AB50" s="128">
        <f>'36'!AC15</f>
        <v>10912805</v>
      </c>
      <c r="AC50" s="128">
        <f>'36'!AD15</f>
        <v>542973</v>
      </c>
      <c r="AD50" s="128">
        <f>'36'!AE15</f>
        <v>15466591</v>
      </c>
      <c r="AE50" s="128">
        <f>'36'!AF15</f>
        <v>5011921</v>
      </c>
      <c r="AF50" s="128">
        <f>'36'!AG15</f>
        <v>7860330</v>
      </c>
      <c r="AG50" s="128">
        <f>'36'!AH15</f>
        <v>63699089</v>
      </c>
      <c r="AH50" s="128">
        <f>'36'!AI15</f>
        <v>1073289</v>
      </c>
      <c r="AI50" s="128">
        <f>'36'!AJ15</f>
        <v>0</v>
      </c>
      <c r="AJ50" s="128">
        <f>'36'!AK15</f>
        <v>0</v>
      </c>
      <c r="AK50" s="128">
        <f>'36'!AL15</f>
        <v>50692159</v>
      </c>
      <c r="AL50" s="128">
        <f>'36'!AM15</f>
        <v>72485293</v>
      </c>
      <c r="AM50" s="129"/>
    </row>
    <row r="51" spans="1:39" s="130" customFormat="1" ht="25.5" customHeight="1" x14ac:dyDescent="0.2">
      <c r="A51" s="134">
        <v>37</v>
      </c>
      <c r="B51" s="132" t="s">
        <v>935</v>
      </c>
      <c r="C51" s="128">
        <f>'37'!D15</f>
        <v>455672887</v>
      </c>
      <c r="D51" s="128">
        <f>'37'!E15</f>
        <v>182462195</v>
      </c>
      <c r="E51" s="128">
        <f>'37'!F15</f>
        <v>119798568</v>
      </c>
      <c r="F51" s="128">
        <f>'37'!G15</f>
        <v>51535603</v>
      </c>
      <c r="G51" s="128">
        <f>'37'!H15</f>
        <v>99777846</v>
      </c>
      <c r="H51" s="128">
        <f>'37'!I15</f>
        <v>0</v>
      </c>
      <c r="I51" s="128">
        <f>'37'!J15</f>
        <v>6657001</v>
      </c>
      <c r="J51" s="128">
        <f>'37'!K15</f>
        <v>20434000</v>
      </c>
      <c r="K51" s="128">
        <f>'37'!L15</f>
        <v>0</v>
      </c>
      <c r="L51" s="128">
        <f>'37'!M15</f>
        <v>124938146</v>
      </c>
      <c r="M51" s="128">
        <f>'37'!N15</f>
        <v>21403699</v>
      </c>
      <c r="N51" s="128">
        <f>'37'!O15</f>
        <v>0</v>
      </c>
      <c r="O51" s="128">
        <f>'37'!P15</f>
        <v>388052070</v>
      </c>
      <c r="P51" s="128">
        <f>'37'!Q15</f>
        <v>80001327</v>
      </c>
      <c r="Q51" s="128">
        <f>'37'!R15</f>
        <v>87961864</v>
      </c>
      <c r="R51" s="128">
        <f>'37'!S15</f>
        <v>3979778</v>
      </c>
      <c r="S51" s="128">
        <f>'37'!T15</f>
        <v>0</v>
      </c>
      <c r="T51" s="128">
        <f>'37'!U15</f>
        <v>104720894</v>
      </c>
      <c r="U51" s="128">
        <f>'37'!V15</f>
        <v>2940529</v>
      </c>
      <c r="V51" s="128">
        <f>'37'!W15</f>
        <v>24158306</v>
      </c>
      <c r="W51" s="128">
        <f>'37'!X15</f>
        <v>25920315</v>
      </c>
      <c r="X51" s="128">
        <f>'37'!Y15</f>
        <v>7554003</v>
      </c>
      <c r="Y51" s="128">
        <f>'37'!Z15</f>
        <v>52511884</v>
      </c>
      <c r="Z51" s="128">
        <f>'37'!AA15</f>
        <v>5880001</v>
      </c>
      <c r="AA51" s="128">
        <f>'37'!AB15</f>
        <v>-7576831</v>
      </c>
      <c r="AB51" s="128">
        <f>'37'!AC15</f>
        <v>28559134</v>
      </c>
      <c r="AC51" s="128">
        <f>'37'!AD15</f>
        <v>1822717</v>
      </c>
      <c r="AD51" s="128">
        <f>'37'!AE15</f>
        <v>54793563</v>
      </c>
      <c r="AE51" s="128">
        <f>'37'!AF15</f>
        <v>6974388</v>
      </c>
      <c r="AF51" s="128">
        <f>'37'!AG15</f>
        <v>33405457</v>
      </c>
      <c r="AG51" s="128">
        <f>'37'!AH15</f>
        <v>153115004</v>
      </c>
      <c r="AH51" s="128">
        <f>'37'!AI15</f>
        <v>14066091</v>
      </c>
      <c r="AI51" s="128">
        <f>'37'!AJ15</f>
        <v>12374880</v>
      </c>
      <c r="AJ51" s="128">
        <f>'37'!AK15</f>
        <v>0</v>
      </c>
      <c r="AK51" s="128">
        <f>'37'!AL15</f>
        <v>81850231</v>
      </c>
      <c r="AL51" s="128">
        <f>'37'!AM15</f>
        <v>1090605</v>
      </c>
      <c r="AM51" s="129"/>
    </row>
    <row r="52" spans="1:39" s="130" customFormat="1" ht="25.5" customHeight="1" x14ac:dyDescent="0.2">
      <c r="A52" s="134">
        <v>38</v>
      </c>
      <c r="B52" s="132" t="s">
        <v>936</v>
      </c>
      <c r="C52" s="128">
        <f>'38'!D15</f>
        <v>250363863</v>
      </c>
      <c r="D52" s="128">
        <f>'38'!E15</f>
        <v>81681629</v>
      </c>
      <c r="E52" s="128">
        <f>'38'!F15</f>
        <v>20996137</v>
      </c>
      <c r="F52" s="128">
        <f>'38'!G15</f>
        <v>20195000</v>
      </c>
      <c r="G52" s="128">
        <f>'38'!H15</f>
        <v>39229999</v>
      </c>
      <c r="H52" s="128">
        <f>'38'!I15</f>
        <v>0</v>
      </c>
      <c r="I52" s="128">
        <f>'38'!J15</f>
        <v>17389000</v>
      </c>
      <c r="J52" s="128">
        <f>'38'!K15</f>
        <v>46643925</v>
      </c>
      <c r="K52" s="128">
        <f>'38'!L15</f>
        <v>0</v>
      </c>
      <c r="L52" s="128">
        <f>'38'!M15</f>
        <v>53527570</v>
      </c>
      <c r="M52" s="128">
        <f>'38'!N15</f>
        <v>11886740</v>
      </c>
      <c r="N52" s="128">
        <f>'38'!O15</f>
        <v>5000</v>
      </c>
      <c r="O52" s="128">
        <f>'38'!P15</f>
        <v>222893396</v>
      </c>
      <c r="P52" s="128">
        <f>'38'!Q15</f>
        <v>30819974</v>
      </c>
      <c r="Q52" s="128">
        <f>'38'!R15</f>
        <v>39913258</v>
      </c>
      <c r="R52" s="128">
        <f>'38'!S15</f>
        <v>433973</v>
      </c>
      <c r="S52" s="128">
        <f>'38'!T15</f>
        <v>0</v>
      </c>
      <c r="T52" s="128">
        <f>'38'!U15</f>
        <v>30399265</v>
      </c>
      <c r="U52" s="128">
        <f>'38'!V15</f>
        <v>11914966</v>
      </c>
      <c r="V52" s="128">
        <f>'38'!W15</f>
        <v>49565010</v>
      </c>
      <c r="W52" s="128">
        <f>'38'!X15</f>
        <v>36204328</v>
      </c>
      <c r="X52" s="128">
        <f>'38'!Y15</f>
        <v>4936843</v>
      </c>
      <c r="Y52" s="128">
        <f>'38'!Z15</f>
        <v>13447434</v>
      </c>
      <c r="Z52" s="128">
        <f>'38'!AA15</f>
        <v>5494052</v>
      </c>
      <c r="AA52" s="128">
        <f>'38'!AB15</f>
        <v>-235707</v>
      </c>
      <c r="AB52" s="128">
        <f>'38'!AC15</f>
        <v>16651276</v>
      </c>
      <c r="AC52" s="128">
        <f>'38'!AD15</f>
        <v>472044</v>
      </c>
      <c r="AD52" s="128">
        <f>'38'!AE15</f>
        <v>9661764</v>
      </c>
      <c r="AE52" s="128">
        <f>'38'!AF15</f>
        <v>19789909</v>
      </c>
      <c r="AF52" s="128">
        <f>'38'!AG15</f>
        <v>16614813</v>
      </c>
      <c r="AG52" s="128">
        <f>'38'!AH15</f>
        <v>59449263</v>
      </c>
      <c r="AH52" s="128">
        <f>'38'!AI15</f>
        <v>194979</v>
      </c>
      <c r="AI52" s="128">
        <f>'38'!AJ15</f>
        <v>34277932</v>
      </c>
      <c r="AJ52" s="128">
        <f>'38'!AK15</f>
        <v>0</v>
      </c>
      <c r="AK52" s="128">
        <f>'38'!AL15</f>
        <v>48059545</v>
      </c>
      <c r="AL52" s="128">
        <f>'38'!AM15</f>
        <v>17721871</v>
      </c>
      <c r="AM52" s="129"/>
    </row>
    <row r="53" spans="1:39" s="130" customFormat="1" ht="25.5" customHeight="1" x14ac:dyDescent="0.2">
      <c r="A53" s="134">
        <v>39</v>
      </c>
      <c r="B53" s="132" t="s">
        <v>937</v>
      </c>
      <c r="C53" s="128">
        <f>'39'!D15</f>
        <v>282192236</v>
      </c>
      <c r="D53" s="128">
        <f>'39'!E15</f>
        <v>40356621</v>
      </c>
      <c r="E53" s="128">
        <f>'39'!F15</f>
        <v>20838934</v>
      </c>
      <c r="F53" s="128">
        <f>'39'!G15</f>
        <v>17369745</v>
      </c>
      <c r="G53" s="128">
        <f>'39'!H15</f>
        <v>75151954</v>
      </c>
      <c r="H53" s="128">
        <f>'39'!I15</f>
        <v>0</v>
      </c>
      <c r="I53" s="128">
        <f>'39'!J15</f>
        <v>16235000</v>
      </c>
      <c r="J53" s="128">
        <f>'39'!K15</f>
        <v>54966260</v>
      </c>
      <c r="K53" s="128">
        <f>'39'!L15</f>
        <v>0</v>
      </c>
      <c r="L53" s="128">
        <f>'39'!M15</f>
        <v>77400520</v>
      </c>
      <c r="M53" s="128">
        <f>'39'!N15</f>
        <v>17709435</v>
      </c>
      <c r="N53" s="128">
        <f>'39'!O15</f>
        <v>372446</v>
      </c>
      <c r="O53" s="128">
        <f>'39'!P15</f>
        <v>266005530</v>
      </c>
      <c r="P53" s="128">
        <f>'39'!Q15</f>
        <v>61511810</v>
      </c>
      <c r="Q53" s="128">
        <f>'39'!R15</f>
        <v>64625509</v>
      </c>
      <c r="R53" s="128">
        <f>'39'!S15</f>
        <v>1064274</v>
      </c>
      <c r="S53" s="128">
        <f>'39'!T15</f>
        <v>0</v>
      </c>
      <c r="T53" s="128">
        <f>'39'!U15</f>
        <v>18894756</v>
      </c>
      <c r="U53" s="128">
        <f>'39'!V15</f>
        <v>1176222</v>
      </c>
      <c r="V53" s="128">
        <f>'39'!W15</f>
        <v>31740566</v>
      </c>
      <c r="W53" s="128">
        <f>'39'!X15</f>
        <v>64217789</v>
      </c>
      <c r="X53" s="128">
        <f>'39'!Y15</f>
        <v>4278088</v>
      </c>
      <c r="Y53" s="128">
        <f>'39'!Z15</f>
        <v>14782303</v>
      </c>
      <c r="Z53" s="128">
        <f>'39'!AA15</f>
        <v>3949832</v>
      </c>
      <c r="AA53" s="128">
        <f>'39'!AB15</f>
        <v>-235619</v>
      </c>
      <c r="AB53" s="128">
        <f>'39'!AC15</f>
        <v>16786370</v>
      </c>
      <c r="AC53" s="128">
        <f>'39'!AD15</f>
        <v>773487</v>
      </c>
      <c r="AD53" s="128">
        <f>'39'!AE15</f>
        <v>30432046</v>
      </c>
      <c r="AE53" s="128">
        <f>'39'!AF15</f>
        <v>9718468</v>
      </c>
      <c r="AF53" s="128">
        <f>'39'!AG15</f>
        <v>13165543</v>
      </c>
      <c r="AG53" s="128">
        <f>'39'!AH15</f>
        <v>133575242</v>
      </c>
      <c r="AH53" s="128">
        <f>'39'!AI15</f>
        <v>157254</v>
      </c>
      <c r="AI53" s="128">
        <f>'39'!AJ15</f>
        <v>19169244</v>
      </c>
      <c r="AJ53" s="128">
        <f>'39'!AK15</f>
        <v>0</v>
      </c>
      <c r="AK53" s="128">
        <f>'39'!AL15</f>
        <v>40871284</v>
      </c>
      <c r="AL53" s="128">
        <f>'39'!AM15</f>
        <v>1356592</v>
      </c>
      <c r="AM53" s="129"/>
    </row>
    <row r="54" spans="1:39" s="130" customFormat="1" ht="25.5" customHeight="1" x14ac:dyDescent="0.2">
      <c r="A54" s="134">
        <v>40</v>
      </c>
      <c r="B54" s="132" t="s">
        <v>938</v>
      </c>
      <c r="C54" s="128">
        <f>'40'!D15</f>
        <v>517632719</v>
      </c>
      <c r="D54" s="128">
        <f>'40'!E15</f>
        <v>52111464</v>
      </c>
      <c r="E54" s="128">
        <f>'40'!F15</f>
        <v>30243427</v>
      </c>
      <c r="F54" s="128">
        <f>'40'!G15</f>
        <v>19349667</v>
      </c>
      <c r="G54" s="128">
        <f>'40'!H15</f>
        <v>57322627</v>
      </c>
      <c r="H54" s="128">
        <f>'40'!I15</f>
        <v>0</v>
      </c>
      <c r="I54" s="128">
        <f>'40'!J15</f>
        <v>14094000</v>
      </c>
      <c r="J54" s="128">
        <f>'40'!K15</f>
        <v>38106800</v>
      </c>
      <c r="K54" s="128">
        <f>'40'!L15</f>
        <v>0</v>
      </c>
      <c r="L54" s="128">
        <f>'40'!M15</f>
        <v>220149566</v>
      </c>
      <c r="M54" s="128">
        <f>'40'!N15</f>
        <v>135848262</v>
      </c>
      <c r="N54" s="128">
        <f>'40'!O15</f>
        <v>0</v>
      </c>
      <c r="O54" s="128">
        <f>'40'!P15</f>
        <v>511297279</v>
      </c>
      <c r="P54" s="128">
        <f>'40'!Q15</f>
        <v>44309200</v>
      </c>
      <c r="Q54" s="128">
        <f>'40'!R15</f>
        <v>36325905</v>
      </c>
      <c r="R54" s="128">
        <f>'40'!S15</f>
        <v>1317875</v>
      </c>
      <c r="S54" s="128">
        <f>'40'!T15</f>
        <v>0</v>
      </c>
      <c r="T54" s="128">
        <f>'40'!U15</f>
        <v>11659226</v>
      </c>
      <c r="U54" s="128">
        <f>'40'!V15</f>
        <v>2178781</v>
      </c>
      <c r="V54" s="128">
        <f>'40'!W15</f>
        <v>288476143</v>
      </c>
      <c r="W54" s="128">
        <f>'40'!X15</f>
        <v>94110307</v>
      </c>
      <c r="X54" s="128">
        <f>'40'!Y15</f>
        <v>5306472</v>
      </c>
      <c r="Y54" s="128">
        <f>'40'!Z15</f>
        <v>10656403</v>
      </c>
      <c r="Z54" s="128">
        <f>'40'!AA15</f>
        <v>17226925</v>
      </c>
      <c r="AA54" s="128">
        <f>'40'!AB15</f>
        <v>-269958</v>
      </c>
      <c r="AB54" s="128">
        <f>'40'!AC15</f>
        <v>22067168</v>
      </c>
      <c r="AC54" s="128">
        <f>'40'!AD15</f>
        <v>558378</v>
      </c>
      <c r="AD54" s="128">
        <f>'40'!AE15</f>
        <v>18299866</v>
      </c>
      <c r="AE54" s="128">
        <f>'40'!AF15</f>
        <v>33768063</v>
      </c>
      <c r="AF54" s="128">
        <f>'40'!AG15</f>
        <v>13358695</v>
      </c>
      <c r="AG54" s="128">
        <f>'40'!AH15</f>
        <v>129083437</v>
      </c>
      <c r="AH54" s="128">
        <f>'40'!AI15</f>
        <v>0</v>
      </c>
      <c r="AI54" s="128">
        <f>'40'!AJ15</f>
        <v>201811069</v>
      </c>
      <c r="AJ54" s="128">
        <f>'40'!AK15</f>
        <v>2800</v>
      </c>
      <c r="AK54" s="128">
        <f>'40'!AL15</f>
        <v>83486767</v>
      </c>
      <c r="AL54" s="128">
        <f>'40'!AM15</f>
        <v>8861036</v>
      </c>
      <c r="AM54" s="129"/>
    </row>
    <row r="55" spans="1:39" s="130" customFormat="1" ht="25.5" customHeight="1" x14ac:dyDescent="0.2">
      <c r="A55" s="151">
        <v>41</v>
      </c>
      <c r="B55" s="148" t="s">
        <v>939</v>
      </c>
      <c r="C55" s="128">
        <f>'41'!D15</f>
        <v>260891345</v>
      </c>
      <c r="D55" s="128">
        <f>'41'!E15</f>
        <v>42733400</v>
      </c>
      <c r="E55" s="128">
        <f>'41'!F15</f>
        <v>22649478</v>
      </c>
      <c r="F55" s="128">
        <f>'41'!G15</f>
        <v>18588124</v>
      </c>
      <c r="G55" s="128">
        <f>'41'!H15</f>
        <v>47336368</v>
      </c>
      <c r="H55" s="128">
        <f>'41'!I15</f>
        <v>0</v>
      </c>
      <c r="I55" s="128">
        <f>'41'!J15</f>
        <v>10013000</v>
      </c>
      <c r="J55" s="128">
        <f>'41'!K15</f>
        <v>48413000</v>
      </c>
      <c r="K55" s="128">
        <f>'41'!L15</f>
        <v>0</v>
      </c>
      <c r="L55" s="128">
        <f>'41'!M15</f>
        <v>88631074</v>
      </c>
      <c r="M55" s="128">
        <f>'41'!N15</f>
        <v>23265767</v>
      </c>
      <c r="N55" s="128">
        <f>'41'!O15</f>
        <v>498736</v>
      </c>
      <c r="O55" s="128">
        <f>'41'!P15</f>
        <v>227671492</v>
      </c>
      <c r="P55" s="128">
        <f>'41'!Q15</f>
        <v>38130580</v>
      </c>
      <c r="Q55" s="128">
        <f>'41'!R15</f>
        <v>31320552</v>
      </c>
      <c r="R55" s="128">
        <f>'41'!S15</f>
        <v>843898</v>
      </c>
      <c r="S55" s="128">
        <f>'41'!T15</f>
        <v>0</v>
      </c>
      <c r="T55" s="128">
        <f>'41'!U15</f>
        <v>8288377</v>
      </c>
      <c r="U55" s="128">
        <f>'41'!V15</f>
        <v>0</v>
      </c>
      <c r="V55" s="128">
        <f>'41'!W15</f>
        <v>54291656</v>
      </c>
      <c r="W55" s="128">
        <f>'41'!X15</f>
        <v>68699670</v>
      </c>
      <c r="X55" s="128">
        <f>'41'!Y15</f>
        <v>2917878</v>
      </c>
      <c r="Y55" s="128">
        <f>'41'!Z15</f>
        <v>23144245</v>
      </c>
      <c r="Z55" s="128">
        <f>'41'!AA15</f>
        <v>1154608</v>
      </c>
      <c r="AA55" s="128">
        <f>'41'!AB15</f>
        <v>-1119972</v>
      </c>
      <c r="AB55" s="128">
        <f>'41'!AC15</f>
        <v>31336246</v>
      </c>
      <c r="AC55" s="128">
        <f>'41'!AD15</f>
        <v>261586</v>
      </c>
      <c r="AD55" s="128">
        <f>'41'!AE15</f>
        <v>22259046</v>
      </c>
      <c r="AE55" s="128">
        <f>'41'!AF15</f>
        <v>0</v>
      </c>
      <c r="AF55" s="128">
        <f>'41'!AG15</f>
        <v>10904205</v>
      </c>
      <c r="AG55" s="128">
        <f>'41'!AH15</f>
        <v>94601395</v>
      </c>
      <c r="AH55" s="128">
        <f>'41'!AI15</f>
        <v>2557507</v>
      </c>
      <c r="AI55" s="128">
        <f>'41'!AJ15</f>
        <v>34967395</v>
      </c>
      <c r="AJ55" s="128">
        <f>'41'!AK15</f>
        <v>0</v>
      </c>
      <c r="AK55" s="128">
        <f>'41'!AL15</f>
        <v>28770539</v>
      </c>
      <c r="AL55" s="128">
        <f>'41'!AM15</f>
        <v>2013573</v>
      </c>
      <c r="AM55" s="129"/>
    </row>
    <row r="56" spans="1:39" s="130" customFormat="1" ht="25.5" customHeight="1" x14ac:dyDescent="0.2">
      <c r="A56" s="152">
        <v>42</v>
      </c>
      <c r="B56" s="149" t="s">
        <v>940</v>
      </c>
      <c r="C56" s="150">
        <f>'42'!D15</f>
        <v>0</v>
      </c>
      <c r="D56" s="150">
        <f>'42'!E15</f>
        <v>0</v>
      </c>
      <c r="E56" s="150">
        <f>'42'!F15</f>
        <v>0</v>
      </c>
      <c r="F56" s="150">
        <f>'42'!G15</f>
        <v>0</v>
      </c>
      <c r="G56" s="150">
        <f>'42'!H15</f>
        <v>0</v>
      </c>
      <c r="H56" s="150">
        <f>'42'!I15</f>
        <v>0</v>
      </c>
      <c r="I56" s="150">
        <f>'42'!J15</f>
        <v>0</v>
      </c>
      <c r="J56" s="150">
        <f>'42'!K15</f>
        <v>0</v>
      </c>
      <c r="K56" s="150">
        <f>'42'!L15</f>
        <v>0</v>
      </c>
      <c r="L56" s="150">
        <f>'42'!M15</f>
        <v>0</v>
      </c>
      <c r="M56" s="150">
        <f>'42'!N15</f>
        <v>0</v>
      </c>
      <c r="N56" s="150">
        <f>'42'!O15</f>
        <v>0</v>
      </c>
      <c r="O56" s="150">
        <f>'42'!P15</f>
        <v>0</v>
      </c>
      <c r="P56" s="150">
        <f>'42'!Q15</f>
        <v>0</v>
      </c>
      <c r="Q56" s="150">
        <f>'42'!R15</f>
        <v>0</v>
      </c>
      <c r="R56" s="150">
        <f>'42'!S15</f>
        <v>0</v>
      </c>
      <c r="S56" s="150">
        <f>'42'!T15</f>
        <v>0</v>
      </c>
      <c r="T56" s="150">
        <f>'42'!U15</f>
        <v>0</v>
      </c>
      <c r="U56" s="150">
        <f>'42'!V15</f>
        <v>0</v>
      </c>
      <c r="V56" s="150">
        <f>'42'!W15</f>
        <v>0</v>
      </c>
      <c r="W56" s="150">
        <f>'42'!X15</f>
        <v>0</v>
      </c>
      <c r="X56" s="150">
        <f>'42'!Y15</f>
        <v>0</v>
      </c>
      <c r="Y56" s="150">
        <f>'42'!Z15</f>
        <v>0</v>
      </c>
      <c r="Z56" s="150">
        <f>'42'!AA15</f>
        <v>0</v>
      </c>
      <c r="AA56" s="150">
        <f>'42'!AB15</f>
        <v>0</v>
      </c>
      <c r="AB56" s="150">
        <f>'42'!AC15</f>
        <v>0</v>
      </c>
      <c r="AC56" s="150">
        <f>'42'!AD15</f>
        <v>0</v>
      </c>
      <c r="AD56" s="150">
        <f>'42'!AE15</f>
        <v>0</v>
      </c>
      <c r="AE56" s="150">
        <f>'42'!AF15</f>
        <v>0</v>
      </c>
      <c r="AF56" s="150">
        <f>'42'!AG15</f>
        <v>0</v>
      </c>
      <c r="AG56" s="150">
        <f>'42'!AH15</f>
        <v>0</v>
      </c>
      <c r="AH56" s="150">
        <f>'42'!AI15</f>
        <v>0</v>
      </c>
      <c r="AI56" s="150">
        <f>'42'!AJ15</f>
        <v>0</v>
      </c>
      <c r="AJ56" s="150">
        <f>'42'!AK15</f>
        <v>0</v>
      </c>
      <c r="AK56" s="150">
        <f>'42'!AL15</f>
        <v>0</v>
      </c>
      <c r="AL56" s="150">
        <f>'42'!AM15</f>
        <v>0</v>
      </c>
      <c r="AM56" s="129"/>
    </row>
    <row r="60" spans="1:39" x14ac:dyDescent="0.2">
      <c r="Q60" s="135"/>
    </row>
    <row r="62" spans="1:39" x14ac:dyDescent="0.2">
      <c r="M62" s="135"/>
      <c r="P62" s="135"/>
    </row>
    <row r="65" spans="17:17" x14ac:dyDescent="0.2">
      <c r="Q65" s="135"/>
    </row>
  </sheetData>
  <sheetProtection selectLockedCells="1" selectUnlockedCells="1"/>
  <mergeCells count="15">
    <mergeCell ref="A13:B13"/>
    <mergeCell ref="A14:B14"/>
    <mergeCell ref="K9:K11"/>
    <mergeCell ref="L9:L11"/>
    <mergeCell ref="M9:M11"/>
    <mergeCell ref="N9:N11"/>
    <mergeCell ref="P9:Y10"/>
    <mergeCell ref="AB9:AL10"/>
    <mergeCell ref="A9:B12"/>
    <mergeCell ref="D9:F9"/>
    <mergeCell ref="G9:G11"/>
    <mergeCell ref="H9:H11"/>
    <mergeCell ref="I9:I11"/>
    <mergeCell ref="J9:J11"/>
    <mergeCell ref="E10:F10"/>
  </mergeCells>
  <pageMargins left="0.70833333333333337" right="0.31527777777777777" top="0.74791666666666667" bottom="0.74791666666666667" header="0.51180555555555551" footer="0.51180555555555551"/>
  <pageSetup paperSize="8" scale="55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2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2305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1102402336</v>
      </c>
      <c r="E14" s="432">
        <f>SUM(E15,E16,E33,E54)</f>
        <v>375405646</v>
      </c>
      <c r="F14" s="432">
        <f t="shared" ref="F14:O14" si="0">SUM(F15,F16,F33,F54)</f>
        <v>177401610</v>
      </c>
      <c r="G14" s="432">
        <f t="shared" si="0"/>
        <v>61923211</v>
      </c>
      <c r="H14" s="432">
        <f t="shared" si="0"/>
        <v>52542986</v>
      </c>
      <c r="I14" s="432">
        <f t="shared" si="0"/>
        <v>243100169</v>
      </c>
      <c r="J14" s="432">
        <f t="shared" si="0"/>
        <v>19539351</v>
      </c>
      <c r="K14" s="432">
        <f t="shared" si="0"/>
        <v>107805550</v>
      </c>
      <c r="L14" s="432">
        <f t="shared" si="0"/>
        <v>0</v>
      </c>
      <c r="M14" s="432">
        <f t="shared" si="0"/>
        <v>173833035</v>
      </c>
      <c r="N14" s="432">
        <f t="shared" si="0"/>
        <v>121063084</v>
      </c>
      <c r="O14" s="432">
        <f t="shared" si="0"/>
        <v>9112515</v>
      </c>
      <c r="P14" s="432">
        <f t="shared" ref="P14:AM14" si="1">P15+P16+P33+P54</f>
        <v>1047200019</v>
      </c>
      <c r="Q14" s="432">
        <f t="shared" si="1"/>
        <v>309025028</v>
      </c>
      <c r="R14" s="432">
        <f t="shared" si="1"/>
        <v>175842708</v>
      </c>
      <c r="S14" s="432">
        <f t="shared" si="1"/>
        <v>7190413</v>
      </c>
      <c r="T14" s="432">
        <f t="shared" si="1"/>
        <v>478550</v>
      </c>
      <c r="U14" s="432">
        <f t="shared" si="1"/>
        <v>52822886</v>
      </c>
      <c r="V14" s="432">
        <f t="shared" si="1"/>
        <v>19399987</v>
      </c>
      <c r="W14" s="432">
        <f t="shared" si="1"/>
        <v>198852118</v>
      </c>
      <c r="X14" s="432">
        <f t="shared" si="1"/>
        <v>84229455</v>
      </c>
      <c r="Y14" s="432">
        <f t="shared" si="1"/>
        <v>23773978</v>
      </c>
      <c r="Z14" s="432">
        <f t="shared" si="1"/>
        <v>148028510</v>
      </c>
      <c r="AA14" s="432">
        <f t="shared" si="1"/>
        <v>29372805</v>
      </c>
      <c r="AB14" s="432">
        <f t="shared" si="1"/>
        <v>-1816419</v>
      </c>
      <c r="AC14" s="432">
        <f t="shared" si="1"/>
        <v>118937628</v>
      </c>
      <c r="AD14" s="432">
        <f t="shared" si="1"/>
        <v>16572838</v>
      </c>
      <c r="AE14" s="432">
        <f t="shared" si="1"/>
        <v>278068679</v>
      </c>
      <c r="AF14" s="432">
        <f t="shared" si="1"/>
        <v>23433813</v>
      </c>
      <c r="AG14" s="432">
        <f t="shared" si="1"/>
        <v>75042131</v>
      </c>
      <c r="AH14" s="432">
        <f t="shared" si="1"/>
        <v>150160113</v>
      </c>
      <c r="AI14" s="432">
        <f t="shared" si="1"/>
        <v>91083851</v>
      </c>
      <c r="AJ14" s="432">
        <f t="shared" si="1"/>
        <v>104968882</v>
      </c>
      <c r="AK14" s="432">
        <f t="shared" si="1"/>
        <v>0</v>
      </c>
      <c r="AL14" s="432">
        <f t="shared" si="1"/>
        <v>180200552</v>
      </c>
      <c r="AM14" s="432">
        <f t="shared" si="1"/>
        <v>8731532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293981763</v>
      </c>
      <c r="E15" s="431">
        <v>65295798</v>
      </c>
      <c r="F15" s="431">
        <v>37656006</v>
      </c>
      <c r="G15" s="431">
        <v>24071000</v>
      </c>
      <c r="H15" s="431">
        <v>52542986</v>
      </c>
      <c r="I15" s="431">
        <v>0</v>
      </c>
      <c r="J15" s="431">
        <v>16865000</v>
      </c>
      <c r="K15" s="431">
        <v>28178130</v>
      </c>
      <c r="L15" s="431">
        <v>0</v>
      </c>
      <c r="M15" s="431">
        <v>84237926</v>
      </c>
      <c r="N15" s="431">
        <v>46833292</v>
      </c>
      <c r="O15" s="431">
        <v>28631</v>
      </c>
      <c r="P15" s="432">
        <f t="shared" ref="P15" si="2">IF(SUM(Q15:AB15)=SUM(AC15:AM15),SUM(Q15:AB15),"  EROARE ART/CAP")</f>
        <v>254395765</v>
      </c>
      <c r="Q15" s="431">
        <v>27105866</v>
      </c>
      <c r="R15" s="431">
        <v>35005044</v>
      </c>
      <c r="S15" s="431">
        <v>1456971</v>
      </c>
      <c r="T15" s="431">
        <v>0</v>
      </c>
      <c r="U15" s="431">
        <v>18746387</v>
      </c>
      <c r="V15" s="431">
        <v>3032721</v>
      </c>
      <c r="W15" s="431">
        <v>83128249</v>
      </c>
      <c r="X15" s="431">
        <v>65429893</v>
      </c>
      <c r="Y15" s="431">
        <v>8540468</v>
      </c>
      <c r="Z15" s="431">
        <v>7682874</v>
      </c>
      <c r="AA15" s="431">
        <v>4310606</v>
      </c>
      <c r="AB15" s="431">
        <v>-43314</v>
      </c>
      <c r="AC15" s="431">
        <v>26112648</v>
      </c>
      <c r="AD15" s="431">
        <v>1280982</v>
      </c>
      <c r="AE15" s="431">
        <v>15991768</v>
      </c>
      <c r="AF15" s="431">
        <v>4501622</v>
      </c>
      <c r="AG15" s="431">
        <v>20594244</v>
      </c>
      <c r="AH15" s="431">
        <v>94474149</v>
      </c>
      <c r="AI15" s="431">
        <v>261077</v>
      </c>
      <c r="AJ15" s="431">
        <v>72594626</v>
      </c>
      <c r="AK15" s="431">
        <v>0</v>
      </c>
      <c r="AL15" s="431">
        <v>16540834</v>
      </c>
      <c r="AM15" s="431">
        <v>2043815</v>
      </c>
    </row>
    <row r="16" spans="1:39" s="155" customFormat="1" ht="12" x14ac:dyDescent="0.2">
      <c r="A16" s="156" t="s">
        <v>72</v>
      </c>
      <c r="B16" s="157"/>
      <c r="C16" s="159"/>
      <c r="D16" s="432">
        <f>E16+SUM(H16:O16)</f>
        <v>310795387</v>
      </c>
      <c r="E16" s="433">
        <f>SUM(E18:E32)</f>
        <v>170483957</v>
      </c>
      <c r="F16" s="433">
        <f t="shared" ref="F16:O16" si="3">SUM(F18:F32)</f>
        <v>94193865</v>
      </c>
      <c r="G16" s="433">
        <f t="shared" si="3"/>
        <v>3780591</v>
      </c>
      <c r="H16" s="433">
        <f t="shared" si="3"/>
        <v>0</v>
      </c>
      <c r="I16" s="433">
        <f t="shared" si="3"/>
        <v>111060204</v>
      </c>
      <c r="J16" s="433">
        <f t="shared" si="3"/>
        <v>0</v>
      </c>
      <c r="K16" s="433">
        <f t="shared" si="3"/>
        <v>9923000</v>
      </c>
      <c r="L16" s="433">
        <f t="shared" si="3"/>
        <v>0</v>
      </c>
      <c r="M16" s="433">
        <f t="shared" si="3"/>
        <v>7055726</v>
      </c>
      <c r="N16" s="433">
        <f t="shared" si="3"/>
        <v>8277022</v>
      </c>
      <c r="O16" s="433">
        <f t="shared" si="3"/>
        <v>3995478</v>
      </c>
      <c r="P16" s="432">
        <f>SUM(P18:P32)</f>
        <v>310355096</v>
      </c>
      <c r="Q16" s="432">
        <f>SUM(Q18:Q32)</f>
        <v>126742188</v>
      </c>
      <c r="R16" s="432">
        <f t="shared" ref="R16:AM16" si="4">SUM(R18:R32)</f>
        <v>58849306</v>
      </c>
      <c r="S16" s="432">
        <f t="shared" si="4"/>
        <v>5068518</v>
      </c>
      <c r="T16" s="432">
        <f t="shared" si="4"/>
        <v>478550</v>
      </c>
      <c r="U16" s="432">
        <f t="shared" si="4"/>
        <v>25039741</v>
      </c>
      <c r="V16" s="432">
        <f t="shared" si="4"/>
        <v>14748799</v>
      </c>
      <c r="W16" s="432">
        <f t="shared" si="4"/>
        <v>16770290</v>
      </c>
      <c r="X16" s="432">
        <f t="shared" si="4"/>
        <v>6180311</v>
      </c>
      <c r="Y16" s="432">
        <f t="shared" si="4"/>
        <v>6564887</v>
      </c>
      <c r="Z16" s="432">
        <f t="shared" si="4"/>
        <v>36660277</v>
      </c>
      <c r="AA16" s="432">
        <f t="shared" si="4"/>
        <v>13504478</v>
      </c>
      <c r="AB16" s="432">
        <f t="shared" si="4"/>
        <v>-252249</v>
      </c>
      <c r="AC16" s="432">
        <f t="shared" si="4"/>
        <v>31579998</v>
      </c>
      <c r="AD16" s="432">
        <f t="shared" si="4"/>
        <v>7584491</v>
      </c>
      <c r="AE16" s="432">
        <f t="shared" si="4"/>
        <v>120311096</v>
      </c>
      <c r="AF16" s="432">
        <f t="shared" si="4"/>
        <v>4262696</v>
      </c>
      <c r="AG16" s="432">
        <f t="shared" si="4"/>
        <v>20786937</v>
      </c>
      <c r="AH16" s="432">
        <f t="shared" si="4"/>
        <v>24687042</v>
      </c>
      <c r="AI16" s="432">
        <f t="shared" si="4"/>
        <v>49874139</v>
      </c>
      <c r="AJ16" s="432">
        <f t="shared" si="4"/>
        <v>3268820</v>
      </c>
      <c r="AK16" s="432">
        <f t="shared" si="4"/>
        <v>0</v>
      </c>
      <c r="AL16" s="432">
        <f t="shared" si="4"/>
        <v>47648009</v>
      </c>
      <c r="AM16" s="432">
        <f t="shared" si="4"/>
        <v>351868</v>
      </c>
    </row>
    <row r="17" spans="1:39" s="155" customFormat="1" ht="22.5" x14ac:dyDescent="0.2">
      <c r="A17" s="277" t="s">
        <v>2306</v>
      </c>
      <c r="B17" s="279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146">
        <v>1</v>
      </c>
      <c r="B18" s="160">
        <v>1017</v>
      </c>
      <c r="C18" s="188" t="s">
        <v>978</v>
      </c>
      <c r="D18" s="432">
        <f t="shared" ref="D18:D21" si="5">E18+SUM(H18:O18)</f>
        <v>157004641</v>
      </c>
      <c r="E18" s="431">
        <v>95945247</v>
      </c>
      <c r="F18" s="431">
        <v>57473255</v>
      </c>
      <c r="G18" s="431">
        <v>3110</v>
      </c>
      <c r="H18" s="431">
        <v>0</v>
      </c>
      <c r="I18" s="431">
        <v>52949607</v>
      </c>
      <c r="J18" s="431">
        <v>0</v>
      </c>
      <c r="K18" s="431">
        <v>581000</v>
      </c>
      <c r="L18" s="431">
        <v>0</v>
      </c>
      <c r="M18" s="431">
        <v>4041670</v>
      </c>
      <c r="N18" s="431">
        <v>3169626</v>
      </c>
      <c r="O18" s="431">
        <v>317491</v>
      </c>
      <c r="P18" s="432">
        <f t="shared" ref="P18:P32" si="6">IF(SUM(Q18:AB18)=SUM(AC18:AM18),SUM(Q18:AB18),"  EROARE ART/CAP")</f>
        <v>161532040</v>
      </c>
      <c r="Q18" s="431">
        <v>62487387</v>
      </c>
      <c r="R18" s="431">
        <v>41114757</v>
      </c>
      <c r="S18" s="431">
        <v>3671460</v>
      </c>
      <c r="T18" s="431">
        <v>0</v>
      </c>
      <c r="U18" s="431">
        <v>1059141</v>
      </c>
      <c r="V18" s="431">
        <v>14529948</v>
      </c>
      <c r="W18" s="431">
        <v>6463725</v>
      </c>
      <c r="X18" s="431">
        <v>3180753</v>
      </c>
      <c r="Y18" s="431">
        <v>481958</v>
      </c>
      <c r="Z18" s="431">
        <v>20192229</v>
      </c>
      <c r="AA18" s="431">
        <v>8430896</v>
      </c>
      <c r="AB18" s="431">
        <v>-80214</v>
      </c>
      <c r="AC18" s="431">
        <v>15300601</v>
      </c>
      <c r="AD18" s="431">
        <v>4650814</v>
      </c>
      <c r="AE18" s="431">
        <v>51424199</v>
      </c>
      <c r="AF18" s="431">
        <v>1267900</v>
      </c>
      <c r="AG18" s="431">
        <v>9466358</v>
      </c>
      <c r="AH18" s="431">
        <v>15023708</v>
      </c>
      <c r="AI18" s="431">
        <v>36280939</v>
      </c>
      <c r="AJ18" s="431">
        <v>606522</v>
      </c>
      <c r="AK18" s="431">
        <v>0</v>
      </c>
      <c r="AL18" s="431">
        <v>27159131</v>
      </c>
      <c r="AM18" s="431">
        <v>351868</v>
      </c>
    </row>
    <row r="19" spans="1:39" s="155" customFormat="1" ht="12" x14ac:dyDescent="0.2">
      <c r="A19" s="146">
        <v>2</v>
      </c>
      <c r="B19" s="160">
        <v>1213</v>
      </c>
      <c r="C19" s="188" t="s">
        <v>979</v>
      </c>
      <c r="D19" s="432">
        <f t="shared" si="5"/>
        <v>49151297</v>
      </c>
      <c r="E19" s="431">
        <v>17866029</v>
      </c>
      <c r="F19" s="431">
        <v>8329960</v>
      </c>
      <c r="G19" s="431">
        <v>1988150</v>
      </c>
      <c r="H19" s="431">
        <v>0</v>
      </c>
      <c r="I19" s="431">
        <v>18689693</v>
      </c>
      <c r="J19" s="431">
        <v>0</v>
      </c>
      <c r="K19" s="431">
        <v>5163000</v>
      </c>
      <c r="L19" s="431">
        <v>0</v>
      </c>
      <c r="M19" s="431">
        <v>2597818</v>
      </c>
      <c r="N19" s="431">
        <v>3694721</v>
      </c>
      <c r="O19" s="431">
        <v>1140036</v>
      </c>
      <c r="P19" s="432">
        <f t="shared" si="6"/>
        <v>45566355</v>
      </c>
      <c r="Q19" s="431">
        <v>21259627</v>
      </c>
      <c r="R19" s="431">
        <v>4677402</v>
      </c>
      <c r="S19" s="431">
        <v>247722</v>
      </c>
      <c r="T19" s="431">
        <v>478550</v>
      </c>
      <c r="U19" s="431">
        <v>7794248</v>
      </c>
      <c r="V19" s="431">
        <v>0</v>
      </c>
      <c r="W19" s="431">
        <v>7661434</v>
      </c>
      <c r="X19" s="431">
        <v>842357</v>
      </c>
      <c r="Y19" s="431">
        <v>380951</v>
      </c>
      <c r="Z19" s="431">
        <v>1190967</v>
      </c>
      <c r="AA19" s="431">
        <v>1047072</v>
      </c>
      <c r="AB19" s="431">
        <v>-13975</v>
      </c>
      <c r="AC19" s="431">
        <v>3419475</v>
      </c>
      <c r="AD19" s="431">
        <v>523671</v>
      </c>
      <c r="AE19" s="431">
        <v>27186940</v>
      </c>
      <c r="AF19" s="431">
        <v>910069</v>
      </c>
      <c r="AG19" s="431">
        <v>1657572</v>
      </c>
      <c r="AH19" s="431">
        <v>2953233</v>
      </c>
      <c r="AI19" s="431">
        <v>3210940</v>
      </c>
      <c r="AJ19" s="431">
        <v>662330</v>
      </c>
      <c r="AK19" s="431">
        <v>0</v>
      </c>
      <c r="AL19" s="431">
        <v>5042125</v>
      </c>
      <c r="AM19" s="431"/>
    </row>
    <row r="20" spans="1:39" s="155" customFormat="1" ht="12" x14ac:dyDescent="0.2">
      <c r="A20" s="146">
        <v>3</v>
      </c>
      <c r="B20" s="160">
        <v>1348</v>
      </c>
      <c r="C20" s="188" t="s">
        <v>980</v>
      </c>
      <c r="D20" s="432">
        <f t="shared" si="5"/>
        <v>47470528</v>
      </c>
      <c r="E20" s="431">
        <v>23205624</v>
      </c>
      <c r="F20" s="431">
        <v>9614628</v>
      </c>
      <c r="G20" s="431">
        <v>1781940</v>
      </c>
      <c r="H20" s="431">
        <v>0</v>
      </c>
      <c r="I20" s="431">
        <v>18675863</v>
      </c>
      <c r="J20" s="431">
        <v>0</v>
      </c>
      <c r="K20" s="431">
        <v>3913000</v>
      </c>
      <c r="L20" s="431">
        <v>0</v>
      </c>
      <c r="M20" s="431">
        <v>96999</v>
      </c>
      <c r="N20" s="431">
        <v>47234</v>
      </c>
      <c r="O20" s="431">
        <v>1531808</v>
      </c>
      <c r="P20" s="432">
        <f t="shared" si="6"/>
        <v>45576933</v>
      </c>
      <c r="Q20" s="431">
        <v>19986894</v>
      </c>
      <c r="R20" s="431">
        <v>7819123</v>
      </c>
      <c r="S20" s="431">
        <v>599000</v>
      </c>
      <c r="T20" s="431">
        <v>0</v>
      </c>
      <c r="U20" s="431">
        <v>3544953</v>
      </c>
      <c r="V20" s="431">
        <v>5000</v>
      </c>
      <c r="W20" s="431">
        <v>429538</v>
      </c>
      <c r="X20" s="431">
        <v>1006255</v>
      </c>
      <c r="Y20" s="431">
        <v>4365750</v>
      </c>
      <c r="Z20" s="431">
        <v>6150454</v>
      </c>
      <c r="AA20" s="431">
        <v>1714286</v>
      </c>
      <c r="AB20" s="431">
        <v>-44320</v>
      </c>
      <c r="AC20" s="431">
        <v>5235464</v>
      </c>
      <c r="AD20" s="431">
        <v>351833</v>
      </c>
      <c r="AE20" s="431">
        <v>19585936</v>
      </c>
      <c r="AF20" s="431">
        <v>509260</v>
      </c>
      <c r="AG20" s="431">
        <v>6756146</v>
      </c>
      <c r="AH20" s="431">
        <v>2157083</v>
      </c>
      <c r="AI20" s="431">
        <v>1083501</v>
      </c>
      <c r="AJ20" s="431">
        <v>1487328</v>
      </c>
      <c r="AK20" s="431">
        <v>0</v>
      </c>
      <c r="AL20" s="431">
        <v>8410382</v>
      </c>
      <c r="AM20" s="431"/>
    </row>
    <row r="21" spans="1:39" s="155" customFormat="1" ht="12" x14ac:dyDescent="0.2">
      <c r="A21" s="146">
        <v>4</v>
      </c>
      <c r="B21" s="160">
        <v>1874</v>
      </c>
      <c r="C21" s="188" t="s">
        <v>981</v>
      </c>
      <c r="D21" s="432">
        <f t="shared" si="5"/>
        <v>57168921</v>
      </c>
      <c r="E21" s="431">
        <v>33467057</v>
      </c>
      <c r="F21" s="431">
        <v>18776022</v>
      </c>
      <c r="G21" s="431">
        <v>7391</v>
      </c>
      <c r="H21" s="431">
        <v>0</v>
      </c>
      <c r="I21" s="431">
        <v>20745041</v>
      </c>
      <c r="J21" s="431">
        <v>0</v>
      </c>
      <c r="K21" s="431">
        <v>266000</v>
      </c>
      <c r="L21" s="431">
        <v>0</v>
      </c>
      <c r="M21" s="431">
        <v>319239</v>
      </c>
      <c r="N21" s="431">
        <v>1365441</v>
      </c>
      <c r="O21" s="431">
        <v>1006143</v>
      </c>
      <c r="P21" s="432">
        <f t="shared" si="6"/>
        <v>57679768</v>
      </c>
      <c r="Q21" s="431">
        <v>23008280</v>
      </c>
      <c r="R21" s="431">
        <v>5238024</v>
      </c>
      <c r="S21" s="431">
        <v>550336</v>
      </c>
      <c r="T21" s="431">
        <v>0</v>
      </c>
      <c r="U21" s="431">
        <v>12641399</v>
      </c>
      <c r="V21" s="431">
        <v>213851</v>
      </c>
      <c r="W21" s="431">
        <v>2215593</v>
      </c>
      <c r="X21" s="431">
        <v>1150946</v>
      </c>
      <c r="Y21" s="431">
        <v>1336228</v>
      </c>
      <c r="Z21" s="431">
        <v>9126627</v>
      </c>
      <c r="AA21" s="431">
        <v>2312224</v>
      </c>
      <c r="AB21" s="431">
        <v>-113740</v>
      </c>
      <c r="AC21" s="431">
        <v>7624458</v>
      </c>
      <c r="AD21" s="431">
        <v>2058173</v>
      </c>
      <c r="AE21" s="431">
        <v>22114021</v>
      </c>
      <c r="AF21" s="431">
        <v>1575467</v>
      </c>
      <c r="AG21" s="431">
        <v>2906861</v>
      </c>
      <c r="AH21" s="431">
        <v>4553018</v>
      </c>
      <c r="AI21" s="431">
        <v>9298759</v>
      </c>
      <c r="AJ21" s="431">
        <v>512640</v>
      </c>
      <c r="AK21" s="431">
        <v>0</v>
      </c>
      <c r="AL21" s="431">
        <v>7036371</v>
      </c>
      <c r="AM21" s="431"/>
    </row>
    <row r="22" spans="1:39" s="155" customFormat="1" ht="12" hidden="1" x14ac:dyDescent="0.2">
      <c r="A22" s="146">
        <v>5</v>
      </c>
      <c r="B22" s="161"/>
      <c r="C22" s="206"/>
      <c r="D22" s="432">
        <f t="shared" ref="D22:D41" si="7">E22+SUM(H22:O22)</f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6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161"/>
      <c r="C23" s="206"/>
      <c r="D23" s="432">
        <f t="shared" si="7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6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61"/>
      <c r="C24" s="206"/>
      <c r="D24" s="432">
        <f t="shared" si="7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6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61"/>
      <c r="C25" s="206"/>
      <c r="D25" s="432">
        <f t="shared" si="7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6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61"/>
      <c r="C26" s="206"/>
      <c r="D26" s="432">
        <f t="shared" si="7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6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61"/>
      <c r="C27" s="206"/>
      <c r="D27" s="432">
        <f t="shared" si="7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6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61"/>
      <c r="C28" s="206"/>
      <c r="D28" s="432">
        <f t="shared" si="7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6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61"/>
      <c r="C29" s="206"/>
      <c r="D29" s="432">
        <f t="shared" si="7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6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61"/>
      <c r="C30" s="206"/>
      <c r="D30" s="432">
        <f t="shared" si="7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>IF(SUM(Q30:AB30)=SUM(AC30:AM30),SUM(Q30:AB30),"  EROARE ART/CAP")</f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61"/>
      <c r="C31" s="206"/>
      <c r="D31" s="432">
        <f t="shared" si="7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6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61"/>
      <c r="C32" s="207"/>
      <c r="D32" s="432">
        <f t="shared" si="7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6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5"/>
      <c r="C33" s="208"/>
      <c r="D33" s="432">
        <f t="shared" si="7"/>
        <v>164990416</v>
      </c>
      <c r="E33" s="432">
        <f>SUM(E34:E53)</f>
        <v>47515395</v>
      </c>
      <c r="F33" s="432">
        <f t="shared" ref="F33:O33" si="8">SUM(F34:F53)</f>
        <v>21666811</v>
      </c>
      <c r="G33" s="432">
        <f t="shared" si="8"/>
        <v>7134720</v>
      </c>
      <c r="H33" s="432">
        <f t="shared" si="8"/>
        <v>0</v>
      </c>
      <c r="I33" s="432">
        <f t="shared" si="8"/>
        <v>47356184</v>
      </c>
      <c r="J33" s="432">
        <f t="shared" si="8"/>
        <v>450000</v>
      </c>
      <c r="K33" s="432">
        <f t="shared" si="8"/>
        <v>13379110</v>
      </c>
      <c r="L33" s="432">
        <f t="shared" si="8"/>
        <v>0</v>
      </c>
      <c r="M33" s="432">
        <f t="shared" si="8"/>
        <v>35658550</v>
      </c>
      <c r="N33" s="432">
        <f t="shared" si="8"/>
        <v>17168796</v>
      </c>
      <c r="O33" s="432">
        <f t="shared" si="8"/>
        <v>3462381</v>
      </c>
      <c r="P33" s="432">
        <f>SUM(P34:P53)</f>
        <v>161602559</v>
      </c>
      <c r="Q33" s="432">
        <f>SUM(Q34:Q53)</f>
        <v>53981724</v>
      </c>
      <c r="R33" s="432">
        <f t="shared" ref="R33:AM33" si="9">SUM(R34:R53)</f>
        <v>22669811</v>
      </c>
      <c r="S33" s="432">
        <f t="shared" si="9"/>
        <v>93777</v>
      </c>
      <c r="T33" s="432">
        <f t="shared" si="9"/>
        <v>0</v>
      </c>
      <c r="U33" s="432">
        <f t="shared" si="9"/>
        <v>8947715</v>
      </c>
      <c r="V33" s="432">
        <f t="shared" si="9"/>
        <v>140678</v>
      </c>
      <c r="W33" s="432">
        <f t="shared" si="9"/>
        <v>27537230</v>
      </c>
      <c r="X33" s="432">
        <f t="shared" si="9"/>
        <v>3592170</v>
      </c>
      <c r="Y33" s="432">
        <f t="shared" si="9"/>
        <v>2082834</v>
      </c>
      <c r="Z33" s="432">
        <f t="shared" si="9"/>
        <v>41905734</v>
      </c>
      <c r="AA33" s="432">
        <f t="shared" si="9"/>
        <v>795871</v>
      </c>
      <c r="AB33" s="432">
        <f t="shared" si="9"/>
        <v>-144985</v>
      </c>
      <c r="AC33" s="432">
        <f t="shared" si="9"/>
        <v>11448282</v>
      </c>
      <c r="AD33" s="432">
        <f t="shared" si="9"/>
        <v>2500245</v>
      </c>
      <c r="AE33" s="432">
        <f t="shared" si="9"/>
        <v>49637408</v>
      </c>
      <c r="AF33" s="432">
        <f t="shared" si="9"/>
        <v>13522984</v>
      </c>
      <c r="AG33" s="432">
        <f t="shared" si="9"/>
        <v>8826654</v>
      </c>
      <c r="AH33" s="432">
        <f t="shared" si="9"/>
        <v>8025657</v>
      </c>
      <c r="AI33" s="432">
        <f t="shared" si="9"/>
        <v>17800951</v>
      </c>
      <c r="AJ33" s="432">
        <f t="shared" si="9"/>
        <v>16807464</v>
      </c>
      <c r="AK33" s="432">
        <f t="shared" si="9"/>
        <v>0</v>
      </c>
      <c r="AL33" s="432">
        <f t="shared" si="9"/>
        <v>31352419</v>
      </c>
      <c r="AM33" s="432">
        <f t="shared" si="9"/>
        <v>1680495</v>
      </c>
    </row>
    <row r="34" spans="1:39" s="155" customFormat="1" ht="12" x14ac:dyDescent="0.2">
      <c r="A34" s="146">
        <v>1</v>
      </c>
      <c r="B34" s="160">
        <v>1151</v>
      </c>
      <c r="C34" s="241" t="s">
        <v>982</v>
      </c>
      <c r="D34" s="432">
        <f t="shared" ref="D34:D40" si="10">E34+SUM(H34:O34)</f>
        <v>12480187</v>
      </c>
      <c r="E34" s="431">
        <v>3872148</v>
      </c>
      <c r="F34" s="431">
        <v>1417672</v>
      </c>
      <c r="G34" s="431">
        <v>1021360</v>
      </c>
      <c r="H34" s="431">
        <v>0</v>
      </c>
      <c r="I34" s="431">
        <v>5147686</v>
      </c>
      <c r="J34" s="431">
        <v>0</v>
      </c>
      <c r="K34" s="431">
        <v>2487000</v>
      </c>
      <c r="L34" s="431">
        <v>0</v>
      </c>
      <c r="M34" s="431">
        <v>361514</v>
      </c>
      <c r="N34" s="431">
        <v>0</v>
      </c>
      <c r="O34" s="431">
        <v>611839</v>
      </c>
      <c r="P34" s="432">
        <f t="shared" ref="P34:P45" si="11">IF(SUM(Q34:AB34)=SUM(AC34:AM34),SUM(Q34:AB34),"  EROARE ART/CAP")</f>
        <v>10591405</v>
      </c>
      <c r="Q34" s="431">
        <v>6038721</v>
      </c>
      <c r="R34" s="431">
        <v>1680001</v>
      </c>
      <c r="S34" s="431">
        <v>0</v>
      </c>
      <c r="T34" s="431">
        <v>0</v>
      </c>
      <c r="U34" s="431">
        <v>811451</v>
      </c>
      <c r="V34" s="431">
        <v>0</v>
      </c>
      <c r="W34" s="431">
        <v>0</v>
      </c>
      <c r="X34" s="431">
        <v>247266</v>
      </c>
      <c r="Y34" s="431">
        <v>62455</v>
      </c>
      <c r="Z34" s="431">
        <v>1800870</v>
      </c>
      <c r="AA34" s="431">
        <v>0</v>
      </c>
      <c r="AB34" s="431">
        <v>-49359</v>
      </c>
      <c r="AC34" s="431">
        <v>1035097</v>
      </c>
      <c r="AD34" s="431">
        <v>141888</v>
      </c>
      <c r="AE34" s="431">
        <v>5906731</v>
      </c>
      <c r="AF34" s="431">
        <v>892486</v>
      </c>
      <c r="AG34" s="431">
        <v>89680</v>
      </c>
      <c r="AH34" s="431">
        <v>514496</v>
      </c>
      <c r="AI34" s="431">
        <v>2011027</v>
      </c>
      <c r="AJ34" s="431">
        <v>0</v>
      </c>
      <c r="AK34" s="431">
        <v>0</v>
      </c>
      <c r="AL34" s="431">
        <v>0</v>
      </c>
      <c r="AM34" s="431"/>
    </row>
    <row r="35" spans="1:39" s="155" customFormat="1" ht="12" x14ac:dyDescent="0.2">
      <c r="A35" s="146">
        <v>2</v>
      </c>
      <c r="B35" s="160">
        <v>2915</v>
      </c>
      <c r="C35" s="242" t="s">
        <v>983</v>
      </c>
      <c r="D35" s="432">
        <f t="shared" si="10"/>
        <v>11421765</v>
      </c>
      <c r="E35" s="431">
        <v>2803863</v>
      </c>
      <c r="F35" s="431">
        <v>679853</v>
      </c>
      <c r="G35" s="431">
        <v>1587240</v>
      </c>
      <c r="H35" s="431">
        <v>0</v>
      </c>
      <c r="I35" s="431">
        <v>3522249</v>
      </c>
      <c r="J35" s="431">
        <v>0</v>
      </c>
      <c r="K35" s="431">
        <v>3611000</v>
      </c>
      <c r="L35" s="431">
        <v>0</v>
      </c>
      <c r="M35" s="431">
        <v>918510</v>
      </c>
      <c r="N35" s="431">
        <v>548543</v>
      </c>
      <c r="O35" s="431">
        <v>17600</v>
      </c>
      <c r="P35" s="432">
        <f t="shared" si="11"/>
        <v>9260581</v>
      </c>
      <c r="Q35" s="431">
        <v>4036003</v>
      </c>
      <c r="R35" s="431">
        <v>906057</v>
      </c>
      <c r="S35" s="431">
        <v>0</v>
      </c>
      <c r="T35" s="431">
        <v>0</v>
      </c>
      <c r="U35" s="431">
        <v>496196</v>
      </c>
      <c r="V35" s="431">
        <v>4271</v>
      </c>
      <c r="W35" s="431">
        <v>946997</v>
      </c>
      <c r="X35" s="431">
        <v>158003</v>
      </c>
      <c r="Y35" s="431">
        <v>57996</v>
      </c>
      <c r="Z35" s="431">
        <v>2662927</v>
      </c>
      <c r="AA35" s="431">
        <v>0</v>
      </c>
      <c r="AB35" s="431">
        <v>-7869</v>
      </c>
      <c r="AC35" s="431">
        <v>978416</v>
      </c>
      <c r="AD35" s="431">
        <v>198214</v>
      </c>
      <c r="AE35" s="431">
        <v>3224425</v>
      </c>
      <c r="AF35" s="431">
        <v>231209</v>
      </c>
      <c r="AG35" s="431">
        <v>1174501</v>
      </c>
      <c r="AH35" s="431">
        <v>921157</v>
      </c>
      <c r="AI35" s="431">
        <v>305353</v>
      </c>
      <c r="AJ35" s="431">
        <v>34602</v>
      </c>
      <c r="AK35" s="431">
        <v>0</v>
      </c>
      <c r="AL35" s="431">
        <v>2192704</v>
      </c>
      <c r="AM35" s="431"/>
    </row>
    <row r="36" spans="1:39" s="155" customFormat="1" ht="12" x14ac:dyDescent="0.2">
      <c r="A36" s="146">
        <v>3</v>
      </c>
      <c r="B36" s="160">
        <v>1455</v>
      </c>
      <c r="C36" s="242" t="s">
        <v>984</v>
      </c>
      <c r="D36" s="432">
        <f t="shared" si="10"/>
        <v>21091885</v>
      </c>
      <c r="E36" s="431">
        <v>5712001</v>
      </c>
      <c r="F36" s="431">
        <v>3317615</v>
      </c>
      <c r="G36" s="431">
        <v>368430</v>
      </c>
      <c r="H36" s="431">
        <v>0</v>
      </c>
      <c r="I36" s="431">
        <v>10655443</v>
      </c>
      <c r="J36" s="431">
        <v>0</v>
      </c>
      <c r="K36" s="431">
        <v>859000</v>
      </c>
      <c r="L36" s="431">
        <v>0</v>
      </c>
      <c r="M36" s="431">
        <v>3389201</v>
      </c>
      <c r="N36" s="431">
        <v>375223</v>
      </c>
      <c r="O36" s="431">
        <v>101017</v>
      </c>
      <c r="P36" s="432">
        <f t="shared" si="11"/>
        <v>20416845</v>
      </c>
      <c r="Q36" s="431">
        <v>10940058</v>
      </c>
      <c r="R36" s="431">
        <v>2446552</v>
      </c>
      <c r="S36" s="431">
        <v>0</v>
      </c>
      <c r="T36" s="431">
        <v>0</v>
      </c>
      <c r="U36" s="431">
        <v>1758455</v>
      </c>
      <c r="V36" s="431">
        <v>0</v>
      </c>
      <c r="W36" s="431">
        <v>1071468</v>
      </c>
      <c r="X36" s="431">
        <v>513617</v>
      </c>
      <c r="Y36" s="431">
        <v>141255</v>
      </c>
      <c r="Z36" s="431">
        <v>3545440</v>
      </c>
      <c r="AA36" s="431">
        <v>0</v>
      </c>
      <c r="AB36" s="431">
        <v>0</v>
      </c>
      <c r="AC36" s="431">
        <v>1770977</v>
      </c>
      <c r="AD36" s="431">
        <v>128288</v>
      </c>
      <c r="AE36" s="431">
        <v>10567150</v>
      </c>
      <c r="AF36" s="431">
        <v>3926398</v>
      </c>
      <c r="AG36" s="431">
        <v>394314</v>
      </c>
      <c r="AH36" s="431">
        <v>1196027</v>
      </c>
      <c r="AI36" s="431">
        <v>318768</v>
      </c>
      <c r="AJ36" s="431">
        <v>712825</v>
      </c>
      <c r="AK36" s="431">
        <v>0</v>
      </c>
      <c r="AL36" s="431">
        <v>810328</v>
      </c>
      <c r="AM36" s="431">
        <v>591770</v>
      </c>
    </row>
    <row r="37" spans="1:39" s="155" customFormat="1" ht="12" x14ac:dyDescent="0.2">
      <c r="A37" s="146">
        <v>4</v>
      </c>
      <c r="B37" s="160">
        <v>1696</v>
      </c>
      <c r="C37" s="241" t="s">
        <v>985</v>
      </c>
      <c r="D37" s="432">
        <f t="shared" si="10"/>
        <v>45414263</v>
      </c>
      <c r="E37" s="431">
        <v>17061162</v>
      </c>
      <c r="F37" s="431">
        <v>9966250</v>
      </c>
      <c r="G37" s="431">
        <v>378160</v>
      </c>
      <c r="H37" s="431">
        <v>0</v>
      </c>
      <c r="I37" s="431">
        <v>11998690</v>
      </c>
      <c r="J37" s="431">
        <v>0</v>
      </c>
      <c r="K37" s="431">
        <v>411110</v>
      </c>
      <c r="L37" s="431">
        <v>0</v>
      </c>
      <c r="M37" s="431">
        <v>4227812</v>
      </c>
      <c r="N37" s="431">
        <v>11204721</v>
      </c>
      <c r="O37" s="431">
        <v>510768</v>
      </c>
      <c r="P37" s="432">
        <f t="shared" si="11"/>
        <v>48128710</v>
      </c>
      <c r="Q37" s="431">
        <v>14351587</v>
      </c>
      <c r="R37" s="431">
        <v>7195399</v>
      </c>
      <c r="S37" s="431">
        <v>40000</v>
      </c>
      <c r="T37" s="431">
        <v>0</v>
      </c>
      <c r="U37" s="431">
        <v>4887633</v>
      </c>
      <c r="V37" s="431">
        <v>94407</v>
      </c>
      <c r="W37" s="431">
        <v>16551384</v>
      </c>
      <c r="X37" s="431">
        <v>1237634</v>
      </c>
      <c r="Y37" s="431">
        <v>1161014</v>
      </c>
      <c r="Z37" s="431">
        <v>1994375</v>
      </c>
      <c r="AA37" s="431">
        <v>625000</v>
      </c>
      <c r="AB37" s="431">
        <v>-9723</v>
      </c>
      <c r="AC37" s="431">
        <v>3160610</v>
      </c>
      <c r="AD37" s="431">
        <v>1017928</v>
      </c>
      <c r="AE37" s="431">
        <v>14833266</v>
      </c>
      <c r="AF37" s="431">
        <v>7605269</v>
      </c>
      <c r="AG37" s="431">
        <v>5023433</v>
      </c>
      <c r="AH37" s="431">
        <v>2428596</v>
      </c>
      <c r="AI37" s="431">
        <v>1019733</v>
      </c>
      <c r="AJ37" s="431">
        <v>1532425</v>
      </c>
      <c r="AK37" s="431">
        <v>0</v>
      </c>
      <c r="AL37" s="431">
        <v>11449183</v>
      </c>
      <c r="AM37" s="431">
        <v>58267</v>
      </c>
    </row>
    <row r="38" spans="1:39" s="155" customFormat="1" ht="12" x14ac:dyDescent="0.2">
      <c r="A38" s="146">
        <v>5</v>
      </c>
      <c r="B38" s="160">
        <v>1794</v>
      </c>
      <c r="C38" s="242" t="s">
        <v>986</v>
      </c>
      <c r="D38" s="432">
        <f t="shared" si="10"/>
        <v>20599399</v>
      </c>
      <c r="E38" s="431">
        <v>8352702</v>
      </c>
      <c r="F38" s="431">
        <v>2623534</v>
      </c>
      <c r="G38" s="431">
        <v>1940690</v>
      </c>
      <c r="H38" s="431">
        <v>0</v>
      </c>
      <c r="I38" s="431">
        <v>8329831</v>
      </c>
      <c r="J38" s="431">
        <v>450000</v>
      </c>
      <c r="K38" s="431">
        <v>1298000</v>
      </c>
      <c r="L38" s="431">
        <v>0</v>
      </c>
      <c r="M38" s="431">
        <v>2085480</v>
      </c>
      <c r="N38" s="431">
        <v>69326</v>
      </c>
      <c r="O38" s="431">
        <v>14060</v>
      </c>
      <c r="P38" s="432">
        <f t="shared" si="11"/>
        <v>20489388</v>
      </c>
      <c r="Q38" s="431">
        <v>9084612</v>
      </c>
      <c r="R38" s="431">
        <v>4347436</v>
      </c>
      <c r="S38" s="431">
        <v>0</v>
      </c>
      <c r="T38" s="431">
        <v>0</v>
      </c>
      <c r="U38" s="431">
        <v>993980</v>
      </c>
      <c r="V38" s="431">
        <v>0</v>
      </c>
      <c r="W38" s="431">
        <v>215503</v>
      </c>
      <c r="X38" s="431">
        <v>646720</v>
      </c>
      <c r="Y38" s="431">
        <v>220825</v>
      </c>
      <c r="Z38" s="431">
        <v>5016997</v>
      </c>
      <c r="AA38" s="431">
        <v>0</v>
      </c>
      <c r="AB38" s="431">
        <v>-36685</v>
      </c>
      <c r="AC38" s="431">
        <v>1691022</v>
      </c>
      <c r="AD38" s="431">
        <v>405445</v>
      </c>
      <c r="AE38" s="431">
        <v>7869656</v>
      </c>
      <c r="AF38" s="431">
        <v>644624</v>
      </c>
      <c r="AG38" s="431">
        <v>770863</v>
      </c>
      <c r="AH38" s="431">
        <v>1563181</v>
      </c>
      <c r="AI38" s="431">
        <v>1146832</v>
      </c>
      <c r="AJ38" s="431">
        <v>1120134</v>
      </c>
      <c r="AK38" s="431">
        <v>0</v>
      </c>
      <c r="AL38" s="431">
        <v>5277631</v>
      </c>
      <c r="AM38" s="431"/>
    </row>
    <row r="39" spans="1:39" s="155" customFormat="1" ht="12" x14ac:dyDescent="0.2">
      <c r="A39" s="146">
        <v>6</v>
      </c>
      <c r="B39" s="160">
        <v>8096</v>
      </c>
      <c r="C39" s="241" t="s">
        <v>987</v>
      </c>
      <c r="D39" s="432">
        <f t="shared" si="10"/>
        <v>13688235</v>
      </c>
      <c r="E39" s="431">
        <v>5369077</v>
      </c>
      <c r="F39" s="431">
        <v>2240869</v>
      </c>
      <c r="G39" s="431">
        <v>702400</v>
      </c>
      <c r="H39" s="431">
        <v>0</v>
      </c>
      <c r="I39" s="431">
        <v>3394790</v>
      </c>
      <c r="J39" s="431">
        <v>0</v>
      </c>
      <c r="K39" s="431">
        <v>1777000</v>
      </c>
      <c r="L39" s="431">
        <v>0</v>
      </c>
      <c r="M39" s="431">
        <v>879481</v>
      </c>
      <c r="N39" s="431">
        <v>265890</v>
      </c>
      <c r="O39" s="431">
        <v>2001997</v>
      </c>
      <c r="P39" s="432">
        <f t="shared" si="11"/>
        <v>12155077</v>
      </c>
      <c r="Q39" s="431">
        <v>4028249</v>
      </c>
      <c r="R39" s="431">
        <v>2699827</v>
      </c>
      <c r="S39" s="431">
        <v>20144</v>
      </c>
      <c r="T39" s="431">
        <v>0</v>
      </c>
      <c r="U39" s="431">
        <v>0</v>
      </c>
      <c r="V39" s="431">
        <v>42000</v>
      </c>
      <c r="W39" s="431">
        <v>294223</v>
      </c>
      <c r="X39" s="431">
        <v>368722</v>
      </c>
      <c r="Y39" s="431">
        <v>215455</v>
      </c>
      <c r="Z39" s="431">
        <v>4367806</v>
      </c>
      <c r="AA39" s="431">
        <v>120000</v>
      </c>
      <c r="AB39" s="431">
        <v>-1349</v>
      </c>
      <c r="AC39" s="431">
        <v>1320875</v>
      </c>
      <c r="AD39" s="431">
        <v>275550</v>
      </c>
      <c r="AE39" s="431">
        <v>3044590</v>
      </c>
      <c r="AF39" s="431">
        <v>2452</v>
      </c>
      <c r="AG39" s="431">
        <v>683092</v>
      </c>
      <c r="AH39" s="431">
        <v>706349</v>
      </c>
      <c r="AI39" s="431">
        <v>920564</v>
      </c>
      <c r="AJ39" s="431">
        <v>2768665</v>
      </c>
      <c r="AK39" s="431">
        <v>0</v>
      </c>
      <c r="AL39" s="431">
        <v>1854675</v>
      </c>
      <c r="AM39" s="431">
        <v>578265</v>
      </c>
    </row>
    <row r="40" spans="1:39" s="155" customFormat="1" ht="12" x14ac:dyDescent="0.2">
      <c r="A40" s="146">
        <v>7</v>
      </c>
      <c r="B40" s="160">
        <v>1936</v>
      </c>
      <c r="C40" s="241" t="s">
        <v>988</v>
      </c>
      <c r="D40" s="432">
        <f t="shared" si="10"/>
        <v>40294682</v>
      </c>
      <c r="E40" s="431">
        <v>4344442</v>
      </c>
      <c r="F40" s="431">
        <v>1421018</v>
      </c>
      <c r="G40" s="431">
        <v>1136440</v>
      </c>
      <c r="H40" s="431">
        <v>0</v>
      </c>
      <c r="I40" s="431">
        <v>4307495</v>
      </c>
      <c r="J40" s="431">
        <v>0</v>
      </c>
      <c r="K40" s="431">
        <v>2936000</v>
      </c>
      <c r="L40" s="431">
        <v>0</v>
      </c>
      <c r="M40" s="431">
        <v>23796552</v>
      </c>
      <c r="N40" s="431">
        <v>4705093</v>
      </c>
      <c r="O40" s="431">
        <v>205100</v>
      </c>
      <c r="P40" s="432">
        <f t="shared" si="11"/>
        <v>40560553</v>
      </c>
      <c r="Q40" s="431">
        <v>5502494</v>
      </c>
      <c r="R40" s="431">
        <v>3394539</v>
      </c>
      <c r="S40" s="431">
        <v>33633</v>
      </c>
      <c r="T40" s="431">
        <v>0</v>
      </c>
      <c r="U40" s="431">
        <v>0</v>
      </c>
      <c r="V40" s="431">
        <v>0</v>
      </c>
      <c r="W40" s="431">
        <v>8457655</v>
      </c>
      <c r="X40" s="431">
        <v>420208</v>
      </c>
      <c r="Y40" s="431">
        <v>223834</v>
      </c>
      <c r="Z40" s="431">
        <v>22517319</v>
      </c>
      <c r="AA40" s="431">
        <v>50871</v>
      </c>
      <c r="AB40" s="431">
        <v>-40000</v>
      </c>
      <c r="AC40" s="431">
        <v>1491285</v>
      </c>
      <c r="AD40" s="431">
        <v>332932</v>
      </c>
      <c r="AE40" s="431">
        <v>4191590</v>
      </c>
      <c r="AF40" s="431">
        <v>220546</v>
      </c>
      <c r="AG40" s="431">
        <v>690771</v>
      </c>
      <c r="AH40" s="431">
        <v>695851</v>
      </c>
      <c r="AI40" s="431">
        <v>12078674</v>
      </c>
      <c r="AJ40" s="431">
        <v>10638813</v>
      </c>
      <c r="AK40" s="431">
        <v>0</v>
      </c>
      <c r="AL40" s="431">
        <v>9767898</v>
      </c>
      <c r="AM40" s="431">
        <v>452193</v>
      </c>
    </row>
    <row r="41" spans="1:39" s="155" customFormat="1" ht="12" hidden="1" x14ac:dyDescent="0.2">
      <c r="A41" s="146">
        <v>8</v>
      </c>
      <c r="B41" s="161"/>
      <c r="C41" s="173"/>
      <c r="D41" s="432">
        <f t="shared" si="7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11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146">
        <v>9</v>
      </c>
      <c r="B42" s="161"/>
      <c r="C42" s="206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11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161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11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61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11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61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11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61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ref="P46:P53" si="12">IF(SUM(Q46:AB46)=SUM(AC46:AM46),SUM(Q46:AB46),"  EROARE ART/CAP")</f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61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12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61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12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61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12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61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12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61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12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61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12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61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12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5"/>
      <c r="C54" s="208"/>
      <c r="D54" s="432">
        <f t="shared" ref="D54" si="13">E54+SUM(H54:O54)</f>
        <v>332634770</v>
      </c>
      <c r="E54" s="432">
        <f>SUM(E55:E143)</f>
        <v>92110496</v>
      </c>
      <c r="F54" s="432">
        <f t="shared" ref="F54:O54" si="14">SUM(F55:F143)</f>
        <v>23884928</v>
      </c>
      <c r="G54" s="432">
        <f t="shared" si="14"/>
        <v>26936900</v>
      </c>
      <c r="H54" s="432">
        <f t="shared" si="14"/>
        <v>0</v>
      </c>
      <c r="I54" s="432">
        <f t="shared" si="14"/>
        <v>84683781</v>
      </c>
      <c r="J54" s="432">
        <f t="shared" si="14"/>
        <v>2224351</v>
      </c>
      <c r="K54" s="432">
        <f t="shared" si="14"/>
        <v>56325310</v>
      </c>
      <c r="L54" s="432">
        <f t="shared" si="14"/>
        <v>0</v>
      </c>
      <c r="M54" s="432">
        <f t="shared" si="14"/>
        <v>46880833</v>
      </c>
      <c r="N54" s="432">
        <f t="shared" si="14"/>
        <v>48783974</v>
      </c>
      <c r="O54" s="432">
        <f t="shared" si="14"/>
        <v>1626025</v>
      </c>
      <c r="P54" s="432">
        <f>SUM(P55:P143)</f>
        <v>320846599</v>
      </c>
      <c r="Q54" s="432">
        <f>SUM(Q55:Q143)</f>
        <v>101195250</v>
      </c>
      <c r="R54" s="432">
        <f t="shared" ref="R54:AM54" si="15">SUM(R55:R143)</f>
        <v>59318547</v>
      </c>
      <c r="S54" s="432">
        <f t="shared" si="15"/>
        <v>571147</v>
      </c>
      <c r="T54" s="432">
        <f t="shared" si="15"/>
        <v>0</v>
      </c>
      <c r="U54" s="432">
        <f t="shared" si="15"/>
        <v>89043</v>
      </c>
      <c r="V54" s="432">
        <f t="shared" si="15"/>
        <v>1477789</v>
      </c>
      <c r="W54" s="432">
        <f t="shared" si="15"/>
        <v>71416349</v>
      </c>
      <c r="X54" s="432">
        <f t="shared" si="15"/>
        <v>9027081</v>
      </c>
      <c r="Y54" s="432">
        <f t="shared" si="15"/>
        <v>6585789</v>
      </c>
      <c r="Z54" s="432">
        <f t="shared" si="15"/>
        <v>61779625</v>
      </c>
      <c r="AA54" s="432">
        <f t="shared" si="15"/>
        <v>10761850</v>
      </c>
      <c r="AB54" s="432">
        <f t="shared" si="15"/>
        <v>-1375871</v>
      </c>
      <c r="AC54" s="432">
        <f t="shared" si="15"/>
        <v>49796700</v>
      </c>
      <c r="AD54" s="432">
        <f t="shared" si="15"/>
        <v>5207120</v>
      </c>
      <c r="AE54" s="432">
        <f t="shared" si="15"/>
        <v>92128407</v>
      </c>
      <c r="AF54" s="432">
        <f t="shared" si="15"/>
        <v>1146511</v>
      </c>
      <c r="AG54" s="432">
        <f t="shared" si="15"/>
        <v>24834296</v>
      </c>
      <c r="AH54" s="432">
        <f t="shared" si="15"/>
        <v>22973265</v>
      </c>
      <c r="AI54" s="432">
        <f t="shared" si="15"/>
        <v>23147684</v>
      </c>
      <c r="AJ54" s="432">
        <f t="shared" si="15"/>
        <v>12297972</v>
      </c>
      <c r="AK54" s="432">
        <f t="shared" si="15"/>
        <v>0</v>
      </c>
      <c r="AL54" s="432">
        <f>SUM(AL55:AL143)</f>
        <v>84659290</v>
      </c>
      <c r="AM54" s="432">
        <f t="shared" si="15"/>
        <v>4655354</v>
      </c>
    </row>
    <row r="55" spans="1:39" s="155" customFormat="1" ht="12" x14ac:dyDescent="0.2">
      <c r="A55" s="168">
        <v>1</v>
      </c>
      <c r="B55" s="169">
        <v>2130</v>
      </c>
      <c r="C55" s="190" t="s">
        <v>989</v>
      </c>
      <c r="D55" s="432">
        <f>E55+SUM(H55:O55)</f>
        <v>5350924</v>
      </c>
      <c r="E55" s="431">
        <v>947142</v>
      </c>
      <c r="F55" s="431">
        <v>210199</v>
      </c>
      <c r="G55" s="431">
        <v>286420</v>
      </c>
      <c r="H55" s="431">
        <v>0</v>
      </c>
      <c r="I55" s="431">
        <v>2202740</v>
      </c>
      <c r="J55" s="431">
        <v>0</v>
      </c>
      <c r="K55" s="431">
        <v>872000</v>
      </c>
      <c r="L55" s="431">
        <v>0</v>
      </c>
      <c r="M55" s="431">
        <v>917423</v>
      </c>
      <c r="N55" s="431">
        <v>411619</v>
      </c>
      <c r="O55" s="431"/>
      <c r="P55" s="432">
        <f t="shared" ref="P55:P118" si="16">IF(SUM(Q55:AB55)=SUM(AC55:AM55),SUM(Q55:AB55),"  EROARE ART/CAP")</f>
        <v>5552803</v>
      </c>
      <c r="Q55" s="431">
        <v>2449162</v>
      </c>
      <c r="R55" s="431">
        <v>1139404</v>
      </c>
      <c r="S55" s="431">
        <v>0</v>
      </c>
      <c r="T55" s="431">
        <v>0</v>
      </c>
      <c r="U55" s="431">
        <v>0</v>
      </c>
      <c r="V55" s="431">
        <v>760000</v>
      </c>
      <c r="W55" s="431">
        <v>603926</v>
      </c>
      <c r="X55" s="431">
        <v>117709</v>
      </c>
      <c r="Y55" s="431">
        <v>55000</v>
      </c>
      <c r="Z55" s="431">
        <v>490472</v>
      </c>
      <c r="AA55" s="431">
        <v>0</v>
      </c>
      <c r="AB55" s="431">
        <v>-62870</v>
      </c>
      <c r="AC55" s="431">
        <v>705096</v>
      </c>
      <c r="AD55" s="431">
        <v>16875</v>
      </c>
      <c r="AE55" s="431">
        <v>1841281</v>
      </c>
      <c r="AF55" s="431">
        <v>45262</v>
      </c>
      <c r="AG55" s="431">
        <v>239526</v>
      </c>
      <c r="AH55" s="431">
        <v>643410</v>
      </c>
      <c r="AI55" s="431">
        <v>216749</v>
      </c>
      <c r="AJ55" s="431">
        <v>30051</v>
      </c>
      <c r="AK55" s="431">
        <v>0</v>
      </c>
      <c r="AL55" s="431">
        <v>1205857</v>
      </c>
      <c r="AM55" s="431">
        <v>608696</v>
      </c>
    </row>
    <row r="56" spans="1:39" s="155" customFormat="1" ht="12" x14ac:dyDescent="0.2">
      <c r="A56" s="168">
        <v>2</v>
      </c>
      <c r="B56" s="169">
        <v>2309</v>
      </c>
      <c r="C56" s="190" t="s">
        <v>990</v>
      </c>
      <c r="D56" s="432">
        <f t="shared" ref="D56:D119" si="17">E56+SUM(H56:O56)</f>
        <v>4013522</v>
      </c>
      <c r="E56" s="431">
        <v>831862</v>
      </c>
      <c r="F56" s="431">
        <v>239720</v>
      </c>
      <c r="G56" s="431">
        <v>368170</v>
      </c>
      <c r="H56" s="431">
        <v>0</v>
      </c>
      <c r="I56" s="431">
        <v>1014139</v>
      </c>
      <c r="J56" s="431">
        <v>0</v>
      </c>
      <c r="K56" s="431">
        <v>912000</v>
      </c>
      <c r="L56" s="431">
        <v>0</v>
      </c>
      <c r="M56" s="431">
        <v>475756</v>
      </c>
      <c r="N56" s="431">
        <v>778497</v>
      </c>
      <c r="O56" s="431">
        <v>1268</v>
      </c>
      <c r="P56" s="432">
        <f t="shared" si="16"/>
        <v>4071039</v>
      </c>
      <c r="Q56" s="431">
        <v>1437974</v>
      </c>
      <c r="R56" s="431">
        <v>1001364</v>
      </c>
      <c r="S56" s="431">
        <v>16999</v>
      </c>
      <c r="T56" s="431">
        <v>0</v>
      </c>
      <c r="U56" s="431">
        <v>0</v>
      </c>
      <c r="V56" s="431">
        <v>0</v>
      </c>
      <c r="W56" s="431">
        <v>102963</v>
      </c>
      <c r="X56" s="431">
        <v>47792</v>
      </c>
      <c r="Y56" s="431">
        <v>30944</v>
      </c>
      <c r="Z56" s="431">
        <v>311285</v>
      </c>
      <c r="AA56" s="431">
        <v>1123518</v>
      </c>
      <c r="AB56" s="431">
        <v>-1800</v>
      </c>
      <c r="AC56" s="431">
        <v>796843</v>
      </c>
      <c r="AD56" s="431">
        <v>357539</v>
      </c>
      <c r="AE56" s="431">
        <v>869322</v>
      </c>
      <c r="AF56" s="431">
        <v>0</v>
      </c>
      <c r="AG56" s="431">
        <v>365155</v>
      </c>
      <c r="AH56" s="431">
        <v>296907</v>
      </c>
      <c r="AI56" s="431">
        <v>194247</v>
      </c>
      <c r="AJ56" s="431">
        <v>661</v>
      </c>
      <c r="AK56" s="431">
        <v>0</v>
      </c>
      <c r="AL56" s="431">
        <v>1190365</v>
      </c>
      <c r="AM56" s="431"/>
    </row>
    <row r="57" spans="1:39" s="155" customFormat="1" ht="12" x14ac:dyDescent="0.2">
      <c r="A57" s="168">
        <v>3</v>
      </c>
      <c r="B57" s="169">
        <v>2381</v>
      </c>
      <c r="C57" s="190" t="s">
        <v>991</v>
      </c>
      <c r="D57" s="432">
        <f t="shared" si="17"/>
        <v>14622032</v>
      </c>
      <c r="E57" s="431">
        <v>859128</v>
      </c>
      <c r="F57" s="431">
        <v>150289</v>
      </c>
      <c r="G57" s="431">
        <v>333160</v>
      </c>
      <c r="H57" s="431">
        <v>0</v>
      </c>
      <c r="I57" s="431">
        <v>1623205</v>
      </c>
      <c r="J57" s="431">
        <v>0</v>
      </c>
      <c r="K57" s="431">
        <v>845000</v>
      </c>
      <c r="L57" s="431">
        <v>0</v>
      </c>
      <c r="M57" s="431">
        <v>3420335</v>
      </c>
      <c r="N57" s="431">
        <v>7874364</v>
      </c>
      <c r="O57" s="431"/>
      <c r="P57" s="432">
        <f t="shared" si="16"/>
        <v>14598469</v>
      </c>
      <c r="Q57" s="431">
        <v>1761673</v>
      </c>
      <c r="R57" s="431">
        <v>952162</v>
      </c>
      <c r="S57" s="431">
        <v>18359</v>
      </c>
      <c r="T57" s="431">
        <v>0</v>
      </c>
      <c r="U57" s="431">
        <v>0</v>
      </c>
      <c r="V57" s="431">
        <v>0</v>
      </c>
      <c r="W57" s="431">
        <v>11648898</v>
      </c>
      <c r="X57" s="431">
        <v>61893</v>
      </c>
      <c r="Y57" s="431">
        <v>51522</v>
      </c>
      <c r="Z57" s="431">
        <v>67025</v>
      </c>
      <c r="AA57" s="431">
        <v>41287</v>
      </c>
      <c r="AB57" s="431">
        <v>-4350</v>
      </c>
      <c r="AC57" s="431">
        <v>727033</v>
      </c>
      <c r="AD57" s="431">
        <v>106</v>
      </c>
      <c r="AE57" s="431">
        <v>13129289</v>
      </c>
      <c r="AF57" s="431">
        <v>0</v>
      </c>
      <c r="AG57" s="431">
        <v>104033</v>
      </c>
      <c r="AH57" s="431">
        <v>260444</v>
      </c>
      <c r="AI57" s="431">
        <v>175896</v>
      </c>
      <c r="AJ57" s="431">
        <v>102782</v>
      </c>
      <c r="AK57" s="431">
        <v>0</v>
      </c>
      <c r="AL57" s="431">
        <v>59946</v>
      </c>
      <c r="AM57" s="431">
        <v>38940</v>
      </c>
    </row>
    <row r="58" spans="1:39" s="155" customFormat="1" ht="12" x14ac:dyDescent="0.2">
      <c r="A58" s="168">
        <v>4</v>
      </c>
      <c r="B58" s="169">
        <v>2577</v>
      </c>
      <c r="C58" s="190" t="s">
        <v>992</v>
      </c>
      <c r="D58" s="432">
        <f t="shared" si="17"/>
        <v>2821270</v>
      </c>
      <c r="E58" s="431">
        <v>724048</v>
      </c>
      <c r="F58" s="431">
        <v>85341</v>
      </c>
      <c r="G58" s="431">
        <v>389240</v>
      </c>
      <c r="H58" s="431">
        <v>0</v>
      </c>
      <c r="I58" s="431">
        <v>1086198</v>
      </c>
      <c r="J58" s="431">
        <v>0</v>
      </c>
      <c r="K58" s="431">
        <v>995000</v>
      </c>
      <c r="L58" s="431">
        <v>0</v>
      </c>
      <c r="M58" s="431">
        <v>16024</v>
      </c>
      <c r="N58" s="431">
        <v>0</v>
      </c>
      <c r="O58" s="431"/>
      <c r="P58" s="432">
        <f t="shared" si="16"/>
        <v>2825275</v>
      </c>
      <c r="Q58" s="431">
        <v>1386317</v>
      </c>
      <c r="R58" s="431">
        <v>721807</v>
      </c>
      <c r="S58" s="431">
        <v>0</v>
      </c>
      <c r="T58" s="431">
        <v>0</v>
      </c>
      <c r="U58" s="431">
        <v>0</v>
      </c>
      <c r="V58" s="431">
        <v>0</v>
      </c>
      <c r="W58" s="431">
        <v>0</v>
      </c>
      <c r="X58" s="431">
        <v>135402</v>
      </c>
      <c r="Y58" s="431">
        <v>25547</v>
      </c>
      <c r="Z58" s="431">
        <v>565984</v>
      </c>
      <c r="AA58" s="431">
        <v>0</v>
      </c>
      <c r="AB58" s="431">
        <v>-9782</v>
      </c>
      <c r="AC58" s="431">
        <v>537654</v>
      </c>
      <c r="AD58" s="431">
        <v>8453</v>
      </c>
      <c r="AE58" s="431">
        <v>946157</v>
      </c>
      <c r="AF58" s="431">
        <v>29723</v>
      </c>
      <c r="AG58" s="431">
        <v>417256</v>
      </c>
      <c r="AH58" s="431">
        <v>409365</v>
      </c>
      <c r="AI58" s="431">
        <v>159623</v>
      </c>
      <c r="AJ58" s="431">
        <v>59336</v>
      </c>
      <c r="AK58" s="431">
        <v>0</v>
      </c>
      <c r="AL58" s="431">
        <v>257708</v>
      </c>
      <c r="AM58" s="431"/>
    </row>
    <row r="59" spans="1:39" s="155" customFormat="1" ht="12" x14ac:dyDescent="0.2">
      <c r="A59" s="168">
        <v>5</v>
      </c>
      <c r="B59" s="169">
        <v>2988</v>
      </c>
      <c r="C59" s="190" t="s">
        <v>993</v>
      </c>
      <c r="D59" s="432">
        <f t="shared" si="17"/>
        <v>3210001</v>
      </c>
      <c r="E59" s="431">
        <v>1167046</v>
      </c>
      <c r="F59" s="431">
        <v>146011</v>
      </c>
      <c r="G59" s="431">
        <v>303170</v>
      </c>
      <c r="H59" s="431">
        <v>0</v>
      </c>
      <c r="I59" s="431">
        <v>936377</v>
      </c>
      <c r="J59" s="431">
        <v>0</v>
      </c>
      <c r="K59" s="431">
        <v>802000</v>
      </c>
      <c r="L59" s="431">
        <v>0</v>
      </c>
      <c r="M59" s="431">
        <v>76949</v>
      </c>
      <c r="N59" s="431">
        <v>227629</v>
      </c>
      <c r="O59" s="431"/>
      <c r="P59" s="432">
        <f t="shared" si="16"/>
        <v>2860513</v>
      </c>
      <c r="Q59" s="431">
        <v>1165447</v>
      </c>
      <c r="R59" s="431">
        <v>738075</v>
      </c>
      <c r="S59" s="431">
        <v>0</v>
      </c>
      <c r="T59" s="431">
        <v>0</v>
      </c>
      <c r="U59" s="431">
        <v>0</v>
      </c>
      <c r="V59" s="431">
        <v>40000</v>
      </c>
      <c r="W59" s="431">
        <v>353321</v>
      </c>
      <c r="X59" s="431">
        <v>165355</v>
      </c>
      <c r="Y59" s="431">
        <v>218082</v>
      </c>
      <c r="Z59" s="431">
        <v>180233</v>
      </c>
      <c r="AA59" s="431">
        <v>0</v>
      </c>
      <c r="AB59" s="431">
        <v>0</v>
      </c>
      <c r="AC59" s="431">
        <v>568873</v>
      </c>
      <c r="AD59" s="431">
        <v>4400</v>
      </c>
      <c r="AE59" s="431">
        <v>992308</v>
      </c>
      <c r="AF59" s="431">
        <v>144937</v>
      </c>
      <c r="AG59" s="431">
        <v>314352</v>
      </c>
      <c r="AH59" s="431">
        <v>243659</v>
      </c>
      <c r="AI59" s="431">
        <v>162880</v>
      </c>
      <c r="AJ59" s="431">
        <v>0</v>
      </c>
      <c r="AK59" s="431">
        <v>0</v>
      </c>
      <c r="AL59" s="431">
        <v>316513</v>
      </c>
      <c r="AM59" s="431">
        <v>112591</v>
      </c>
    </row>
    <row r="60" spans="1:39" s="155" customFormat="1" ht="12" x14ac:dyDescent="0.2">
      <c r="A60" s="168">
        <v>6</v>
      </c>
      <c r="B60" s="169">
        <v>3039</v>
      </c>
      <c r="C60" s="190" t="s">
        <v>994</v>
      </c>
      <c r="D60" s="432">
        <f t="shared" si="17"/>
        <v>10654989</v>
      </c>
      <c r="E60" s="431">
        <v>2331311</v>
      </c>
      <c r="F60" s="431">
        <v>356426</v>
      </c>
      <c r="G60" s="431">
        <v>1054480</v>
      </c>
      <c r="H60" s="431">
        <v>0</v>
      </c>
      <c r="I60" s="431">
        <v>2766817</v>
      </c>
      <c r="J60" s="431">
        <v>0</v>
      </c>
      <c r="K60" s="431">
        <v>753000</v>
      </c>
      <c r="L60" s="431">
        <v>0</v>
      </c>
      <c r="M60" s="431">
        <v>2383603</v>
      </c>
      <c r="N60" s="431">
        <v>2420258</v>
      </c>
      <c r="O60" s="431"/>
      <c r="P60" s="432">
        <f t="shared" si="16"/>
        <v>9029346</v>
      </c>
      <c r="Q60" s="431">
        <v>3015215</v>
      </c>
      <c r="R60" s="431">
        <v>874659</v>
      </c>
      <c r="S60" s="431">
        <v>34353</v>
      </c>
      <c r="T60" s="431">
        <v>0</v>
      </c>
      <c r="U60" s="431">
        <v>0</v>
      </c>
      <c r="V60" s="431">
        <v>0</v>
      </c>
      <c r="W60" s="431">
        <v>3483113</v>
      </c>
      <c r="X60" s="431">
        <v>234155</v>
      </c>
      <c r="Y60" s="431">
        <v>335060</v>
      </c>
      <c r="Z60" s="431">
        <v>1127897</v>
      </c>
      <c r="AA60" s="431">
        <v>150999</v>
      </c>
      <c r="AB60" s="431">
        <v>-226105</v>
      </c>
      <c r="AC60" s="431">
        <v>622531</v>
      </c>
      <c r="AD60" s="431">
        <v>27972</v>
      </c>
      <c r="AE60" s="431">
        <v>2293612</v>
      </c>
      <c r="AF60" s="431">
        <v>0</v>
      </c>
      <c r="AG60" s="431">
        <v>1207637</v>
      </c>
      <c r="AH60" s="431">
        <v>866732</v>
      </c>
      <c r="AI60" s="431">
        <v>227038</v>
      </c>
      <c r="AJ60" s="431">
        <v>215646</v>
      </c>
      <c r="AK60" s="431">
        <v>0</v>
      </c>
      <c r="AL60" s="431">
        <v>3568178</v>
      </c>
      <c r="AM60" s="431"/>
    </row>
    <row r="61" spans="1:39" s="155" customFormat="1" ht="12" x14ac:dyDescent="0.2">
      <c r="A61" s="168">
        <v>7</v>
      </c>
      <c r="B61" s="169">
        <v>3397</v>
      </c>
      <c r="C61" s="190" t="s">
        <v>995</v>
      </c>
      <c r="D61" s="432">
        <f t="shared" si="17"/>
        <v>3220598</v>
      </c>
      <c r="E61" s="431">
        <v>616251</v>
      </c>
      <c r="F61" s="431">
        <v>39951</v>
      </c>
      <c r="G61" s="431">
        <v>429120</v>
      </c>
      <c r="H61" s="431">
        <v>0</v>
      </c>
      <c r="I61" s="431">
        <v>643308</v>
      </c>
      <c r="J61" s="431">
        <v>0</v>
      </c>
      <c r="K61" s="431">
        <v>1005000</v>
      </c>
      <c r="L61" s="431">
        <v>0</v>
      </c>
      <c r="M61" s="431">
        <v>605326</v>
      </c>
      <c r="N61" s="431">
        <v>350713</v>
      </c>
      <c r="O61" s="431"/>
      <c r="P61" s="432">
        <f t="shared" si="16"/>
        <v>2760392</v>
      </c>
      <c r="Q61" s="431">
        <v>783456</v>
      </c>
      <c r="R61" s="431">
        <v>473242</v>
      </c>
      <c r="S61" s="431">
        <v>0</v>
      </c>
      <c r="T61" s="431">
        <v>0</v>
      </c>
      <c r="U61" s="431">
        <v>0</v>
      </c>
      <c r="V61" s="431">
        <v>0</v>
      </c>
      <c r="W61" s="431">
        <v>463266</v>
      </c>
      <c r="X61" s="431">
        <v>70593</v>
      </c>
      <c r="Y61" s="431">
        <v>74430</v>
      </c>
      <c r="Z61" s="431">
        <v>895405</v>
      </c>
      <c r="AA61" s="431">
        <v>0</v>
      </c>
      <c r="AB61" s="431">
        <v>0</v>
      </c>
      <c r="AC61" s="431">
        <v>440888</v>
      </c>
      <c r="AD61" s="431">
        <v>1365</v>
      </c>
      <c r="AE61" s="431">
        <v>1084325</v>
      </c>
      <c r="AF61" s="431">
        <v>0</v>
      </c>
      <c r="AG61" s="431">
        <v>114174</v>
      </c>
      <c r="AH61" s="431">
        <v>85295</v>
      </c>
      <c r="AI61" s="431">
        <v>584455</v>
      </c>
      <c r="AJ61" s="431">
        <v>500</v>
      </c>
      <c r="AK61" s="431">
        <v>0</v>
      </c>
      <c r="AL61" s="431">
        <v>449390</v>
      </c>
      <c r="AM61" s="431"/>
    </row>
    <row r="62" spans="1:39" s="155" customFormat="1" ht="12" x14ac:dyDescent="0.2">
      <c r="A62" s="168">
        <v>8</v>
      </c>
      <c r="B62" s="169">
        <v>9026</v>
      </c>
      <c r="C62" s="190" t="s">
        <v>996</v>
      </c>
      <c r="D62" s="432">
        <f t="shared" si="17"/>
        <v>3173275</v>
      </c>
      <c r="E62" s="431">
        <v>870474</v>
      </c>
      <c r="F62" s="431">
        <v>78080</v>
      </c>
      <c r="G62" s="431">
        <v>360170</v>
      </c>
      <c r="H62" s="431">
        <v>0</v>
      </c>
      <c r="I62" s="431">
        <v>1293344</v>
      </c>
      <c r="J62" s="431">
        <v>0</v>
      </c>
      <c r="K62" s="431">
        <v>934000</v>
      </c>
      <c r="L62" s="431">
        <v>0</v>
      </c>
      <c r="M62" s="431">
        <v>30161</v>
      </c>
      <c r="N62" s="431">
        <v>45296</v>
      </c>
      <c r="O62" s="431"/>
      <c r="P62" s="432">
        <f t="shared" si="16"/>
        <v>3293324</v>
      </c>
      <c r="Q62" s="431">
        <v>1326688</v>
      </c>
      <c r="R62" s="431">
        <v>484785</v>
      </c>
      <c r="S62" s="431">
        <v>0</v>
      </c>
      <c r="T62" s="431">
        <v>0</v>
      </c>
      <c r="U62" s="431">
        <v>0</v>
      </c>
      <c r="V62" s="431">
        <v>29233</v>
      </c>
      <c r="W62" s="431">
        <v>48540</v>
      </c>
      <c r="X62" s="431">
        <v>215119</v>
      </c>
      <c r="Y62" s="431">
        <v>35225</v>
      </c>
      <c r="Z62" s="431">
        <v>1153734</v>
      </c>
      <c r="AA62" s="431">
        <v>0</v>
      </c>
      <c r="AB62" s="431">
        <v>0</v>
      </c>
      <c r="AC62" s="431">
        <v>571864</v>
      </c>
      <c r="AD62" s="431">
        <v>0</v>
      </c>
      <c r="AE62" s="431">
        <v>1537989</v>
      </c>
      <c r="AF62" s="431">
        <v>0</v>
      </c>
      <c r="AG62" s="431">
        <v>140147</v>
      </c>
      <c r="AH62" s="431">
        <v>215119</v>
      </c>
      <c r="AI62" s="431">
        <v>39540</v>
      </c>
      <c r="AJ62" s="431">
        <v>55947</v>
      </c>
      <c r="AK62" s="431">
        <v>0</v>
      </c>
      <c r="AL62" s="431">
        <v>732718</v>
      </c>
      <c r="AM62" s="431"/>
    </row>
    <row r="63" spans="1:39" s="155" customFormat="1" ht="12" x14ac:dyDescent="0.2">
      <c r="A63" s="168">
        <v>9</v>
      </c>
      <c r="B63" s="169">
        <v>3459</v>
      </c>
      <c r="C63" s="190" t="s">
        <v>997</v>
      </c>
      <c r="D63" s="432">
        <f t="shared" si="17"/>
        <v>3970185</v>
      </c>
      <c r="E63" s="431">
        <v>763320</v>
      </c>
      <c r="F63" s="431">
        <v>91740</v>
      </c>
      <c r="G63" s="431">
        <v>390250</v>
      </c>
      <c r="H63" s="431">
        <v>0</v>
      </c>
      <c r="I63" s="431">
        <v>800244</v>
      </c>
      <c r="J63" s="431">
        <v>0</v>
      </c>
      <c r="K63" s="431">
        <v>1005000</v>
      </c>
      <c r="L63" s="431">
        <v>0</v>
      </c>
      <c r="M63" s="431">
        <v>1390351</v>
      </c>
      <c r="N63" s="431">
        <v>0</v>
      </c>
      <c r="O63" s="431">
        <v>11270</v>
      </c>
      <c r="P63" s="432">
        <f t="shared" si="16"/>
        <v>3821682</v>
      </c>
      <c r="Q63" s="431">
        <v>1125920</v>
      </c>
      <c r="R63" s="431">
        <v>845357</v>
      </c>
      <c r="S63" s="431">
        <v>38924</v>
      </c>
      <c r="T63" s="431">
        <v>0</v>
      </c>
      <c r="U63" s="431">
        <v>0</v>
      </c>
      <c r="V63" s="431">
        <v>0</v>
      </c>
      <c r="W63" s="431">
        <v>0</v>
      </c>
      <c r="X63" s="431">
        <v>74043</v>
      </c>
      <c r="Y63" s="431">
        <v>2052</v>
      </c>
      <c r="Z63" s="431">
        <v>767345</v>
      </c>
      <c r="AA63" s="431">
        <v>968041</v>
      </c>
      <c r="AB63" s="431">
        <v>0</v>
      </c>
      <c r="AC63" s="431">
        <v>714745</v>
      </c>
      <c r="AD63" s="431">
        <v>4744</v>
      </c>
      <c r="AE63" s="431">
        <v>648296</v>
      </c>
      <c r="AF63" s="431">
        <v>0</v>
      </c>
      <c r="AG63" s="431">
        <v>81329</v>
      </c>
      <c r="AH63" s="431">
        <v>313335</v>
      </c>
      <c r="AI63" s="431">
        <v>362823</v>
      </c>
      <c r="AJ63" s="431">
        <v>0</v>
      </c>
      <c r="AK63" s="431">
        <v>0</v>
      </c>
      <c r="AL63" s="431">
        <v>1619410</v>
      </c>
      <c r="AM63" s="431">
        <v>77000</v>
      </c>
    </row>
    <row r="64" spans="1:39" s="155" customFormat="1" ht="12" x14ac:dyDescent="0.2">
      <c r="A64" s="168">
        <v>10</v>
      </c>
      <c r="B64" s="169">
        <v>3761</v>
      </c>
      <c r="C64" s="190" t="s">
        <v>998</v>
      </c>
      <c r="D64" s="432">
        <f t="shared" si="17"/>
        <v>2704249</v>
      </c>
      <c r="E64" s="431">
        <v>731432</v>
      </c>
      <c r="F64" s="431">
        <v>49119</v>
      </c>
      <c r="G64" s="431">
        <v>371110</v>
      </c>
      <c r="H64" s="431">
        <v>0</v>
      </c>
      <c r="I64" s="431">
        <v>702303</v>
      </c>
      <c r="J64" s="431">
        <v>0</v>
      </c>
      <c r="K64" s="431">
        <v>947000</v>
      </c>
      <c r="L64" s="431">
        <v>0</v>
      </c>
      <c r="M64" s="431">
        <v>78272</v>
      </c>
      <c r="N64" s="431">
        <v>242763</v>
      </c>
      <c r="O64" s="431">
        <v>2479</v>
      </c>
      <c r="P64" s="432">
        <f t="shared" si="16"/>
        <v>2546023</v>
      </c>
      <c r="Q64" s="431">
        <v>964574</v>
      </c>
      <c r="R64" s="431">
        <v>486443</v>
      </c>
      <c r="S64" s="431">
        <v>0</v>
      </c>
      <c r="T64" s="431">
        <v>0</v>
      </c>
      <c r="U64" s="431">
        <v>0</v>
      </c>
      <c r="V64" s="431">
        <v>7768</v>
      </c>
      <c r="W64" s="431">
        <v>213472</v>
      </c>
      <c r="X64" s="431">
        <v>39576</v>
      </c>
      <c r="Y64" s="431">
        <v>7696</v>
      </c>
      <c r="Z64" s="431">
        <v>861494</v>
      </c>
      <c r="AA64" s="431">
        <v>0</v>
      </c>
      <c r="AB64" s="431">
        <v>-35000</v>
      </c>
      <c r="AC64" s="431">
        <v>821202</v>
      </c>
      <c r="AD64" s="431">
        <v>4779</v>
      </c>
      <c r="AE64" s="431">
        <v>954575</v>
      </c>
      <c r="AF64" s="431">
        <v>200628</v>
      </c>
      <c r="AG64" s="431">
        <v>336126</v>
      </c>
      <c r="AH64" s="431">
        <v>39576</v>
      </c>
      <c r="AI64" s="431">
        <v>48805</v>
      </c>
      <c r="AJ64" s="431">
        <v>18288</v>
      </c>
      <c r="AK64" s="431">
        <v>0</v>
      </c>
      <c r="AL64" s="431">
        <v>81603</v>
      </c>
      <c r="AM64" s="431">
        <v>40441</v>
      </c>
    </row>
    <row r="65" spans="1:39" s="155" customFormat="1" ht="12" x14ac:dyDescent="0.2">
      <c r="A65" s="168">
        <v>11</v>
      </c>
      <c r="B65" s="169">
        <v>3805</v>
      </c>
      <c r="C65" s="190" t="s">
        <v>999</v>
      </c>
      <c r="D65" s="432">
        <f t="shared" si="17"/>
        <v>2797993</v>
      </c>
      <c r="E65" s="431">
        <v>779659</v>
      </c>
      <c r="F65" s="431">
        <v>68035</v>
      </c>
      <c r="G65" s="431">
        <v>392140</v>
      </c>
      <c r="H65" s="431">
        <v>0</v>
      </c>
      <c r="I65" s="431">
        <v>810383</v>
      </c>
      <c r="J65" s="431">
        <v>0</v>
      </c>
      <c r="K65" s="431">
        <v>969000</v>
      </c>
      <c r="L65" s="431">
        <v>0</v>
      </c>
      <c r="M65" s="431">
        <v>80484</v>
      </c>
      <c r="N65" s="431">
        <v>158467</v>
      </c>
      <c r="O65" s="431"/>
      <c r="P65" s="432">
        <f t="shared" si="16"/>
        <v>2312400</v>
      </c>
      <c r="Q65" s="431">
        <v>979882</v>
      </c>
      <c r="R65" s="431">
        <v>538824</v>
      </c>
      <c r="S65" s="431">
        <v>0</v>
      </c>
      <c r="T65" s="431">
        <v>0</v>
      </c>
      <c r="U65" s="431">
        <v>0</v>
      </c>
      <c r="V65" s="431">
        <v>22768</v>
      </c>
      <c r="W65" s="431">
        <v>126779</v>
      </c>
      <c r="X65" s="431">
        <v>142085</v>
      </c>
      <c r="Y65" s="431">
        <v>67943</v>
      </c>
      <c r="Z65" s="431">
        <v>434119</v>
      </c>
      <c r="AA65" s="431">
        <v>0</v>
      </c>
      <c r="AB65" s="431">
        <v>0</v>
      </c>
      <c r="AC65" s="431">
        <v>556256</v>
      </c>
      <c r="AD65" s="431">
        <v>1189</v>
      </c>
      <c r="AE65" s="431">
        <v>939127</v>
      </c>
      <c r="AF65" s="431">
        <v>49605</v>
      </c>
      <c r="AG65" s="431">
        <v>294105</v>
      </c>
      <c r="AH65" s="431">
        <v>154789</v>
      </c>
      <c r="AI65" s="431">
        <v>81209</v>
      </c>
      <c r="AJ65" s="431">
        <v>51251</v>
      </c>
      <c r="AK65" s="431">
        <v>0</v>
      </c>
      <c r="AL65" s="431">
        <v>155496</v>
      </c>
      <c r="AM65" s="431">
        <v>29373</v>
      </c>
    </row>
    <row r="66" spans="1:39" s="155" customFormat="1" ht="12" x14ac:dyDescent="0.2">
      <c r="A66" s="168">
        <v>12</v>
      </c>
      <c r="B66" s="169">
        <v>3841</v>
      </c>
      <c r="C66" s="190" t="s">
        <v>1000</v>
      </c>
      <c r="D66" s="432">
        <f>E66+SUM(I66:O66)</f>
        <v>6421655</v>
      </c>
      <c r="E66" s="431">
        <v>565915</v>
      </c>
      <c r="F66" s="431">
        <v>19505</v>
      </c>
      <c r="G66" s="431">
        <v>463080</v>
      </c>
      <c r="H66" s="431">
        <v>0</v>
      </c>
      <c r="I66" s="431">
        <v>331465</v>
      </c>
      <c r="J66" s="431">
        <v>0</v>
      </c>
      <c r="K66" s="431">
        <v>987000</v>
      </c>
      <c r="L66" s="431">
        <v>0</v>
      </c>
      <c r="M66" s="431">
        <v>1476202</v>
      </c>
      <c r="N66" s="431">
        <v>3060073</v>
      </c>
      <c r="O66" s="431">
        <v>1000</v>
      </c>
      <c r="P66" s="432">
        <f t="shared" si="16"/>
        <v>8701859</v>
      </c>
      <c r="Q66" s="431">
        <v>517094</v>
      </c>
      <c r="R66" s="431">
        <v>1018800</v>
      </c>
      <c r="S66" s="431">
        <v>25392</v>
      </c>
      <c r="T66" s="431">
        <v>0</v>
      </c>
      <c r="U66" s="431">
        <v>0</v>
      </c>
      <c r="V66" s="431">
        <v>0</v>
      </c>
      <c r="W66" s="431">
        <v>4563941</v>
      </c>
      <c r="X66" s="431">
        <v>15788</v>
      </c>
      <c r="Y66" s="431">
        <v>49947</v>
      </c>
      <c r="Z66" s="431">
        <v>215076</v>
      </c>
      <c r="AA66" s="431">
        <v>2300000</v>
      </c>
      <c r="AB66" s="431">
        <v>-4179</v>
      </c>
      <c r="AC66" s="431">
        <v>436405</v>
      </c>
      <c r="AD66" s="431">
        <v>0</v>
      </c>
      <c r="AE66" s="431">
        <v>434412</v>
      </c>
      <c r="AF66" s="431">
        <v>0</v>
      </c>
      <c r="AG66" s="431">
        <v>49444</v>
      </c>
      <c r="AH66" s="431">
        <v>74591</v>
      </c>
      <c r="AI66" s="431">
        <v>202927</v>
      </c>
      <c r="AJ66" s="431">
        <v>500</v>
      </c>
      <c r="AK66" s="431">
        <v>0</v>
      </c>
      <c r="AL66" s="431">
        <v>7495390</v>
      </c>
      <c r="AM66" s="431">
        <v>8190</v>
      </c>
    </row>
    <row r="67" spans="1:39" s="155" customFormat="1" ht="12" x14ac:dyDescent="0.2">
      <c r="A67" s="168">
        <v>13</v>
      </c>
      <c r="B67" s="169">
        <v>3958</v>
      </c>
      <c r="C67" s="190" t="s">
        <v>1001</v>
      </c>
      <c r="D67" s="432">
        <f t="shared" si="17"/>
        <v>4156805</v>
      </c>
      <c r="E67" s="431">
        <v>1093443</v>
      </c>
      <c r="F67" s="431">
        <v>311436</v>
      </c>
      <c r="G67" s="431">
        <v>255200</v>
      </c>
      <c r="H67" s="431">
        <v>0</v>
      </c>
      <c r="I67" s="431">
        <v>1664012</v>
      </c>
      <c r="J67" s="431">
        <v>0</v>
      </c>
      <c r="K67" s="431">
        <v>707000</v>
      </c>
      <c r="L67" s="431">
        <v>0</v>
      </c>
      <c r="M67" s="431">
        <v>415624</v>
      </c>
      <c r="N67" s="431">
        <v>276726</v>
      </c>
      <c r="O67" s="431"/>
      <c r="P67" s="432">
        <f t="shared" si="16"/>
        <v>4139806</v>
      </c>
      <c r="Q67" s="431">
        <v>2075749</v>
      </c>
      <c r="R67" s="431">
        <v>1039689</v>
      </c>
      <c r="S67" s="431">
        <v>0</v>
      </c>
      <c r="T67" s="431">
        <v>0</v>
      </c>
      <c r="U67" s="431">
        <v>0</v>
      </c>
      <c r="V67" s="431">
        <v>0</v>
      </c>
      <c r="W67" s="431">
        <v>370776</v>
      </c>
      <c r="X67" s="431">
        <v>123871</v>
      </c>
      <c r="Y67" s="431">
        <v>5000</v>
      </c>
      <c r="Z67" s="431">
        <v>524721</v>
      </c>
      <c r="AA67" s="431">
        <v>0</v>
      </c>
      <c r="AB67" s="431">
        <v>0</v>
      </c>
      <c r="AC67" s="431">
        <v>818599</v>
      </c>
      <c r="AD67" s="431">
        <v>500217</v>
      </c>
      <c r="AE67" s="431">
        <v>1460535</v>
      </c>
      <c r="AF67" s="431">
        <v>21759</v>
      </c>
      <c r="AG67" s="431">
        <v>132060</v>
      </c>
      <c r="AH67" s="431">
        <v>419053</v>
      </c>
      <c r="AI67" s="431">
        <v>109336</v>
      </c>
      <c r="AJ67" s="431">
        <v>74884</v>
      </c>
      <c r="AK67" s="431">
        <v>0</v>
      </c>
      <c r="AL67" s="431">
        <v>495333</v>
      </c>
      <c r="AM67" s="431">
        <v>108030</v>
      </c>
    </row>
    <row r="68" spans="1:39" s="155" customFormat="1" ht="12" x14ac:dyDescent="0.2">
      <c r="A68" s="168">
        <v>14</v>
      </c>
      <c r="B68" s="169">
        <v>1071</v>
      </c>
      <c r="C68" s="190" t="s">
        <v>1002</v>
      </c>
      <c r="D68" s="432">
        <f t="shared" si="17"/>
        <v>6636399</v>
      </c>
      <c r="E68" s="431">
        <v>3362213</v>
      </c>
      <c r="F68" s="431">
        <v>956889</v>
      </c>
      <c r="G68" s="431">
        <v>524220</v>
      </c>
      <c r="H68" s="431">
        <v>0</v>
      </c>
      <c r="I68" s="431">
        <v>994943</v>
      </c>
      <c r="J68" s="431">
        <v>0</v>
      </c>
      <c r="K68" s="431">
        <v>416000</v>
      </c>
      <c r="L68" s="431">
        <v>0</v>
      </c>
      <c r="M68" s="431">
        <v>623170</v>
      </c>
      <c r="N68" s="431">
        <v>895787</v>
      </c>
      <c r="O68" s="431">
        <v>344286</v>
      </c>
      <c r="P68" s="432">
        <f t="shared" si="16"/>
        <v>6245630</v>
      </c>
      <c r="Q68" s="431">
        <v>1295292</v>
      </c>
      <c r="R68" s="431">
        <v>1230526</v>
      </c>
      <c r="S68" s="431">
        <v>19456</v>
      </c>
      <c r="T68" s="431">
        <v>0</v>
      </c>
      <c r="U68" s="431">
        <v>0</v>
      </c>
      <c r="V68" s="431">
        <v>0</v>
      </c>
      <c r="W68" s="431">
        <v>1535259</v>
      </c>
      <c r="X68" s="431">
        <v>140566</v>
      </c>
      <c r="Y68" s="431">
        <v>754108</v>
      </c>
      <c r="Z68" s="431">
        <v>1299397</v>
      </c>
      <c r="AA68" s="431">
        <v>97138</v>
      </c>
      <c r="AB68" s="431">
        <v>-126112</v>
      </c>
      <c r="AC68" s="431">
        <v>1706204</v>
      </c>
      <c r="AD68" s="431">
        <v>-53434</v>
      </c>
      <c r="AE68" s="431">
        <v>1004052</v>
      </c>
      <c r="AF68" s="431">
        <v>0</v>
      </c>
      <c r="AG68" s="431">
        <v>922759</v>
      </c>
      <c r="AH68" s="431">
        <v>243563</v>
      </c>
      <c r="AI68" s="431">
        <v>778412</v>
      </c>
      <c r="AJ68" s="431">
        <v>438111</v>
      </c>
      <c r="AK68" s="431">
        <v>0</v>
      </c>
      <c r="AL68" s="431">
        <v>1191951</v>
      </c>
      <c r="AM68" s="431">
        <v>14012</v>
      </c>
    </row>
    <row r="69" spans="1:39" s="155" customFormat="1" ht="12" x14ac:dyDescent="0.2">
      <c r="A69" s="168">
        <v>15</v>
      </c>
      <c r="B69" s="169">
        <v>4008</v>
      </c>
      <c r="C69" s="190" t="s">
        <v>1003</v>
      </c>
      <c r="D69" s="432">
        <f t="shared" si="17"/>
        <v>6537472</v>
      </c>
      <c r="E69" s="431">
        <v>637357</v>
      </c>
      <c r="F69" s="431">
        <v>80496</v>
      </c>
      <c r="G69" s="431">
        <v>413220</v>
      </c>
      <c r="H69" s="431">
        <v>0</v>
      </c>
      <c r="I69" s="431">
        <v>771946</v>
      </c>
      <c r="J69" s="431">
        <v>100000</v>
      </c>
      <c r="K69" s="431">
        <v>3758000</v>
      </c>
      <c r="L69" s="431">
        <v>0</v>
      </c>
      <c r="M69" s="431">
        <v>1270169</v>
      </c>
      <c r="N69" s="431">
        <v>0</v>
      </c>
      <c r="O69" s="431"/>
      <c r="P69" s="432">
        <f t="shared" si="16"/>
        <v>6096285</v>
      </c>
      <c r="Q69" s="431">
        <v>1016433</v>
      </c>
      <c r="R69" s="431">
        <v>598456</v>
      </c>
      <c r="S69" s="431">
        <v>2077</v>
      </c>
      <c r="T69" s="431">
        <v>0</v>
      </c>
      <c r="U69" s="431">
        <v>0</v>
      </c>
      <c r="V69" s="431">
        <v>0</v>
      </c>
      <c r="W69" s="431">
        <v>0</v>
      </c>
      <c r="X69" s="431">
        <v>42476</v>
      </c>
      <c r="Y69" s="431">
        <v>3200</v>
      </c>
      <c r="Z69" s="431">
        <v>4433643</v>
      </c>
      <c r="AA69" s="431">
        <v>0</v>
      </c>
      <c r="AB69" s="431">
        <v>0</v>
      </c>
      <c r="AC69" s="431">
        <v>472338</v>
      </c>
      <c r="AD69" s="431">
        <v>36545</v>
      </c>
      <c r="AE69" s="431">
        <v>799144</v>
      </c>
      <c r="AF69" s="431">
        <v>0</v>
      </c>
      <c r="AG69" s="431">
        <v>49879</v>
      </c>
      <c r="AH69" s="431">
        <v>133141</v>
      </c>
      <c r="AI69" s="431">
        <v>42863</v>
      </c>
      <c r="AJ69" s="431">
        <v>0</v>
      </c>
      <c r="AK69" s="431">
        <v>0</v>
      </c>
      <c r="AL69" s="431">
        <v>4562375</v>
      </c>
      <c r="AM69" s="431"/>
    </row>
    <row r="70" spans="1:39" s="155" customFormat="1" ht="12" x14ac:dyDescent="0.2">
      <c r="A70" s="168">
        <v>16</v>
      </c>
      <c r="B70" s="169">
        <v>4106</v>
      </c>
      <c r="C70" s="190" t="s">
        <v>1004</v>
      </c>
      <c r="D70" s="432">
        <f t="shared" si="17"/>
        <v>3279536</v>
      </c>
      <c r="E70" s="431">
        <v>1014830</v>
      </c>
      <c r="F70" s="431">
        <v>110947</v>
      </c>
      <c r="G70" s="431">
        <v>353080</v>
      </c>
      <c r="H70" s="431">
        <v>0</v>
      </c>
      <c r="I70" s="431">
        <v>1165502</v>
      </c>
      <c r="J70" s="431">
        <v>0</v>
      </c>
      <c r="K70" s="431">
        <v>895000</v>
      </c>
      <c r="L70" s="431">
        <v>0</v>
      </c>
      <c r="M70" s="431">
        <v>204204</v>
      </c>
      <c r="N70" s="431">
        <v>0</v>
      </c>
      <c r="O70" s="431"/>
      <c r="P70" s="432">
        <f t="shared" si="16"/>
        <v>3292021</v>
      </c>
      <c r="Q70" s="431">
        <v>1424374</v>
      </c>
      <c r="R70" s="431">
        <v>759396</v>
      </c>
      <c r="S70" s="431">
        <v>0</v>
      </c>
      <c r="T70" s="431">
        <v>0</v>
      </c>
      <c r="U70" s="431">
        <v>0</v>
      </c>
      <c r="V70" s="431">
        <v>0</v>
      </c>
      <c r="W70" s="431">
        <v>0</v>
      </c>
      <c r="X70" s="431">
        <v>105572</v>
      </c>
      <c r="Y70" s="431">
        <v>62930</v>
      </c>
      <c r="Z70" s="431">
        <v>943745</v>
      </c>
      <c r="AA70" s="431">
        <v>0</v>
      </c>
      <c r="AB70" s="431">
        <v>-3996</v>
      </c>
      <c r="AC70" s="431">
        <v>610741</v>
      </c>
      <c r="AD70" s="431">
        <v>8138</v>
      </c>
      <c r="AE70" s="431">
        <v>1619548</v>
      </c>
      <c r="AF70" s="431">
        <v>0</v>
      </c>
      <c r="AG70" s="431">
        <v>133275</v>
      </c>
      <c r="AH70" s="431">
        <v>258917</v>
      </c>
      <c r="AI70" s="431">
        <v>417994</v>
      </c>
      <c r="AJ70" s="431">
        <v>39064</v>
      </c>
      <c r="AK70" s="431">
        <v>0</v>
      </c>
      <c r="AL70" s="431">
        <v>112837</v>
      </c>
      <c r="AM70" s="431">
        <v>91507</v>
      </c>
    </row>
    <row r="71" spans="1:39" s="155" customFormat="1" ht="12" x14ac:dyDescent="0.2">
      <c r="A71" s="168">
        <v>17</v>
      </c>
      <c r="B71" s="169">
        <v>4142</v>
      </c>
      <c r="C71" s="190" t="s">
        <v>1005</v>
      </c>
      <c r="D71" s="432">
        <f t="shared" si="17"/>
        <v>3470617</v>
      </c>
      <c r="E71" s="431">
        <v>1131553</v>
      </c>
      <c r="F71" s="431">
        <v>115840</v>
      </c>
      <c r="G71" s="431">
        <v>270170</v>
      </c>
      <c r="H71" s="431">
        <v>0</v>
      </c>
      <c r="I71" s="431">
        <v>977453</v>
      </c>
      <c r="J71" s="431">
        <v>0</v>
      </c>
      <c r="K71" s="431">
        <v>708000</v>
      </c>
      <c r="L71" s="431">
        <v>0</v>
      </c>
      <c r="M71" s="431">
        <v>175568</v>
      </c>
      <c r="N71" s="431">
        <v>476936</v>
      </c>
      <c r="O71" s="431">
        <v>1107</v>
      </c>
      <c r="P71" s="432">
        <f t="shared" si="16"/>
        <v>3211943</v>
      </c>
      <c r="Q71" s="431">
        <v>1147664</v>
      </c>
      <c r="R71" s="431">
        <v>573119</v>
      </c>
      <c r="S71" s="431">
        <v>0</v>
      </c>
      <c r="T71" s="431">
        <v>0</v>
      </c>
      <c r="U71" s="431">
        <v>0</v>
      </c>
      <c r="V71" s="431">
        <v>0</v>
      </c>
      <c r="W71" s="431">
        <v>621150</v>
      </c>
      <c r="X71" s="431">
        <v>165892</v>
      </c>
      <c r="Y71" s="431">
        <v>6000</v>
      </c>
      <c r="Z71" s="431">
        <v>700818</v>
      </c>
      <c r="AA71" s="431">
        <v>0</v>
      </c>
      <c r="AB71" s="431">
        <v>-2700</v>
      </c>
      <c r="AC71" s="431">
        <v>531957</v>
      </c>
      <c r="AD71" s="431">
        <v>7846</v>
      </c>
      <c r="AE71" s="431">
        <v>828592</v>
      </c>
      <c r="AF71" s="431">
        <v>16164</v>
      </c>
      <c r="AG71" s="431">
        <v>293463</v>
      </c>
      <c r="AH71" s="431">
        <v>239775</v>
      </c>
      <c r="AI71" s="431">
        <v>78385</v>
      </c>
      <c r="AJ71" s="431">
        <v>103585</v>
      </c>
      <c r="AK71" s="431">
        <v>0</v>
      </c>
      <c r="AL71" s="431">
        <v>1067052</v>
      </c>
      <c r="AM71" s="431">
        <v>45124</v>
      </c>
    </row>
    <row r="72" spans="1:39" s="155" customFormat="1" ht="12" x14ac:dyDescent="0.2">
      <c r="A72" s="168">
        <v>18</v>
      </c>
      <c r="B72" s="169">
        <v>4188</v>
      </c>
      <c r="C72" s="190" t="s">
        <v>1006</v>
      </c>
      <c r="D72" s="432">
        <f t="shared" si="17"/>
        <v>4322268</v>
      </c>
      <c r="E72" s="431">
        <v>1375634</v>
      </c>
      <c r="F72" s="431">
        <v>408875</v>
      </c>
      <c r="G72" s="431">
        <v>257160</v>
      </c>
      <c r="H72" s="431">
        <v>0</v>
      </c>
      <c r="I72" s="431">
        <v>1008028</v>
      </c>
      <c r="J72" s="431">
        <v>0</v>
      </c>
      <c r="K72" s="431">
        <v>732000</v>
      </c>
      <c r="L72" s="431">
        <v>0</v>
      </c>
      <c r="M72" s="431">
        <v>1111946</v>
      </c>
      <c r="N72" s="431">
        <v>94660</v>
      </c>
      <c r="O72" s="431"/>
      <c r="P72" s="432">
        <f t="shared" si="16"/>
        <v>3805395</v>
      </c>
      <c r="Q72" s="431">
        <v>1145051</v>
      </c>
      <c r="R72" s="431">
        <v>655433</v>
      </c>
      <c r="S72" s="431">
        <v>0</v>
      </c>
      <c r="T72" s="431">
        <v>0</v>
      </c>
      <c r="U72" s="431">
        <v>0</v>
      </c>
      <c r="V72" s="431">
        <v>0</v>
      </c>
      <c r="W72" s="431">
        <v>124127</v>
      </c>
      <c r="X72" s="431">
        <v>129612</v>
      </c>
      <c r="Y72" s="431">
        <v>23911</v>
      </c>
      <c r="Z72" s="431">
        <v>1727261</v>
      </c>
      <c r="AA72" s="431">
        <v>0</v>
      </c>
      <c r="AB72" s="431">
        <v>0</v>
      </c>
      <c r="AC72" s="431">
        <v>816730</v>
      </c>
      <c r="AD72" s="431">
        <v>1270</v>
      </c>
      <c r="AE72" s="431">
        <v>924318</v>
      </c>
      <c r="AF72" s="431">
        <v>23408</v>
      </c>
      <c r="AG72" s="431">
        <v>482385</v>
      </c>
      <c r="AH72" s="431">
        <v>129612</v>
      </c>
      <c r="AI72" s="431">
        <v>85039</v>
      </c>
      <c r="AJ72" s="431">
        <v>2588</v>
      </c>
      <c r="AK72" s="431">
        <v>0</v>
      </c>
      <c r="AL72" s="431">
        <v>1337545</v>
      </c>
      <c r="AM72" s="431">
        <v>2500</v>
      </c>
    </row>
    <row r="73" spans="1:39" s="155" customFormat="1" ht="12" x14ac:dyDescent="0.2">
      <c r="A73" s="168">
        <v>19</v>
      </c>
      <c r="B73" s="169">
        <v>9019</v>
      </c>
      <c r="C73" s="190" t="s">
        <v>1007</v>
      </c>
      <c r="D73" s="432">
        <f t="shared" si="17"/>
        <v>2307017</v>
      </c>
      <c r="E73" s="431">
        <v>755077</v>
      </c>
      <c r="F73" s="431">
        <v>54129</v>
      </c>
      <c r="G73" s="431">
        <v>402050</v>
      </c>
      <c r="H73" s="431">
        <v>0</v>
      </c>
      <c r="I73" s="431">
        <v>522798</v>
      </c>
      <c r="J73" s="431">
        <v>0</v>
      </c>
      <c r="K73" s="431">
        <v>950000</v>
      </c>
      <c r="L73" s="431">
        <v>0</v>
      </c>
      <c r="M73" s="431">
        <v>76142</v>
      </c>
      <c r="N73" s="431">
        <v>0</v>
      </c>
      <c r="O73" s="431">
        <v>3000</v>
      </c>
      <c r="P73" s="432">
        <f t="shared" si="16"/>
        <v>1291343</v>
      </c>
      <c r="Q73" s="431">
        <v>802109</v>
      </c>
      <c r="R73" s="431">
        <v>317678</v>
      </c>
      <c r="S73" s="431">
        <v>0</v>
      </c>
      <c r="T73" s="431">
        <v>0</v>
      </c>
      <c r="U73" s="431">
        <v>0</v>
      </c>
      <c r="V73" s="431">
        <v>0</v>
      </c>
      <c r="W73" s="431">
        <v>0</v>
      </c>
      <c r="X73" s="431">
        <v>34176</v>
      </c>
      <c r="Y73" s="431">
        <v>56706</v>
      </c>
      <c r="Z73" s="431">
        <v>80824</v>
      </c>
      <c r="AA73" s="431">
        <v>0</v>
      </c>
      <c r="AB73" s="431">
        <v>-150</v>
      </c>
      <c r="AC73" s="431">
        <v>397234</v>
      </c>
      <c r="AD73" s="431">
        <v>4077</v>
      </c>
      <c r="AE73" s="431">
        <v>479258</v>
      </c>
      <c r="AF73" s="431">
        <v>0</v>
      </c>
      <c r="AG73" s="431">
        <v>100014</v>
      </c>
      <c r="AH73" s="431">
        <v>100975</v>
      </c>
      <c r="AI73" s="431">
        <v>51461</v>
      </c>
      <c r="AJ73" s="431">
        <v>81292</v>
      </c>
      <c r="AK73" s="431">
        <v>0</v>
      </c>
      <c r="AL73" s="431">
        <v>77032</v>
      </c>
      <c r="AM73" s="431"/>
    </row>
    <row r="74" spans="1:39" s="155" customFormat="1" ht="12" x14ac:dyDescent="0.2">
      <c r="A74" s="168">
        <v>20</v>
      </c>
      <c r="B74" s="169">
        <v>4240</v>
      </c>
      <c r="C74" s="190" t="s">
        <v>1008</v>
      </c>
      <c r="D74" s="432">
        <f t="shared" si="17"/>
        <v>4997387</v>
      </c>
      <c r="E74" s="431">
        <v>1080881</v>
      </c>
      <c r="F74" s="431">
        <v>294952</v>
      </c>
      <c r="G74" s="431">
        <v>296180</v>
      </c>
      <c r="H74" s="431">
        <v>0</v>
      </c>
      <c r="I74" s="431">
        <v>1569516</v>
      </c>
      <c r="J74" s="431">
        <v>0</v>
      </c>
      <c r="K74" s="431">
        <v>809000</v>
      </c>
      <c r="L74" s="431">
        <v>0</v>
      </c>
      <c r="M74" s="431">
        <v>1189292</v>
      </c>
      <c r="N74" s="431">
        <v>348698</v>
      </c>
      <c r="O74" s="431"/>
      <c r="P74" s="432">
        <f t="shared" si="16"/>
        <v>4345438</v>
      </c>
      <c r="Q74" s="431">
        <v>1715200</v>
      </c>
      <c r="R74" s="431">
        <v>907297</v>
      </c>
      <c r="S74" s="431">
        <v>0</v>
      </c>
      <c r="T74" s="431">
        <v>0</v>
      </c>
      <c r="U74" s="431">
        <v>0</v>
      </c>
      <c r="V74" s="431">
        <v>4804</v>
      </c>
      <c r="W74" s="431">
        <v>162217</v>
      </c>
      <c r="X74" s="431">
        <v>138871</v>
      </c>
      <c r="Y74" s="431">
        <v>108456</v>
      </c>
      <c r="Z74" s="431">
        <v>1313397</v>
      </c>
      <c r="AA74" s="431">
        <v>0</v>
      </c>
      <c r="AB74" s="431">
        <v>-4804</v>
      </c>
      <c r="AC74" s="431">
        <v>576536</v>
      </c>
      <c r="AD74" s="431">
        <v>0</v>
      </c>
      <c r="AE74" s="431">
        <v>1511001</v>
      </c>
      <c r="AF74" s="431">
        <v>0</v>
      </c>
      <c r="AG74" s="431">
        <v>201856</v>
      </c>
      <c r="AH74" s="431">
        <v>256471</v>
      </c>
      <c r="AI74" s="431">
        <v>243193</v>
      </c>
      <c r="AJ74" s="431">
        <v>0</v>
      </c>
      <c r="AK74" s="431">
        <v>0</v>
      </c>
      <c r="AL74" s="431">
        <v>1556381</v>
      </c>
      <c r="AM74" s="431"/>
    </row>
    <row r="75" spans="1:39" s="155" customFormat="1" ht="12" x14ac:dyDescent="0.2">
      <c r="A75" s="168">
        <v>21</v>
      </c>
      <c r="B75" s="170">
        <v>4268</v>
      </c>
      <c r="C75" s="190" t="s">
        <v>1009</v>
      </c>
      <c r="D75" s="432">
        <f t="shared" si="17"/>
        <v>2766064</v>
      </c>
      <c r="E75" s="431">
        <v>709325</v>
      </c>
      <c r="F75" s="431">
        <v>183502</v>
      </c>
      <c r="G75" s="431">
        <v>319270</v>
      </c>
      <c r="H75" s="431">
        <v>0</v>
      </c>
      <c r="I75" s="431">
        <v>661049</v>
      </c>
      <c r="J75" s="431">
        <v>0</v>
      </c>
      <c r="K75" s="431">
        <v>817000</v>
      </c>
      <c r="L75" s="431">
        <v>0</v>
      </c>
      <c r="M75" s="431">
        <v>489353</v>
      </c>
      <c r="N75" s="431">
        <v>89337</v>
      </c>
      <c r="O75" s="431"/>
      <c r="P75" s="432">
        <f t="shared" si="16"/>
        <v>1896156</v>
      </c>
      <c r="Q75" s="431">
        <v>903555</v>
      </c>
      <c r="R75" s="431">
        <v>331708</v>
      </c>
      <c r="S75" s="431">
        <v>0</v>
      </c>
      <c r="T75" s="431">
        <v>0</v>
      </c>
      <c r="U75" s="431">
        <v>0</v>
      </c>
      <c r="V75" s="431">
        <v>0</v>
      </c>
      <c r="W75" s="431">
        <v>89156</v>
      </c>
      <c r="X75" s="431">
        <v>52480</v>
      </c>
      <c r="Y75" s="431">
        <v>54800</v>
      </c>
      <c r="Z75" s="431">
        <v>464457</v>
      </c>
      <c r="AA75" s="431">
        <v>0</v>
      </c>
      <c r="AB75" s="431">
        <v>0</v>
      </c>
      <c r="AC75" s="431">
        <v>414814</v>
      </c>
      <c r="AD75" s="431">
        <v>0</v>
      </c>
      <c r="AE75" s="431">
        <v>673824</v>
      </c>
      <c r="AF75" s="431">
        <v>15360</v>
      </c>
      <c r="AG75" s="431">
        <v>120277</v>
      </c>
      <c r="AH75" s="431">
        <v>93035</v>
      </c>
      <c r="AI75" s="431">
        <v>507743</v>
      </c>
      <c r="AJ75" s="431">
        <v>12472</v>
      </c>
      <c r="AK75" s="431">
        <v>0</v>
      </c>
      <c r="AL75" s="431">
        <v>56631</v>
      </c>
      <c r="AM75" s="431">
        <v>2000</v>
      </c>
    </row>
    <row r="76" spans="1:39" s="155" customFormat="1" ht="12" x14ac:dyDescent="0.2">
      <c r="A76" s="168">
        <v>22</v>
      </c>
      <c r="B76" s="170">
        <v>4302</v>
      </c>
      <c r="C76" s="190" t="s">
        <v>1010</v>
      </c>
      <c r="D76" s="432">
        <f t="shared" si="17"/>
        <v>4154145</v>
      </c>
      <c r="E76" s="431">
        <v>680433</v>
      </c>
      <c r="F76" s="431">
        <v>58167</v>
      </c>
      <c r="G76" s="431">
        <v>351320</v>
      </c>
      <c r="H76" s="431">
        <v>0</v>
      </c>
      <c r="I76" s="431">
        <v>911728</v>
      </c>
      <c r="J76" s="431">
        <v>0</v>
      </c>
      <c r="K76" s="431">
        <v>940000</v>
      </c>
      <c r="L76" s="431">
        <v>0</v>
      </c>
      <c r="M76" s="431">
        <v>977283</v>
      </c>
      <c r="N76" s="431">
        <v>644701</v>
      </c>
      <c r="O76" s="431"/>
      <c r="P76" s="432">
        <f t="shared" si="16"/>
        <v>3731092</v>
      </c>
      <c r="Q76" s="431">
        <v>1265094</v>
      </c>
      <c r="R76" s="431">
        <v>742988</v>
      </c>
      <c r="S76" s="431">
        <v>38839</v>
      </c>
      <c r="T76" s="431">
        <v>0</v>
      </c>
      <c r="U76" s="431">
        <v>0</v>
      </c>
      <c r="V76" s="431">
        <v>0</v>
      </c>
      <c r="W76" s="431">
        <v>701518</v>
      </c>
      <c r="X76" s="431">
        <v>41794</v>
      </c>
      <c r="Y76" s="431">
        <v>40000</v>
      </c>
      <c r="Z76" s="431">
        <v>51138</v>
      </c>
      <c r="AA76" s="431">
        <v>849721</v>
      </c>
      <c r="AB76" s="431">
        <v>0</v>
      </c>
      <c r="AC76" s="431">
        <v>718765</v>
      </c>
      <c r="AD76" s="431">
        <v>7007</v>
      </c>
      <c r="AE76" s="431">
        <v>830506</v>
      </c>
      <c r="AF76" s="431">
        <v>0</v>
      </c>
      <c r="AG76" s="431">
        <v>302837</v>
      </c>
      <c r="AH76" s="431">
        <v>266432</v>
      </c>
      <c r="AI76" s="431">
        <v>495383</v>
      </c>
      <c r="AJ76" s="431">
        <v>25196</v>
      </c>
      <c r="AK76" s="431">
        <v>0</v>
      </c>
      <c r="AL76" s="431">
        <v>1084966</v>
      </c>
      <c r="AM76" s="431"/>
    </row>
    <row r="77" spans="1:39" s="155" customFormat="1" ht="12" x14ac:dyDescent="0.2">
      <c r="A77" s="168">
        <v>23</v>
      </c>
      <c r="B77" s="170">
        <v>4366</v>
      </c>
      <c r="C77" s="190" t="s">
        <v>1011</v>
      </c>
      <c r="D77" s="432">
        <f t="shared" si="17"/>
        <v>8412860</v>
      </c>
      <c r="E77" s="431">
        <v>5825151</v>
      </c>
      <c r="F77" s="431">
        <v>3682397</v>
      </c>
      <c r="G77" s="431">
        <v>194270</v>
      </c>
      <c r="H77" s="431">
        <v>0</v>
      </c>
      <c r="I77" s="431">
        <v>1948728</v>
      </c>
      <c r="J77" s="431">
        <v>0</v>
      </c>
      <c r="K77" s="431">
        <v>112000</v>
      </c>
      <c r="L77" s="431">
        <v>0</v>
      </c>
      <c r="M77" s="431">
        <v>126891</v>
      </c>
      <c r="N77" s="431">
        <v>400090</v>
      </c>
      <c r="O77" s="431"/>
      <c r="P77" s="432">
        <f t="shared" si="16"/>
        <v>7459820</v>
      </c>
      <c r="Q77" s="431">
        <v>2130126</v>
      </c>
      <c r="R77" s="431">
        <v>1409885</v>
      </c>
      <c r="S77" s="431">
        <v>0</v>
      </c>
      <c r="T77" s="431">
        <v>0</v>
      </c>
      <c r="U77" s="431">
        <v>0</v>
      </c>
      <c r="V77" s="431">
        <v>3561</v>
      </c>
      <c r="W77" s="431">
        <v>106477</v>
      </c>
      <c r="X77" s="431">
        <v>281126</v>
      </c>
      <c r="Y77" s="431">
        <v>785711</v>
      </c>
      <c r="Z77" s="431">
        <v>2879358</v>
      </c>
      <c r="AA77" s="431">
        <v>0</v>
      </c>
      <c r="AB77" s="431">
        <v>-136424</v>
      </c>
      <c r="AC77" s="431">
        <v>1169254</v>
      </c>
      <c r="AD77" s="431">
        <v>52161</v>
      </c>
      <c r="AE77" s="431">
        <v>2373226</v>
      </c>
      <c r="AF77" s="431">
        <v>0</v>
      </c>
      <c r="AG77" s="431">
        <v>1824244</v>
      </c>
      <c r="AH77" s="431">
        <v>599215</v>
      </c>
      <c r="AI77" s="431">
        <v>246262</v>
      </c>
      <c r="AJ77" s="431">
        <v>238976</v>
      </c>
      <c r="AK77" s="431">
        <v>0</v>
      </c>
      <c r="AL77" s="431">
        <v>820185</v>
      </c>
      <c r="AM77" s="431">
        <v>136297</v>
      </c>
    </row>
    <row r="78" spans="1:39" s="155" customFormat="1" ht="12" x14ac:dyDescent="0.2">
      <c r="A78" s="168">
        <v>24</v>
      </c>
      <c r="B78" s="170">
        <v>4482</v>
      </c>
      <c r="C78" s="190" t="s">
        <v>1012</v>
      </c>
      <c r="D78" s="432">
        <f t="shared" si="17"/>
        <v>3127920</v>
      </c>
      <c r="E78" s="431">
        <v>1448198</v>
      </c>
      <c r="F78" s="431">
        <v>476237</v>
      </c>
      <c r="G78" s="431">
        <v>180160</v>
      </c>
      <c r="H78" s="431">
        <v>0</v>
      </c>
      <c r="I78" s="431">
        <v>1092589</v>
      </c>
      <c r="J78" s="431">
        <v>0</v>
      </c>
      <c r="K78" s="431">
        <v>522000</v>
      </c>
      <c r="L78" s="431">
        <v>0</v>
      </c>
      <c r="M78" s="431">
        <v>20911</v>
      </c>
      <c r="N78" s="431">
        <v>42356</v>
      </c>
      <c r="O78" s="431">
        <v>1866</v>
      </c>
      <c r="P78" s="432">
        <f t="shared" si="16"/>
        <v>3784221</v>
      </c>
      <c r="Q78" s="431">
        <v>1246409</v>
      </c>
      <c r="R78" s="431">
        <v>835311</v>
      </c>
      <c r="S78" s="431">
        <v>22298</v>
      </c>
      <c r="T78" s="431">
        <v>0</v>
      </c>
      <c r="U78" s="431">
        <v>0</v>
      </c>
      <c r="V78" s="431">
        <v>0</v>
      </c>
      <c r="W78" s="431">
        <v>70081</v>
      </c>
      <c r="X78" s="431">
        <v>163924</v>
      </c>
      <c r="Y78" s="431">
        <v>165396</v>
      </c>
      <c r="Z78" s="431">
        <v>430802</v>
      </c>
      <c r="AA78" s="431">
        <v>850000</v>
      </c>
      <c r="AB78" s="431">
        <v>0</v>
      </c>
      <c r="AC78" s="431">
        <v>800893</v>
      </c>
      <c r="AD78" s="431">
        <v>17533</v>
      </c>
      <c r="AE78" s="431">
        <v>1069739</v>
      </c>
      <c r="AF78" s="431">
        <v>3682</v>
      </c>
      <c r="AG78" s="431">
        <v>222481</v>
      </c>
      <c r="AH78" s="431">
        <v>163924</v>
      </c>
      <c r="AI78" s="431">
        <v>140420</v>
      </c>
      <c r="AJ78" s="431">
        <v>15023</v>
      </c>
      <c r="AK78" s="431">
        <v>0</v>
      </c>
      <c r="AL78" s="431">
        <v>1350526</v>
      </c>
      <c r="AM78" s="431"/>
    </row>
    <row r="79" spans="1:39" s="155" customFormat="1" ht="12" x14ac:dyDescent="0.2">
      <c r="A79" s="168">
        <v>25</v>
      </c>
      <c r="B79" s="170">
        <v>4525</v>
      </c>
      <c r="C79" s="190" t="s">
        <v>1013</v>
      </c>
      <c r="D79" s="432">
        <f t="shared" si="17"/>
        <v>3997860</v>
      </c>
      <c r="E79" s="431">
        <v>808361</v>
      </c>
      <c r="F79" s="431">
        <v>162865</v>
      </c>
      <c r="G79" s="431">
        <v>263150</v>
      </c>
      <c r="H79" s="431">
        <v>0</v>
      </c>
      <c r="I79" s="431">
        <v>1489417</v>
      </c>
      <c r="J79" s="431">
        <v>0</v>
      </c>
      <c r="K79" s="431">
        <v>730000</v>
      </c>
      <c r="L79" s="431">
        <v>0</v>
      </c>
      <c r="M79" s="431">
        <v>304509</v>
      </c>
      <c r="N79" s="431">
        <v>665573</v>
      </c>
      <c r="O79" s="431"/>
      <c r="P79" s="432">
        <f t="shared" si="16"/>
        <v>4497946</v>
      </c>
      <c r="Q79" s="431">
        <v>1746134</v>
      </c>
      <c r="R79" s="431">
        <v>864535</v>
      </c>
      <c r="S79" s="431">
        <v>0</v>
      </c>
      <c r="T79" s="431">
        <v>0</v>
      </c>
      <c r="U79" s="431">
        <v>0</v>
      </c>
      <c r="V79" s="431">
        <v>18071</v>
      </c>
      <c r="W79" s="431">
        <v>1556804</v>
      </c>
      <c r="X79" s="431">
        <v>169264</v>
      </c>
      <c r="Y79" s="431">
        <v>74560</v>
      </c>
      <c r="Z79" s="431">
        <v>68578</v>
      </c>
      <c r="AA79" s="431">
        <v>0</v>
      </c>
      <c r="AB79" s="431">
        <v>0</v>
      </c>
      <c r="AC79" s="431">
        <v>703808</v>
      </c>
      <c r="AD79" s="431">
        <v>15470</v>
      </c>
      <c r="AE79" s="431">
        <v>1141978</v>
      </c>
      <c r="AF79" s="431">
        <v>6162</v>
      </c>
      <c r="AG79" s="431">
        <v>80811</v>
      </c>
      <c r="AH79" s="431">
        <v>545867</v>
      </c>
      <c r="AI79" s="431">
        <v>209106</v>
      </c>
      <c r="AJ79" s="431">
        <v>56011</v>
      </c>
      <c r="AK79" s="431">
        <v>0</v>
      </c>
      <c r="AL79" s="431">
        <v>1738733</v>
      </c>
      <c r="AM79" s="431"/>
    </row>
    <row r="80" spans="1:39" s="155" customFormat="1" ht="12" x14ac:dyDescent="0.2">
      <c r="A80" s="168">
        <v>26</v>
      </c>
      <c r="B80" s="170">
        <v>4703</v>
      </c>
      <c r="C80" s="190" t="s">
        <v>1014</v>
      </c>
      <c r="D80" s="432">
        <f t="shared" si="17"/>
        <v>4397993</v>
      </c>
      <c r="E80" s="431">
        <v>987494</v>
      </c>
      <c r="F80" s="431">
        <v>48286</v>
      </c>
      <c r="G80" s="431">
        <v>293290</v>
      </c>
      <c r="H80" s="431">
        <v>0</v>
      </c>
      <c r="I80" s="431">
        <v>737090</v>
      </c>
      <c r="J80" s="431">
        <v>1050000</v>
      </c>
      <c r="K80" s="431">
        <v>745000</v>
      </c>
      <c r="L80" s="431">
        <v>0</v>
      </c>
      <c r="M80" s="431">
        <v>247677</v>
      </c>
      <c r="N80" s="431">
        <v>630732</v>
      </c>
      <c r="O80" s="431"/>
      <c r="P80" s="432">
        <f t="shared" si="16"/>
        <v>4901953</v>
      </c>
      <c r="Q80" s="431">
        <v>914250</v>
      </c>
      <c r="R80" s="431">
        <v>913814</v>
      </c>
      <c r="S80" s="431">
        <v>8104</v>
      </c>
      <c r="T80" s="431">
        <v>0</v>
      </c>
      <c r="U80" s="431">
        <v>0</v>
      </c>
      <c r="V80" s="431">
        <v>0</v>
      </c>
      <c r="W80" s="431">
        <v>1524280</v>
      </c>
      <c r="X80" s="431">
        <v>78772</v>
      </c>
      <c r="Y80" s="431">
        <v>65041</v>
      </c>
      <c r="Z80" s="431">
        <v>1313801</v>
      </c>
      <c r="AA80" s="431">
        <v>91125</v>
      </c>
      <c r="AB80" s="431">
        <v>-7234</v>
      </c>
      <c r="AC80" s="431">
        <v>508720</v>
      </c>
      <c r="AD80" s="431">
        <v>284985</v>
      </c>
      <c r="AE80" s="431">
        <v>795115</v>
      </c>
      <c r="AF80" s="431">
        <v>48310</v>
      </c>
      <c r="AG80" s="431">
        <v>457761</v>
      </c>
      <c r="AH80" s="431">
        <v>78772</v>
      </c>
      <c r="AI80" s="431">
        <v>294891</v>
      </c>
      <c r="AJ80" s="431">
        <v>400</v>
      </c>
      <c r="AK80" s="431">
        <v>0</v>
      </c>
      <c r="AL80" s="431">
        <v>2424146</v>
      </c>
      <c r="AM80" s="431">
        <v>8853</v>
      </c>
    </row>
    <row r="81" spans="1:39" s="155" customFormat="1" ht="12" x14ac:dyDescent="0.2">
      <c r="A81" s="168">
        <v>27</v>
      </c>
      <c r="B81" s="170">
        <v>4767</v>
      </c>
      <c r="C81" s="190" t="s">
        <v>1015</v>
      </c>
      <c r="D81" s="432">
        <f t="shared" si="17"/>
        <v>8674770</v>
      </c>
      <c r="E81" s="431">
        <v>752170</v>
      </c>
      <c r="F81" s="431">
        <v>146807</v>
      </c>
      <c r="G81" s="431">
        <v>391350</v>
      </c>
      <c r="H81" s="431">
        <v>0</v>
      </c>
      <c r="I81" s="431">
        <v>1858634</v>
      </c>
      <c r="J81" s="431">
        <v>0</v>
      </c>
      <c r="K81" s="431">
        <v>1049000</v>
      </c>
      <c r="L81" s="431">
        <v>0</v>
      </c>
      <c r="M81" s="431">
        <v>2089040</v>
      </c>
      <c r="N81" s="431">
        <v>2925926</v>
      </c>
      <c r="O81" s="431"/>
      <c r="P81" s="432">
        <f t="shared" si="16"/>
        <v>8381249</v>
      </c>
      <c r="Q81" s="431">
        <v>2195930</v>
      </c>
      <c r="R81" s="431">
        <v>777256</v>
      </c>
      <c r="S81" s="431">
        <v>0</v>
      </c>
      <c r="T81" s="431">
        <v>0</v>
      </c>
      <c r="U81" s="431">
        <v>0</v>
      </c>
      <c r="V81" s="431">
        <v>0</v>
      </c>
      <c r="W81" s="431">
        <v>3939795</v>
      </c>
      <c r="X81" s="431">
        <v>56589</v>
      </c>
      <c r="Y81" s="431">
        <v>17175</v>
      </c>
      <c r="Z81" s="431">
        <v>1394504</v>
      </c>
      <c r="AA81" s="431">
        <v>0</v>
      </c>
      <c r="AB81" s="431">
        <v>0</v>
      </c>
      <c r="AC81" s="431">
        <v>793952</v>
      </c>
      <c r="AD81" s="431">
        <v>0</v>
      </c>
      <c r="AE81" s="431">
        <v>1605810</v>
      </c>
      <c r="AF81" s="431">
        <v>0</v>
      </c>
      <c r="AG81" s="431">
        <v>71885</v>
      </c>
      <c r="AH81" s="431">
        <v>346371</v>
      </c>
      <c r="AI81" s="431">
        <v>62546</v>
      </c>
      <c r="AJ81" s="431">
        <v>92721</v>
      </c>
      <c r="AK81" s="431">
        <v>0</v>
      </c>
      <c r="AL81" s="431">
        <v>4959050</v>
      </c>
      <c r="AM81" s="431">
        <v>448914</v>
      </c>
    </row>
    <row r="82" spans="1:39" s="155" customFormat="1" ht="12" x14ac:dyDescent="0.2">
      <c r="A82" s="168">
        <v>28</v>
      </c>
      <c r="B82" s="170">
        <v>4927</v>
      </c>
      <c r="C82" s="190" t="s">
        <v>1016</v>
      </c>
      <c r="D82" s="432">
        <f t="shared" si="17"/>
        <v>9273824</v>
      </c>
      <c r="E82" s="431">
        <v>3405379</v>
      </c>
      <c r="F82" s="431">
        <v>699485</v>
      </c>
      <c r="G82" s="431">
        <v>1372360</v>
      </c>
      <c r="H82" s="431">
        <v>0</v>
      </c>
      <c r="I82" s="431">
        <v>2883675</v>
      </c>
      <c r="J82" s="431">
        <v>0</v>
      </c>
      <c r="K82" s="431">
        <v>1061000</v>
      </c>
      <c r="L82" s="431">
        <v>0</v>
      </c>
      <c r="M82" s="431">
        <v>490984</v>
      </c>
      <c r="N82" s="431">
        <v>1432786</v>
      </c>
      <c r="O82" s="431"/>
      <c r="P82" s="432">
        <f t="shared" si="16"/>
        <v>8928743</v>
      </c>
      <c r="Q82" s="431">
        <v>3455062</v>
      </c>
      <c r="R82" s="431">
        <v>1916131</v>
      </c>
      <c r="S82" s="431">
        <v>15128</v>
      </c>
      <c r="T82" s="431">
        <v>0</v>
      </c>
      <c r="U82" s="431">
        <v>0</v>
      </c>
      <c r="V82" s="431">
        <v>0</v>
      </c>
      <c r="W82" s="431">
        <v>1667204</v>
      </c>
      <c r="X82" s="431">
        <v>344926</v>
      </c>
      <c r="Y82" s="431">
        <v>482010</v>
      </c>
      <c r="Z82" s="431">
        <v>759022</v>
      </c>
      <c r="AA82" s="431">
        <v>408881</v>
      </c>
      <c r="AB82" s="431">
        <v>-119621</v>
      </c>
      <c r="AC82" s="431">
        <v>1258885</v>
      </c>
      <c r="AD82" s="431">
        <v>32234</v>
      </c>
      <c r="AE82" s="431">
        <v>2747570</v>
      </c>
      <c r="AF82" s="431">
        <v>66579</v>
      </c>
      <c r="AG82" s="431">
        <v>1909734</v>
      </c>
      <c r="AH82" s="431">
        <v>794830</v>
      </c>
      <c r="AI82" s="431">
        <v>913660</v>
      </c>
      <c r="AJ82" s="431">
        <v>319773</v>
      </c>
      <c r="AK82" s="431">
        <v>0</v>
      </c>
      <c r="AL82" s="431">
        <v>640336</v>
      </c>
      <c r="AM82" s="431">
        <v>245142</v>
      </c>
    </row>
    <row r="83" spans="1:39" s="155" customFormat="1" ht="12" x14ac:dyDescent="0.2">
      <c r="A83" s="168">
        <v>29</v>
      </c>
      <c r="B83" s="170">
        <v>4981</v>
      </c>
      <c r="C83" s="190" t="s">
        <v>1017</v>
      </c>
      <c r="D83" s="432">
        <f t="shared" si="17"/>
        <v>2055922</v>
      </c>
      <c r="E83" s="431">
        <v>597197</v>
      </c>
      <c r="F83" s="431">
        <v>38330</v>
      </c>
      <c r="G83" s="431">
        <v>444200</v>
      </c>
      <c r="H83" s="431">
        <v>0</v>
      </c>
      <c r="I83" s="431">
        <v>366988</v>
      </c>
      <c r="J83" s="431">
        <v>0</v>
      </c>
      <c r="K83" s="431">
        <v>1088000</v>
      </c>
      <c r="L83" s="431">
        <v>0</v>
      </c>
      <c r="M83" s="431">
        <v>3737</v>
      </c>
      <c r="N83" s="431">
        <v>0</v>
      </c>
      <c r="O83" s="431"/>
      <c r="P83" s="432">
        <f t="shared" si="16"/>
        <v>1076882</v>
      </c>
      <c r="Q83" s="431">
        <v>575793</v>
      </c>
      <c r="R83" s="431">
        <v>325245</v>
      </c>
      <c r="S83" s="431">
        <v>0</v>
      </c>
      <c r="T83" s="431">
        <v>0</v>
      </c>
      <c r="U83" s="431">
        <v>0</v>
      </c>
      <c r="V83" s="431">
        <v>0</v>
      </c>
      <c r="W83" s="431">
        <v>0</v>
      </c>
      <c r="X83" s="431">
        <v>22783</v>
      </c>
      <c r="Y83" s="431">
        <v>43505</v>
      </c>
      <c r="Z83" s="431">
        <v>126267</v>
      </c>
      <c r="AA83" s="431">
        <v>0</v>
      </c>
      <c r="AB83" s="431">
        <v>-16711</v>
      </c>
      <c r="AC83" s="431">
        <v>406733</v>
      </c>
      <c r="AD83" s="431">
        <v>4467</v>
      </c>
      <c r="AE83" s="431">
        <v>338857</v>
      </c>
      <c r="AF83" s="431">
        <v>0</v>
      </c>
      <c r="AG83" s="431">
        <v>115787</v>
      </c>
      <c r="AH83" s="431">
        <v>66890</v>
      </c>
      <c r="AI83" s="431">
        <v>100769</v>
      </c>
      <c r="AJ83" s="431">
        <v>0</v>
      </c>
      <c r="AK83" s="431">
        <v>0</v>
      </c>
      <c r="AL83" s="431">
        <v>40879</v>
      </c>
      <c r="AM83" s="431">
        <v>2500</v>
      </c>
    </row>
    <row r="84" spans="1:39" s="155" customFormat="1" ht="12" x14ac:dyDescent="0.2">
      <c r="A84" s="168">
        <v>30</v>
      </c>
      <c r="B84" s="170">
        <v>5103</v>
      </c>
      <c r="C84" s="190" t="s">
        <v>1018</v>
      </c>
      <c r="D84" s="432">
        <f t="shared" si="17"/>
        <v>10236698</v>
      </c>
      <c r="E84" s="431">
        <v>4841335</v>
      </c>
      <c r="F84" s="431">
        <v>2488128</v>
      </c>
      <c r="G84" s="431">
        <v>564470</v>
      </c>
      <c r="H84" s="431">
        <v>0</v>
      </c>
      <c r="I84" s="431">
        <v>4041367</v>
      </c>
      <c r="J84" s="431">
        <v>124351</v>
      </c>
      <c r="K84" s="431">
        <v>634000</v>
      </c>
      <c r="L84" s="431">
        <v>0</v>
      </c>
      <c r="M84" s="431">
        <v>159405</v>
      </c>
      <c r="N84" s="431">
        <v>436240</v>
      </c>
      <c r="O84" s="431"/>
      <c r="P84" s="432">
        <f t="shared" si="16"/>
        <v>10236212</v>
      </c>
      <c r="Q84" s="431">
        <v>4264820</v>
      </c>
      <c r="R84" s="431">
        <v>3152334</v>
      </c>
      <c r="S84" s="431">
        <v>123050</v>
      </c>
      <c r="T84" s="431">
        <v>0</v>
      </c>
      <c r="U84" s="431">
        <v>0</v>
      </c>
      <c r="V84" s="431">
        <v>0</v>
      </c>
      <c r="W84" s="431">
        <v>429989</v>
      </c>
      <c r="X84" s="431">
        <v>458972</v>
      </c>
      <c r="Y84" s="431">
        <v>57100</v>
      </c>
      <c r="Z84" s="431">
        <v>1354778</v>
      </c>
      <c r="AA84" s="431">
        <v>398500</v>
      </c>
      <c r="AB84" s="431">
        <v>-3331</v>
      </c>
      <c r="AC84" s="431">
        <v>1699430</v>
      </c>
      <c r="AD84" s="431">
        <v>52367</v>
      </c>
      <c r="AE84" s="431">
        <v>3741036</v>
      </c>
      <c r="AF84" s="431">
        <v>24080</v>
      </c>
      <c r="AG84" s="431">
        <v>1010594</v>
      </c>
      <c r="AH84" s="431">
        <v>578214</v>
      </c>
      <c r="AI84" s="431">
        <v>1269190</v>
      </c>
      <c r="AJ84" s="431">
        <v>0</v>
      </c>
      <c r="AK84" s="431">
        <v>0</v>
      </c>
      <c r="AL84" s="431">
        <v>1752875</v>
      </c>
      <c r="AM84" s="431">
        <v>108426</v>
      </c>
    </row>
    <row r="85" spans="1:39" s="155" customFormat="1" ht="12" x14ac:dyDescent="0.2">
      <c r="A85" s="168">
        <v>31</v>
      </c>
      <c r="B85" s="170">
        <v>5167</v>
      </c>
      <c r="C85" s="190" t="s">
        <v>537</v>
      </c>
      <c r="D85" s="432">
        <f t="shared" si="17"/>
        <v>3901710</v>
      </c>
      <c r="E85" s="431">
        <v>2030482</v>
      </c>
      <c r="F85" s="431">
        <v>75288</v>
      </c>
      <c r="G85" s="431">
        <v>316130</v>
      </c>
      <c r="H85" s="431">
        <v>0</v>
      </c>
      <c r="I85" s="431">
        <v>599352</v>
      </c>
      <c r="J85" s="431">
        <v>0</v>
      </c>
      <c r="K85" s="431">
        <v>242000</v>
      </c>
      <c r="L85" s="431">
        <v>0</v>
      </c>
      <c r="M85" s="431">
        <v>613512</v>
      </c>
      <c r="N85" s="431">
        <v>416364</v>
      </c>
      <c r="O85" s="431"/>
      <c r="P85" s="432">
        <f t="shared" si="16"/>
        <v>3216044</v>
      </c>
      <c r="Q85" s="431">
        <v>864889</v>
      </c>
      <c r="R85" s="431">
        <v>544287</v>
      </c>
      <c r="S85" s="431">
        <v>0</v>
      </c>
      <c r="T85" s="431">
        <v>0</v>
      </c>
      <c r="U85" s="431">
        <v>0</v>
      </c>
      <c r="V85" s="431">
        <v>0</v>
      </c>
      <c r="W85" s="431">
        <v>663152</v>
      </c>
      <c r="X85" s="431">
        <v>76117</v>
      </c>
      <c r="Y85" s="431">
        <v>495790</v>
      </c>
      <c r="Z85" s="431">
        <v>571809</v>
      </c>
      <c r="AA85" s="431">
        <v>0</v>
      </c>
      <c r="AB85" s="431">
        <v>0</v>
      </c>
      <c r="AC85" s="431">
        <v>500926</v>
      </c>
      <c r="AD85" s="431">
        <v>1804</v>
      </c>
      <c r="AE85" s="431">
        <v>569628</v>
      </c>
      <c r="AF85" s="431">
        <v>0</v>
      </c>
      <c r="AG85" s="431">
        <v>599881</v>
      </c>
      <c r="AH85" s="431">
        <v>186908</v>
      </c>
      <c r="AI85" s="431">
        <v>583071</v>
      </c>
      <c r="AJ85" s="431">
        <v>0</v>
      </c>
      <c r="AK85" s="431">
        <v>0</v>
      </c>
      <c r="AL85" s="431">
        <v>773826</v>
      </c>
      <c r="AM85" s="431"/>
    </row>
    <row r="86" spans="1:39" s="155" customFormat="1" ht="12" x14ac:dyDescent="0.2">
      <c r="A86" s="168">
        <v>32</v>
      </c>
      <c r="B86" s="170">
        <v>5210</v>
      </c>
      <c r="C86" s="190" t="s">
        <v>1019</v>
      </c>
      <c r="D86" s="432">
        <f t="shared" si="17"/>
        <v>4383342</v>
      </c>
      <c r="E86" s="431">
        <v>1824769</v>
      </c>
      <c r="F86" s="431">
        <v>188989</v>
      </c>
      <c r="G86" s="431">
        <v>619360</v>
      </c>
      <c r="H86" s="431">
        <v>0</v>
      </c>
      <c r="I86" s="431">
        <v>1242097</v>
      </c>
      <c r="J86" s="431">
        <v>0</v>
      </c>
      <c r="K86" s="431">
        <v>628000</v>
      </c>
      <c r="L86" s="431">
        <v>0</v>
      </c>
      <c r="M86" s="431">
        <v>308917</v>
      </c>
      <c r="N86" s="431">
        <v>379559</v>
      </c>
      <c r="O86" s="431"/>
      <c r="P86" s="432">
        <f t="shared" si="16"/>
        <v>3730259</v>
      </c>
      <c r="Q86" s="431">
        <v>1390566</v>
      </c>
      <c r="R86" s="431">
        <v>1034868</v>
      </c>
      <c r="S86" s="431">
        <v>0</v>
      </c>
      <c r="T86" s="431">
        <v>0</v>
      </c>
      <c r="U86" s="431">
        <v>0</v>
      </c>
      <c r="V86" s="431">
        <v>0</v>
      </c>
      <c r="W86" s="431">
        <v>533332</v>
      </c>
      <c r="X86" s="431">
        <v>181885</v>
      </c>
      <c r="Y86" s="431">
        <v>48000</v>
      </c>
      <c r="Z86" s="431">
        <v>541608</v>
      </c>
      <c r="AA86" s="431">
        <v>0</v>
      </c>
      <c r="AB86" s="431">
        <v>0</v>
      </c>
      <c r="AC86" s="431">
        <v>487672</v>
      </c>
      <c r="AD86" s="431">
        <v>0</v>
      </c>
      <c r="AE86" s="431">
        <v>1609286</v>
      </c>
      <c r="AF86" s="431">
        <v>0</v>
      </c>
      <c r="AG86" s="431">
        <v>294618</v>
      </c>
      <c r="AH86" s="431">
        <v>235270</v>
      </c>
      <c r="AI86" s="431">
        <v>203204</v>
      </c>
      <c r="AJ86" s="431">
        <v>12030</v>
      </c>
      <c r="AK86" s="431">
        <v>0</v>
      </c>
      <c r="AL86" s="431">
        <v>869240</v>
      </c>
      <c r="AM86" s="431">
        <v>18939</v>
      </c>
    </row>
    <row r="87" spans="1:39" s="155" customFormat="1" ht="12" x14ac:dyDescent="0.2">
      <c r="A87" s="168">
        <v>33</v>
      </c>
      <c r="B87" s="170">
        <v>5309</v>
      </c>
      <c r="C87" s="190" t="s">
        <v>1020</v>
      </c>
      <c r="D87" s="432">
        <f t="shared" si="17"/>
        <v>3776529</v>
      </c>
      <c r="E87" s="431">
        <v>913675</v>
      </c>
      <c r="F87" s="431">
        <v>175539</v>
      </c>
      <c r="G87" s="431">
        <v>326180</v>
      </c>
      <c r="H87" s="431">
        <v>0</v>
      </c>
      <c r="I87" s="431">
        <v>1476805</v>
      </c>
      <c r="J87" s="431">
        <v>0</v>
      </c>
      <c r="K87" s="431">
        <v>859000</v>
      </c>
      <c r="L87" s="431">
        <v>0</v>
      </c>
      <c r="M87" s="431">
        <v>422766</v>
      </c>
      <c r="N87" s="431">
        <v>104283</v>
      </c>
      <c r="O87" s="431"/>
      <c r="P87" s="432">
        <f t="shared" si="16"/>
        <v>3422635</v>
      </c>
      <c r="Q87" s="431">
        <v>1738090</v>
      </c>
      <c r="R87" s="431">
        <v>669090</v>
      </c>
      <c r="S87" s="431">
        <v>0</v>
      </c>
      <c r="T87" s="431">
        <v>0</v>
      </c>
      <c r="U87" s="431">
        <v>0</v>
      </c>
      <c r="V87" s="431">
        <v>0</v>
      </c>
      <c r="W87" s="431">
        <v>128822</v>
      </c>
      <c r="X87" s="431">
        <v>47638</v>
      </c>
      <c r="Y87" s="431">
        <v>46445</v>
      </c>
      <c r="Z87" s="431">
        <v>792550</v>
      </c>
      <c r="AA87" s="431">
        <v>0</v>
      </c>
      <c r="AB87" s="431">
        <v>0</v>
      </c>
      <c r="AC87" s="431">
        <v>931434</v>
      </c>
      <c r="AD87" s="431">
        <v>4967</v>
      </c>
      <c r="AE87" s="431">
        <v>1390525</v>
      </c>
      <c r="AF87" s="431">
        <v>0</v>
      </c>
      <c r="AG87" s="431">
        <v>103263</v>
      </c>
      <c r="AH87" s="431">
        <v>173256</v>
      </c>
      <c r="AI87" s="431">
        <v>572144</v>
      </c>
      <c r="AJ87" s="431">
        <v>45132</v>
      </c>
      <c r="AK87" s="431">
        <v>0</v>
      </c>
      <c r="AL87" s="431">
        <v>200434</v>
      </c>
      <c r="AM87" s="431">
        <v>1480</v>
      </c>
    </row>
    <row r="88" spans="1:39" s="155" customFormat="1" ht="12" x14ac:dyDescent="0.2">
      <c r="A88" s="168">
        <v>34</v>
      </c>
      <c r="B88" s="170">
        <v>5336</v>
      </c>
      <c r="C88" s="190" t="s">
        <v>1021</v>
      </c>
      <c r="D88" s="432">
        <f t="shared" si="17"/>
        <v>5854258</v>
      </c>
      <c r="E88" s="431">
        <v>1664088</v>
      </c>
      <c r="F88" s="431">
        <v>1067566</v>
      </c>
      <c r="G88" s="431">
        <v>167310</v>
      </c>
      <c r="H88" s="431">
        <v>0</v>
      </c>
      <c r="I88" s="431">
        <v>1572848</v>
      </c>
      <c r="J88" s="431">
        <v>0</v>
      </c>
      <c r="K88" s="431">
        <v>354000</v>
      </c>
      <c r="L88" s="431">
        <v>0</v>
      </c>
      <c r="M88" s="431">
        <v>2052292</v>
      </c>
      <c r="N88" s="431">
        <v>209644</v>
      </c>
      <c r="O88" s="431">
        <v>1386</v>
      </c>
      <c r="P88" s="432">
        <f t="shared" si="16"/>
        <v>5401925</v>
      </c>
      <c r="Q88" s="431">
        <v>2015280</v>
      </c>
      <c r="R88" s="431">
        <v>859873</v>
      </c>
      <c r="S88" s="431">
        <v>4300</v>
      </c>
      <c r="T88" s="431">
        <v>0</v>
      </c>
      <c r="U88" s="431">
        <v>0</v>
      </c>
      <c r="V88" s="431">
        <v>0</v>
      </c>
      <c r="W88" s="431">
        <v>0</v>
      </c>
      <c r="X88" s="431">
        <v>169083</v>
      </c>
      <c r="Y88" s="431">
        <v>86800</v>
      </c>
      <c r="Z88" s="431">
        <v>2235145</v>
      </c>
      <c r="AA88" s="431">
        <v>31444</v>
      </c>
      <c r="AB88" s="431">
        <v>0</v>
      </c>
      <c r="AC88" s="431">
        <v>885853</v>
      </c>
      <c r="AD88" s="431">
        <v>43361</v>
      </c>
      <c r="AE88" s="431">
        <v>1298652</v>
      </c>
      <c r="AF88" s="431">
        <v>26596</v>
      </c>
      <c r="AG88" s="431">
        <v>100643</v>
      </c>
      <c r="AH88" s="431">
        <v>512844</v>
      </c>
      <c r="AI88" s="431">
        <v>221002</v>
      </c>
      <c r="AJ88" s="431">
        <v>18340</v>
      </c>
      <c r="AK88" s="431">
        <v>0</v>
      </c>
      <c r="AL88" s="431">
        <v>2284883</v>
      </c>
      <c r="AM88" s="431">
        <v>9751</v>
      </c>
    </row>
    <row r="89" spans="1:39" s="155" customFormat="1" ht="12" x14ac:dyDescent="0.2">
      <c r="A89" s="168">
        <v>35</v>
      </c>
      <c r="B89" s="170">
        <v>5577</v>
      </c>
      <c r="C89" s="190" t="s">
        <v>1022</v>
      </c>
      <c r="D89" s="432">
        <f t="shared" si="17"/>
        <v>4154194</v>
      </c>
      <c r="E89" s="431">
        <v>1196941</v>
      </c>
      <c r="F89" s="431">
        <v>96654</v>
      </c>
      <c r="G89" s="431">
        <v>643230</v>
      </c>
      <c r="H89" s="431">
        <v>0</v>
      </c>
      <c r="I89" s="431">
        <v>1172694</v>
      </c>
      <c r="J89" s="431">
        <v>0</v>
      </c>
      <c r="K89" s="431">
        <v>974000</v>
      </c>
      <c r="L89" s="431">
        <v>0</v>
      </c>
      <c r="M89" s="431">
        <v>562428</v>
      </c>
      <c r="N89" s="431">
        <v>248131</v>
      </c>
      <c r="O89" s="431"/>
      <c r="P89" s="432">
        <f t="shared" si="16"/>
        <v>3329582</v>
      </c>
      <c r="Q89" s="431">
        <v>1270696</v>
      </c>
      <c r="R89" s="431">
        <v>673989</v>
      </c>
      <c r="S89" s="431">
        <v>0</v>
      </c>
      <c r="T89" s="431">
        <v>0</v>
      </c>
      <c r="U89" s="431">
        <v>0</v>
      </c>
      <c r="V89" s="431">
        <v>0</v>
      </c>
      <c r="W89" s="431">
        <v>291695</v>
      </c>
      <c r="X89" s="431">
        <v>215447</v>
      </c>
      <c r="Y89" s="431">
        <v>41750</v>
      </c>
      <c r="Z89" s="431">
        <v>836005</v>
      </c>
      <c r="AA89" s="431">
        <v>0</v>
      </c>
      <c r="AB89" s="431">
        <v>0</v>
      </c>
      <c r="AC89" s="431">
        <v>553235</v>
      </c>
      <c r="AD89" s="431">
        <v>35270</v>
      </c>
      <c r="AE89" s="431">
        <v>1019561</v>
      </c>
      <c r="AF89" s="431">
        <v>0</v>
      </c>
      <c r="AG89" s="431">
        <v>349389</v>
      </c>
      <c r="AH89" s="431">
        <v>231105</v>
      </c>
      <c r="AI89" s="431">
        <v>98753</v>
      </c>
      <c r="AJ89" s="431">
        <v>15321</v>
      </c>
      <c r="AK89" s="431">
        <v>0</v>
      </c>
      <c r="AL89" s="431">
        <v>1000053</v>
      </c>
      <c r="AM89" s="431">
        <v>26895</v>
      </c>
    </row>
    <row r="90" spans="1:39" s="155" customFormat="1" ht="12" x14ac:dyDescent="0.2">
      <c r="A90" s="168">
        <v>36</v>
      </c>
      <c r="B90" s="170">
        <v>5700</v>
      </c>
      <c r="C90" s="190" t="s">
        <v>1023</v>
      </c>
      <c r="D90" s="432">
        <f t="shared" si="17"/>
        <v>7850510</v>
      </c>
      <c r="E90" s="431">
        <v>1313055</v>
      </c>
      <c r="F90" s="431">
        <v>124649</v>
      </c>
      <c r="G90" s="431">
        <v>628260</v>
      </c>
      <c r="H90" s="431">
        <v>0</v>
      </c>
      <c r="I90" s="431">
        <v>1089402</v>
      </c>
      <c r="J90" s="431">
        <v>0</v>
      </c>
      <c r="K90" s="431">
        <v>965000</v>
      </c>
      <c r="L90" s="431">
        <v>0</v>
      </c>
      <c r="M90" s="431">
        <v>1538821</v>
      </c>
      <c r="N90" s="431">
        <v>2944232</v>
      </c>
      <c r="O90" s="431"/>
      <c r="P90" s="432">
        <f t="shared" si="16"/>
        <v>4781397</v>
      </c>
      <c r="Q90" s="431">
        <v>1331935</v>
      </c>
      <c r="R90" s="431">
        <v>825510</v>
      </c>
      <c r="S90" s="431">
        <v>0</v>
      </c>
      <c r="T90" s="431">
        <v>0</v>
      </c>
      <c r="U90" s="431">
        <v>0</v>
      </c>
      <c r="V90" s="431">
        <v>0</v>
      </c>
      <c r="W90" s="431">
        <v>55172</v>
      </c>
      <c r="X90" s="431">
        <v>248683</v>
      </c>
      <c r="Y90" s="431">
        <v>85366</v>
      </c>
      <c r="Z90" s="431">
        <v>2343796</v>
      </c>
      <c r="AA90" s="431">
        <v>0</v>
      </c>
      <c r="AB90" s="431">
        <v>-109065</v>
      </c>
      <c r="AC90" s="431">
        <v>842127</v>
      </c>
      <c r="AD90" s="431">
        <v>6187</v>
      </c>
      <c r="AE90" s="431">
        <v>1039998</v>
      </c>
      <c r="AF90" s="431">
        <v>4036</v>
      </c>
      <c r="AG90" s="431">
        <v>441715</v>
      </c>
      <c r="AH90" s="431">
        <v>248683</v>
      </c>
      <c r="AI90" s="431">
        <v>121611</v>
      </c>
      <c r="AJ90" s="431">
        <v>1305013</v>
      </c>
      <c r="AK90" s="431">
        <v>0</v>
      </c>
      <c r="AL90" s="431">
        <v>772027</v>
      </c>
      <c r="AM90" s="431"/>
    </row>
    <row r="91" spans="1:39" s="155" customFormat="1" ht="12" x14ac:dyDescent="0.2">
      <c r="A91" s="168">
        <v>37</v>
      </c>
      <c r="B91" s="170">
        <v>5755</v>
      </c>
      <c r="C91" s="190" t="s">
        <v>1024</v>
      </c>
      <c r="D91" s="432">
        <f t="shared" si="17"/>
        <v>3197666</v>
      </c>
      <c r="E91" s="431">
        <v>1019459</v>
      </c>
      <c r="F91" s="431">
        <v>182706</v>
      </c>
      <c r="G91" s="431">
        <v>272170</v>
      </c>
      <c r="H91" s="431">
        <v>0</v>
      </c>
      <c r="I91" s="431">
        <v>891448</v>
      </c>
      <c r="J91" s="431">
        <v>0</v>
      </c>
      <c r="K91" s="431">
        <v>720000</v>
      </c>
      <c r="L91" s="431">
        <v>0</v>
      </c>
      <c r="M91" s="431">
        <v>132785</v>
      </c>
      <c r="N91" s="431">
        <v>433974</v>
      </c>
      <c r="O91" s="431"/>
      <c r="P91" s="432">
        <f t="shared" si="16"/>
        <v>3187311</v>
      </c>
      <c r="Q91" s="431">
        <v>1222146</v>
      </c>
      <c r="R91" s="431">
        <v>1201503</v>
      </c>
      <c r="S91" s="431">
        <v>3879</v>
      </c>
      <c r="T91" s="431">
        <v>0</v>
      </c>
      <c r="U91" s="431">
        <v>0</v>
      </c>
      <c r="V91" s="431">
        <v>0</v>
      </c>
      <c r="W91" s="431">
        <v>306841</v>
      </c>
      <c r="X91" s="431">
        <v>90967</v>
      </c>
      <c r="Y91" s="431">
        <v>23090</v>
      </c>
      <c r="Z91" s="431">
        <v>330360</v>
      </c>
      <c r="AA91" s="431">
        <v>8525</v>
      </c>
      <c r="AB91" s="431">
        <v>0</v>
      </c>
      <c r="AC91" s="431">
        <v>683973</v>
      </c>
      <c r="AD91" s="431">
        <v>0</v>
      </c>
      <c r="AE91" s="431">
        <v>823613</v>
      </c>
      <c r="AF91" s="431">
        <v>0</v>
      </c>
      <c r="AG91" s="431">
        <v>387549</v>
      </c>
      <c r="AH91" s="431">
        <v>189020</v>
      </c>
      <c r="AI91" s="431">
        <v>524205</v>
      </c>
      <c r="AJ91" s="431">
        <v>0</v>
      </c>
      <c r="AK91" s="431">
        <v>0</v>
      </c>
      <c r="AL91" s="431">
        <v>443753</v>
      </c>
      <c r="AM91" s="431">
        <v>135198</v>
      </c>
    </row>
    <row r="92" spans="1:39" s="155" customFormat="1" ht="12" x14ac:dyDescent="0.2">
      <c r="A92" s="168">
        <v>38</v>
      </c>
      <c r="B92" s="170">
        <v>5826</v>
      </c>
      <c r="C92" s="190" t="s">
        <v>1025</v>
      </c>
      <c r="D92" s="432">
        <f t="shared" si="17"/>
        <v>2801421</v>
      </c>
      <c r="E92" s="431">
        <v>875255</v>
      </c>
      <c r="F92" s="431">
        <v>42716</v>
      </c>
      <c r="G92" s="431">
        <v>442050</v>
      </c>
      <c r="H92" s="431">
        <v>0</v>
      </c>
      <c r="I92" s="431">
        <v>461721</v>
      </c>
      <c r="J92" s="431">
        <v>0</v>
      </c>
      <c r="K92" s="431">
        <v>1056000</v>
      </c>
      <c r="L92" s="431">
        <v>0</v>
      </c>
      <c r="M92" s="431">
        <v>109877</v>
      </c>
      <c r="N92" s="431">
        <v>298568</v>
      </c>
      <c r="O92" s="431"/>
      <c r="P92" s="432">
        <f t="shared" si="16"/>
        <v>2592828</v>
      </c>
      <c r="Q92" s="431">
        <v>673121</v>
      </c>
      <c r="R92" s="431">
        <v>558781</v>
      </c>
      <c r="S92" s="431">
        <v>4400</v>
      </c>
      <c r="T92" s="431">
        <v>0</v>
      </c>
      <c r="U92" s="431">
        <v>0</v>
      </c>
      <c r="V92" s="431">
        <v>0</v>
      </c>
      <c r="W92" s="431">
        <v>679727</v>
      </c>
      <c r="X92" s="431">
        <v>49486</v>
      </c>
      <c r="Y92" s="431">
        <v>35000</v>
      </c>
      <c r="Z92" s="431">
        <v>598477</v>
      </c>
      <c r="AA92" s="431">
        <v>0</v>
      </c>
      <c r="AB92" s="431">
        <v>-6164</v>
      </c>
      <c r="AC92" s="431">
        <v>514880</v>
      </c>
      <c r="AD92" s="431">
        <v>0</v>
      </c>
      <c r="AE92" s="431">
        <v>405785</v>
      </c>
      <c r="AF92" s="431">
        <v>22489</v>
      </c>
      <c r="AG92" s="431">
        <v>46414</v>
      </c>
      <c r="AH92" s="431">
        <v>108289</v>
      </c>
      <c r="AI92" s="431">
        <v>51717</v>
      </c>
      <c r="AJ92" s="431">
        <v>0</v>
      </c>
      <c r="AK92" s="431">
        <v>0</v>
      </c>
      <c r="AL92" s="431">
        <v>1180400</v>
      </c>
      <c r="AM92" s="431">
        <v>262854</v>
      </c>
    </row>
    <row r="93" spans="1:39" s="155" customFormat="1" ht="12" x14ac:dyDescent="0.2">
      <c r="A93" s="168">
        <v>39</v>
      </c>
      <c r="B93" s="170">
        <v>6048</v>
      </c>
      <c r="C93" s="190" t="s">
        <v>1026</v>
      </c>
      <c r="D93" s="432">
        <f t="shared" si="17"/>
        <v>3735737</v>
      </c>
      <c r="E93" s="431">
        <v>886785</v>
      </c>
      <c r="F93" s="431">
        <v>119243</v>
      </c>
      <c r="G93" s="431">
        <v>289160</v>
      </c>
      <c r="H93" s="431">
        <v>0</v>
      </c>
      <c r="I93" s="431">
        <v>679616</v>
      </c>
      <c r="J93" s="431">
        <v>0</v>
      </c>
      <c r="K93" s="431">
        <v>775310</v>
      </c>
      <c r="L93" s="431">
        <v>0</v>
      </c>
      <c r="M93" s="431">
        <v>133058</v>
      </c>
      <c r="N93" s="431">
        <v>271945</v>
      </c>
      <c r="O93" s="431">
        <v>989023</v>
      </c>
      <c r="P93" s="432">
        <f t="shared" si="16"/>
        <v>3788951</v>
      </c>
      <c r="Q93" s="431">
        <v>1113282</v>
      </c>
      <c r="R93" s="431">
        <v>783288</v>
      </c>
      <c r="S93" s="431">
        <v>14716</v>
      </c>
      <c r="T93" s="431">
        <v>0</v>
      </c>
      <c r="U93" s="431">
        <v>0</v>
      </c>
      <c r="V93" s="431">
        <v>0</v>
      </c>
      <c r="W93" s="431">
        <v>31353</v>
      </c>
      <c r="X93" s="431">
        <v>126037</v>
      </c>
      <c r="Y93" s="431">
        <v>44421</v>
      </c>
      <c r="Z93" s="431">
        <v>1504093</v>
      </c>
      <c r="AA93" s="431">
        <v>207699</v>
      </c>
      <c r="AB93" s="431">
        <v>-35938</v>
      </c>
      <c r="AC93" s="431">
        <v>940509</v>
      </c>
      <c r="AD93" s="431">
        <v>0</v>
      </c>
      <c r="AE93" s="431">
        <v>675394</v>
      </c>
      <c r="AF93" s="431">
        <v>0</v>
      </c>
      <c r="AG93" s="431">
        <v>389229</v>
      </c>
      <c r="AH93" s="431">
        <v>126037</v>
      </c>
      <c r="AI93" s="431">
        <v>452352</v>
      </c>
      <c r="AJ93" s="431">
        <v>1048598</v>
      </c>
      <c r="AK93" s="431">
        <v>0</v>
      </c>
      <c r="AL93" s="431">
        <v>155042</v>
      </c>
      <c r="AM93" s="431">
        <v>1790</v>
      </c>
    </row>
    <row r="94" spans="1:39" s="155" customFormat="1" ht="12" x14ac:dyDescent="0.2">
      <c r="A94" s="168">
        <v>40</v>
      </c>
      <c r="B94" s="170">
        <v>6119</v>
      </c>
      <c r="C94" s="190" t="s">
        <v>1027</v>
      </c>
      <c r="D94" s="432">
        <f t="shared" si="17"/>
        <v>3248272</v>
      </c>
      <c r="E94" s="431">
        <v>800191</v>
      </c>
      <c r="F94" s="431">
        <v>75980</v>
      </c>
      <c r="G94" s="431">
        <v>423100</v>
      </c>
      <c r="H94" s="431">
        <v>0</v>
      </c>
      <c r="I94" s="431">
        <v>300330</v>
      </c>
      <c r="J94" s="431">
        <v>0</v>
      </c>
      <c r="K94" s="431">
        <v>995000</v>
      </c>
      <c r="L94" s="431">
        <v>0</v>
      </c>
      <c r="M94" s="431">
        <v>270810</v>
      </c>
      <c r="N94" s="431">
        <v>881941</v>
      </c>
      <c r="O94" s="431"/>
      <c r="P94" s="432">
        <f t="shared" si="16"/>
        <v>2529928</v>
      </c>
      <c r="Q94" s="431">
        <v>618642</v>
      </c>
      <c r="R94" s="431">
        <v>428942</v>
      </c>
      <c r="S94" s="431">
        <v>8384</v>
      </c>
      <c r="T94" s="431">
        <v>0</v>
      </c>
      <c r="U94" s="431">
        <v>0</v>
      </c>
      <c r="V94" s="431">
        <v>0</v>
      </c>
      <c r="W94" s="431">
        <v>713679</v>
      </c>
      <c r="X94" s="431">
        <v>14066</v>
      </c>
      <c r="Y94" s="431">
        <v>28500</v>
      </c>
      <c r="Z94" s="431">
        <v>226670</v>
      </c>
      <c r="AA94" s="431">
        <v>491189</v>
      </c>
      <c r="AB94" s="431">
        <v>-144</v>
      </c>
      <c r="AC94" s="431">
        <v>631817</v>
      </c>
      <c r="AD94" s="431">
        <v>74250</v>
      </c>
      <c r="AE94" s="431">
        <v>230546</v>
      </c>
      <c r="AF94" s="431">
        <v>0</v>
      </c>
      <c r="AG94" s="431">
        <v>96864</v>
      </c>
      <c r="AH94" s="431">
        <v>102125</v>
      </c>
      <c r="AI94" s="431">
        <v>574277</v>
      </c>
      <c r="AJ94" s="431">
        <v>0</v>
      </c>
      <c r="AK94" s="431">
        <v>0</v>
      </c>
      <c r="AL94" s="431">
        <v>85691</v>
      </c>
      <c r="AM94" s="431">
        <v>734358</v>
      </c>
    </row>
    <row r="95" spans="1:39" s="155" customFormat="1" ht="12" x14ac:dyDescent="0.2">
      <c r="A95" s="168">
        <v>41</v>
      </c>
      <c r="B95" s="170">
        <v>6164</v>
      </c>
      <c r="C95" s="243" t="s">
        <v>1028</v>
      </c>
      <c r="D95" s="432">
        <f t="shared" si="17"/>
        <v>2690967</v>
      </c>
      <c r="E95" s="431">
        <v>1125222</v>
      </c>
      <c r="F95" s="431">
        <v>86319</v>
      </c>
      <c r="G95" s="431">
        <v>404130</v>
      </c>
      <c r="H95" s="431">
        <v>0</v>
      </c>
      <c r="I95" s="431">
        <v>306785</v>
      </c>
      <c r="J95" s="431">
        <v>0</v>
      </c>
      <c r="K95" s="431">
        <v>971000</v>
      </c>
      <c r="L95" s="431">
        <v>0</v>
      </c>
      <c r="M95" s="431">
        <v>67943</v>
      </c>
      <c r="N95" s="431">
        <v>220017</v>
      </c>
      <c r="O95" s="431"/>
      <c r="P95" s="432">
        <f t="shared" si="16"/>
        <v>2094241</v>
      </c>
      <c r="Q95" s="431">
        <v>489879</v>
      </c>
      <c r="R95" s="431">
        <v>1028187</v>
      </c>
      <c r="S95" s="431">
        <v>0</v>
      </c>
      <c r="T95" s="431">
        <v>0</v>
      </c>
      <c r="U95" s="431">
        <v>0</v>
      </c>
      <c r="V95" s="431">
        <v>0</v>
      </c>
      <c r="W95" s="431">
        <v>303263</v>
      </c>
      <c r="X95" s="431">
        <v>48572</v>
      </c>
      <c r="Y95" s="431">
        <v>60537</v>
      </c>
      <c r="Z95" s="431">
        <v>163803</v>
      </c>
      <c r="AA95" s="431">
        <v>0</v>
      </c>
      <c r="AB95" s="431">
        <v>0</v>
      </c>
      <c r="AC95" s="431">
        <v>763612</v>
      </c>
      <c r="AD95" s="431">
        <v>0</v>
      </c>
      <c r="AE95" s="431">
        <v>368184</v>
      </c>
      <c r="AF95" s="431">
        <v>0</v>
      </c>
      <c r="AG95" s="431">
        <v>299549</v>
      </c>
      <c r="AH95" s="431">
        <v>68474</v>
      </c>
      <c r="AI95" s="431">
        <v>127014</v>
      </c>
      <c r="AJ95" s="431">
        <v>0</v>
      </c>
      <c r="AK95" s="431">
        <v>0</v>
      </c>
      <c r="AL95" s="431">
        <v>467408</v>
      </c>
      <c r="AM95" s="431"/>
    </row>
    <row r="96" spans="1:39" s="155" customFormat="1" ht="12" x14ac:dyDescent="0.2">
      <c r="A96" s="168">
        <v>42</v>
      </c>
      <c r="B96" s="170">
        <v>6217</v>
      </c>
      <c r="C96" s="243" t="s">
        <v>1029</v>
      </c>
      <c r="D96" s="432">
        <f t="shared" si="17"/>
        <v>5170887</v>
      </c>
      <c r="E96" s="431">
        <v>1620210</v>
      </c>
      <c r="F96" s="431">
        <v>328213</v>
      </c>
      <c r="G96" s="431">
        <v>476230</v>
      </c>
      <c r="H96" s="431">
        <v>0</v>
      </c>
      <c r="I96" s="431">
        <v>1801473</v>
      </c>
      <c r="J96" s="431">
        <v>0</v>
      </c>
      <c r="K96" s="431">
        <v>746000</v>
      </c>
      <c r="L96" s="431">
        <v>0</v>
      </c>
      <c r="M96" s="431">
        <v>621038</v>
      </c>
      <c r="N96" s="431">
        <v>382166</v>
      </c>
      <c r="O96" s="431"/>
      <c r="P96" s="432">
        <f t="shared" si="16"/>
        <v>5861289</v>
      </c>
      <c r="Q96" s="431">
        <v>2008809</v>
      </c>
      <c r="R96" s="431">
        <v>1907996</v>
      </c>
      <c r="S96" s="431">
        <v>0</v>
      </c>
      <c r="T96" s="431">
        <v>0</v>
      </c>
      <c r="U96" s="431">
        <v>0</v>
      </c>
      <c r="V96" s="431">
        <v>205534</v>
      </c>
      <c r="W96" s="431">
        <v>498449</v>
      </c>
      <c r="X96" s="431">
        <v>245627</v>
      </c>
      <c r="Y96" s="431">
        <v>72280</v>
      </c>
      <c r="Z96" s="431">
        <v>922594</v>
      </c>
      <c r="AA96" s="431">
        <v>0</v>
      </c>
      <c r="AB96" s="431">
        <v>0</v>
      </c>
      <c r="AC96" s="431">
        <v>1295920</v>
      </c>
      <c r="AD96" s="431">
        <v>0</v>
      </c>
      <c r="AE96" s="431">
        <v>1784418</v>
      </c>
      <c r="AF96" s="431">
        <v>15620</v>
      </c>
      <c r="AG96" s="431">
        <v>355351</v>
      </c>
      <c r="AH96" s="431">
        <v>268464</v>
      </c>
      <c r="AI96" s="431">
        <v>1023709</v>
      </c>
      <c r="AJ96" s="431">
        <v>0</v>
      </c>
      <c r="AK96" s="431">
        <v>0</v>
      </c>
      <c r="AL96" s="431">
        <v>906797</v>
      </c>
      <c r="AM96" s="431">
        <v>211010</v>
      </c>
    </row>
    <row r="97" spans="1:39" s="155" customFormat="1" ht="12" x14ac:dyDescent="0.2">
      <c r="A97" s="168">
        <v>43</v>
      </c>
      <c r="B97" s="170">
        <v>6271</v>
      </c>
      <c r="C97" s="243" t="s">
        <v>1030</v>
      </c>
      <c r="D97" s="432">
        <f t="shared" si="17"/>
        <v>3064019</v>
      </c>
      <c r="E97" s="431">
        <v>675699</v>
      </c>
      <c r="F97" s="431">
        <v>95276</v>
      </c>
      <c r="G97" s="431">
        <v>408210</v>
      </c>
      <c r="H97" s="431">
        <v>0</v>
      </c>
      <c r="I97" s="431">
        <v>1380972</v>
      </c>
      <c r="J97" s="431">
        <v>0</v>
      </c>
      <c r="K97" s="431">
        <v>998000</v>
      </c>
      <c r="L97" s="431">
        <v>0</v>
      </c>
      <c r="M97" s="431">
        <v>6348</v>
      </c>
      <c r="N97" s="431">
        <v>0</v>
      </c>
      <c r="O97" s="431">
        <v>3000</v>
      </c>
      <c r="P97" s="432">
        <f t="shared" si="16"/>
        <v>2719726</v>
      </c>
      <c r="Q97" s="431">
        <v>1693682</v>
      </c>
      <c r="R97" s="431">
        <v>397627</v>
      </c>
      <c r="S97" s="431">
        <v>0</v>
      </c>
      <c r="T97" s="431">
        <v>0</v>
      </c>
      <c r="U97" s="431">
        <v>0</v>
      </c>
      <c r="V97" s="431">
        <v>0</v>
      </c>
      <c r="W97" s="431">
        <v>0</v>
      </c>
      <c r="X97" s="431">
        <v>95737</v>
      </c>
      <c r="Y97" s="431">
        <v>21995</v>
      </c>
      <c r="Z97" s="431">
        <v>510685</v>
      </c>
      <c r="AA97" s="431">
        <v>0</v>
      </c>
      <c r="AB97" s="431">
        <v>0</v>
      </c>
      <c r="AC97" s="431">
        <v>551337</v>
      </c>
      <c r="AD97" s="431">
        <v>0</v>
      </c>
      <c r="AE97" s="431">
        <v>982613</v>
      </c>
      <c r="AF97" s="431">
        <v>0</v>
      </c>
      <c r="AG97" s="431">
        <v>192212</v>
      </c>
      <c r="AH97" s="431">
        <v>560585</v>
      </c>
      <c r="AI97" s="431">
        <v>360341</v>
      </c>
      <c r="AJ97" s="431">
        <v>22761</v>
      </c>
      <c r="AK97" s="431">
        <v>0</v>
      </c>
      <c r="AL97" s="431">
        <v>22218</v>
      </c>
      <c r="AM97" s="431">
        <v>27659</v>
      </c>
    </row>
    <row r="98" spans="1:39" s="155" customFormat="1" ht="12" x14ac:dyDescent="0.2">
      <c r="A98" s="168">
        <v>44</v>
      </c>
      <c r="B98" s="170">
        <v>6397</v>
      </c>
      <c r="C98" s="243" t="s">
        <v>1031</v>
      </c>
      <c r="D98" s="432">
        <f t="shared" si="17"/>
        <v>2306282</v>
      </c>
      <c r="E98" s="431">
        <v>563190</v>
      </c>
      <c r="F98" s="431">
        <v>28816</v>
      </c>
      <c r="G98" s="431">
        <v>344040</v>
      </c>
      <c r="H98" s="431">
        <v>0</v>
      </c>
      <c r="I98" s="431">
        <v>286736</v>
      </c>
      <c r="J98" s="431">
        <v>0</v>
      </c>
      <c r="K98" s="431">
        <v>837000</v>
      </c>
      <c r="L98" s="431">
        <v>0</v>
      </c>
      <c r="M98" s="431">
        <v>207976</v>
      </c>
      <c r="N98" s="431">
        <v>411380</v>
      </c>
      <c r="O98" s="431"/>
      <c r="P98" s="432">
        <f t="shared" si="16"/>
        <v>1917509</v>
      </c>
      <c r="Q98" s="431">
        <v>562528</v>
      </c>
      <c r="R98" s="431">
        <v>403963</v>
      </c>
      <c r="S98" s="431">
        <v>0</v>
      </c>
      <c r="T98" s="431">
        <v>0</v>
      </c>
      <c r="U98" s="431">
        <v>0</v>
      </c>
      <c r="V98" s="431">
        <v>0</v>
      </c>
      <c r="W98" s="431">
        <v>494226</v>
      </c>
      <c r="X98" s="431">
        <v>41237</v>
      </c>
      <c r="Y98" s="431">
        <v>38000</v>
      </c>
      <c r="Z98" s="431">
        <v>380343</v>
      </c>
      <c r="AA98" s="431">
        <v>0</v>
      </c>
      <c r="AB98" s="431">
        <v>-2788</v>
      </c>
      <c r="AC98" s="431">
        <v>479358</v>
      </c>
      <c r="AD98" s="431">
        <v>0</v>
      </c>
      <c r="AE98" s="431">
        <v>374502</v>
      </c>
      <c r="AF98" s="431">
        <v>164081</v>
      </c>
      <c r="AG98" s="431">
        <v>55129</v>
      </c>
      <c r="AH98" s="431">
        <v>85832</v>
      </c>
      <c r="AI98" s="431">
        <v>7231</v>
      </c>
      <c r="AJ98" s="431">
        <v>0</v>
      </c>
      <c r="AK98" s="431">
        <v>0</v>
      </c>
      <c r="AL98" s="431">
        <v>705896</v>
      </c>
      <c r="AM98" s="431">
        <v>45480</v>
      </c>
    </row>
    <row r="99" spans="1:39" s="155" customFormat="1" ht="12" x14ac:dyDescent="0.2">
      <c r="A99" s="168">
        <v>45</v>
      </c>
      <c r="B99" s="170">
        <v>6468</v>
      </c>
      <c r="C99" s="243" t="s">
        <v>1032</v>
      </c>
      <c r="D99" s="432">
        <f t="shared" si="17"/>
        <v>3241495</v>
      </c>
      <c r="E99" s="431">
        <v>655319</v>
      </c>
      <c r="F99" s="431">
        <v>81737</v>
      </c>
      <c r="G99" s="431">
        <v>370050</v>
      </c>
      <c r="H99" s="431">
        <v>0</v>
      </c>
      <c r="I99" s="431">
        <v>719425</v>
      </c>
      <c r="J99" s="431">
        <v>0</v>
      </c>
      <c r="K99" s="431">
        <v>896000</v>
      </c>
      <c r="L99" s="431">
        <v>0</v>
      </c>
      <c r="M99" s="431">
        <v>214599</v>
      </c>
      <c r="N99" s="431">
        <v>756152</v>
      </c>
      <c r="O99" s="431"/>
      <c r="P99" s="432">
        <f t="shared" si="16"/>
        <v>2918838</v>
      </c>
      <c r="Q99" s="431">
        <v>966180</v>
      </c>
      <c r="R99" s="431">
        <v>414444</v>
      </c>
      <c r="S99" s="431">
        <v>5071</v>
      </c>
      <c r="T99" s="431">
        <v>0</v>
      </c>
      <c r="U99" s="431">
        <v>0</v>
      </c>
      <c r="V99" s="431">
        <v>0</v>
      </c>
      <c r="W99" s="431">
        <v>776317</v>
      </c>
      <c r="X99" s="431">
        <v>56614</v>
      </c>
      <c r="Y99" s="431">
        <v>55850</v>
      </c>
      <c r="Z99" s="431">
        <v>320540</v>
      </c>
      <c r="AA99" s="431">
        <v>323822</v>
      </c>
      <c r="AB99" s="431">
        <v>0</v>
      </c>
      <c r="AC99" s="431">
        <v>617261</v>
      </c>
      <c r="AD99" s="431">
        <v>2141</v>
      </c>
      <c r="AE99" s="431">
        <v>613279</v>
      </c>
      <c r="AF99" s="431">
        <v>3216</v>
      </c>
      <c r="AG99" s="431">
        <v>216733</v>
      </c>
      <c r="AH99" s="431">
        <v>191812</v>
      </c>
      <c r="AI99" s="431">
        <v>515796</v>
      </c>
      <c r="AJ99" s="431">
        <v>7160</v>
      </c>
      <c r="AK99" s="431">
        <v>0</v>
      </c>
      <c r="AL99" s="431">
        <v>741440</v>
      </c>
      <c r="AM99" s="431">
        <v>10000</v>
      </c>
    </row>
    <row r="100" spans="1:39" s="155" customFormat="1" ht="12" x14ac:dyDescent="0.2">
      <c r="A100" s="168">
        <v>46</v>
      </c>
      <c r="B100" s="170">
        <v>6547</v>
      </c>
      <c r="C100" s="243" t="s">
        <v>1033</v>
      </c>
      <c r="D100" s="432">
        <f t="shared" si="17"/>
        <v>3893068</v>
      </c>
      <c r="E100" s="431">
        <v>851307</v>
      </c>
      <c r="F100" s="431">
        <v>166005</v>
      </c>
      <c r="G100" s="431">
        <v>355130</v>
      </c>
      <c r="H100" s="431">
        <v>0</v>
      </c>
      <c r="I100" s="431">
        <v>689151</v>
      </c>
      <c r="J100" s="431">
        <v>950000</v>
      </c>
      <c r="K100" s="431">
        <v>791000</v>
      </c>
      <c r="L100" s="431">
        <v>0</v>
      </c>
      <c r="M100" s="431">
        <v>138360</v>
      </c>
      <c r="N100" s="431">
        <v>457760</v>
      </c>
      <c r="O100" s="431">
        <v>15490</v>
      </c>
      <c r="P100" s="432">
        <f t="shared" si="16"/>
        <v>3835751</v>
      </c>
      <c r="Q100" s="431">
        <v>986148</v>
      </c>
      <c r="R100" s="431">
        <v>494247</v>
      </c>
      <c r="S100" s="431">
        <v>1298</v>
      </c>
      <c r="T100" s="431">
        <v>0</v>
      </c>
      <c r="U100" s="431">
        <v>0</v>
      </c>
      <c r="V100" s="431">
        <v>0</v>
      </c>
      <c r="W100" s="431">
        <v>551177</v>
      </c>
      <c r="X100" s="431">
        <v>29576</v>
      </c>
      <c r="Y100" s="431">
        <v>21640</v>
      </c>
      <c r="Z100" s="431">
        <v>1658669</v>
      </c>
      <c r="AA100" s="431">
        <v>100674</v>
      </c>
      <c r="AB100" s="431">
        <v>-7678</v>
      </c>
      <c r="AC100" s="431">
        <v>575146</v>
      </c>
      <c r="AD100" s="431">
        <v>651</v>
      </c>
      <c r="AE100" s="431">
        <v>675120</v>
      </c>
      <c r="AF100" s="431">
        <v>0</v>
      </c>
      <c r="AG100" s="431">
        <v>251261</v>
      </c>
      <c r="AH100" s="431">
        <v>65862</v>
      </c>
      <c r="AI100" s="431">
        <v>90107</v>
      </c>
      <c r="AJ100" s="431">
        <v>0</v>
      </c>
      <c r="AK100" s="431">
        <v>0</v>
      </c>
      <c r="AL100" s="431">
        <v>2161979</v>
      </c>
      <c r="AM100" s="431">
        <v>15625</v>
      </c>
    </row>
    <row r="101" spans="1:39" s="155" customFormat="1" ht="12" x14ac:dyDescent="0.2">
      <c r="A101" s="168">
        <v>47</v>
      </c>
      <c r="B101" s="170">
        <v>6592</v>
      </c>
      <c r="C101" s="243" t="s">
        <v>1034</v>
      </c>
      <c r="D101" s="432">
        <f t="shared" si="17"/>
        <v>2276443</v>
      </c>
      <c r="E101" s="431">
        <v>890917</v>
      </c>
      <c r="F101" s="431">
        <v>87768</v>
      </c>
      <c r="G101" s="431">
        <v>358050</v>
      </c>
      <c r="H101" s="431">
        <v>0</v>
      </c>
      <c r="I101" s="431">
        <v>512531</v>
      </c>
      <c r="J101" s="431">
        <v>0</v>
      </c>
      <c r="K101" s="431">
        <v>864000</v>
      </c>
      <c r="L101" s="431">
        <v>0</v>
      </c>
      <c r="M101" s="431">
        <v>8995</v>
      </c>
      <c r="N101" s="431">
        <v>0</v>
      </c>
      <c r="O101" s="431"/>
      <c r="P101" s="432">
        <f t="shared" si="16"/>
        <v>2225886</v>
      </c>
      <c r="Q101" s="431">
        <v>769805</v>
      </c>
      <c r="R101" s="431">
        <v>841453</v>
      </c>
      <c r="S101" s="431">
        <v>0</v>
      </c>
      <c r="T101" s="431">
        <v>0</v>
      </c>
      <c r="U101" s="431">
        <v>0</v>
      </c>
      <c r="V101" s="431">
        <v>0</v>
      </c>
      <c r="W101" s="431">
        <v>0</v>
      </c>
      <c r="X101" s="431">
        <v>40387</v>
      </c>
      <c r="Y101" s="431">
        <v>124000</v>
      </c>
      <c r="Z101" s="431">
        <v>450241</v>
      </c>
      <c r="AA101" s="431">
        <v>0</v>
      </c>
      <c r="AB101" s="431">
        <v>0</v>
      </c>
      <c r="AC101" s="431">
        <v>555541</v>
      </c>
      <c r="AD101" s="431">
        <v>0</v>
      </c>
      <c r="AE101" s="431">
        <v>694874</v>
      </c>
      <c r="AF101" s="431">
        <v>0</v>
      </c>
      <c r="AG101" s="431">
        <v>507256</v>
      </c>
      <c r="AH101" s="431">
        <v>93674</v>
      </c>
      <c r="AI101" s="431">
        <v>42010</v>
      </c>
      <c r="AJ101" s="431">
        <v>0</v>
      </c>
      <c r="AK101" s="431">
        <v>0</v>
      </c>
      <c r="AL101" s="431">
        <v>332531</v>
      </c>
      <c r="AM101" s="431"/>
    </row>
    <row r="102" spans="1:39" s="155" customFormat="1" ht="12" x14ac:dyDescent="0.2">
      <c r="A102" s="168">
        <v>48</v>
      </c>
      <c r="B102" s="170">
        <v>6627</v>
      </c>
      <c r="C102" s="243" t="s">
        <v>1035</v>
      </c>
      <c r="D102" s="432">
        <f t="shared" si="17"/>
        <v>2343235</v>
      </c>
      <c r="E102" s="431">
        <v>660597</v>
      </c>
      <c r="F102" s="431">
        <v>99752</v>
      </c>
      <c r="G102" s="431">
        <v>433120</v>
      </c>
      <c r="H102" s="431">
        <v>0</v>
      </c>
      <c r="I102" s="431">
        <v>425000</v>
      </c>
      <c r="J102" s="431">
        <v>0</v>
      </c>
      <c r="K102" s="431">
        <v>1020000</v>
      </c>
      <c r="L102" s="431">
        <v>0</v>
      </c>
      <c r="M102" s="431">
        <v>28102</v>
      </c>
      <c r="N102" s="431">
        <v>209536</v>
      </c>
      <c r="O102" s="431"/>
      <c r="P102" s="432">
        <f t="shared" si="16"/>
        <v>2451707</v>
      </c>
      <c r="Q102" s="431">
        <v>646174</v>
      </c>
      <c r="R102" s="431">
        <v>748071</v>
      </c>
      <c r="S102" s="431">
        <v>0</v>
      </c>
      <c r="T102" s="431">
        <v>0</v>
      </c>
      <c r="U102" s="431">
        <v>0</v>
      </c>
      <c r="V102" s="431">
        <v>0</v>
      </c>
      <c r="W102" s="431">
        <v>376346</v>
      </c>
      <c r="X102" s="431">
        <v>79058</v>
      </c>
      <c r="Y102" s="431">
        <v>68894</v>
      </c>
      <c r="Z102" s="431">
        <v>533176</v>
      </c>
      <c r="AA102" s="431">
        <v>0</v>
      </c>
      <c r="AB102" s="431">
        <v>-12</v>
      </c>
      <c r="AC102" s="431">
        <v>922978</v>
      </c>
      <c r="AD102" s="431">
        <v>0</v>
      </c>
      <c r="AE102" s="431">
        <v>352305</v>
      </c>
      <c r="AF102" s="431">
        <v>0</v>
      </c>
      <c r="AG102" s="431">
        <v>36258</v>
      </c>
      <c r="AH102" s="431">
        <v>166057</v>
      </c>
      <c r="AI102" s="431">
        <v>230328</v>
      </c>
      <c r="AJ102" s="431">
        <v>0</v>
      </c>
      <c r="AK102" s="431">
        <v>0</v>
      </c>
      <c r="AL102" s="431">
        <v>682185</v>
      </c>
      <c r="AM102" s="431">
        <v>61596</v>
      </c>
    </row>
    <row r="103" spans="1:39" s="155" customFormat="1" ht="12" x14ac:dyDescent="0.2">
      <c r="A103" s="168">
        <v>49</v>
      </c>
      <c r="B103" s="170">
        <v>6761</v>
      </c>
      <c r="C103" s="243" t="s">
        <v>1036</v>
      </c>
      <c r="D103" s="432">
        <f t="shared" si="17"/>
        <v>4646393</v>
      </c>
      <c r="E103" s="431">
        <v>2837590</v>
      </c>
      <c r="F103" s="431">
        <v>942550</v>
      </c>
      <c r="G103" s="431">
        <v>55350</v>
      </c>
      <c r="H103" s="431">
        <v>0</v>
      </c>
      <c r="I103" s="431">
        <v>1529455</v>
      </c>
      <c r="J103" s="431">
        <v>0</v>
      </c>
      <c r="K103" s="431">
        <v>187000</v>
      </c>
      <c r="L103" s="431">
        <v>0</v>
      </c>
      <c r="M103" s="431">
        <v>34848</v>
      </c>
      <c r="N103" s="431">
        <v>0</v>
      </c>
      <c r="O103" s="431">
        <v>57500</v>
      </c>
      <c r="P103" s="432">
        <f t="shared" si="16"/>
        <v>3350475</v>
      </c>
      <c r="Q103" s="431">
        <v>1890392</v>
      </c>
      <c r="R103" s="431">
        <v>1082096</v>
      </c>
      <c r="S103" s="431">
        <v>0</v>
      </c>
      <c r="T103" s="431">
        <v>0</v>
      </c>
      <c r="U103" s="431">
        <v>0</v>
      </c>
      <c r="V103" s="431">
        <v>0</v>
      </c>
      <c r="W103" s="431">
        <v>0</v>
      </c>
      <c r="X103" s="431">
        <v>247468</v>
      </c>
      <c r="Y103" s="431">
        <v>47000</v>
      </c>
      <c r="Z103" s="431">
        <v>85193</v>
      </c>
      <c r="AA103" s="431">
        <v>0</v>
      </c>
      <c r="AB103" s="431">
        <v>-1674</v>
      </c>
      <c r="AC103" s="431">
        <v>815112</v>
      </c>
      <c r="AD103" s="431">
        <v>2866</v>
      </c>
      <c r="AE103" s="431">
        <v>1248649</v>
      </c>
      <c r="AF103" s="431">
        <v>16402</v>
      </c>
      <c r="AG103" s="431">
        <v>167819</v>
      </c>
      <c r="AH103" s="431">
        <v>463942</v>
      </c>
      <c r="AI103" s="431">
        <v>306659</v>
      </c>
      <c r="AJ103" s="431">
        <v>25516</v>
      </c>
      <c r="AK103" s="431">
        <v>0</v>
      </c>
      <c r="AL103" s="431">
        <v>291510</v>
      </c>
      <c r="AM103" s="431">
        <v>12000</v>
      </c>
    </row>
    <row r="104" spans="1:39" s="155" customFormat="1" ht="12" x14ac:dyDescent="0.2">
      <c r="A104" s="168">
        <v>50</v>
      </c>
      <c r="B104" s="170">
        <v>6930</v>
      </c>
      <c r="C104" s="243" t="s">
        <v>1037</v>
      </c>
      <c r="D104" s="432">
        <f t="shared" si="17"/>
        <v>3740270</v>
      </c>
      <c r="E104" s="431">
        <v>848047</v>
      </c>
      <c r="F104" s="431">
        <v>76005</v>
      </c>
      <c r="G104" s="431">
        <v>341230</v>
      </c>
      <c r="H104" s="431">
        <v>0</v>
      </c>
      <c r="I104" s="431">
        <v>941454</v>
      </c>
      <c r="J104" s="431">
        <v>0</v>
      </c>
      <c r="K104" s="431">
        <v>898000</v>
      </c>
      <c r="L104" s="431">
        <v>0</v>
      </c>
      <c r="M104" s="431">
        <v>823355</v>
      </c>
      <c r="N104" s="431">
        <v>229414</v>
      </c>
      <c r="O104" s="431"/>
      <c r="P104" s="432">
        <f t="shared" si="16"/>
        <v>3454698</v>
      </c>
      <c r="Q104" s="431">
        <v>1046405</v>
      </c>
      <c r="R104" s="431">
        <v>1241034</v>
      </c>
      <c r="S104" s="431">
        <v>0</v>
      </c>
      <c r="T104" s="431">
        <v>0</v>
      </c>
      <c r="U104" s="431">
        <v>0</v>
      </c>
      <c r="V104" s="431">
        <v>0</v>
      </c>
      <c r="W104" s="431">
        <v>0</v>
      </c>
      <c r="X104" s="431">
        <v>173807</v>
      </c>
      <c r="Y104" s="431">
        <v>20000</v>
      </c>
      <c r="Z104" s="431">
        <v>1113241</v>
      </c>
      <c r="AA104" s="431">
        <v>0</v>
      </c>
      <c r="AB104" s="431">
        <v>-139789</v>
      </c>
      <c r="AC104" s="431">
        <v>539290</v>
      </c>
      <c r="AD104" s="431">
        <v>1240</v>
      </c>
      <c r="AE104" s="431">
        <v>974903</v>
      </c>
      <c r="AF104" s="431">
        <v>25071</v>
      </c>
      <c r="AG104" s="431">
        <v>49753</v>
      </c>
      <c r="AH104" s="431">
        <v>173807</v>
      </c>
      <c r="AI104" s="431">
        <v>237457</v>
      </c>
      <c r="AJ104" s="431">
        <v>700000</v>
      </c>
      <c r="AK104" s="431">
        <v>0</v>
      </c>
      <c r="AL104" s="431">
        <v>753177</v>
      </c>
      <c r="AM104" s="431"/>
    </row>
    <row r="105" spans="1:39" s="155" customFormat="1" ht="12" x14ac:dyDescent="0.2">
      <c r="A105" s="168">
        <v>51</v>
      </c>
      <c r="B105" s="170">
        <v>6976</v>
      </c>
      <c r="C105" s="243" t="s">
        <v>1038</v>
      </c>
      <c r="D105" s="432">
        <f t="shared" si="17"/>
        <v>3914658</v>
      </c>
      <c r="E105" s="431">
        <v>987055</v>
      </c>
      <c r="F105" s="431">
        <v>140122</v>
      </c>
      <c r="G105" s="431">
        <v>238100</v>
      </c>
      <c r="H105" s="431">
        <v>0</v>
      </c>
      <c r="I105" s="431">
        <v>876409</v>
      </c>
      <c r="J105" s="431">
        <v>0</v>
      </c>
      <c r="K105" s="431">
        <v>673000</v>
      </c>
      <c r="L105" s="431">
        <v>0</v>
      </c>
      <c r="M105" s="431">
        <v>522346</v>
      </c>
      <c r="N105" s="431">
        <v>855848</v>
      </c>
      <c r="O105" s="431"/>
      <c r="P105" s="432">
        <f t="shared" si="16"/>
        <v>4183656</v>
      </c>
      <c r="Q105" s="431">
        <v>1219065</v>
      </c>
      <c r="R105" s="431">
        <v>709686</v>
      </c>
      <c r="S105" s="431">
        <v>0</v>
      </c>
      <c r="T105" s="431">
        <v>0</v>
      </c>
      <c r="U105" s="431">
        <v>0</v>
      </c>
      <c r="V105" s="431">
        <v>0</v>
      </c>
      <c r="W105" s="431">
        <v>2107001</v>
      </c>
      <c r="X105" s="431">
        <v>105571</v>
      </c>
      <c r="Y105" s="431">
        <v>3481</v>
      </c>
      <c r="Z105" s="431">
        <v>38852</v>
      </c>
      <c r="AA105" s="431">
        <v>0</v>
      </c>
      <c r="AB105" s="431">
        <v>0</v>
      </c>
      <c r="AC105" s="431">
        <v>604647</v>
      </c>
      <c r="AD105" s="431">
        <v>716609</v>
      </c>
      <c r="AE105" s="431">
        <v>689333</v>
      </c>
      <c r="AF105" s="431">
        <v>2924</v>
      </c>
      <c r="AG105" s="431">
        <v>107669</v>
      </c>
      <c r="AH105" s="431">
        <v>305424</v>
      </c>
      <c r="AI105" s="431">
        <v>62987</v>
      </c>
      <c r="AJ105" s="431">
        <v>10140</v>
      </c>
      <c r="AK105" s="431">
        <v>0</v>
      </c>
      <c r="AL105" s="431">
        <v>1428624</v>
      </c>
      <c r="AM105" s="431">
        <v>255299</v>
      </c>
    </row>
    <row r="106" spans="1:39" s="155" customFormat="1" ht="12" x14ac:dyDescent="0.2">
      <c r="A106" s="168">
        <v>52</v>
      </c>
      <c r="B106" s="170">
        <v>7044</v>
      </c>
      <c r="C106" s="243" t="s">
        <v>1039</v>
      </c>
      <c r="D106" s="432">
        <f t="shared" si="17"/>
        <v>5139104</v>
      </c>
      <c r="E106" s="431">
        <v>847402</v>
      </c>
      <c r="F106" s="431">
        <v>94056</v>
      </c>
      <c r="G106" s="431">
        <v>369170</v>
      </c>
      <c r="H106" s="431">
        <v>0</v>
      </c>
      <c r="I106" s="431">
        <v>1242498</v>
      </c>
      <c r="J106" s="431">
        <v>0</v>
      </c>
      <c r="K106" s="431">
        <v>993000</v>
      </c>
      <c r="L106" s="431">
        <v>0</v>
      </c>
      <c r="M106" s="431">
        <v>1267124</v>
      </c>
      <c r="N106" s="431">
        <v>789080</v>
      </c>
      <c r="O106" s="431"/>
      <c r="P106" s="432">
        <f t="shared" si="16"/>
        <v>4894921</v>
      </c>
      <c r="Q106" s="431">
        <v>1482874</v>
      </c>
      <c r="R106" s="431">
        <v>753829</v>
      </c>
      <c r="S106" s="431">
        <v>32860</v>
      </c>
      <c r="T106" s="431">
        <v>0</v>
      </c>
      <c r="U106" s="431">
        <v>0</v>
      </c>
      <c r="V106" s="431">
        <v>0</v>
      </c>
      <c r="W106" s="431">
        <v>664358</v>
      </c>
      <c r="X106" s="431">
        <v>146227</v>
      </c>
      <c r="Y106" s="431">
        <v>34930</v>
      </c>
      <c r="Z106" s="431">
        <v>989885</v>
      </c>
      <c r="AA106" s="431">
        <v>860164</v>
      </c>
      <c r="AB106" s="431">
        <v>-70206</v>
      </c>
      <c r="AC106" s="431">
        <v>716112</v>
      </c>
      <c r="AD106" s="431">
        <v>42354</v>
      </c>
      <c r="AE106" s="431">
        <v>1235773</v>
      </c>
      <c r="AF106" s="431">
        <v>13080</v>
      </c>
      <c r="AG106" s="431">
        <v>645220</v>
      </c>
      <c r="AH106" s="431">
        <v>435170</v>
      </c>
      <c r="AI106" s="431">
        <v>162419</v>
      </c>
      <c r="AJ106" s="431">
        <v>890563</v>
      </c>
      <c r="AK106" s="431">
        <v>0</v>
      </c>
      <c r="AL106" s="431">
        <v>712203</v>
      </c>
      <c r="AM106" s="431">
        <v>42027</v>
      </c>
    </row>
    <row r="107" spans="1:39" s="155" customFormat="1" ht="12" x14ac:dyDescent="0.2">
      <c r="A107" s="168">
        <v>53</v>
      </c>
      <c r="B107" s="170">
        <v>7099</v>
      </c>
      <c r="C107" s="243" t="s">
        <v>1040</v>
      </c>
      <c r="D107" s="432">
        <f t="shared" si="17"/>
        <v>9673901</v>
      </c>
      <c r="E107" s="431">
        <v>3202280</v>
      </c>
      <c r="F107" s="431">
        <v>929998</v>
      </c>
      <c r="G107" s="431">
        <v>1247300</v>
      </c>
      <c r="H107" s="431">
        <v>0</v>
      </c>
      <c r="I107" s="431">
        <v>3680218</v>
      </c>
      <c r="J107" s="431">
        <v>0</v>
      </c>
      <c r="K107" s="431">
        <v>693000</v>
      </c>
      <c r="L107" s="431">
        <v>0</v>
      </c>
      <c r="M107" s="431">
        <v>1579858</v>
      </c>
      <c r="N107" s="431">
        <v>518545</v>
      </c>
      <c r="O107" s="431"/>
      <c r="P107" s="432">
        <f t="shared" si="16"/>
        <v>7549043</v>
      </c>
      <c r="Q107" s="431">
        <v>3766764</v>
      </c>
      <c r="R107" s="431">
        <v>1253632</v>
      </c>
      <c r="S107" s="431">
        <v>0</v>
      </c>
      <c r="T107" s="431">
        <v>0</v>
      </c>
      <c r="U107" s="431">
        <v>0</v>
      </c>
      <c r="V107" s="431">
        <v>0</v>
      </c>
      <c r="W107" s="431">
        <v>479721</v>
      </c>
      <c r="X107" s="431">
        <v>275848</v>
      </c>
      <c r="Y107" s="431">
        <v>123658</v>
      </c>
      <c r="Z107" s="431">
        <v>1651203</v>
      </c>
      <c r="AA107" s="431">
        <v>0</v>
      </c>
      <c r="AB107" s="431">
        <v>-1783</v>
      </c>
      <c r="AC107" s="431">
        <v>744634</v>
      </c>
      <c r="AD107" s="431">
        <v>360394</v>
      </c>
      <c r="AE107" s="431">
        <v>3470403</v>
      </c>
      <c r="AF107" s="431">
        <v>31478</v>
      </c>
      <c r="AG107" s="431">
        <v>286409</v>
      </c>
      <c r="AH107" s="431">
        <v>689551</v>
      </c>
      <c r="AI107" s="431">
        <v>320449</v>
      </c>
      <c r="AJ107" s="431">
        <v>1423073</v>
      </c>
      <c r="AK107" s="431">
        <v>0</v>
      </c>
      <c r="AL107" s="431">
        <v>222652</v>
      </c>
      <c r="AM107" s="431"/>
    </row>
    <row r="108" spans="1:39" s="155" customFormat="1" ht="12" x14ac:dyDescent="0.2">
      <c r="A108" s="168">
        <v>54</v>
      </c>
      <c r="B108" s="170">
        <v>7197</v>
      </c>
      <c r="C108" s="243" t="s">
        <v>1041</v>
      </c>
      <c r="D108" s="432">
        <f t="shared" si="17"/>
        <v>5468213</v>
      </c>
      <c r="E108" s="431">
        <v>674163</v>
      </c>
      <c r="F108" s="431">
        <v>119460</v>
      </c>
      <c r="G108" s="431">
        <v>256300</v>
      </c>
      <c r="H108" s="431">
        <v>0</v>
      </c>
      <c r="I108" s="431">
        <v>1317454</v>
      </c>
      <c r="J108" s="431">
        <v>0</v>
      </c>
      <c r="K108" s="431">
        <v>728000</v>
      </c>
      <c r="L108" s="431">
        <v>0</v>
      </c>
      <c r="M108" s="431">
        <v>844819</v>
      </c>
      <c r="N108" s="431">
        <v>1903777</v>
      </c>
      <c r="O108" s="431"/>
      <c r="P108" s="432">
        <f t="shared" si="16"/>
        <v>4057885</v>
      </c>
      <c r="Q108" s="431">
        <v>1565354</v>
      </c>
      <c r="R108" s="431">
        <v>830397</v>
      </c>
      <c r="S108" s="431">
        <v>54644</v>
      </c>
      <c r="T108" s="431">
        <v>0</v>
      </c>
      <c r="U108" s="431">
        <v>0</v>
      </c>
      <c r="V108" s="431">
        <v>0</v>
      </c>
      <c r="W108" s="431">
        <v>808912</v>
      </c>
      <c r="X108" s="431">
        <v>164529</v>
      </c>
      <c r="Y108" s="431">
        <v>32837</v>
      </c>
      <c r="Z108" s="431">
        <v>348407</v>
      </c>
      <c r="AA108" s="431">
        <v>258168</v>
      </c>
      <c r="AB108" s="431">
        <v>-5363</v>
      </c>
      <c r="AC108" s="431">
        <v>839314</v>
      </c>
      <c r="AD108" s="431">
        <v>2800</v>
      </c>
      <c r="AE108" s="431">
        <v>1261667</v>
      </c>
      <c r="AF108" s="431">
        <v>23255</v>
      </c>
      <c r="AG108" s="431">
        <v>42283</v>
      </c>
      <c r="AH108" s="431">
        <v>377002</v>
      </c>
      <c r="AI108" s="431">
        <v>79314</v>
      </c>
      <c r="AJ108" s="431">
        <v>69990</v>
      </c>
      <c r="AK108" s="431">
        <v>0</v>
      </c>
      <c r="AL108" s="431">
        <v>1360471</v>
      </c>
      <c r="AM108" s="431">
        <v>1789</v>
      </c>
    </row>
    <row r="109" spans="1:39" s="155" customFormat="1" ht="12" x14ac:dyDescent="0.2">
      <c r="A109" s="168">
        <v>55</v>
      </c>
      <c r="B109" s="170">
        <v>7348</v>
      </c>
      <c r="C109" s="243" t="s">
        <v>1042</v>
      </c>
      <c r="D109" s="432">
        <f t="shared" si="17"/>
        <v>5012603</v>
      </c>
      <c r="E109" s="431">
        <v>1217074</v>
      </c>
      <c r="F109" s="431">
        <v>115018</v>
      </c>
      <c r="G109" s="431">
        <v>292180</v>
      </c>
      <c r="H109" s="431">
        <v>0</v>
      </c>
      <c r="I109" s="431">
        <v>1347882</v>
      </c>
      <c r="J109" s="431">
        <v>0</v>
      </c>
      <c r="K109" s="431">
        <v>781000</v>
      </c>
      <c r="L109" s="431">
        <v>0</v>
      </c>
      <c r="M109" s="431">
        <v>1363664</v>
      </c>
      <c r="N109" s="431">
        <v>257448</v>
      </c>
      <c r="O109" s="431">
        <v>45535</v>
      </c>
      <c r="P109" s="432">
        <f t="shared" si="16"/>
        <v>5262704</v>
      </c>
      <c r="Q109" s="431">
        <v>1649880</v>
      </c>
      <c r="R109" s="431">
        <v>650202</v>
      </c>
      <c r="S109" s="431">
        <v>0</v>
      </c>
      <c r="T109" s="431">
        <v>0</v>
      </c>
      <c r="U109" s="431">
        <v>0</v>
      </c>
      <c r="V109" s="431">
        <v>0</v>
      </c>
      <c r="W109" s="431">
        <v>352079</v>
      </c>
      <c r="X109" s="431">
        <v>109412</v>
      </c>
      <c r="Y109" s="431">
        <v>57154</v>
      </c>
      <c r="Z109" s="431">
        <v>2443977</v>
      </c>
      <c r="AA109" s="431">
        <v>0</v>
      </c>
      <c r="AB109" s="431">
        <v>0</v>
      </c>
      <c r="AC109" s="431">
        <v>681072</v>
      </c>
      <c r="AD109" s="431">
        <v>23058</v>
      </c>
      <c r="AE109" s="431">
        <v>1266173</v>
      </c>
      <c r="AF109" s="431">
        <v>0</v>
      </c>
      <c r="AG109" s="431">
        <v>536383</v>
      </c>
      <c r="AH109" s="431">
        <v>182943</v>
      </c>
      <c r="AI109" s="431">
        <v>430657</v>
      </c>
      <c r="AJ109" s="431">
        <v>33156</v>
      </c>
      <c r="AK109" s="431">
        <v>0</v>
      </c>
      <c r="AL109" s="431">
        <v>2013370</v>
      </c>
      <c r="AM109" s="431">
        <v>95892</v>
      </c>
    </row>
    <row r="110" spans="1:39" s="155" customFormat="1" ht="12" x14ac:dyDescent="0.2">
      <c r="A110" s="168">
        <v>56</v>
      </c>
      <c r="B110" s="170">
        <v>7384</v>
      </c>
      <c r="C110" s="243" t="s">
        <v>1043</v>
      </c>
      <c r="D110" s="432">
        <f t="shared" si="17"/>
        <v>6135091</v>
      </c>
      <c r="E110" s="431">
        <v>3184210</v>
      </c>
      <c r="F110" s="431">
        <v>1574424</v>
      </c>
      <c r="G110" s="431">
        <v>156200</v>
      </c>
      <c r="H110" s="431">
        <v>0</v>
      </c>
      <c r="I110" s="431">
        <v>1353281</v>
      </c>
      <c r="J110" s="431">
        <v>0</v>
      </c>
      <c r="K110" s="431">
        <v>202000</v>
      </c>
      <c r="L110" s="431">
        <v>0</v>
      </c>
      <c r="M110" s="431">
        <v>984856</v>
      </c>
      <c r="N110" s="431">
        <v>397244</v>
      </c>
      <c r="O110" s="431">
        <v>13500</v>
      </c>
      <c r="P110" s="432">
        <f t="shared" si="16"/>
        <v>4795133</v>
      </c>
      <c r="Q110" s="431">
        <v>1552425</v>
      </c>
      <c r="R110" s="431">
        <v>1022381</v>
      </c>
      <c r="S110" s="431">
        <v>10240</v>
      </c>
      <c r="T110" s="431">
        <v>0</v>
      </c>
      <c r="U110" s="431">
        <v>0</v>
      </c>
      <c r="V110" s="431">
        <v>250250</v>
      </c>
      <c r="W110" s="431">
        <v>96687</v>
      </c>
      <c r="X110" s="431">
        <v>111975</v>
      </c>
      <c r="Y110" s="431">
        <v>173133</v>
      </c>
      <c r="Z110" s="431">
        <v>1501014</v>
      </c>
      <c r="AA110" s="431">
        <v>142858</v>
      </c>
      <c r="AB110" s="431">
        <v>-65830</v>
      </c>
      <c r="AC110" s="431">
        <v>581685</v>
      </c>
      <c r="AD110" s="431">
        <v>400</v>
      </c>
      <c r="AE110" s="431">
        <v>1679584</v>
      </c>
      <c r="AF110" s="431">
        <v>17889</v>
      </c>
      <c r="AG110" s="431">
        <v>603739</v>
      </c>
      <c r="AH110" s="431">
        <v>374141</v>
      </c>
      <c r="AI110" s="431">
        <v>590923</v>
      </c>
      <c r="AJ110" s="431">
        <v>538446</v>
      </c>
      <c r="AK110" s="431">
        <v>0</v>
      </c>
      <c r="AL110" s="431">
        <v>335599</v>
      </c>
      <c r="AM110" s="431">
        <v>72727</v>
      </c>
    </row>
    <row r="111" spans="1:39" s="155" customFormat="1" ht="12" x14ac:dyDescent="0.2">
      <c r="A111" s="168">
        <v>57</v>
      </c>
      <c r="B111" s="170">
        <v>7446</v>
      </c>
      <c r="C111" s="243" t="s">
        <v>1044</v>
      </c>
      <c r="D111" s="432">
        <f t="shared" si="17"/>
        <v>3237342</v>
      </c>
      <c r="E111" s="431">
        <v>636655</v>
      </c>
      <c r="F111" s="431">
        <v>102263</v>
      </c>
      <c r="G111" s="431">
        <v>384290</v>
      </c>
      <c r="H111" s="431">
        <v>0</v>
      </c>
      <c r="I111" s="431">
        <v>832844</v>
      </c>
      <c r="J111" s="431">
        <v>0</v>
      </c>
      <c r="K111" s="431">
        <v>1018000</v>
      </c>
      <c r="L111" s="431">
        <v>0</v>
      </c>
      <c r="M111" s="431">
        <v>749843</v>
      </c>
      <c r="N111" s="431">
        <v>0</v>
      </c>
      <c r="O111" s="431"/>
      <c r="P111" s="432">
        <f t="shared" si="16"/>
        <v>3060823</v>
      </c>
      <c r="Q111" s="431">
        <v>1213181</v>
      </c>
      <c r="R111" s="431">
        <v>843336</v>
      </c>
      <c r="S111" s="431">
        <v>0</v>
      </c>
      <c r="T111" s="431">
        <v>0</v>
      </c>
      <c r="U111" s="431">
        <v>0</v>
      </c>
      <c r="V111" s="431">
        <v>0</v>
      </c>
      <c r="W111" s="431">
        <v>0</v>
      </c>
      <c r="X111" s="431">
        <v>96266</v>
      </c>
      <c r="Y111" s="431">
        <v>97880</v>
      </c>
      <c r="Z111" s="431">
        <v>811094</v>
      </c>
      <c r="AA111" s="431">
        <v>0</v>
      </c>
      <c r="AB111" s="431">
        <v>-934</v>
      </c>
      <c r="AC111" s="431">
        <v>720289</v>
      </c>
      <c r="AD111" s="431">
        <v>3428</v>
      </c>
      <c r="AE111" s="431">
        <v>771126</v>
      </c>
      <c r="AF111" s="431">
        <v>0</v>
      </c>
      <c r="AG111" s="431">
        <v>149780</v>
      </c>
      <c r="AH111" s="431">
        <v>290703</v>
      </c>
      <c r="AI111" s="431">
        <v>50328</v>
      </c>
      <c r="AJ111" s="431">
        <v>57504</v>
      </c>
      <c r="AK111" s="431">
        <v>0</v>
      </c>
      <c r="AL111" s="431">
        <v>1017665</v>
      </c>
      <c r="AM111" s="431"/>
    </row>
    <row r="112" spans="1:39" s="155" customFormat="1" ht="12" x14ac:dyDescent="0.2">
      <c r="A112" s="168">
        <v>58</v>
      </c>
      <c r="B112" s="170">
        <v>7767</v>
      </c>
      <c r="C112" s="243" t="s">
        <v>1045</v>
      </c>
      <c r="D112" s="432">
        <f t="shared" si="17"/>
        <v>6595036</v>
      </c>
      <c r="E112" s="431">
        <v>1134061</v>
      </c>
      <c r="F112" s="431">
        <v>147454</v>
      </c>
      <c r="G112" s="431">
        <v>313360</v>
      </c>
      <c r="H112" s="431">
        <v>0</v>
      </c>
      <c r="I112" s="431">
        <v>1114000</v>
      </c>
      <c r="J112" s="431">
        <v>0</v>
      </c>
      <c r="K112" s="431">
        <v>941000</v>
      </c>
      <c r="L112" s="431">
        <v>0</v>
      </c>
      <c r="M112" s="431">
        <v>2634008</v>
      </c>
      <c r="N112" s="431">
        <v>762741</v>
      </c>
      <c r="O112" s="431">
        <v>9226</v>
      </c>
      <c r="P112" s="432">
        <f t="shared" si="16"/>
        <v>6672156</v>
      </c>
      <c r="Q112" s="431">
        <v>1360617</v>
      </c>
      <c r="R112" s="431">
        <v>783854</v>
      </c>
      <c r="S112" s="431">
        <v>0</v>
      </c>
      <c r="T112" s="431">
        <v>0</v>
      </c>
      <c r="U112" s="431">
        <v>0</v>
      </c>
      <c r="V112" s="431">
        <v>135800</v>
      </c>
      <c r="W112" s="431">
        <v>1287654</v>
      </c>
      <c r="X112" s="431">
        <v>152862</v>
      </c>
      <c r="Y112" s="431">
        <v>23840</v>
      </c>
      <c r="Z112" s="431">
        <v>2927529</v>
      </c>
      <c r="AA112" s="431">
        <v>0</v>
      </c>
      <c r="AB112" s="431">
        <v>0</v>
      </c>
      <c r="AC112" s="431">
        <v>855511</v>
      </c>
      <c r="AD112" s="431">
        <v>1176</v>
      </c>
      <c r="AE112" s="431">
        <v>1089722</v>
      </c>
      <c r="AF112" s="431">
        <v>0</v>
      </c>
      <c r="AG112" s="431">
        <v>278788</v>
      </c>
      <c r="AH112" s="431">
        <v>601688</v>
      </c>
      <c r="AI112" s="431">
        <v>1296242</v>
      </c>
      <c r="AJ112" s="431">
        <v>0</v>
      </c>
      <c r="AK112" s="431">
        <v>0</v>
      </c>
      <c r="AL112" s="431">
        <v>2213943</v>
      </c>
      <c r="AM112" s="431">
        <v>335086</v>
      </c>
    </row>
    <row r="113" spans="1:39" s="155" customFormat="1" ht="12" x14ac:dyDescent="0.2">
      <c r="A113" s="168">
        <v>59</v>
      </c>
      <c r="B113" s="170">
        <v>7810</v>
      </c>
      <c r="C113" s="243" t="s">
        <v>1046</v>
      </c>
      <c r="D113" s="432">
        <f t="shared" si="17"/>
        <v>2997011</v>
      </c>
      <c r="E113" s="431">
        <v>1019500</v>
      </c>
      <c r="F113" s="431">
        <v>291987</v>
      </c>
      <c r="G113" s="431">
        <v>270190</v>
      </c>
      <c r="H113" s="431">
        <v>0</v>
      </c>
      <c r="I113" s="431">
        <v>928849</v>
      </c>
      <c r="J113" s="431">
        <v>0</v>
      </c>
      <c r="K113" s="431">
        <v>698000</v>
      </c>
      <c r="L113" s="431">
        <v>0</v>
      </c>
      <c r="M113" s="431">
        <v>87607</v>
      </c>
      <c r="N113" s="431">
        <v>263055</v>
      </c>
      <c r="O113" s="431"/>
      <c r="P113" s="432">
        <f t="shared" si="16"/>
        <v>2790653</v>
      </c>
      <c r="Q113" s="431">
        <v>1235696</v>
      </c>
      <c r="R113" s="431">
        <v>777910</v>
      </c>
      <c r="S113" s="431">
        <v>28431</v>
      </c>
      <c r="T113" s="431">
        <v>0</v>
      </c>
      <c r="U113" s="431">
        <v>0</v>
      </c>
      <c r="V113" s="431">
        <v>0</v>
      </c>
      <c r="W113" s="431">
        <v>343356</v>
      </c>
      <c r="X113" s="431">
        <v>60254</v>
      </c>
      <c r="Y113" s="431">
        <v>25560</v>
      </c>
      <c r="Z113" s="431">
        <v>278099</v>
      </c>
      <c r="AA113" s="431">
        <v>42796</v>
      </c>
      <c r="AB113" s="431">
        <v>-1449</v>
      </c>
      <c r="AC113" s="431">
        <v>732976</v>
      </c>
      <c r="AD113" s="431">
        <v>16484</v>
      </c>
      <c r="AE113" s="431">
        <v>767990</v>
      </c>
      <c r="AF113" s="431">
        <v>0</v>
      </c>
      <c r="AG113" s="431">
        <v>134151</v>
      </c>
      <c r="AH113" s="431">
        <v>221957</v>
      </c>
      <c r="AI113" s="431">
        <v>631147</v>
      </c>
      <c r="AJ113" s="431">
        <v>0</v>
      </c>
      <c r="AK113" s="431">
        <v>0</v>
      </c>
      <c r="AL113" s="431">
        <v>252205</v>
      </c>
      <c r="AM113" s="431">
        <v>33743</v>
      </c>
    </row>
    <row r="114" spans="1:39" s="155" customFormat="1" ht="12" x14ac:dyDescent="0.2">
      <c r="A114" s="168">
        <v>60</v>
      </c>
      <c r="B114" s="170">
        <v>7865</v>
      </c>
      <c r="C114" s="243" t="s">
        <v>1047</v>
      </c>
      <c r="D114" s="432">
        <f t="shared" si="17"/>
        <v>8073524</v>
      </c>
      <c r="E114" s="431">
        <v>1894367</v>
      </c>
      <c r="F114" s="431">
        <v>242569</v>
      </c>
      <c r="G114" s="431">
        <v>636280</v>
      </c>
      <c r="H114" s="431">
        <v>0</v>
      </c>
      <c r="I114" s="431">
        <v>2587965</v>
      </c>
      <c r="J114" s="431">
        <v>0</v>
      </c>
      <c r="K114" s="431">
        <v>912000</v>
      </c>
      <c r="L114" s="431">
        <v>0</v>
      </c>
      <c r="M114" s="431">
        <v>1126042</v>
      </c>
      <c r="N114" s="431">
        <v>1553150</v>
      </c>
      <c r="O114" s="431"/>
      <c r="P114" s="432">
        <f t="shared" si="16"/>
        <v>10645107</v>
      </c>
      <c r="Q114" s="431">
        <v>2609270</v>
      </c>
      <c r="R114" s="431">
        <v>1682808</v>
      </c>
      <c r="S114" s="431">
        <v>0</v>
      </c>
      <c r="T114" s="431">
        <v>0</v>
      </c>
      <c r="U114" s="431">
        <v>0</v>
      </c>
      <c r="V114" s="431">
        <v>0</v>
      </c>
      <c r="W114" s="431">
        <v>5807024</v>
      </c>
      <c r="X114" s="431">
        <v>251354</v>
      </c>
      <c r="Y114" s="431">
        <v>39880</v>
      </c>
      <c r="Z114" s="431">
        <v>269221</v>
      </c>
      <c r="AA114" s="431">
        <v>0</v>
      </c>
      <c r="AB114" s="431">
        <v>-14450</v>
      </c>
      <c r="AC114" s="431">
        <v>1108456</v>
      </c>
      <c r="AD114" s="431">
        <v>11668</v>
      </c>
      <c r="AE114" s="431">
        <v>2242260</v>
      </c>
      <c r="AF114" s="431">
        <v>18509</v>
      </c>
      <c r="AG114" s="431">
        <v>541066</v>
      </c>
      <c r="AH114" s="431">
        <v>728120</v>
      </c>
      <c r="AI114" s="431">
        <v>219264</v>
      </c>
      <c r="AJ114" s="431">
        <v>1374604</v>
      </c>
      <c r="AK114" s="431">
        <v>0</v>
      </c>
      <c r="AL114" s="431">
        <v>4330855</v>
      </c>
      <c r="AM114" s="431">
        <v>70305</v>
      </c>
    </row>
    <row r="115" spans="1:39" s="155" customFormat="1" ht="12" x14ac:dyDescent="0.2">
      <c r="A115" s="168">
        <v>61</v>
      </c>
      <c r="B115" s="170">
        <v>7945</v>
      </c>
      <c r="C115" s="243" t="s">
        <v>1048</v>
      </c>
      <c r="D115" s="432">
        <f t="shared" si="17"/>
        <v>4394114</v>
      </c>
      <c r="E115" s="431">
        <v>1025724</v>
      </c>
      <c r="F115" s="431">
        <v>210593</v>
      </c>
      <c r="G115" s="431">
        <v>305360</v>
      </c>
      <c r="H115" s="431">
        <v>0</v>
      </c>
      <c r="I115" s="431">
        <v>1651945</v>
      </c>
      <c r="J115" s="431">
        <v>0</v>
      </c>
      <c r="K115" s="431">
        <v>935000</v>
      </c>
      <c r="L115" s="431">
        <v>0</v>
      </c>
      <c r="M115" s="431">
        <v>681223</v>
      </c>
      <c r="N115" s="431">
        <v>84494</v>
      </c>
      <c r="O115" s="431">
        <v>15728</v>
      </c>
      <c r="P115" s="432">
        <f t="shared" si="16"/>
        <v>4505108</v>
      </c>
      <c r="Q115" s="431">
        <v>1920350</v>
      </c>
      <c r="R115" s="431">
        <v>784429</v>
      </c>
      <c r="S115" s="431">
        <v>13832</v>
      </c>
      <c r="T115" s="431">
        <v>0</v>
      </c>
      <c r="U115" s="431">
        <v>0</v>
      </c>
      <c r="V115" s="431">
        <v>0</v>
      </c>
      <c r="W115" s="431">
        <v>126073</v>
      </c>
      <c r="X115" s="431">
        <v>162367</v>
      </c>
      <c r="Y115" s="431">
        <v>324100</v>
      </c>
      <c r="Z115" s="431">
        <v>535948</v>
      </c>
      <c r="AA115" s="431">
        <v>694501</v>
      </c>
      <c r="AB115" s="431">
        <v>-56492</v>
      </c>
      <c r="AC115" s="431">
        <v>1045891</v>
      </c>
      <c r="AD115" s="431">
        <v>129733</v>
      </c>
      <c r="AE115" s="431">
        <v>1481868</v>
      </c>
      <c r="AF115" s="431">
        <v>14859</v>
      </c>
      <c r="AG115" s="431">
        <v>1000716</v>
      </c>
      <c r="AH115" s="431">
        <v>403677</v>
      </c>
      <c r="AI115" s="431">
        <v>152431</v>
      </c>
      <c r="AJ115" s="431">
        <v>0</v>
      </c>
      <c r="AK115" s="431">
        <v>0</v>
      </c>
      <c r="AL115" s="431">
        <v>275933</v>
      </c>
      <c r="AM115" s="431"/>
    </row>
    <row r="116" spans="1:39" s="155" customFormat="1" ht="12" x14ac:dyDescent="0.2">
      <c r="A116" s="168">
        <v>62</v>
      </c>
      <c r="B116" s="170">
        <v>8014</v>
      </c>
      <c r="C116" s="243" t="s">
        <v>1049</v>
      </c>
      <c r="D116" s="432">
        <f t="shared" si="17"/>
        <v>10201525</v>
      </c>
      <c r="E116" s="431">
        <v>1756674</v>
      </c>
      <c r="F116" s="431">
        <v>753590</v>
      </c>
      <c r="G116" s="431">
        <v>218510</v>
      </c>
      <c r="H116" s="431">
        <v>0</v>
      </c>
      <c r="I116" s="431">
        <v>1547436</v>
      </c>
      <c r="J116" s="431">
        <v>0</v>
      </c>
      <c r="K116" s="431">
        <v>572000</v>
      </c>
      <c r="L116" s="431">
        <v>0</v>
      </c>
      <c r="M116" s="431">
        <v>1860429</v>
      </c>
      <c r="N116" s="431">
        <v>4376351</v>
      </c>
      <c r="O116" s="431">
        <v>88635</v>
      </c>
      <c r="P116" s="432">
        <f t="shared" si="16"/>
        <v>13105224</v>
      </c>
      <c r="Q116" s="431">
        <v>1748149</v>
      </c>
      <c r="R116" s="431">
        <v>843091</v>
      </c>
      <c r="S116" s="431">
        <v>0</v>
      </c>
      <c r="T116" s="431">
        <v>0</v>
      </c>
      <c r="U116" s="431">
        <v>0</v>
      </c>
      <c r="V116" s="431">
        <v>0</v>
      </c>
      <c r="W116" s="431">
        <v>9736573</v>
      </c>
      <c r="X116" s="431">
        <v>125350</v>
      </c>
      <c r="Y116" s="431">
        <v>63396</v>
      </c>
      <c r="Z116" s="431">
        <v>600018</v>
      </c>
      <c r="AA116" s="431">
        <v>0</v>
      </c>
      <c r="AB116" s="431">
        <v>-11353</v>
      </c>
      <c r="AC116" s="431">
        <v>796808</v>
      </c>
      <c r="AD116" s="431">
        <v>1696017</v>
      </c>
      <c r="AE116" s="431">
        <v>1363660</v>
      </c>
      <c r="AF116" s="431">
        <v>15280</v>
      </c>
      <c r="AG116" s="431">
        <v>243462</v>
      </c>
      <c r="AH116" s="431">
        <v>538801</v>
      </c>
      <c r="AI116" s="431">
        <v>161814</v>
      </c>
      <c r="AJ116" s="431">
        <v>0</v>
      </c>
      <c r="AK116" s="431">
        <v>0</v>
      </c>
      <c r="AL116" s="431">
        <v>8289382</v>
      </c>
      <c r="AM116" s="431"/>
    </row>
    <row r="117" spans="1:39" s="155" customFormat="1" ht="12" x14ac:dyDescent="0.2">
      <c r="A117" s="168">
        <v>63</v>
      </c>
      <c r="B117" s="170">
        <v>8158</v>
      </c>
      <c r="C117" s="243" t="s">
        <v>1050</v>
      </c>
      <c r="D117" s="432">
        <f t="shared" si="17"/>
        <v>10064103</v>
      </c>
      <c r="E117" s="431">
        <v>2436419</v>
      </c>
      <c r="F117" s="431">
        <v>458827</v>
      </c>
      <c r="G117" s="431">
        <v>1069470</v>
      </c>
      <c r="H117" s="431">
        <v>0</v>
      </c>
      <c r="I117" s="431">
        <v>2234080</v>
      </c>
      <c r="J117" s="431">
        <v>0</v>
      </c>
      <c r="K117" s="431">
        <v>904000</v>
      </c>
      <c r="L117" s="431">
        <v>0</v>
      </c>
      <c r="M117" s="431">
        <v>1987279</v>
      </c>
      <c r="N117" s="431">
        <v>2502325</v>
      </c>
      <c r="O117" s="431"/>
      <c r="P117" s="432">
        <f t="shared" si="16"/>
        <v>14675235</v>
      </c>
      <c r="Q117" s="431">
        <v>2361138</v>
      </c>
      <c r="R117" s="431">
        <v>1162581</v>
      </c>
      <c r="S117" s="431">
        <v>8552</v>
      </c>
      <c r="T117" s="431">
        <v>0</v>
      </c>
      <c r="U117" s="431">
        <v>0</v>
      </c>
      <c r="V117" s="431">
        <v>0</v>
      </c>
      <c r="W117" s="431">
        <v>7755658</v>
      </c>
      <c r="X117" s="431">
        <v>246531</v>
      </c>
      <c r="Y117" s="431">
        <v>49840</v>
      </c>
      <c r="Z117" s="431">
        <v>3091722</v>
      </c>
      <c r="AA117" s="431">
        <v>0</v>
      </c>
      <c r="AB117" s="431">
        <v>-787</v>
      </c>
      <c r="AC117" s="431">
        <v>1030896</v>
      </c>
      <c r="AD117" s="431">
        <v>3373</v>
      </c>
      <c r="AE117" s="431">
        <v>2050911</v>
      </c>
      <c r="AF117" s="431">
        <v>0</v>
      </c>
      <c r="AG117" s="431">
        <v>1226219</v>
      </c>
      <c r="AH117" s="431">
        <v>2699221</v>
      </c>
      <c r="AI117" s="431">
        <v>3529499</v>
      </c>
      <c r="AJ117" s="431">
        <v>2481176</v>
      </c>
      <c r="AK117" s="431">
        <v>0</v>
      </c>
      <c r="AL117" s="431">
        <v>1651596</v>
      </c>
      <c r="AM117" s="431">
        <v>2344</v>
      </c>
    </row>
    <row r="118" spans="1:39" s="155" customFormat="1" ht="12" x14ac:dyDescent="0.2">
      <c r="A118" s="168">
        <v>64</v>
      </c>
      <c r="B118" s="170">
        <v>8229</v>
      </c>
      <c r="C118" s="243" t="s">
        <v>1051</v>
      </c>
      <c r="D118" s="432">
        <f t="shared" si="17"/>
        <v>3784605</v>
      </c>
      <c r="E118" s="431">
        <v>1166040</v>
      </c>
      <c r="F118" s="431">
        <v>145441</v>
      </c>
      <c r="G118" s="431">
        <v>296230</v>
      </c>
      <c r="H118" s="431">
        <v>0</v>
      </c>
      <c r="I118" s="431">
        <v>1125038</v>
      </c>
      <c r="J118" s="431">
        <v>0</v>
      </c>
      <c r="K118" s="431">
        <v>858000</v>
      </c>
      <c r="L118" s="431">
        <v>0</v>
      </c>
      <c r="M118" s="431">
        <v>635527</v>
      </c>
      <c r="N118" s="431">
        <v>0</v>
      </c>
      <c r="O118" s="431"/>
      <c r="P118" s="432">
        <f t="shared" si="16"/>
        <v>3603045</v>
      </c>
      <c r="Q118" s="431">
        <v>1457604</v>
      </c>
      <c r="R118" s="431">
        <v>985685</v>
      </c>
      <c r="S118" s="431">
        <v>0</v>
      </c>
      <c r="T118" s="431">
        <v>0</v>
      </c>
      <c r="U118" s="431">
        <v>0</v>
      </c>
      <c r="V118" s="431">
        <v>0</v>
      </c>
      <c r="W118" s="431">
        <v>0</v>
      </c>
      <c r="X118" s="431">
        <v>62237</v>
      </c>
      <c r="Y118" s="431">
        <v>29657</v>
      </c>
      <c r="Z118" s="431">
        <v>1067862</v>
      </c>
      <c r="AA118" s="431">
        <v>0</v>
      </c>
      <c r="AB118" s="431">
        <v>0</v>
      </c>
      <c r="AC118" s="431">
        <v>606386</v>
      </c>
      <c r="AD118" s="431">
        <v>0</v>
      </c>
      <c r="AE118" s="431">
        <v>880559</v>
      </c>
      <c r="AF118" s="431">
        <v>0</v>
      </c>
      <c r="AG118" s="431">
        <v>490062</v>
      </c>
      <c r="AH118" s="431">
        <v>393668</v>
      </c>
      <c r="AI118" s="431">
        <v>37387</v>
      </c>
      <c r="AJ118" s="431">
        <v>84870</v>
      </c>
      <c r="AK118" s="431">
        <v>0</v>
      </c>
      <c r="AL118" s="431">
        <v>1110113</v>
      </c>
      <c r="AM118" s="431"/>
    </row>
    <row r="119" spans="1:39" s="155" customFormat="1" ht="12" x14ac:dyDescent="0.2">
      <c r="A119" s="168">
        <v>65</v>
      </c>
      <c r="B119" s="170">
        <v>8354</v>
      </c>
      <c r="C119" s="243" t="s">
        <v>1052</v>
      </c>
      <c r="D119" s="432">
        <f t="shared" si="17"/>
        <v>5401410</v>
      </c>
      <c r="E119" s="431">
        <v>1770150</v>
      </c>
      <c r="F119" s="431">
        <v>669645</v>
      </c>
      <c r="G119" s="431">
        <v>360230</v>
      </c>
      <c r="H119" s="431">
        <v>0</v>
      </c>
      <c r="I119" s="431">
        <v>1655161</v>
      </c>
      <c r="J119" s="431">
        <v>0</v>
      </c>
      <c r="K119" s="431">
        <v>628000</v>
      </c>
      <c r="L119" s="431">
        <v>0</v>
      </c>
      <c r="M119" s="431">
        <v>1075054</v>
      </c>
      <c r="N119" s="431">
        <v>271569</v>
      </c>
      <c r="O119" s="431">
        <v>1476</v>
      </c>
      <c r="P119" s="432">
        <f t="shared" ref="P119:P133" si="18">IF(SUM(Q119:AB119)=SUM(AC119:AM119),SUM(Q119:AB119),"  EROARE ART/CAP")</f>
        <v>5090507</v>
      </c>
      <c r="Q119" s="431">
        <v>1911040</v>
      </c>
      <c r="R119" s="431">
        <v>952636</v>
      </c>
      <c r="S119" s="431">
        <v>17561</v>
      </c>
      <c r="T119" s="431">
        <v>0</v>
      </c>
      <c r="U119" s="431">
        <v>75871</v>
      </c>
      <c r="V119" s="431">
        <v>0</v>
      </c>
      <c r="W119" s="431">
        <v>120432</v>
      </c>
      <c r="X119" s="431">
        <v>153834</v>
      </c>
      <c r="Y119" s="431">
        <v>31095</v>
      </c>
      <c r="Z119" s="431">
        <v>1555886</v>
      </c>
      <c r="AA119" s="431">
        <v>320800</v>
      </c>
      <c r="AB119" s="431">
        <v>-48648</v>
      </c>
      <c r="AC119" s="431">
        <v>941346</v>
      </c>
      <c r="AD119" s="431">
        <v>295120</v>
      </c>
      <c r="AE119" s="431">
        <v>1534362</v>
      </c>
      <c r="AF119" s="431">
        <v>0</v>
      </c>
      <c r="AG119" s="431">
        <v>714320</v>
      </c>
      <c r="AH119" s="431">
        <v>333371</v>
      </c>
      <c r="AI119" s="431">
        <v>73162</v>
      </c>
      <c r="AJ119" s="431">
        <v>36429</v>
      </c>
      <c r="AK119" s="431">
        <v>0</v>
      </c>
      <c r="AL119" s="431">
        <v>1162397</v>
      </c>
      <c r="AM119" s="431"/>
    </row>
    <row r="120" spans="1:39" s="155" customFormat="1" ht="12" x14ac:dyDescent="0.2">
      <c r="A120" s="168">
        <v>66</v>
      </c>
      <c r="B120" s="170">
        <v>8425</v>
      </c>
      <c r="C120" s="243" t="s">
        <v>1053</v>
      </c>
      <c r="D120" s="432">
        <f>E120+SUM(H120:O120)</f>
        <v>3425179</v>
      </c>
      <c r="E120" s="431">
        <v>686652</v>
      </c>
      <c r="F120" s="431">
        <v>104554</v>
      </c>
      <c r="G120" s="431">
        <v>398240</v>
      </c>
      <c r="H120" s="431">
        <v>0</v>
      </c>
      <c r="I120" s="431">
        <v>1654115</v>
      </c>
      <c r="J120" s="431">
        <v>0</v>
      </c>
      <c r="K120" s="431">
        <v>1002000</v>
      </c>
      <c r="L120" s="431">
        <v>0</v>
      </c>
      <c r="M120" s="431">
        <v>82412</v>
      </c>
      <c r="N120" s="431">
        <v>0</v>
      </c>
      <c r="O120" s="431"/>
      <c r="P120" s="432">
        <f t="shared" si="18"/>
        <v>3096188</v>
      </c>
      <c r="Q120" s="431">
        <v>1843971</v>
      </c>
      <c r="R120" s="431">
        <v>534697</v>
      </c>
      <c r="S120" s="431">
        <v>0</v>
      </c>
      <c r="T120" s="431">
        <v>0</v>
      </c>
      <c r="U120" s="431">
        <v>0</v>
      </c>
      <c r="V120" s="431">
        <v>0</v>
      </c>
      <c r="W120" s="431">
        <v>0</v>
      </c>
      <c r="X120" s="431">
        <v>188182</v>
      </c>
      <c r="Y120" s="431">
        <v>58253</v>
      </c>
      <c r="Z120" s="431">
        <v>480590</v>
      </c>
      <c r="AA120" s="431">
        <v>0</v>
      </c>
      <c r="AB120" s="431">
        <v>-9505</v>
      </c>
      <c r="AC120" s="431">
        <v>559632</v>
      </c>
      <c r="AD120" s="431">
        <v>0</v>
      </c>
      <c r="AE120" s="431">
        <v>1314232</v>
      </c>
      <c r="AF120" s="431">
        <v>19144</v>
      </c>
      <c r="AG120" s="431">
        <v>91738</v>
      </c>
      <c r="AH120" s="431">
        <v>524842</v>
      </c>
      <c r="AI120" s="431">
        <v>78865</v>
      </c>
      <c r="AJ120" s="431">
        <v>44767</v>
      </c>
      <c r="AK120" s="431">
        <v>0</v>
      </c>
      <c r="AL120" s="431">
        <v>419997</v>
      </c>
      <c r="AM120" s="431">
        <v>42971</v>
      </c>
    </row>
    <row r="121" spans="1:39" s="155" customFormat="1" ht="12" x14ac:dyDescent="0.2">
      <c r="A121" s="168">
        <v>67</v>
      </c>
      <c r="B121" s="170">
        <v>8826</v>
      </c>
      <c r="C121" s="243" t="s">
        <v>1054</v>
      </c>
      <c r="D121" s="432">
        <f>E121+SUM(H121:O121)</f>
        <v>7074403</v>
      </c>
      <c r="E121" s="431">
        <v>3525653</v>
      </c>
      <c r="F121" s="431">
        <v>1790972</v>
      </c>
      <c r="G121" s="431">
        <v>167370</v>
      </c>
      <c r="H121" s="431">
        <v>0</v>
      </c>
      <c r="I121" s="431">
        <v>2579325</v>
      </c>
      <c r="J121" s="431">
        <v>0</v>
      </c>
      <c r="K121" s="431">
        <v>312000</v>
      </c>
      <c r="L121" s="431">
        <v>0</v>
      </c>
      <c r="M121" s="431">
        <v>175121</v>
      </c>
      <c r="N121" s="431">
        <v>463054</v>
      </c>
      <c r="O121" s="431">
        <v>19250</v>
      </c>
      <c r="P121" s="432">
        <f t="shared" si="18"/>
        <v>6352971</v>
      </c>
      <c r="Q121" s="431">
        <v>2766776</v>
      </c>
      <c r="R121" s="431">
        <v>1982421</v>
      </c>
      <c r="S121" s="431">
        <v>0</v>
      </c>
      <c r="T121" s="431">
        <v>0</v>
      </c>
      <c r="U121" s="431">
        <v>13172</v>
      </c>
      <c r="V121" s="431">
        <v>0</v>
      </c>
      <c r="W121" s="431">
        <v>820218</v>
      </c>
      <c r="X121" s="431">
        <v>465614</v>
      </c>
      <c r="Y121" s="431">
        <v>192680</v>
      </c>
      <c r="Z121" s="431">
        <v>132740</v>
      </c>
      <c r="AA121" s="431">
        <v>0</v>
      </c>
      <c r="AB121" s="431">
        <v>-20650</v>
      </c>
      <c r="AC121" s="431">
        <v>1238081</v>
      </c>
      <c r="AD121" s="431">
        <v>333464</v>
      </c>
      <c r="AE121" s="431">
        <v>2282147</v>
      </c>
      <c r="AF121" s="431">
        <v>16923</v>
      </c>
      <c r="AG121" s="431">
        <v>706019</v>
      </c>
      <c r="AH121" s="431">
        <v>702661</v>
      </c>
      <c r="AI121" s="431">
        <v>424963</v>
      </c>
      <c r="AJ121" s="431">
        <v>18325</v>
      </c>
      <c r="AK121" s="431">
        <v>0</v>
      </c>
      <c r="AL121" s="431">
        <v>630388</v>
      </c>
      <c r="AM121" s="431"/>
    </row>
    <row r="122" spans="1:39" s="155" customFormat="1" ht="12" hidden="1" x14ac:dyDescent="0.2">
      <c r="A122" s="168">
        <v>68</v>
      </c>
      <c r="B122" s="171"/>
      <c r="C122" s="172"/>
      <c r="D122" s="432">
        <f t="shared" ref="D122:D143" si="19">E122+SUM(H122:O122)</f>
        <v>0</v>
      </c>
      <c r="E122" s="431"/>
      <c r="F122" s="431"/>
      <c r="G122" s="431"/>
      <c r="H122" s="431"/>
      <c r="I122" s="431"/>
      <c r="J122" s="431"/>
      <c r="K122" s="431"/>
      <c r="L122" s="431"/>
      <c r="M122" s="431"/>
      <c r="N122" s="431"/>
      <c r="O122" s="431"/>
      <c r="P122" s="432">
        <f t="shared" si="18"/>
        <v>0</v>
      </c>
      <c r="Q122" s="431"/>
      <c r="R122" s="431"/>
      <c r="S122" s="431"/>
      <c r="T122" s="431"/>
      <c r="U122" s="431"/>
      <c r="V122" s="431"/>
      <c r="W122" s="431"/>
      <c r="X122" s="431"/>
      <c r="Y122" s="431"/>
      <c r="Z122" s="468"/>
      <c r="AA122" s="431"/>
      <c r="AB122" s="431"/>
      <c r="AC122" s="468"/>
      <c r="AD122" s="431"/>
      <c r="AE122" s="431"/>
      <c r="AF122" s="431"/>
      <c r="AG122" s="431"/>
      <c r="AH122" s="431"/>
      <c r="AI122" s="468"/>
      <c r="AJ122" s="468"/>
      <c r="AK122" s="431"/>
      <c r="AL122" s="431"/>
      <c r="AM122" s="431"/>
    </row>
    <row r="123" spans="1:39" s="155" customFormat="1" ht="12" hidden="1" x14ac:dyDescent="0.2">
      <c r="A123" s="168">
        <v>69</v>
      </c>
      <c r="B123" s="171"/>
      <c r="C123" s="172"/>
      <c r="D123" s="432">
        <f t="shared" si="19"/>
        <v>0</v>
      </c>
      <c r="E123" s="431"/>
      <c r="F123" s="431"/>
      <c r="G123" s="431"/>
      <c r="H123" s="431"/>
      <c r="I123" s="431"/>
      <c r="J123" s="431"/>
      <c r="K123" s="431"/>
      <c r="L123" s="431"/>
      <c r="M123" s="431"/>
      <c r="N123" s="431"/>
      <c r="O123" s="431"/>
      <c r="P123" s="432">
        <f t="shared" si="18"/>
        <v>0</v>
      </c>
      <c r="Q123" s="431"/>
      <c r="R123" s="431"/>
      <c r="S123" s="431"/>
      <c r="T123" s="431"/>
      <c r="U123" s="431"/>
      <c r="V123" s="431"/>
      <c r="W123" s="431"/>
      <c r="X123" s="431"/>
      <c r="Y123" s="431"/>
      <c r="Z123" s="468"/>
      <c r="AA123" s="431"/>
      <c r="AB123" s="431"/>
      <c r="AC123" s="468"/>
      <c r="AD123" s="431"/>
      <c r="AE123" s="431"/>
      <c r="AF123" s="431"/>
      <c r="AG123" s="431"/>
      <c r="AH123" s="431"/>
      <c r="AI123" s="468"/>
      <c r="AJ123" s="468"/>
      <c r="AK123" s="431"/>
      <c r="AL123" s="431"/>
      <c r="AM123" s="431"/>
    </row>
    <row r="124" spans="1:39" s="155" customFormat="1" ht="12" hidden="1" x14ac:dyDescent="0.2">
      <c r="A124" s="168">
        <v>70</v>
      </c>
      <c r="B124" s="171"/>
      <c r="C124" s="172"/>
      <c r="D124" s="432">
        <f t="shared" si="19"/>
        <v>0</v>
      </c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32">
        <f t="shared" si="18"/>
        <v>0</v>
      </c>
      <c r="Q124" s="431"/>
      <c r="R124" s="431"/>
      <c r="S124" s="431"/>
      <c r="T124" s="431"/>
      <c r="U124" s="431"/>
      <c r="V124" s="431"/>
      <c r="W124" s="431"/>
      <c r="X124" s="431"/>
      <c r="Y124" s="431"/>
      <c r="Z124" s="468"/>
      <c r="AA124" s="431"/>
      <c r="AB124" s="431"/>
      <c r="AC124" s="468"/>
      <c r="AD124" s="431"/>
      <c r="AE124" s="431"/>
      <c r="AF124" s="431"/>
      <c r="AG124" s="431"/>
      <c r="AH124" s="431"/>
      <c r="AI124" s="468"/>
      <c r="AJ124" s="468"/>
      <c r="AK124" s="431"/>
      <c r="AL124" s="431"/>
      <c r="AM124" s="431"/>
    </row>
    <row r="125" spans="1:39" s="155" customFormat="1" ht="12" hidden="1" x14ac:dyDescent="0.2">
      <c r="A125" s="168">
        <v>71</v>
      </c>
      <c r="B125" s="171"/>
      <c r="C125" s="172"/>
      <c r="D125" s="432">
        <f t="shared" si="19"/>
        <v>0</v>
      </c>
      <c r="E125" s="431"/>
      <c r="F125" s="431"/>
      <c r="G125" s="431"/>
      <c r="H125" s="431"/>
      <c r="I125" s="431"/>
      <c r="J125" s="431"/>
      <c r="K125" s="431"/>
      <c r="L125" s="431"/>
      <c r="M125" s="431"/>
      <c r="N125" s="431"/>
      <c r="O125" s="431"/>
      <c r="P125" s="432">
        <f t="shared" si="18"/>
        <v>0</v>
      </c>
      <c r="Q125" s="431"/>
      <c r="R125" s="431"/>
      <c r="S125" s="431"/>
      <c r="T125" s="431"/>
      <c r="U125" s="431"/>
      <c r="V125" s="431"/>
      <c r="W125" s="431"/>
      <c r="X125" s="431"/>
      <c r="Y125" s="431"/>
      <c r="Z125" s="468"/>
      <c r="AA125" s="431"/>
      <c r="AB125" s="431"/>
      <c r="AC125" s="468"/>
      <c r="AD125" s="431"/>
      <c r="AE125" s="431"/>
      <c r="AF125" s="431"/>
      <c r="AG125" s="431"/>
      <c r="AH125" s="431"/>
      <c r="AI125" s="468"/>
      <c r="AJ125" s="468"/>
      <c r="AK125" s="431"/>
      <c r="AL125" s="431"/>
      <c r="AM125" s="431"/>
    </row>
    <row r="126" spans="1:39" s="155" customFormat="1" ht="12" hidden="1" x14ac:dyDescent="0.2">
      <c r="A126" s="168">
        <v>72</v>
      </c>
      <c r="B126" s="171"/>
      <c r="C126" s="172"/>
      <c r="D126" s="432">
        <f t="shared" si="19"/>
        <v>0</v>
      </c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32">
        <f t="shared" si="18"/>
        <v>0</v>
      </c>
      <c r="Q126" s="431"/>
      <c r="R126" s="431"/>
      <c r="S126" s="431"/>
      <c r="T126" s="431"/>
      <c r="U126" s="431"/>
      <c r="V126" s="431"/>
      <c r="W126" s="431"/>
      <c r="X126" s="431"/>
      <c r="Y126" s="431"/>
      <c r="Z126" s="468"/>
      <c r="AA126" s="431"/>
      <c r="AB126" s="431"/>
      <c r="AC126" s="468"/>
      <c r="AD126" s="431"/>
      <c r="AE126" s="431"/>
      <c r="AF126" s="431"/>
      <c r="AG126" s="431"/>
      <c r="AH126" s="431"/>
      <c r="AI126" s="468"/>
      <c r="AJ126" s="468"/>
      <c r="AK126" s="431"/>
      <c r="AL126" s="431"/>
      <c r="AM126" s="431"/>
    </row>
    <row r="127" spans="1:39" s="155" customFormat="1" ht="12" hidden="1" x14ac:dyDescent="0.2">
      <c r="A127" s="168">
        <v>73</v>
      </c>
      <c r="B127" s="171"/>
      <c r="C127" s="172"/>
      <c r="D127" s="432">
        <f t="shared" si="19"/>
        <v>0</v>
      </c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32">
        <f t="shared" si="18"/>
        <v>0</v>
      </c>
      <c r="Q127" s="431"/>
      <c r="R127" s="431"/>
      <c r="S127" s="431"/>
      <c r="T127" s="431"/>
      <c r="U127" s="431"/>
      <c r="V127" s="431"/>
      <c r="W127" s="431"/>
      <c r="X127" s="431"/>
      <c r="Y127" s="431"/>
      <c r="Z127" s="468"/>
      <c r="AA127" s="431"/>
      <c r="AB127" s="431"/>
      <c r="AC127" s="468"/>
      <c r="AD127" s="431"/>
      <c r="AE127" s="431"/>
      <c r="AF127" s="431"/>
      <c r="AG127" s="431"/>
      <c r="AH127" s="431"/>
      <c r="AI127" s="468"/>
      <c r="AJ127" s="468"/>
      <c r="AK127" s="431"/>
      <c r="AL127" s="431"/>
      <c r="AM127" s="431"/>
    </row>
    <row r="128" spans="1:39" s="155" customFormat="1" ht="12" hidden="1" x14ac:dyDescent="0.2">
      <c r="A128" s="168">
        <v>74</v>
      </c>
      <c r="B128" s="171"/>
      <c r="C128" s="172"/>
      <c r="D128" s="432">
        <f t="shared" si="19"/>
        <v>0</v>
      </c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32">
        <f t="shared" si="18"/>
        <v>0</v>
      </c>
      <c r="Q128" s="431"/>
      <c r="R128" s="431"/>
      <c r="S128" s="431"/>
      <c r="T128" s="431"/>
      <c r="U128" s="431"/>
      <c r="V128" s="431"/>
      <c r="W128" s="431"/>
      <c r="X128" s="431"/>
      <c r="Y128" s="431"/>
      <c r="Z128" s="468"/>
      <c r="AA128" s="431"/>
      <c r="AB128" s="431"/>
      <c r="AC128" s="468"/>
      <c r="AD128" s="431"/>
      <c r="AE128" s="431"/>
      <c r="AF128" s="431"/>
      <c r="AG128" s="431"/>
      <c r="AH128" s="431"/>
      <c r="AI128" s="468"/>
      <c r="AJ128" s="468"/>
      <c r="AK128" s="431"/>
      <c r="AL128" s="431"/>
      <c r="AM128" s="431"/>
    </row>
    <row r="129" spans="1:39" s="155" customFormat="1" ht="12" hidden="1" x14ac:dyDescent="0.2">
      <c r="A129" s="168">
        <v>75</v>
      </c>
      <c r="B129" s="171"/>
      <c r="C129" s="172"/>
      <c r="D129" s="432">
        <f t="shared" si="19"/>
        <v>0</v>
      </c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32">
        <f t="shared" si="18"/>
        <v>0</v>
      </c>
      <c r="Q129" s="431"/>
      <c r="R129" s="431"/>
      <c r="S129" s="431"/>
      <c r="T129" s="431"/>
      <c r="U129" s="431"/>
      <c r="V129" s="431"/>
      <c r="W129" s="431"/>
      <c r="X129" s="431"/>
      <c r="Y129" s="431"/>
      <c r="Z129" s="468"/>
      <c r="AA129" s="431"/>
      <c r="AB129" s="431"/>
      <c r="AC129" s="468"/>
      <c r="AD129" s="431"/>
      <c r="AE129" s="431"/>
      <c r="AF129" s="431"/>
      <c r="AG129" s="431"/>
      <c r="AH129" s="431"/>
      <c r="AI129" s="468"/>
      <c r="AJ129" s="468"/>
      <c r="AK129" s="431"/>
      <c r="AL129" s="431"/>
      <c r="AM129" s="431"/>
    </row>
    <row r="130" spans="1:39" s="155" customFormat="1" ht="12" hidden="1" x14ac:dyDescent="0.2">
      <c r="A130" s="168">
        <v>76</v>
      </c>
      <c r="B130" s="171"/>
      <c r="C130" s="172"/>
      <c r="D130" s="432">
        <f t="shared" si="19"/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32">
        <f t="shared" si="18"/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</row>
    <row r="131" spans="1:39" s="155" customFormat="1" ht="12" hidden="1" x14ac:dyDescent="0.2">
      <c r="A131" s="168">
        <v>77</v>
      </c>
      <c r="B131" s="171"/>
      <c r="C131" s="172"/>
      <c r="D131" s="432">
        <f t="shared" si="19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2">
        <f t="shared" si="18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</row>
    <row r="132" spans="1:39" s="155" customFormat="1" ht="12" hidden="1" x14ac:dyDescent="0.2">
      <c r="A132" s="168">
        <v>78</v>
      </c>
      <c r="B132" s="171"/>
      <c r="C132" s="172"/>
      <c r="D132" s="432">
        <f t="shared" si="19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2">
        <f t="shared" si="18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</row>
    <row r="133" spans="1:39" s="155" customFormat="1" ht="12" hidden="1" x14ac:dyDescent="0.2">
      <c r="A133" s="168">
        <v>79</v>
      </c>
      <c r="B133" s="171"/>
      <c r="C133" s="172"/>
      <c r="D133" s="432">
        <f t="shared" si="19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si="18"/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155" customFormat="1" ht="12" hidden="1" x14ac:dyDescent="0.2">
      <c r="A134" s="168">
        <v>80</v>
      </c>
      <c r="B134" s="171"/>
      <c r="C134" s="172"/>
      <c r="D134" s="432">
        <f t="shared" si="19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ref="P134:P142" si="20">IF(SUM(Q134:AB134)=SUM(AC134:AM134),SUM(Q134:AB134),"  EROARE ART/CAP")</f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155" customFormat="1" ht="12" hidden="1" x14ac:dyDescent="0.2">
      <c r="A135" s="168">
        <v>81</v>
      </c>
      <c r="B135" s="171"/>
      <c r="C135" s="172"/>
      <c r="D135" s="432">
        <f t="shared" si="19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20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155" customFormat="1" ht="12" hidden="1" x14ac:dyDescent="0.2">
      <c r="A136" s="168">
        <v>82</v>
      </c>
      <c r="B136" s="171"/>
      <c r="C136" s="172"/>
      <c r="D136" s="432">
        <f t="shared" si="19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20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155" customFormat="1" ht="12" hidden="1" x14ac:dyDescent="0.2">
      <c r="A137" s="168">
        <v>83</v>
      </c>
      <c r="B137" s="171"/>
      <c r="C137" s="172"/>
      <c r="D137" s="432">
        <f t="shared" si="19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20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71"/>
      <c r="C138" s="172"/>
      <c r="D138" s="432">
        <f t="shared" si="19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20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71"/>
      <c r="C139" s="172"/>
      <c r="D139" s="432">
        <f t="shared" si="19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20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71"/>
      <c r="C140" s="172"/>
      <c r="D140" s="432">
        <f t="shared" si="19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20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71"/>
      <c r="C141" s="173"/>
      <c r="D141" s="432">
        <f t="shared" si="19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20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9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20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9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5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pane xSplit="3" ySplit="13" topLeftCell="D14" activePane="bottomRight" state="frozen"/>
      <selection activeCell="L9" sqref="L9:L11"/>
      <selection pane="topRight" activeCell="L9" sqref="L9:L11"/>
      <selection pane="bottomLeft" activeCell="L9" sqref="L9:L11"/>
      <selection pane="bottomRight"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946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1241554023</v>
      </c>
      <c r="E14" s="432">
        <f>SUM(E15,E16,E33,E54)</f>
        <v>619259913</v>
      </c>
      <c r="F14" s="432">
        <f t="shared" ref="F14:O14" si="0">SUM(F15,F16,F33,F54)</f>
        <v>267332363</v>
      </c>
      <c r="G14" s="432">
        <f t="shared" si="0"/>
        <v>93314118</v>
      </c>
      <c r="H14" s="432">
        <f t="shared" si="0"/>
        <v>50529390</v>
      </c>
      <c r="I14" s="432">
        <f t="shared" si="0"/>
        <v>260826959</v>
      </c>
      <c r="J14" s="432">
        <f t="shared" si="0"/>
        <v>18190479</v>
      </c>
      <c r="K14" s="432">
        <f t="shared" si="0"/>
        <v>64882860</v>
      </c>
      <c r="L14" s="432">
        <f t="shared" si="0"/>
        <v>0</v>
      </c>
      <c r="M14" s="432">
        <f t="shared" si="0"/>
        <v>134349206</v>
      </c>
      <c r="N14" s="432">
        <f t="shared" si="0"/>
        <v>83405539</v>
      </c>
      <c r="O14" s="432">
        <f t="shared" si="0"/>
        <v>10109677</v>
      </c>
      <c r="P14" s="432">
        <f>IF(SUM(Q14:AB14)=SUM(AC14:AM14),SUM(Q14:AB14),"  EROARE ART/CAP")</f>
        <v>1206240392</v>
      </c>
      <c r="Q14" s="432">
        <f t="shared" ref="Q14:AM14" si="1">Q15+Q16+Q33+Q54</f>
        <v>343785823</v>
      </c>
      <c r="R14" s="432">
        <f t="shared" si="1"/>
        <v>272796164</v>
      </c>
      <c r="S14" s="432">
        <f t="shared" si="1"/>
        <v>6365936</v>
      </c>
      <c r="T14" s="432">
        <f t="shared" si="1"/>
        <v>37603059</v>
      </c>
      <c r="U14" s="432">
        <f t="shared" si="1"/>
        <v>107185671</v>
      </c>
      <c r="V14" s="432">
        <f t="shared" si="1"/>
        <v>21396934</v>
      </c>
      <c r="W14" s="432">
        <f t="shared" si="1"/>
        <v>136314992</v>
      </c>
      <c r="X14" s="432">
        <f t="shared" si="1"/>
        <v>30350441</v>
      </c>
      <c r="Y14" s="432">
        <f t="shared" si="1"/>
        <v>17694792</v>
      </c>
      <c r="Z14" s="432">
        <f t="shared" si="1"/>
        <v>195785412</v>
      </c>
      <c r="AA14" s="432">
        <f t="shared" si="1"/>
        <v>40477611</v>
      </c>
      <c r="AB14" s="432">
        <f t="shared" si="1"/>
        <v>-3516443</v>
      </c>
      <c r="AC14" s="432">
        <f t="shared" si="1"/>
        <v>211561755</v>
      </c>
      <c r="AD14" s="432">
        <f t="shared" si="1"/>
        <v>13905526</v>
      </c>
      <c r="AE14" s="432">
        <f t="shared" si="1"/>
        <v>292627067</v>
      </c>
      <c r="AF14" s="432">
        <f t="shared" si="1"/>
        <v>15528690</v>
      </c>
      <c r="AG14" s="432">
        <f t="shared" si="1"/>
        <v>96131039</v>
      </c>
      <c r="AH14" s="432">
        <f t="shared" si="1"/>
        <v>144412123</v>
      </c>
      <c r="AI14" s="432">
        <f t="shared" si="1"/>
        <v>87368199</v>
      </c>
      <c r="AJ14" s="432">
        <f t="shared" si="1"/>
        <v>58372163</v>
      </c>
      <c r="AK14" s="432">
        <f t="shared" si="1"/>
        <v>33647415</v>
      </c>
      <c r="AL14" s="432">
        <f t="shared" si="1"/>
        <v>247102883</v>
      </c>
      <c r="AM14" s="432">
        <f t="shared" si="1"/>
        <v>5583532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250238252</v>
      </c>
      <c r="E15" s="431">
        <v>93227866</v>
      </c>
      <c r="F15" s="431">
        <v>56745081</v>
      </c>
      <c r="G15" s="431">
        <v>24823911</v>
      </c>
      <c r="H15" s="431">
        <v>50529390</v>
      </c>
      <c r="I15" s="431">
        <v>0</v>
      </c>
      <c r="J15" s="431">
        <v>4769000</v>
      </c>
      <c r="K15" s="431">
        <v>16369000</v>
      </c>
      <c r="L15" s="431">
        <v>0</v>
      </c>
      <c r="M15" s="431">
        <v>69562889</v>
      </c>
      <c r="N15" s="431">
        <v>15742443</v>
      </c>
      <c r="O15" s="431">
        <v>37664</v>
      </c>
      <c r="P15" s="432">
        <f t="shared" ref="P15:P78" si="2">IF(SUM(Q15:AB15)=SUM(AC15:AM15),SUM(Q15:AB15),"  EROARE ART/CAP")</f>
        <v>245932835</v>
      </c>
      <c r="Q15" s="431">
        <v>37424170</v>
      </c>
      <c r="R15" s="431">
        <v>31806442</v>
      </c>
      <c r="S15" s="431">
        <v>2775143</v>
      </c>
      <c r="T15" s="431">
        <v>2700000</v>
      </c>
      <c r="U15" s="431">
        <v>84519949</v>
      </c>
      <c r="V15" s="431">
        <v>7408217</v>
      </c>
      <c r="W15" s="431">
        <v>42191046</v>
      </c>
      <c r="X15" s="431">
        <v>8808917</v>
      </c>
      <c r="Y15" s="431">
        <v>5123677</v>
      </c>
      <c r="Z15" s="431">
        <v>18677155</v>
      </c>
      <c r="AA15" s="431">
        <v>6784380</v>
      </c>
      <c r="AB15" s="431">
        <v>-2286261</v>
      </c>
      <c r="AC15" s="431">
        <v>77815587</v>
      </c>
      <c r="AD15" s="431">
        <v>1123192</v>
      </c>
      <c r="AE15" s="431">
        <v>27264160</v>
      </c>
      <c r="AF15" s="431">
        <v>6483019</v>
      </c>
      <c r="AG15" s="431">
        <v>16001892</v>
      </c>
      <c r="AH15" s="431">
        <v>85881785</v>
      </c>
      <c r="AI15" s="431">
        <v>7408217</v>
      </c>
      <c r="AJ15" s="431">
        <v>0</v>
      </c>
      <c r="AK15" s="431">
        <v>0</v>
      </c>
      <c r="AL15" s="431">
        <v>22776983</v>
      </c>
      <c r="AM15" s="431">
        <v>1178000</v>
      </c>
    </row>
    <row r="16" spans="1:39" s="155" customFormat="1" ht="12" x14ac:dyDescent="0.2">
      <c r="A16" s="156" t="s">
        <v>72</v>
      </c>
      <c r="B16" s="157"/>
      <c r="C16" s="159"/>
      <c r="D16" s="432">
        <f>E16+SUM(H16:O16)</f>
        <v>398449936</v>
      </c>
      <c r="E16" s="433">
        <f>SUM(E18:E32)</f>
        <v>279585701</v>
      </c>
      <c r="F16" s="433">
        <f t="shared" ref="F16:O16" si="3">SUM(F18:F32)</f>
        <v>142965654</v>
      </c>
      <c r="G16" s="433">
        <f t="shared" si="3"/>
        <v>3458091</v>
      </c>
      <c r="H16" s="433">
        <f t="shared" si="3"/>
        <v>0</v>
      </c>
      <c r="I16" s="433">
        <f t="shared" si="3"/>
        <v>108933111</v>
      </c>
      <c r="J16" s="433">
        <f t="shared" si="3"/>
        <v>0</v>
      </c>
      <c r="K16" s="433">
        <f t="shared" si="3"/>
        <v>1201000</v>
      </c>
      <c r="L16" s="433">
        <f t="shared" si="3"/>
        <v>0</v>
      </c>
      <c r="M16" s="433">
        <f t="shared" si="3"/>
        <v>4455857</v>
      </c>
      <c r="N16" s="433">
        <f t="shared" si="3"/>
        <v>3644828</v>
      </c>
      <c r="O16" s="433">
        <f t="shared" si="3"/>
        <v>629439</v>
      </c>
      <c r="P16" s="432">
        <f t="shared" si="2"/>
        <v>379651461</v>
      </c>
      <c r="Q16" s="432">
        <f>SUM(Q18:Q32)</f>
        <v>118000474</v>
      </c>
      <c r="R16" s="432">
        <f t="shared" ref="R16:AM16" si="4">SUM(R18:R32)</f>
        <v>111379311</v>
      </c>
      <c r="S16" s="432">
        <f t="shared" si="4"/>
        <v>2051236</v>
      </c>
      <c r="T16" s="432">
        <f t="shared" si="4"/>
        <v>34739363</v>
      </c>
      <c r="U16" s="432">
        <f t="shared" si="4"/>
        <v>13388855</v>
      </c>
      <c r="V16" s="432">
        <f t="shared" si="4"/>
        <v>10670598</v>
      </c>
      <c r="W16" s="432">
        <f t="shared" si="4"/>
        <v>15215085</v>
      </c>
      <c r="X16" s="432">
        <f t="shared" si="4"/>
        <v>8630104</v>
      </c>
      <c r="Y16" s="432">
        <f t="shared" si="4"/>
        <v>4863395</v>
      </c>
      <c r="Z16" s="432">
        <f t="shared" si="4"/>
        <v>35533153</v>
      </c>
      <c r="AA16" s="432">
        <f t="shared" si="4"/>
        <v>25482612</v>
      </c>
      <c r="AB16" s="432">
        <f t="shared" si="4"/>
        <v>-302725</v>
      </c>
      <c r="AC16" s="432">
        <f t="shared" si="4"/>
        <v>34336918</v>
      </c>
      <c r="AD16" s="432">
        <f t="shared" si="4"/>
        <v>6659555</v>
      </c>
      <c r="AE16" s="432">
        <f t="shared" si="4"/>
        <v>116005608</v>
      </c>
      <c r="AF16" s="432">
        <f t="shared" si="4"/>
        <v>4050821</v>
      </c>
      <c r="AG16" s="432">
        <f t="shared" si="4"/>
        <v>47574290</v>
      </c>
      <c r="AH16" s="432">
        <f t="shared" si="4"/>
        <v>23904594</v>
      </c>
      <c r="AI16" s="432">
        <f t="shared" si="4"/>
        <v>20105067</v>
      </c>
      <c r="AJ16" s="432">
        <f t="shared" si="4"/>
        <v>28004266</v>
      </c>
      <c r="AK16" s="432">
        <f t="shared" si="4"/>
        <v>33647415</v>
      </c>
      <c r="AL16" s="432">
        <f t="shared" si="4"/>
        <v>65325538</v>
      </c>
      <c r="AM16" s="432">
        <f t="shared" si="4"/>
        <v>37389</v>
      </c>
    </row>
    <row r="17" spans="1:39" s="155" customFormat="1" ht="22.5" x14ac:dyDescent="0.2">
      <c r="A17" s="277" t="s">
        <v>2306</v>
      </c>
      <c r="B17" s="279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146">
        <v>1</v>
      </c>
      <c r="B18" s="475">
        <v>9262</v>
      </c>
      <c r="C18" s="476" t="s">
        <v>900</v>
      </c>
      <c r="D18" s="450">
        <f>E18+SUM(H18:O18)</f>
        <v>398449936</v>
      </c>
      <c r="E18" s="431">
        <v>279585701</v>
      </c>
      <c r="F18" s="431">
        <v>142965654</v>
      </c>
      <c r="G18" s="431">
        <v>3458091</v>
      </c>
      <c r="H18" s="431">
        <v>0</v>
      </c>
      <c r="I18" s="431">
        <v>108933111</v>
      </c>
      <c r="J18" s="431">
        <v>0</v>
      </c>
      <c r="K18" s="431">
        <v>1201000</v>
      </c>
      <c r="L18" s="431">
        <v>0</v>
      </c>
      <c r="M18" s="431">
        <v>4455857</v>
      </c>
      <c r="N18" s="431">
        <v>3644828</v>
      </c>
      <c r="O18" s="431">
        <v>629439</v>
      </c>
      <c r="P18" s="432">
        <f t="shared" si="2"/>
        <v>379651461</v>
      </c>
      <c r="Q18" s="431">
        <v>118000474</v>
      </c>
      <c r="R18" s="431">
        <v>111379311</v>
      </c>
      <c r="S18" s="431">
        <v>2051236</v>
      </c>
      <c r="T18" s="431">
        <v>34739363</v>
      </c>
      <c r="U18" s="431">
        <v>13388855</v>
      </c>
      <c r="V18" s="431">
        <v>10670598</v>
      </c>
      <c r="W18" s="431">
        <v>15215085</v>
      </c>
      <c r="X18" s="431">
        <v>8630104</v>
      </c>
      <c r="Y18" s="431">
        <v>4863395</v>
      </c>
      <c r="Z18" s="431">
        <v>35533153</v>
      </c>
      <c r="AA18" s="431">
        <v>25482612</v>
      </c>
      <c r="AB18" s="431">
        <v>-302725</v>
      </c>
      <c r="AC18" s="431">
        <v>34336918</v>
      </c>
      <c r="AD18" s="431">
        <v>6659555</v>
      </c>
      <c r="AE18" s="431">
        <v>116005608</v>
      </c>
      <c r="AF18" s="431">
        <v>4050821</v>
      </c>
      <c r="AG18" s="431">
        <v>47574290</v>
      </c>
      <c r="AH18" s="431">
        <v>23904594</v>
      </c>
      <c r="AI18" s="431">
        <v>20105067</v>
      </c>
      <c r="AJ18" s="431">
        <v>28004266</v>
      </c>
      <c r="AK18" s="431">
        <v>33647415</v>
      </c>
      <c r="AL18" s="431">
        <v>65325538</v>
      </c>
      <c r="AM18" s="431">
        <v>37389</v>
      </c>
    </row>
    <row r="19" spans="1:39" s="155" customFormat="1" ht="12" hidden="1" x14ac:dyDescent="0.2">
      <c r="A19" s="146">
        <v>2</v>
      </c>
      <c r="B19" s="146"/>
      <c r="C19" s="244"/>
      <c r="D19" s="432">
        <f t="shared" ref="D19:D33" si="5">E19+SUM(H19:O19)</f>
        <v>0</v>
      </c>
      <c r="E19" s="434"/>
      <c r="F19" s="434"/>
      <c r="G19" s="434"/>
      <c r="H19" s="434"/>
      <c r="I19" s="434"/>
      <c r="J19" s="434"/>
      <c r="K19" s="434"/>
      <c r="L19" s="434"/>
      <c r="M19" s="434"/>
      <c r="N19" s="434"/>
      <c r="O19" s="434"/>
      <c r="P19" s="432">
        <f t="shared" si="2"/>
        <v>0</v>
      </c>
      <c r="Q19" s="435"/>
      <c r="R19" s="435"/>
      <c r="S19" s="435"/>
      <c r="T19" s="435"/>
      <c r="U19" s="435"/>
      <c r="V19" s="431"/>
      <c r="W19" s="431"/>
      <c r="X19" s="431"/>
      <c r="Y19" s="431"/>
      <c r="Z19" s="431"/>
      <c r="AA19" s="431"/>
      <c r="AB19" s="431"/>
      <c r="AC19" s="434"/>
      <c r="AD19" s="434"/>
      <c r="AE19" s="434"/>
      <c r="AF19" s="434"/>
      <c r="AG19" s="434"/>
      <c r="AH19" s="434"/>
      <c r="AI19" s="434"/>
      <c r="AJ19" s="434"/>
      <c r="AK19" s="434"/>
      <c r="AL19" s="434"/>
      <c r="AM19" s="434"/>
    </row>
    <row r="20" spans="1:39" s="155" customFormat="1" ht="12" hidden="1" x14ac:dyDescent="0.2">
      <c r="A20" s="146">
        <v>3</v>
      </c>
      <c r="B20" s="146"/>
      <c r="C20" s="206"/>
      <c r="D20" s="432">
        <f t="shared" si="5"/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2">
        <f t="shared" si="2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</row>
    <row r="21" spans="1:39" s="155" customFormat="1" ht="12" hidden="1" x14ac:dyDescent="0.2">
      <c r="A21" s="146">
        <v>4</v>
      </c>
      <c r="B21" s="146"/>
      <c r="C21" s="206"/>
      <c r="D21" s="432">
        <f t="shared" si="5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2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146">
        <v>5</v>
      </c>
      <c r="B22" s="146"/>
      <c r="C22" s="206"/>
      <c r="D22" s="432">
        <f t="shared" si="5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2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146"/>
      <c r="C23" s="206"/>
      <c r="D23" s="432">
        <f t="shared" si="5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2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46"/>
      <c r="C24" s="206"/>
      <c r="D24" s="432">
        <f t="shared" si="5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2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46"/>
      <c r="C25" s="206"/>
      <c r="D25" s="432">
        <f t="shared" si="5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2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46"/>
      <c r="C26" s="206"/>
      <c r="D26" s="432">
        <f t="shared" si="5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2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46"/>
      <c r="C27" s="206"/>
      <c r="D27" s="432">
        <f t="shared" si="5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2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46"/>
      <c r="C28" s="206"/>
      <c r="D28" s="432">
        <f t="shared" si="5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2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46"/>
      <c r="C29" s="206"/>
      <c r="D29" s="432">
        <f t="shared" si="5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2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46"/>
      <c r="C30" s="206"/>
      <c r="D30" s="432">
        <f t="shared" si="5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2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46"/>
      <c r="C31" s="206"/>
      <c r="D31" s="432">
        <f t="shared" si="5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2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46"/>
      <c r="C32" s="207"/>
      <c r="D32" s="432">
        <f t="shared" si="5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2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4"/>
      <c r="C33" s="208"/>
      <c r="D33" s="432">
        <f t="shared" si="5"/>
        <v>203204621</v>
      </c>
      <c r="E33" s="432">
        <f>SUM(E34:E53)</f>
        <v>93755209</v>
      </c>
      <c r="F33" s="432">
        <f t="shared" ref="F33:O33" si="6">SUM(F34:F53)</f>
        <v>43372619</v>
      </c>
      <c r="G33" s="432">
        <f t="shared" si="6"/>
        <v>6220896</v>
      </c>
      <c r="H33" s="432">
        <f t="shared" si="6"/>
        <v>0</v>
      </c>
      <c r="I33" s="432">
        <f t="shared" si="6"/>
        <v>54096658</v>
      </c>
      <c r="J33" s="432">
        <f t="shared" si="6"/>
        <v>1758000</v>
      </c>
      <c r="K33" s="432">
        <f t="shared" si="6"/>
        <v>9953250</v>
      </c>
      <c r="L33" s="432">
        <f t="shared" si="6"/>
        <v>0</v>
      </c>
      <c r="M33" s="432">
        <f t="shared" si="6"/>
        <v>13180795</v>
      </c>
      <c r="N33" s="432">
        <f t="shared" si="6"/>
        <v>25471589</v>
      </c>
      <c r="O33" s="432">
        <f t="shared" si="6"/>
        <v>4989120</v>
      </c>
      <c r="P33" s="432">
        <f t="shared" si="2"/>
        <v>202707487</v>
      </c>
      <c r="Q33" s="432">
        <f>SUM(Q34:Q53)</f>
        <v>68096179</v>
      </c>
      <c r="R33" s="432">
        <f t="shared" ref="R33:AM33" si="7">SUM(R34:R53)</f>
        <v>45388038</v>
      </c>
      <c r="S33" s="432">
        <f t="shared" si="7"/>
        <v>1264531</v>
      </c>
      <c r="T33" s="432">
        <f t="shared" si="7"/>
        <v>29696</v>
      </c>
      <c r="U33" s="432">
        <f t="shared" si="7"/>
        <v>4296755</v>
      </c>
      <c r="V33" s="432">
        <f t="shared" si="7"/>
        <v>221960</v>
      </c>
      <c r="W33" s="432">
        <f t="shared" si="7"/>
        <v>38495899</v>
      </c>
      <c r="X33" s="432">
        <f t="shared" si="7"/>
        <v>2819812</v>
      </c>
      <c r="Y33" s="432">
        <f t="shared" si="7"/>
        <v>5329219</v>
      </c>
      <c r="Z33" s="432">
        <f t="shared" si="7"/>
        <v>33922545</v>
      </c>
      <c r="AA33" s="432">
        <f t="shared" si="7"/>
        <v>3315821</v>
      </c>
      <c r="AB33" s="432">
        <f t="shared" si="7"/>
        <v>-472968</v>
      </c>
      <c r="AC33" s="432">
        <f t="shared" si="7"/>
        <v>32561405</v>
      </c>
      <c r="AD33" s="432">
        <f t="shared" si="7"/>
        <v>2333681</v>
      </c>
      <c r="AE33" s="432">
        <f t="shared" si="7"/>
        <v>56891789</v>
      </c>
      <c r="AF33" s="432">
        <f t="shared" si="7"/>
        <v>4573653</v>
      </c>
      <c r="AG33" s="432">
        <f t="shared" si="7"/>
        <v>12445806</v>
      </c>
      <c r="AH33" s="432">
        <f t="shared" si="7"/>
        <v>9744034</v>
      </c>
      <c r="AI33" s="432">
        <f t="shared" si="7"/>
        <v>19121909</v>
      </c>
      <c r="AJ33" s="432">
        <f t="shared" si="7"/>
        <v>8496927</v>
      </c>
      <c r="AK33" s="432">
        <f t="shared" si="7"/>
        <v>0</v>
      </c>
      <c r="AL33" s="432">
        <f t="shared" si="7"/>
        <v>55286426</v>
      </c>
      <c r="AM33" s="432">
        <f t="shared" si="7"/>
        <v>1251857</v>
      </c>
    </row>
    <row r="34" spans="1:39" s="155" customFormat="1" ht="12" x14ac:dyDescent="0.2">
      <c r="A34" s="146">
        <v>1</v>
      </c>
      <c r="B34" s="477">
        <v>9459</v>
      </c>
      <c r="C34" s="476" t="s">
        <v>2307</v>
      </c>
      <c r="D34" s="450">
        <f t="shared" ref="D34:D42" si="8">E34+SUM(H34:O34)</f>
        <v>25791131</v>
      </c>
      <c r="E34" s="431">
        <v>15116845</v>
      </c>
      <c r="F34" s="431">
        <v>8429210</v>
      </c>
      <c r="G34" s="431">
        <v>248935</v>
      </c>
      <c r="H34" s="431">
        <v>0</v>
      </c>
      <c r="I34" s="431">
        <v>6957858</v>
      </c>
      <c r="J34" s="431">
        <v>0</v>
      </c>
      <c r="K34" s="431">
        <v>86000</v>
      </c>
      <c r="L34" s="431">
        <v>0</v>
      </c>
      <c r="M34" s="431">
        <v>3368228</v>
      </c>
      <c r="N34" s="431">
        <v>0</v>
      </c>
      <c r="O34" s="431">
        <v>262200</v>
      </c>
      <c r="P34" s="432">
        <f t="shared" si="2"/>
        <v>23209985</v>
      </c>
      <c r="Q34" s="458">
        <v>7875746</v>
      </c>
      <c r="R34" s="458">
        <v>4466368</v>
      </c>
      <c r="S34" s="458">
        <v>0</v>
      </c>
      <c r="T34" s="458">
        <v>0</v>
      </c>
      <c r="U34" s="458">
        <v>0</v>
      </c>
      <c r="V34" s="458">
        <v>0</v>
      </c>
      <c r="W34" s="458">
        <v>0</v>
      </c>
      <c r="X34" s="458">
        <v>400328</v>
      </c>
      <c r="Y34" s="458">
        <v>808781</v>
      </c>
      <c r="Z34" s="458">
        <v>9658762</v>
      </c>
      <c r="AA34" s="458">
        <v>0</v>
      </c>
      <c r="AB34" s="458">
        <v>0</v>
      </c>
      <c r="AC34" s="458">
        <v>2538618</v>
      </c>
      <c r="AD34" s="458">
        <v>273004</v>
      </c>
      <c r="AE34" s="458">
        <v>6498682</v>
      </c>
      <c r="AF34" s="458">
        <v>100574</v>
      </c>
      <c r="AG34" s="458">
        <v>1514685</v>
      </c>
      <c r="AH34" s="458">
        <v>934313</v>
      </c>
      <c r="AI34" s="458">
        <v>3667252</v>
      </c>
      <c r="AJ34" s="458">
        <v>3280419</v>
      </c>
      <c r="AK34" s="458">
        <v>0</v>
      </c>
      <c r="AL34" s="458">
        <v>4389659</v>
      </c>
      <c r="AM34" s="458">
        <v>12779</v>
      </c>
    </row>
    <row r="35" spans="1:39" s="155" customFormat="1" ht="12" x14ac:dyDescent="0.2">
      <c r="A35" s="146">
        <v>2</v>
      </c>
      <c r="B35" s="477">
        <v>9495</v>
      </c>
      <c r="C35" s="476" t="s">
        <v>2308</v>
      </c>
      <c r="D35" s="450">
        <f t="shared" si="8"/>
        <v>16907256</v>
      </c>
      <c r="E35" s="431">
        <v>12099010</v>
      </c>
      <c r="F35" s="431">
        <v>7239463</v>
      </c>
      <c r="G35" s="431">
        <v>329824</v>
      </c>
      <c r="H35" s="431">
        <v>0</v>
      </c>
      <c r="I35" s="431">
        <v>4320162</v>
      </c>
      <c r="J35" s="431">
        <v>0</v>
      </c>
      <c r="K35" s="431">
        <v>398000</v>
      </c>
      <c r="L35" s="431">
        <v>0</v>
      </c>
      <c r="M35" s="431">
        <v>90084</v>
      </c>
      <c r="N35" s="431">
        <v>0</v>
      </c>
      <c r="O35" s="431">
        <v>0</v>
      </c>
      <c r="P35" s="432">
        <f t="shared" si="2"/>
        <v>18486959</v>
      </c>
      <c r="Q35" s="458">
        <v>5683869</v>
      </c>
      <c r="R35" s="458">
        <v>5997203</v>
      </c>
      <c r="S35" s="458">
        <v>85882</v>
      </c>
      <c r="T35" s="458">
        <v>0</v>
      </c>
      <c r="U35" s="458">
        <v>386581</v>
      </c>
      <c r="V35" s="458">
        <v>0</v>
      </c>
      <c r="W35" s="458">
        <v>0</v>
      </c>
      <c r="X35" s="458">
        <v>294628</v>
      </c>
      <c r="Y35" s="458">
        <v>671860</v>
      </c>
      <c r="Z35" s="458">
        <v>5370876</v>
      </c>
      <c r="AA35" s="458">
        <v>120953</v>
      </c>
      <c r="AB35" s="458">
        <v>-124893</v>
      </c>
      <c r="AC35" s="458">
        <v>3588145</v>
      </c>
      <c r="AD35" s="458">
        <v>0</v>
      </c>
      <c r="AE35" s="458">
        <v>4406881</v>
      </c>
      <c r="AF35" s="458">
        <v>55025</v>
      </c>
      <c r="AG35" s="458">
        <v>988426</v>
      </c>
      <c r="AH35" s="458">
        <v>655130</v>
      </c>
      <c r="AI35" s="458">
        <v>379760</v>
      </c>
      <c r="AJ35" s="458">
        <v>113652</v>
      </c>
      <c r="AK35" s="458">
        <v>0</v>
      </c>
      <c r="AL35" s="458">
        <v>7634008</v>
      </c>
      <c r="AM35" s="458">
        <v>665932</v>
      </c>
    </row>
    <row r="36" spans="1:39" s="155" customFormat="1" ht="12" x14ac:dyDescent="0.2">
      <c r="A36" s="146">
        <v>3</v>
      </c>
      <c r="B36" s="477">
        <v>9538</v>
      </c>
      <c r="C36" s="476" t="s">
        <v>2309</v>
      </c>
      <c r="D36" s="450">
        <f t="shared" si="8"/>
        <v>28208310</v>
      </c>
      <c r="E36" s="431">
        <v>12051210</v>
      </c>
      <c r="F36" s="431">
        <v>7756015</v>
      </c>
      <c r="G36" s="431">
        <v>195949</v>
      </c>
      <c r="H36" s="431">
        <v>0</v>
      </c>
      <c r="I36" s="431">
        <v>8185198</v>
      </c>
      <c r="J36" s="431">
        <v>800000</v>
      </c>
      <c r="K36" s="431">
        <v>68000</v>
      </c>
      <c r="L36" s="431">
        <v>0</v>
      </c>
      <c r="M36" s="431">
        <v>2609713</v>
      </c>
      <c r="N36" s="431">
        <v>463412</v>
      </c>
      <c r="O36" s="431">
        <v>4030777</v>
      </c>
      <c r="P36" s="432">
        <f t="shared" si="2"/>
        <v>28199309</v>
      </c>
      <c r="Q36" s="458">
        <v>12640637</v>
      </c>
      <c r="R36" s="458">
        <v>7725651</v>
      </c>
      <c r="S36" s="458">
        <v>83665</v>
      </c>
      <c r="T36" s="458">
        <v>0</v>
      </c>
      <c r="U36" s="458">
        <v>1525200</v>
      </c>
      <c r="V36" s="458">
        <v>162440</v>
      </c>
      <c r="W36" s="458">
        <v>398622</v>
      </c>
      <c r="X36" s="458">
        <v>87881</v>
      </c>
      <c r="Y36" s="458">
        <v>214502</v>
      </c>
      <c r="Z36" s="458">
        <v>4508501</v>
      </c>
      <c r="AA36" s="458">
        <v>902779</v>
      </c>
      <c r="AB36" s="458">
        <v>-50569</v>
      </c>
      <c r="AC36" s="458">
        <v>2783823</v>
      </c>
      <c r="AD36" s="458">
        <v>277684</v>
      </c>
      <c r="AE36" s="458">
        <v>11697560</v>
      </c>
      <c r="AF36" s="458">
        <v>827319</v>
      </c>
      <c r="AG36" s="458">
        <v>1311900</v>
      </c>
      <c r="AH36" s="458">
        <v>2207252</v>
      </c>
      <c r="AI36" s="458">
        <v>1700685</v>
      </c>
      <c r="AJ36" s="458">
        <v>886614</v>
      </c>
      <c r="AK36" s="458">
        <v>0</v>
      </c>
      <c r="AL36" s="458">
        <v>6506472</v>
      </c>
      <c r="AM36" s="458">
        <v>0</v>
      </c>
    </row>
    <row r="37" spans="1:39" s="155" customFormat="1" ht="12" x14ac:dyDescent="0.2">
      <c r="A37" s="146">
        <v>4</v>
      </c>
      <c r="B37" s="477">
        <v>9574</v>
      </c>
      <c r="C37" s="476" t="s">
        <v>2310</v>
      </c>
      <c r="D37" s="450">
        <f t="shared" si="8"/>
        <v>35154163</v>
      </c>
      <c r="E37" s="431">
        <v>10476110</v>
      </c>
      <c r="F37" s="431">
        <v>4608224</v>
      </c>
      <c r="G37" s="431">
        <v>327848</v>
      </c>
      <c r="H37" s="431">
        <v>0</v>
      </c>
      <c r="I37" s="431">
        <v>6549541</v>
      </c>
      <c r="J37" s="431">
        <v>0</v>
      </c>
      <c r="K37" s="431">
        <v>654000</v>
      </c>
      <c r="L37" s="431">
        <v>0</v>
      </c>
      <c r="M37" s="431">
        <v>4574489</v>
      </c>
      <c r="N37" s="431">
        <v>12847523</v>
      </c>
      <c r="O37" s="431">
        <v>52500</v>
      </c>
      <c r="P37" s="432">
        <f t="shared" si="2"/>
        <v>36912450</v>
      </c>
      <c r="Q37" s="458">
        <v>8118962</v>
      </c>
      <c r="R37" s="458">
        <v>4265463</v>
      </c>
      <c r="S37" s="458">
        <v>46499</v>
      </c>
      <c r="T37" s="458">
        <v>29696</v>
      </c>
      <c r="U37" s="458">
        <v>358000</v>
      </c>
      <c r="V37" s="458">
        <v>0</v>
      </c>
      <c r="W37" s="458">
        <v>21928781</v>
      </c>
      <c r="X37" s="458">
        <v>505918</v>
      </c>
      <c r="Y37" s="458">
        <v>865000</v>
      </c>
      <c r="Z37" s="458">
        <v>461000</v>
      </c>
      <c r="AA37" s="458">
        <v>362958</v>
      </c>
      <c r="AB37" s="458">
        <v>-29827</v>
      </c>
      <c r="AC37" s="458">
        <v>3693005</v>
      </c>
      <c r="AD37" s="458">
        <v>524665</v>
      </c>
      <c r="AE37" s="458">
        <v>6588693</v>
      </c>
      <c r="AF37" s="458">
        <v>459553</v>
      </c>
      <c r="AG37" s="458">
        <v>1118206</v>
      </c>
      <c r="AH37" s="458">
        <v>812287</v>
      </c>
      <c r="AI37" s="458">
        <v>639277</v>
      </c>
      <c r="AJ37" s="458">
        <v>261613</v>
      </c>
      <c r="AK37" s="458">
        <v>0</v>
      </c>
      <c r="AL37" s="458">
        <v>22267457</v>
      </c>
      <c r="AM37" s="458">
        <v>547694</v>
      </c>
    </row>
    <row r="38" spans="1:39" s="155" customFormat="1" ht="12" x14ac:dyDescent="0.2">
      <c r="A38" s="146">
        <v>5</v>
      </c>
      <c r="B38" s="477">
        <v>9627</v>
      </c>
      <c r="C38" s="476" t="s">
        <v>2311</v>
      </c>
      <c r="D38" s="450">
        <f t="shared" si="8"/>
        <v>21892776</v>
      </c>
      <c r="E38" s="431">
        <v>7477665</v>
      </c>
      <c r="F38" s="431">
        <v>1636202</v>
      </c>
      <c r="G38" s="431">
        <v>867387</v>
      </c>
      <c r="H38" s="431">
        <v>0</v>
      </c>
      <c r="I38" s="431">
        <v>4912566</v>
      </c>
      <c r="J38" s="431">
        <v>0</v>
      </c>
      <c r="K38" s="431">
        <v>1972000</v>
      </c>
      <c r="L38" s="431">
        <v>0</v>
      </c>
      <c r="M38" s="431">
        <v>644693</v>
      </c>
      <c r="N38" s="431">
        <v>6703088</v>
      </c>
      <c r="O38" s="431">
        <v>182764</v>
      </c>
      <c r="P38" s="432">
        <f t="shared" si="2"/>
        <v>20977093</v>
      </c>
      <c r="Q38" s="458">
        <v>6785816</v>
      </c>
      <c r="R38" s="458">
        <v>3304294</v>
      </c>
      <c r="S38" s="458">
        <v>162758</v>
      </c>
      <c r="T38" s="458">
        <v>0</v>
      </c>
      <c r="U38" s="458">
        <v>0</v>
      </c>
      <c r="V38" s="458">
        <v>59520</v>
      </c>
      <c r="W38" s="458">
        <v>8907095</v>
      </c>
      <c r="X38" s="458">
        <v>203367</v>
      </c>
      <c r="Y38" s="458">
        <v>365323</v>
      </c>
      <c r="Z38" s="458">
        <v>1233314</v>
      </c>
      <c r="AA38" s="458">
        <v>0</v>
      </c>
      <c r="AB38" s="458">
        <v>-44394</v>
      </c>
      <c r="AC38" s="458">
        <v>9265657</v>
      </c>
      <c r="AD38" s="458">
        <v>565297</v>
      </c>
      <c r="AE38" s="458">
        <v>4962443</v>
      </c>
      <c r="AF38" s="458">
        <v>381439</v>
      </c>
      <c r="AG38" s="458">
        <v>756011</v>
      </c>
      <c r="AH38" s="458">
        <v>834501</v>
      </c>
      <c r="AI38" s="458">
        <v>617510</v>
      </c>
      <c r="AJ38" s="458">
        <v>865421</v>
      </c>
      <c r="AK38" s="458">
        <v>0</v>
      </c>
      <c r="AL38" s="458">
        <v>2728814</v>
      </c>
      <c r="AM38" s="458">
        <v>0</v>
      </c>
    </row>
    <row r="39" spans="1:39" s="155" customFormat="1" ht="12" x14ac:dyDescent="0.2">
      <c r="A39" s="146">
        <v>6</v>
      </c>
      <c r="B39" s="477">
        <v>9654</v>
      </c>
      <c r="C39" s="476" t="s">
        <v>2312</v>
      </c>
      <c r="D39" s="450">
        <f t="shared" si="8"/>
        <v>12631586</v>
      </c>
      <c r="E39" s="431">
        <v>7019074</v>
      </c>
      <c r="F39" s="431">
        <v>2572436</v>
      </c>
      <c r="G39" s="431">
        <v>1837489</v>
      </c>
      <c r="H39" s="431">
        <v>0</v>
      </c>
      <c r="I39" s="431">
        <v>3803545</v>
      </c>
      <c r="J39" s="431">
        <v>150000</v>
      </c>
      <c r="K39" s="431">
        <v>462000</v>
      </c>
      <c r="L39" s="431">
        <v>0</v>
      </c>
      <c r="M39" s="431">
        <v>254139</v>
      </c>
      <c r="N39" s="431">
        <v>942828</v>
      </c>
      <c r="O39" s="431">
        <v>0</v>
      </c>
      <c r="P39" s="432">
        <f t="shared" si="2"/>
        <v>12316766</v>
      </c>
      <c r="Q39" s="458">
        <v>4165855</v>
      </c>
      <c r="R39" s="458">
        <v>2551175</v>
      </c>
      <c r="S39" s="458">
        <v>115699</v>
      </c>
      <c r="T39" s="458">
        <v>0</v>
      </c>
      <c r="U39" s="458">
        <v>12000</v>
      </c>
      <c r="V39" s="458">
        <v>0</v>
      </c>
      <c r="W39" s="458">
        <v>1244419</v>
      </c>
      <c r="X39" s="458">
        <v>143438</v>
      </c>
      <c r="Y39" s="458">
        <v>1404000</v>
      </c>
      <c r="Z39" s="458">
        <v>2522654</v>
      </c>
      <c r="AA39" s="458">
        <v>157526</v>
      </c>
      <c r="AB39" s="458">
        <v>0</v>
      </c>
      <c r="AC39" s="458">
        <v>1356560</v>
      </c>
      <c r="AD39" s="458">
        <v>13938</v>
      </c>
      <c r="AE39" s="458">
        <v>3597210</v>
      </c>
      <c r="AF39" s="458">
        <v>29206</v>
      </c>
      <c r="AG39" s="458">
        <v>1671424</v>
      </c>
      <c r="AH39" s="458">
        <v>613235</v>
      </c>
      <c r="AI39" s="458">
        <v>4799747</v>
      </c>
      <c r="AJ39" s="458">
        <v>70421</v>
      </c>
      <c r="AK39" s="458">
        <v>0</v>
      </c>
      <c r="AL39" s="458">
        <v>139573</v>
      </c>
      <c r="AM39" s="458">
        <v>25452</v>
      </c>
    </row>
    <row r="40" spans="1:39" s="155" customFormat="1" ht="12" x14ac:dyDescent="0.2">
      <c r="A40" s="146">
        <v>7</v>
      </c>
      <c r="B40" s="477">
        <v>11584</v>
      </c>
      <c r="C40" s="476" t="s">
        <v>2313</v>
      </c>
      <c r="D40" s="450">
        <f t="shared" si="8"/>
        <v>25327983</v>
      </c>
      <c r="E40" s="431">
        <v>13783834</v>
      </c>
      <c r="F40" s="431">
        <v>5037299</v>
      </c>
      <c r="G40" s="431">
        <v>937440</v>
      </c>
      <c r="H40" s="431">
        <v>0</v>
      </c>
      <c r="I40" s="431">
        <v>6344052</v>
      </c>
      <c r="J40" s="431">
        <v>268000</v>
      </c>
      <c r="K40" s="431">
        <v>2054000</v>
      </c>
      <c r="L40" s="431">
        <v>0</v>
      </c>
      <c r="M40" s="431">
        <v>207100</v>
      </c>
      <c r="N40" s="431">
        <v>2470885</v>
      </c>
      <c r="O40" s="431">
        <v>200112</v>
      </c>
      <c r="P40" s="432">
        <f t="shared" si="2"/>
        <v>25205551</v>
      </c>
      <c r="Q40" s="458">
        <v>8436674</v>
      </c>
      <c r="R40" s="458">
        <v>7894350</v>
      </c>
      <c r="S40" s="458">
        <v>143907</v>
      </c>
      <c r="T40" s="458">
        <v>0</v>
      </c>
      <c r="U40" s="458">
        <v>0</v>
      </c>
      <c r="V40" s="458">
        <v>0</v>
      </c>
      <c r="W40" s="458">
        <v>2705094</v>
      </c>
      <c r="X40" s="458">
        <v>313718</v>
      </c>
      <c r="Y40" s="458">
        <v>321125</v>
      </c>
      <c r="Z40" s="458">
        <v>4910674</v>
      </c>
      <c r="AA40" s="458">
        <v>500576</v>
      </c>
      <c r="AB40" s="458">
        <v>-20567</v>
      </c>
      <c r="AC40" s="458">
        <v>3256818</v>
      </c>
      <c r="AD40" s="458">
        <v>532453</v>
      </c>
      <c r="AE40" s="458">
        <v>7162816</v>
      </c>
      <c r="AF40" s="458">
        <v>17457</v>
      </c>
      <c r="AG40" s="458">
        <v>1324195</v>
      </c>
      <c r="AH40" s="458">
        <v>1200534</v>
      </c>
      <c r="AI40" s="458">
        <v>4755963</v>
      </c>
      <c r="AJ40" s="458">
        <v>1150732</v>
      </c>
      <c r="AK40" s="458">
        <v>0</v>
      </c>
      <c r="AL40" s="458">
        <v>5804583</v>
      </c>
      <c r="AM40" s="458">
        <v>0</v>
      </c>
    </row>
    <row r="41" spans="1:39" s="155" customFormat="1" ht="12" x14ac:dyDescent="0.2">
      <c r="A41" s="146">
        <v>8</v>
      </c>
      <c r="B41" s="477">
        <v>12091</v>
      </c>
      <c r="C41" s="476" t="s">
        <v>2314</v>
      </c>
      <c r="D41" s="450">
        <f t="shared" si="8"/>
        <v>20314251</v>
      </c>
      <c r="E41" s="431">
        <v>9096450</v>
      </c>
      <c r="F41" s="431">
        <v>3230457</v>
      </c>
      <c r="G41" s="431">
        <v>968336</v>
      </c>
      <c r="H41" s="431">
        <v>0</v>
      </c>
      <c r="I41" s="431">
        <v>7473508</v>
      </c>
      <c r="J41" s="431">
        <v>0</v>
      </c>
      <c r="K41" s="431">
        <v>2243000</v>
      </c>
      <c r="L41" s="431">
        <v>0</v>
      </c>
      <c r="M41" s="431">
        <v>821923</v>
      </c>
      <c r="N41" s="431">
        <v>613603</v>
      </c>
      <c r="O41" s="431">
        <v>65767</v>
      </c>
      <c r="P41" s="432">
        <f t="shared" si="2"/>
        <v>20422210</v>
      </c>
      <c r="Q41" s="458">
        <v>8427813</v>
      </c>
      <c r="R41" s="458">
        <v>5704580</v>
      </c>
      <c r="S41" s="458">
        <v>4913</v>
      </c>
      <c r="T41" s="458">
        <v>0</v>
      </c>
      <c r="U41" s="458">
        <v>0</v>
      </c>
      <c r="V41" s="458">
        <v>0</v>
      </c>
      <c r="W41" s="458">
        <v>1119704</v>
      </c>
      <c r="X41" s="458">
        <v>462801</v>
      </c>
      <c r="Y41" s="458">
        <v>678628</v>
      </c>
      <c r="Z41" s="458">
        <v>4012646</v>
      </c>
      <c r="AA41" s="458">
        <v>11125</v>
      </c>
      <c r="AB41" s="458">
        <v>0</v>
      </c>
      <c r="AC41" s="458">
        <v>3185369</v>
      </c>
      <c r="AD41" s="458">
        <v>109433</v>
      </c>
      <c r="AE41" s="458">
        <v>7378897</v>
      </c>
      <c r="AF41" s="458">
        <v>100205</v>
      </c>
      <c r="AG41" s="458">
        <v>1150141</v>
      </c>
      <c r="AH41" s="458">
        <v>1454596</v>
      </c>
      <c r="AI41" s="458">
        <v>1827417</v>
      </c>
      <c r="AJ41" s="458">
        <v>1023839</v>
      </c>
      <c r="AK41" s="458">
        <v>0</v>
      </c>
      <c r="AL41" s="458">
        <v>4192313</v>
      </c>
      <c r="AM41" s="458">
        <v>0</v>
      </c>
    </row>
    <row r="42" spans="1:39" s="155" customFormat="1" ht="12" x14ac:dyDescent="0.2">
      <c r="A42" s="146">
        <v>9</v>
      </c>
      <c r="B42" s="477">
        <v>9690</v>
      </c>
      <c r="C42" s="476" t="s">
        <v>2315</v>
      </c>
      <c r="D42" s="450">
        <f t="shared" si="8"/>
        <v>16977165</v>
      </c>
      <c r="E42" s="431">
        <v>6635011</v>
      </c>
      <c r="F42" s="431">
        <v>2863313</v>
      </c>
      <c r="G42" s="431">
        <v>507688</v>
      </c>
      <c r="H42" s="431">
        <v>0</v>
      </c>
      <c r="I42" s="431">
        <v>5550228</v>
      </c>
      <c r="J42" s="431">
        <v>540000</v>
      </c>
      <c r="K42" s="431">
        <v>2016250</v>
      </c>
      <c r="L42" s="431">
        <v>0</v>
      </c>
      <c r="M42" s="431">
        <v>610426</v>
      </c>
      <c r="N42" s="431">
        <v>1430250</v>
      </c>
      <c r="O42" s="431">
        <v>195000</v>
      </c>
      <c r="P42" s="432">
        <f t="shared" si="2"/>
        <v>16977164</v>
      </c>
      <c r="Q42" s="458">
        <v>5960807</v>
      </c>
      <c r="R42" s="458">
        <v>3478954</v>
      </c>
      <c r="S42" s="458">
        <v>621208</v>
      </c>
      <c r="T42" s="458">
        <v>0</v>
      </c>
      <c r="U42" s="458">
        <v>2014974</v>
      </c>
      <c r="V42" s="458">
        <v>0</v>
      </c>
      <c r="W42" s="458">
        <v>2192184</v>
      </c>
      <c r="X42" s="458">
        <v>407733</v>
      </c>
      <c r="Y42" s="458">
        <v>0</v>
      </c>
      <c r="Z42" s="458">
        <v>1244118</v>
      </c>
      <c r="AA42" s="458">
        <v>1259904</v>
      </c>
      <c r="AB42" s="458">
        <v>-202718</v>
      </c>
      <c r="AC42" s="458">
        <v>2893410</v>
      </c>
      <c r="AD42" s="458">
        <v>37207</v>
      </c>
      <c r="AE42" s="458">
        <v>4598607</v>
      </c>
      <c r="AF42" s="458">
        <v>2602875</v>
      </c>
      <c r="AG42" s="458">
        <v>2610818</v>
      </c>
      <c r="AH42" s="458">
        <v>1032186</v>
      </c>
      <c r="AI42" s="458">
        <v>734298</v>
      </c>
      <c r="AJ42" s="458">
        <v>844216</v>
      </c>
      <c r="AK42" s="458">
        <v>0</v>
      </c>
      <c r="AL42" s="458">
        <v>1623547</v>
      </c>
      <c r="AM42" s="458">
        <v>0</v>
      </c>
    </row>
    <row r="43" spans="1:39" s="155" customFormat="1" ht="12" hidden="1" x14ac:dyDescent="0.2">
      <c r="A43" s="146">
        <v>10</v>
      </c>
      <c r="B43" s="478"/>
      <c r="C43" s="479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2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46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2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46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2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46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2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46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2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46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2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46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2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46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2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46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2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46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2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46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2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4"/>
      <c r="C54" s="208"/>
      <c r="D54" s="432">
        <f t="shared" ref="D54" si="9">E54+SUM(H54:O54)</f>
        <v>389661214</v>
      </c>
      <c r="E54" s="432">
        <f>SUM(E55:E143)</f>
        <v>152691137</v>
      </c>
      <c r="F54" s="432">
        <f t="shared" ref="F54:O54" si="10">SUM(F55:F143)</f>
        <v>24249009</v>
      </c>
      <c r="G54" s="432">
        <f t="shared" si="10"/>
        <v>58811220</v>
      </c>
      <c r="H54" s="432">
        <f t="shared" si="10"/>
        <v>0</v>
      </c>
      <c r="I54" s="432">
        <f t="shared" si="10"/>
        <v>97797190</v>
      </c>
      <c r="J54" s="432">
        <f t="shared" si="10"/>
        <v>11663479</v>
      </c>
      <c r="K54" s="432">
        <f t="shared" si="10"/>
        <v>37359610</v>
      </c>
      <c r="L54" s="432">
        <f t="shared" si="10"/>
        <v>0</v>
      </c>
      <c r="M54" s="432">
        <f t="shared" si="10"/>
        <v>47149665</v>
      </c>
      <c r="N54" s="432">
        <f t="shared" si="10"/>
        <v>38546679</v>
      </c>
      <c r="O54" s="432">
        <f t="shared" si="10"/>
        <v>4453454</v>
      </c>
      <c r="P54" s="432">
        <f t="shared" si="2"/>
        <v>377948609</v>
      </c>
      <c r="Q54" s="432">
        <f>SUM(Q55:Q143)</f>
        <v>120265000</v>
      </c>
      <c r="R54" s="432">
        <f t="shared" ref="R54:AM54" si="11">SUM(R55:R143)</f>
        <v>84222373</v>
      </c>
      <c r="S54" s="432">
        <f t="shared" si="11"/>
        <v>275026</v>
      </c>
      <c r="T54" s="432">
        <f t="shared" si="11"/>
        <v>134000</v>
      </c>
      <c r="U54" s="432">
        <f t="shared" si="11"/>
        <v>4980112</v>
      </c>
      <c r="V54" s="432">
        <f t="shared" si="11"/>
        <v>3096159</v>
      </c>
      <c r="W54" s="432">
        <f t="shared" si="11"/>
        <v>40412962</v>
      </c>
      <c r="X54" s="432">
        <f t="shared" si="11"/>
        <v>10091608</v>
      </c>
      <c r="Y54" s="432">
        <f t="shared" si="11"/>
        <v>2378501</v>
      </c>
      <c r="Z54" s="432">
        <f t="shared" si="11"/>
        <v>107652559</v>
      </c>
      <c r="AA54" s="432">
        <f t="shared" si="11"/>
        <v>4894798</v>
      </c>
      <c r="AB54" s="432">
        <f t="shared" si="11"/>
        <v>-454489</v>
      </c>
      <c r="AC54" s="432">
        <f t="shared" si="11"/>
        <v>66847845</v>
      </c>
      <c r="AD54" s="432">
        <f t="shared" si="11"/>
        <v>3789098</v>
      </c>
      <c r="AE54" s="432">
        <f t="shared" si="11"/>
        <v>92465510</v>
      </c>
      <c r="AF54" s="432">
        <f t="shared" si="11"/>
        <v>421197</v>
      </c>
      <c r="AG54" s="432">
        <f t="shared" si="11"/>
        <v>20109051</v>
      </c>
      <c r="AH54" s="432">
        <f t="shared" si="11"/>
        <v>24881710</v>
      </c>
      <c r="AI54" s="432">
        <f t="shared" si="11"/>
        <v>40733006</v>
      </c>
      <c r="AJ54" s="432">
        <f t="shared" si="11"/>
        <v>21870970</v>
      </c>
      <c r="AK54" s="432">
        <f t="shared" si="11"/>
        <v>0</v>
      </c>
      <c r="AL54" s="432">
        <f>SUM(AL55:AL143)</f>
        <v>103713936</v>
      </c>
      <c r="AM54" s="432">
        <f t="shared" si="11"/>
        <v>3116286</v>
      </c>
    </row>
    <row r="55" spans="1:39" s="155" customFormat="1" ht="12" x14ac:dyDescent="0.2">
      <c r="A55" s="168">
        <v>1</v>
      </c>
      <c r="B55" s="477">
        <v>9743</v>
      </c>
      <c r="C55" s="476" t="s">
        <v>2316</v>
      </c>
      <c r="D55" s="450">
        <f t="shared" ref="D55:D86" si="12">E55+SUM(H55:O55)</f>
        <v>5557516</v>
      </c>
      <c r="E55" s="431">
        <v>2643469</v>
      </c>
      <c r="F55" s="431">
        <v>211089</v>
      </c>
      <c r="G55" s="431">
        <v>732701</v>
      </c>
      <c r="H55" s="431">
        <v>0</v>
      </c>
      <c r="I55" s="431">
        <v>1680367</v>
      </c>
      <c r="J55" s="431">
        <v>103100</v>
      </c>
      <c r="K55" s="431">
        <v>540000</v>
      </c>
      <c r="L55" s="431">
        <v>0</v>
      </c>
      <c r="M55" s="431">
        <v>188835</v>
      </c>
      <c r="N55" s="431">
        <v>401745</v>
      </c>
      <c r="O55" s="431">
        <v>0</v>
      </c>
      <c r="P55" s="432">
        <f t="shared" si="2"/>
        <v>5006961</v>
      </c>
      <c r="Q55" s="458">
        <v>1899764</v>
      </c>
      <c r="R55" s="458">
        <v>850310</v>
      </c>
      <c r="S55" s="458">
        <v>0</v>
      </c>
      <c r="T55" s="458">
        <v>0</v>
      </c>
      <c r="U55" s="458">
        <v>0</v>
      </c>
      <c r="V55" s="458">
        <v>0</v>
      </c>
      <c r="W55" s="458">
        <v>0</v>
      </c>
      <c r="X55" s="458">
        <v>242346</v>
      </c>
      <c r="Y55" s="458">
        <v>65962</v>
      </c>
      <c r="Z55" s="458">
        <v>1948579</v>
      </c>
      <c r="AA55" s="458">
        <v>0</v>
      </c>
      <c r="AB55" s="458">
        <v>0</v>
      </c>
      <c r="AC55" s="458">
        <v>531481</v>
      </c>
      <c r="AD55" s="458">
        <v>38959</v>
      </c>
      <c r="AE55" s="458">
        <v>1098366</v>
      </c>
      <c r="AF55" s="458">
        <v>0</v>
      </c>
      <c r="AG55" s="458">
        <v>134054</v>
      </c>
      <c r="AH55" s="458">
        <v>645923</v>
      </c>
      <c r="AI55" s="458">
        <v>212731</v>
      </c>
      <c r="AJ55" s="458">
        <v>203427</v>
      </c>
      <c r="AK55" s="458">
        <v>0</v>
      </c>
      <c r="AL55" s="458">
        <v>2125728</v>
      </c>
      <c r="AM55" s="458">
        <v>16292</v>
      </c>
    </row>
    <row r="56" spans="1:39" s="155" customFormat="1" ht="12" x14ac:dyDescent="0.2">
      <c r="A56" s="168">
        <v>2</v>
      </c>
      <c r="B56" s="477">
        <v>9798</v>
      </c>
      <c r="C56" s="476" t="s">
        <v>2317</v>
      </c>
      <c r="D56" s="450">
        <f t="shared" si="12"/>
        <v>5314459</v>
      </c>
      <c r="E56" s="431">
        <v>2150884</v>
      </c>
      <c r="F56" s="431">
        <v>130009</v>
      </c>
      <c r="G56" s="431">
        <v>1050576</v>
      </c>
      <c r="H56" s="431">
        <v>0</v>
      </c>
      <c r="I56" s="431">
        <v>1396000</v>
      </c>
      <c r="J56" s="431">
        <v>149998</v>
      </c>
      <c r="K56" s="431">
        <v>681000</v>
      </c>
      <c r="L56" s="431">
        <v>0</v>
      </c>
      <c r="M56" s="431">
        <v>936577</v>
      </c>
      <c r="N56" s="431">
        <v>0</v>
      </c>
      <c r="O56" s="431">
        <v>0</v>
      </c>
      <c r="P56" s="432">
        <f t="shared" si="2"/>
        <v>5283946</v>
      </c>
      <c r="Q56" s="458">
        <v>1717422</v>
      </c>
      <c r="R56" s="458">
        <v>1541525</v>
      </c>
      <c r="S56" s="458">
        <v>0</v>
      </c>
      <c r="T56" s="458">
        <v>0</v>
      </c>
      <c r="U56" s="458">
        <v>0</v>
      </c>
      <c r="V56" s="458">
        <v>0</v>
      </c>
      <c r="W56" s="458">
        <v>0</v>
      </c>
      <c r="X56" s="458">
        <v>148337</v>
      </c>
      <c r="Y56" s="458">
        <v>0</v>
      </c>
      <c r="Z56" s="458">
        <v>1876662</v>
      </c>
      <c r="AA56" s="458">
        <v>0</v>
      </c>
      <c r="AB56" s="458">
        <v>0</v>
      </c>
      <c r="AC56" s="458">
        <v>809626</v>
      </c>
      <c r="AD56" s="458">
        <v>0</v>
      </c>
      <c r="AE56" s="458">
        <v>1153099</v>
      </c>
      <c r="AF56" s="458">
        <v>0</v>
      </c>
      <c r="AG56" s="458">
        <v>174818</v>
      </c>
      <c r="AH56" s="458">
        <v>327028</v>
      </c>
      <c r="AI56" s="458">
        <v>485061</v>
      </c>
      <c r="AJ56" s="458">
        <v>273000</v>
      </c>
      <c r="AK56" s="458">
        <v>0</v>
      </c>
      <c r="AL56" s="458">
        <v>1862854</v>
      </c>
      <c r="AM56" s="458">
        <v>198460</v>
      </c>
    </row>
    <row r="57" spans="1:39" s="155" customFormat="1" ht="12" x14ac:dyDescent="0.2">
      <c r="A57" s="168">
        <v>3</v>
      </c>
      <c r="B57" s="477">
        <v>9832</v>
      </c>
      <c r="C57" s="476" t="s">
        <v>2318</v>
      </c>
      <c r="D57" s="450">
        <f t="shared" si="12"/>
        <v>2918043</v>
      </c>
      <c r="E57" s="431">
        <v>1604348</v>
      </c>
      <c r="F57" s="431">
        <v>140506</v>
      </c>
      <c r="G57" s="431">
        <v>1260669</v>
      </c>
      <c r="H57" s="431">
        <v>0</v>
      </c>
      <c r="I57" s="431">
        <v>1101287</v>
      </c>
      <c r="J57" s="431">
        <v>150000</v>
      </c>
      <c r="K57" s="431">
        <v>62000</v>
      </c>
      <c r="L57" s="431">
        <v>0</v>
      </c>
      <c r="M57" s="431">
        <v>408</v>
      </c>
      <c r="N57" s="431">
        <v>0</v>
      </c>
      <c r="O57" s="431">
        <v>0</v>
      </c>
      <c r="P57" s="432">
        <f t="shared" si="2"/>
        <v>3872998</v>
      </c>
      <c r="Q57" s="458">
        <v>1796151</v>
      </c>
      <c r="R57" s="458">
        <v>1103219</v>
      </c>
      <c r="S57" s="458">
        <v>0</v>
      </c>
      <c r="T57" s="458">
        <v>0</v>
      </c>
      <c r="U57" s="458">
        <v>0</v>
      </c>
      <c r="V57" s="458">
        <v>0</v>
      </c>
      <c r="W57" s="458">
        <v>955000</v>
      </c>
      <c r="X57" s="458">
        <v>18628</v>
      </c>
      <c r="Y57" s="458">
        <v>0</v>
      </c>
      <c r="Z57" s="458">
        <v>0</v>
      </c>
      <c r="AA57" s="458">
        <v>0</v>
      </c>
      <c r="AB57" s="458">
        <v>0</v>
      </c>
      <c r="AC57" s="458">
        <v>721247</v>
      </c>
      <c r="AD57" s="458">
        <v>43572</v>
      </c>
      <c r="AE57" s="458">
        <v>878342</v>
      </c>
      <c r="AF57" s="458">
        <v>11000</v>
      </c>
      <c r="AG57" s="458">
        <v>147261</v>
      </c>
      <c r="AH57" s="458">
        <v>421476</v>
      </c>
      <c r="AI57" s="458">
        <v>403105</v>
      </c>
      <c r="AJ57" s="458">
        <v>0</v>
      </c>
      <c r="AK57" s="458">
        <v>0</v>
      </c>
      <c r="AL57" s="458">
        <v>1246995</v>
      </c>
      <c r="AM57" s="458">
        <v>0</v>
      </c>
    </row>
    <row r="58" spans="1:39" s="155" customFormat="1" ht="12" x14ac:dyDescent="0.2">
      <c r="A58" s="168">
        <v>4</v>
      </c>
      <c r="B58" s="477">
        <v>9887</v>
      </c>
      <c r="C58" s="476" t="s">
        <v>2319</v>
      </c>
      <c r="D58" s="450">
        <f t="shared" si="12"/>
        <v>2813192</v>
      </c>
      <c r="E58" s="431">
        <v>1745390</v>
      </c>
      <c r="F58" s="431">
        <v>178628</v>
      </c>
      <c r="G58" s="431">
        <v>1203684</v>
      </c>
      <c r="H58" s="431">
        <v>0</v>
      </c>
      <c r="I58" s="431">
        <v>750367</v>
      </c>
      <c r="J58" s="431">
        <v>199776</v>
      </c>
      <c r="K58" s="431">
        <v>95000</v>
      </c>
      <c r="L58" s="431">
        <v>0</v>
      </c>
      <c r="M58" s="431">
        <v>13909</v>
      </c>
      <c r="N58" s="431">
        <v>0</v>
      </c>
      <c r="O58" s="431">
        <v>8750</v>
      </c>
      <c r="P58" s="432">
        <f t="shared" si="2"/>
        <v>2762710</v>
      </c>
      <c r="Q58" s="458">
        <v>1042099</v>
      </c>
      <c r="R58" s="458">
        <v>768371</v>
      </c>
      <c r="S58" s="458">
        <v>0</v>
      </c>
      <c r="T58" s="458">
        <v>0</v>
      </c>
      <c r="U58" s="458">
        <v>0</v>
      </c>
      <c r="V58" s="458">
        <v>0</v>
      </c>
      <c r="W58" s="458">
        <v>0</v>
      </c>
      <c r="X58" s="458">
        <v>36321</v>
      </c>
      <c r="Y58" s="458">
        <v>0</v>
      </c>
      <c r="Z58" s="458">
        <v>915919</v>
      </c>
      <c r="AA58" s="458">
        <v>0</v>
      </c>
      <c r="AB58" s="458">
        <v>0</v>
      </c>
      <c r="AC58" s="458">
        <v>523799</v>
      </c>
      <c r="AD58" s="458">
        <v>931</v>
      </c>
      <c r="AE58" s="458">
        <v>967648</v>
      </c>
      <c r="AF58" s="458">
        <v>0</v>
      </c>
      <c r="AG58" s="458">
        <v>76104</v>
      </c>
      <c r="AH58" s="458">
        <v>91940</v>
      </c>
      <c r="AI58" s="458">
        <v>186692</v>
      </c>
      <c r="AJ58" s="458">
        <v>0</v>
      </c>
      <c r="AK58" s="458">
        <v>0</v>
      </c>
      <c r="AL58" s="458">
        <v>915596</v>
      </c>
      <c r="AM58" s="458">
        <v>0</v>
      </c>
    </row>
    <row r="59" spans="1:39" s="155" customFormat="1" ht="12" x14ac:dyDescent="0.2">
      <c r="A59" s="168">
        <v>5</v>
      </c>
      <c r="B59" s="477">
        <v>9930</v>
      </c>
      <c r="C59" s="476" t="s">
        <v>2320</v>
      </c>
      <c r="D59" s="450">
        <f t="shared" si="12"/>
        <v>9512323</v>
      </c>
      <c r="E59" s="431">
        <v>2088580</v>
      </c>
      <c r="F59" s="431">
        <v>426598</v>
      </c>
      <c r="G59" s="431">
        <v>855630</v>
      </c>
      <c r="H59" s="431">
        <v>0</v>
      </c>
      <c r="I59" s="431">
        <v>2027117</v>
      </c>
      <c r="J59" s="431">
        <v>380000</v>
      </c>
      <c r="K59" s="431">
        <v>901000</v>
      </c>
      <c r="L59" s="431">
        <v>0</v>
      </c>
      <c r="M59" s="431">
        <v>423059</v>
      </c>
      <c r="N59" s="431">
        <v>3592567</v>
      </c>
      <c r="O59" s="431">
        <v>100000</v>
      </c>
      <c r="P59" s="432">
        <f t="shared" si="2"/>
        <v>5691175</v>
      </c>
      <c r="Q59" s="458">
        <v>2343362</v>
      </c>
      <c r="R59" s="458">
        <v>1086777</v>
      </c>
      <c r="S59" s="458">
        <v>0</v>
      </c>
      <c r="T59" s="458">
        <v>98000</v>
      </c>
      <c r="U59" s="458">
        <v>1056916</v>
      </c>
      <c r="V59" s="458">
        <v>0</v>
      </c>
      <c r="W59" s="458">
        <v>406973</v>
      </c>
      <c r="X59" s="458">
        <v>145422</v>
      </c>
      <c r="Y59" s="458">
        <v>45000</v>
      </c>
      <c r="Z59" s="458">
        <v>509362</v>
      </c>
      <c r="AA59" s="458">
        <v>0</v>
      </c>
      <c r="AB59" s="458">
        <v>-637</v>
      </c>
      <c r="AC59" s="458">
        <v>986498</v>
      </c>
      <c r="AD59" s="458">
        <v>18399</v>
      </c>
      <c r="AE59" s="458">
        <v>1666961</v>
      </c>
      <c r="AF59" s="458">
        <v>0</v>
      </c>
      <c r="AG59" s="458">
        <v>135365</v>
      </c>
      <c r="AH59" s="458">
        <v>445843</v>
      </c>
      <c r="AI59" s="458">
        <v>1211554</v>
      </c>
      <c r="AJ59" s="458">
        <v>192001</v>
      </c>
      <c r="AK59" s="458">
        <v>0</v>
      </c>
      <c r="AL59" s="458">
        <v>1034554</v>
      </c>
      <c r="AM59" s="458">
        <v>0</v>
      </c>
    </row>
    <row r="60" spans="1:39" s="155" customFormat="1" ht="12" x14ac:dyDescent="0.2">
      <c r="A60" s="168">
        <v>6</v>
      </c>
      <c r="B60" s="477">
        <v>10006</v>
      </c>
      <c r="C60" s="476" t="s">
        <v>2321</v>
      </c>
      <c r="D60" s="450">
        <f t="shared" si="12"/>
        <v>3749899</v>
      </c>
      <c r="E60" s="431">
        <v>1879926</v>
      </c>
      <c r="F60" s="431">
        <v>162036</v>
      </c>
      <c r="G60" s="431">
        <v>971712</v>
      </c>
      <c r="H60" s="431">
        <v>0</v>
      </c>
      <c r="I60" s="431">
        <v>1110185</v>
      </c>
      <c r="J60" s="431">
        <v>79740</v>
      </c>
      <c r="K60" s="431">
        <v>234000</v>
      </c>
      <c r="L60" s="431">
        <v>0</v>
      </c>
      <c r="M60" s="431">
        <v>446048</v>
      </c>
      <c r="N60" s="431">
        <v>0</v>
      </c>
      <c r="O60" s="431">
        <v>0</v>
      </c>
      <c r="P60" s="432">
        <f t="shared" si="2"/>
        <v>3949696</v>
      </c>
      <c r="Q60" s="458">
        <v>1267729</v>
      </c>
      <c r="R60" s="458">
        <v>744079</v>
      </c>
      <c r="S60" s="458">
        <v>0</v>
      </c>
      <c r="T60" s="458">
        <v>0</v>
      </c>
      <c r="U60" s="458">
        <v>0</v>
      </c>
      <c r="V60" s="458">
        <v>55100</v>
      </c>
      <c r="W60" s="458">
        <v>0</v>
      </c>
      <c r="X60" s="458">
        <v>73085</v>
      </c>
      <c r="Y60" s="458">
        <v>0</v>
      </c>
      <c r="Z60" s="458">
        <v>1809703</v>
      </c>
      <c r="AA60" s="458">
        <v>0</v>
      </c>
      <c r="AB60" s="458">
        <v>0</v>
      </c>
      <c r="AC60" s="458">
        <v>604650</v>
      </c>
      <c r="AD60" s="458">
        <v>0</v>
      </c>
      <c r="AE60" s="458">
        <v>1092690</v>
      </c>
      <c r="AF60" s="458">
        <v>0</v>
      </c>
      <c r="AG60" s="458">
        <v>78538</v>
      </c>
      <c r="AH60" s="458">
        <v>89570</v>
      </c>
      <c r="AI60" s="458">
        <v>130069</v>
      </c>
      <c r="AJ60" s="458">
        <v>0</v>
      </c>
      <c r="AK60" s="458">
        <v>0</v>
      </c>
      <c r="AL60" s="458">
        <v>1925281</v>
      </c>
      <c r="AM60" s="458">
        <v>28898</v>
      </c>
    </row>
    <row r="61" spans="1:39" s="155" customFormat="1" ht="12" x14ac:dyDescent="0.2">
      <c r="A61" s="168">
        <v>7</v>
      </c>
      <c r="B61" s="477">
        <v>10051</v>
      </c>
      <c r="C61" s="476" t="s">
        <v>2322</v>
      </c>
      <c r="D61" s="450">
        <f t="shared" si="12"/>
        <v>5741227</v>
      </c>
      <c r="E61" s="431">
        <v>1790405</v>
      </c>
      <c r="F61" s="431">
        <v>77014</v>
      </c>
      <c r="G61" s="431">
        <v>1184688</v>
      </c>
      <c r="H61" s="431">
        <v>0</v>
      </c>
      <c r="I61" s="431">
        <v>983671</v>
      </c>
      <c r="J61" s="431">
        <v>0</v>
      </c>
      <c r="K61" s="431">
        <v>193000</v>
      </c>
      <c r="L61" s="431">
        <v>0</v>
      </c>
      <c r="M61" s="431">
        <v>2534543</v>
      </c>
      <c r="N61" s="431">
        <v>188308</v>
      </c>
      <c r="O61" s="431">
        <v>51300</v>
      </c>
      <c r="P61" s="432">
        <f t="shared" si="2"/>
        <v>6493522</v>
      </c>
      <c r="Q61" s="458">
        <v>1266333</v>
      </c>
      <c r="R61" s="458">
        <v>567837</v>
      </c>
      <c r="S61" s="458">
        <v>0</v>
      </c>
      <c r="T61" s="458">
        <v>0</v>
      </c>
      <c r="U61" s="458">
        <v>0</v>
      </c>
      <c r="V61" s="458">
        <v>159813</v>
      </c>
      <c r="W61" s="458">
        <v>228978</v>
      </c>
      <c r="X61" s="458">
        <v>111998</v>
      </c>
      <c r="Y61" s="458">
        <v>5000</v>
      </c>
      <c r="Z61" s="458">
        <v>4153563</v>
      </c>
      <c r="AA61" s="458">
        <v>0</v>
      </c>
      <c r="AB61" s="458">
        <v>0</v>
      </c>
      <c r="AC61" s="458">
        <v>862646</v>
      </c>
      <c r="AD61" s="458">
        <v>3738</v>
      </c>
      <c r="AE61" s="458">
        <v>750691</v>
      </c>
      <c r="AF61" s="458">
        <v>0</v>
      </c>
      <c r="AG61" s="458">
        <v>241075</v>
      </c>
      <c r="AH61" s="458">
        <v>331880</v>
      </c>
      <c r="AI61" s="458">
        <v>759615</v>
      </c>
      <c r="AJ61" s="458">
        <v>55513</v>
      </c>
      <c r="AK61" s="458">
        <v>0</v>
      </c>
      <c r="AL61" s="458">
        <v>3481676</v>
      </c>
      <c r="AM61" s="458">
        <v>6688</v>
      </c>
    </row>
    <row r="62" spans="1:39" s="155" customFormat="1" ht="12" x14ac:dyDescent="0.2">
      <c r="A62" s="168">
        <v>8</v>
      </c>
      <c r="B62" s="477">
        <v>10104</v>
      </c>
      <c r="C62" s="476" t="s">
        <v>2323</v>
      </c>
      <c r="D62" s="450">
        <f t="shared" si="12"/>
        <v>4227772</v>
      </c>
      <c r="E62" s="431">
        <v>1986604</v>
      </c>
      <c r="F62" s="431">
        <v>442339</v>
      </c>
      <c r="G62" s="431">
        <v>577818</v>
      </c>
      <c r="H62" s="431">
        <v>0</v>
      </c>
      <c r="I62" s="431">
        <v>1359301</v>
      </c>
      <c r="J62" s="431">
        <v>188319</v>
      </c>
      <c r="K62" s="431">
        <v>279000</v>
      </c>
      <c r="L62" s="431">
        <v>0</v>
      </c>
      <c r="M62" s="431">
        <v>414548</v>
      </c>
      <c r="N62" s="431">
        <v>0</v>
      </c>
      <c r="O62" s="431">
        <v>0</v>
      </c>
      <c r="P62" s="432">
        <f t="shared" si="2"/>
        <v>4327500</v>
      </c>
      <c r="Q62" s="458">
        <v>1685541</v>
      </c>
      <c r="R62" s="458">
        <v>1227086</v>
      </c>
      <c r="S62" s="458">
        <v>0</v>
      </c>
      <c r="T62" s="458">
        <v>0</v>
      </c>
      <c r="U62" s="458">
        <v>0</v>
      </c>
      <c r="V62" s="458">
        <v>98902</v>
      </c>
      <c r="W62" s="458">
        <v>0</v>
      </c>
      <c r="X62" s="458">
        <v>147891</v>
      </c>
      <c r="Y62" s="458">
        <v>46921</v>
      </c>
      <c r="Z62" s="458">
        <v>1121159</v>
      </c>
      <c r="AA62" s="458">
        <v>0</v>
      </c>
      <c r="AB62" s="458">
        <v>0</v>
      </c>
      <c r="AC62" s="458">
        <v>949425</v>
      </c>
      <c r="AD62" s="458">
        <v>0</v>
      </c>
      <c r="AE62" s="458">
        <v>1080897</v>
      </c>
      <c r="AF62" s="458">
        <v>0</v>
      </c>
      <c r="AG62" s="458">
        <v>422879</v>
      </c>
      <c r="AH62" s="458">
        <v>398583</v>
      </c>
      <c r="AI62" s="458">
        <v>201112</v>
      </c>
      <c r="AJ62" s="458">
        <v>76507</v>
      </c>
      <c r="AK62" s="458">
        <v>0</v>
      </c>
      <c r="AL62" s="458">
        <v>1185616</v>
      </c>
      <c r="AM62" s="458">
        <v>12481</v>
      </c>
    </row>
    <row r="63" spans="1:39" s="155" customFormat="1" ht="12" x14ac:dyDescent="0.2">
      <c r="A63" s="168">
        <v>9</v>
      </c>
      <c r="B63" s="477">
        <v>10195</v>
      </c>
      <c r="C63" s="476" t="s">
        <v>2324</v>
      </c>
      <c r="D63" s="450">
        <f t="shared" si="12"/>
        <v>7725809</v>
      </c>
      <c r="E63" s="431">
        <v>2056651</v>
      </c>
      <c r="F63" s="431">
        <v>150415</v>
      </c>
      <c r="G63" s="431">
        <v>897616</v>
      </c>
      <c r="H63" s="431">
        <v>0</v>
      </c>
      <c r="I63" s="431">
        <v>1349560</v>
      </c>
      <c r="J63" s="431">
        <v>0</v>
      </c>
      <c r="K63" s="431">
        <v>724000</v>
      </c>
      <c r="L63" s="431">
        <v>0</v>
      </c>
      <c r="M63" s="431">
        <v>2987434</v>
      </c>
      <c r="N63" s="431">
        <v>558164</v>
      </c>
      <c r="O63" s="431">
        <v>50000</v>
      </c>
      <c r="P63" s="432">
        <f t="shared" si="2"/>
        <v>7594612</v>
      </c>
      <c r="Q63" s="458">
        <v>1978175</v>
      </c>
      <c r="R63" s="458">
        <v>803850</v>
      </c>
      <c r="S63" s="458">
        <v>27000</v>
      </c>
      <c r="T63" s="458">
        <v>0</v>
      </c>
      <c r="U63" s="458">
        <v>3007700</v>
      </c>
      <c r="V63" s="458">
        <v>0</v>
      </c>
      <c r="W63" s="458">
        <v>282571</v>
      </c>
      <c r="X63" s="458">
        <v>62470</v>
      </c>
      <c r="Y63" s="458">
        <v>20000</v>
      </c>
      <c r="Z63" s="458">
        <v>1229054</v>
      </c>
      <c r="AA63" s="458">
        <v>233647</v>
      </c>
      <c r="AB63" s="458">
        <v>-49855</v>
      </c>
      <c r="AC63" s="458">
        <v>826350</v>
      </c>
      <c r="AD63" s="458">
        <v>69509</v>
      </c>
      <c r="AE63" s="458">
        <v>1174673</v>
      </c>
      <c r="AF63" s="458">
        <v>51708</v>
      </c>
      <c r="AG63" s="458">
        <v>120991</v>
      </c>
      <c r="AH63" s="458">
        <v>376382</v>
      </c>
      <c r="AI63" s="458">
        <v>352884</v>
      </c>
      <c r="AJ63" s="458">
        <v>135910</v>
      </c>
      <c r="AK63" s="458">
        <v>0</v>
      </c>
      <c r="AL63" s="458">
        <v>4486205</v>
      </c>
      <c r="AM63" s="458">
        <v>0</v>
      </c>
    </row>
    <row r="64" spans="1:39" s="155" customFormat="1" ht="12" x14ac:dyDescent="0.2">
      <c r="A64" s="168">
        <v>10</v>
      </c>
      <c r="B64" s="477">
        <v>10239</v>
      </c>
      <c r="C64" s="476" t="s">
        <v>2325</v>
      </c>
      <c r="D64" s="450">
        <f t="shared" si="12"/>
        <v>3923715</v>
      </c>
      <c r="E64" s="431">
        <v>1731892</v>
      </c>
      <c r="F64" s="431">
        <v>86898</v>
      </c>
      <c r="G64" s="431">
        <v>1476612</v>
      </c>
      <c r="H64" s="431">
        <v>0</v>
      </c>
      <c r="I64" s="431">
        <v>1139481</v>
      </c>
      <c r="J64" s="431">
        <v>230000</v>
      </c>
      <c r="K64" s="431">
        <v>141000</v>
      </c>
      <c r="L64" s="431">
        <v>0</v>
      </c>
      <c r="M64" s="431">
        <v>386202</v>
      </c>
      <c r="N64" s="431">
        <v>295140</v>
      </c>
      <c r="O64" s="431">
        <v>0</v>
      </c>
      <c r="P64" s="432">
        <f t="shared" si="2"/>
        <v>4185164</v>
      </c>
      <c r="Q64" s="458">
        <v>1514487</v>
      </c>
      <c r="R64" s="458">
        <v>975923</v>
      </c>
      <c r="S64" s="458">
        <v>0</v>
      </c>
      <c r="T64" s="458">
        <v>0</v>
      </c>
      <c r="U64" s="458">
        <v>0</v>
      </c>
      <c r="V64" s="458">
        <v>204000</v>
      </c>
      <c r="W64" s="458">
        <v>425330</v>
      </c>
      <c r="X64" s="458">
        <v>60213</v>
      </c>
      <c r="Y64" s="458">
        <v>0</v>
      </c>
      <c r="Z64" s="458">
        <v>1005211</v>
      </c>
      <c r="AA64" s="458">
        <v>0</v>
      </c>
      <c r="AB64" s="458">
        <v>0</v>
      </c>
      <c r="AC64" s="458">
        <v>867689</v>
      </c>
      <c r="AD64" s="458">
        <v>0</v>
      </c>
      <c r="AE64" s="458">
        <v>900860</v>
      </c>
      <c r="AF64" s="458">
        <v>0</v>
      </c>
      <c r="AG64" s="458">
        <v>431379</v>
      </c>
      <c r="AH64" s="458">
        <v>304456</v>
      </c>
      <c r="AI64" s="458">
        <v>81965</v>
      </c>
      <c r="AJ64" s="458">
        <v>57355</v>
      </c>
      <c r="AK64" s="458">
        <v>0</v>
      </c>
      <c r="AL64" s="458">
        <v>1369872</v>
      </c>
      <c r="AM64" s="458">
        <v>171588</v>
      </c>
    </row>
    <row r="65" spans="1:39" s="155" customFormat="1" ht="12" x14ac:dyDescent="0.2">
      <c r="A65" s="168">
        <v>11</v>
      </c>
      <c r="B65" s="477">
        <v>10293</v>
      </c>
      <c r="C65" s="476" t="s">
        <v>2326</v>
      </c>
      <c r="D65" s="450">
        <f t="shared" si="12"/>
        <v>5078597</v>
      </c>
      <c r="E65" s="431">
        <v>1787709</v>
      </c>
      <c r="F65" s="431">
        <v>307245</v>
      </c>
      <c r="G65" s="431">
        <v>665800</v>
      </c>
      <c r="H65" s="431">
        <v>0</v>
      </c>
      <c r="I65" s="431">
        <v>2026760</v>
      </c>
      <c r="J65" s="431">
        <v>0</v>
      </c>
      <c r="K65" s="431">
        <v>480000</v>
      </c>
      <c r="L65" s="431">
        <v>0</v>
      </c>
      <c r="M65" s="431">
        <v>147887</v>
      </c>
      <c r="N65" s="431">
        <v>219315</v>
      </c>
      <c r="O65" s="431">
        <v>416926</v>
      </c>
      <c r="P65" s="432">
        <f t="shared" si="2"/>
        <v>4967804</v>
      </c>
      <c r="Q65" s="458">
        <v>2015565</v>
      </c>
      <c r="R65" s="458">
        <v>948524</v>
      </c>
      <c r="S65" s="458">
        <v>20269</v>
      </c>
      <c r="T65" s="458">
        <v>0</v>
      </c>
      <c r="U65" s="458">
        <v>74645</v>
      </c>
      <c r="V65" s="458">
        <v>0</v>
      </c>
      <c r="W65" s="458">
        <v>79014</v>
      </c>
      <c r="X65" s="458">
        <v>626718</v>
      </c>
      <c r="Y65" s="458">
        <v>21000</v>
      </c>
      <c r="Z65" s="458">
        <v>872347</v>
      </c>
      <c r="AA65" s="458">
        <v>309722</v>
      </c>
      <c r="AB65" s="458">
        <v>0</v>
      </c>
      <c r="AC65" s="458">
        <v>908416</v>
      </c>
      <c r="AD65" s="458">
        <v>65153</v>
      </c>
      <c r="AE65" s="458">
        <v>1159092</v>
      </c>
      <c r="AF65" s="458">
        <v>0</v>
      </c>
      <c r="AG65" s="458">
        <v>239736</v>
      </c>
      <c r="AH65" s="458">
        <v>962471</v>
      </c>
      <c r="AI65" s="458">
        <v>456070</v>
      </c>
      <c r="AJ65" s="458">
        <v>749430</v>
      </c>
      <c r="AK65" s="458">
        <v>0</v>
      </c>
      <c r="AL65" s="458">
        <v>427436</v>
      </c>
      <c r="AM65" s="458">
        <v>0</v>
      </c>
    </row>
    <row r="66" spans="1:39" s="155" customFormat="1" ht="12" x14ac:dyDescent="0.2">
      <c r="A66" s="168">
        <v>12</v>
      </c>
      <c r="B66" s="477">
        <v>10346</v>
      </c>
      <c r="C66" s="476" t="s">
        <v>2327</v>
      </c>
      <c r="D66" s="450">
        <f t="shared" si="12"/>
        <v>2533946</v>
      </c>
      <c r="E66" s="431">
        <v>1628089</v>
      </c>
      <c r="F66" s="431">
        <v>58564</v>
      </c>
      <c r="G66" s="431">
        <v>1379637</v>
      </c>
      <c r="H66" s="431">
        <v>0</v>
      </c>
      <c r="I66" s="431">
        <v>820671</v>
      </c>
      <c r="J66" s="431">
        <v>0</v>
      </c>
      <c r="K66" s="431">
        <v>72000</v>
      </c>
      <c r="L66" s="431">
        <v>0</v>
      </c>
      <c r="M66" s="431">
        <v>13186</v>
      </c>
      <c r="N66" s="431">
        <v>0</v>
      </c>
      <c r="O66" s="431">
        <v>0</v>
      </c>
      <c r="P66" s="432">
        <f t="shared" si="2"/>
        <v>2610815</v>
      </c>
      <c r="Q66" s="458">
        <v>1121506</v>
      </c>
      <c r="R66" s="458">
        <v>683813</v>
      </c>
      <c r="S66" s="458">
        <v>0</v>
      </c>
      <c r="T66" s="458">
        <v>0</v>
      </c>
      <c r="U66" s="458">
        <v>0</v>
      </c>
      <c r="V66" s="458">
        <v>90812</v>
      </c>
      <c r="W66" s="458">
        <v>0</v>
      </c>
      <c r="X66" s="458">
        <v>104977</v>
      </c>
      <c r="Y66" s="458">
        <v>5000</v>
      </c>
      <c r="Z66" s="458">
        <v>604707</v>
      </c>
      <c r="AA66" s="458">
        <v>0</v>
      </c>
      <c r="AB66" s="458">
        <v>0</v>
      </c>
      <c r="AC66" s="458">
        <v>553129</v>
      </c>
      <c r="AD66" s="458">
        <v>22701</v>
      </c>
      <c r="AE66" s="458">
        <v>795544</v>
      </c>
      <c r="AF66" s="458">
        <v>0</v>
      </c>
      <c r="AG66" s="458">
        <v>27837</v>
      </c>
      <c r="AH66" s="458">
        <v>202112</v>
      </c>
      <c r="AI66" s="458">
        <v>125737</v>
      </c>
      <c r="AJ66" s="458">
        <v>43722</v>
      </c>
      <c r="AK66" s="458">
        <v>0</v>
      </c>
      <c r="AL66" s="458">
        <v>840033</v>
      </c>
      <c r="AM66" s="458">
        <v>0</v>
      </c>
    </row>
    <row r="67" spans="1:39" s="155" customFormat="1" ht="12" x14ac:dyDescent="0.2">
      <c r="A67" s="168">
        <v>13</v>
      </c>
      <c r="B67" s="477">
        <v>10373</v>
      </c>
      <c r="C67" s="476" t="s">
        <v>2328</v>
      </c>
      <c r="D67" s="450">
        <f t="shared" si="12"/>
        <v>5389389</v>
      </c>
      <c r="E67" s="431">
        <v>2433801</v>
      </c>
      <c r="F67" s="431">
        <v>167285</v>
      </c>
      <c r="G67" s="431">
        <v>362723</v>
      </c>
      <c r="H67" s="431">
        <v>0</v>
      </c>
      <c r="I67" s="431">
        <v>1359771</v>
      </c>
      <c r="J67" s="431">
        <v>600000</v>
      </c>
      <c r="K67" s="431">
        <v>797000</v>
      </c>
      <c r="L67" s="431">
        <v>0</v>
      </c>
      <c r="M67" s="431">
        <v>52450</v>
      </c>
      <c r="N67" s="431">
        <v>128843</v>
      </c>
      <c r="O67" s="431">
        <v>17524</v>
      </c>
      <c r="P67" s="432">
        <f t="shared" si="2"/>
        <v>5805887</v>
      </c>
      <c r="Q67" s="458">
        <v>1614038</v>
      </c>
      <c r="R67" s="458">
        <v>1376711</v>
      </c>
      <c r="S67" s="458">
        <v>66280</v>
      </c>
      <c r="T67" s="458">
        <v>0</v>
      </c>
      <c r="U67" s="458">
        <v>0</v>
      </c>
      <c r="V67" s="458">
        <v>31410</v>
      </c>
      <c r="W67" s="458">
        <v>700661</v>
      </c>
      <c r="X67" s="458">
        <v>45006</v>
      </c>
      <c r="Y67" s="458">
        <v>0</v>
      </c>
      <c r="Z67" s="458">
        <v>1771781</v>
      </c>
      <c r="AA67" s="458">
        <v>200000</v>
      </c>
      <c r="AB67" s="458">
        <v>0</v>
      </c>
      <c r="AC67" s="458">
        <v>1171246</v>
      </c>
      <c r="AD67" s="458">
        <v>0</v>
      </c>
      <c r="AE67" s="458">
        <v>991942</v>
      </c>
      <c r="AF67" s="458">
        <v>0</v>
      </c>
      <c r="AG67" s="458">
        <v>1277813</v>
      </c>
      <c r="AH67" s="458">
        <v>392202</v>
      </c>
      <c r="AI67" s="458">
        <v>97123</v>
      </c>
      <c r="AJ67" s="458">
        <v>157975</v>
      </c>
      <c r="AK67" s="458">
        <v>0</v>
      </c>
      <c r="AL67" s="458">
        <v>1717586</v>
      </c>
      <c r="AM67" s="458">
        <v>0</v>
      </c>
    </row>
    <row r="68" spans="1:39" s="155" customFormat="1" ht="12" x14ac:dyDescent="0.2">
      <c r="A68" s="168">
        <v>14</v>
      </c>
      <c r="B68" s="477">
        <v>10417</v>
      </c>
      <c r="C68" s="476" t="s">
        <v>2329</v>
      </c>
      <c r="D68" s="450">
        <f t="shared" si="12"/>
        <v>6279538</v>
      </c>
      <c r="E68" s="431">
        <v>1526589</v>
      </c>
      <c r="F68" s="431">
        <v>87187</v>
      </c>
      <c r="G68" s="431">
        <v>1088714</v>
      </c>
      <c r="H68" s="431">
        <v>0</v>
      </c>
      <c r="I68" s="431">
        <v>998217</v>
      </c>
      <c r="J68" s="431">
        <v>400000</v>
      </c>
      <c r="K68" s="431">
        <v>70000</v>
      </c>
      <c r="L68" s="431">
        <v>0</v>
      </c>
      <c r="M68" s="431">
        <v>1068279</v>
      </c>
      <c r="N68" s="431">
        <v>2115428</v>
      </c>
      <c r="O68" s="431">
        <v>101025</v>
      </c>
      <c r="P68" s="432">
        <f t="shared" si="2"/>
        <v>8263129</v>
      </c>
      <c r="Q68" s="458">
        <v>1250483</v>
      </c>
      <c r="R68" s="458">
        <v>659408</v>
      </c>
      <c r="S68" s="458">
        <v>0</v>
      </c>
      <c r="T68" s="458">
        <v>0</v>
      </c>
      <c r="U68" s="458">
        <v>0</v>
      </c>
      <c r="V68" s="458">
        <v>5000</v>
      </c>
      <c r="W68" s="458">
        <v>5662954</v>
      </c>
      <c r="X68" s="458">
        <v>178104</v>
      </c>
      <c r="Y68" s="458">
        <v>12100</v>
      </c>
      <c r="Z68" s="458">
        <v>495080</v>
      </c>
      <c r="AA68" s="458">
        <v>0</v>
      </c>
      <c r="AB68" s="458">
        <v>0</v>
      </c>
      <c r="AC68" s="458">
        <v>820969</v>
      </c>
      <c r="AD68" s="458">
        <v>309736</v>
      </c>
      <c r="AE68" s="458">
        <v>1151913</v>
      </c>
      <c r="AF68" s="458">
        <v>0</v>
      </c>
      <c r="AG68" s="458">
        <v>386371</v>
      </c>
      <c r="AH68" s="458">
        <v>572974</v>
      </c>
      <c r="AI68" s="458">
        <v>122199</v>
      </c>
      <c r="AJ68" s="458">
        <v>44257</v>
      </c>
      <c r="AK68" s="458">
        <v>0</v>
      </c>
      <c r="AL68" s="458">
        <v>4854710</v>
      </c>
      <c r="AM68" s="458">
        <v>0</v>
      </c>
    </row>
    <row r="69" spans="1:39" s="155" customFormat="1" ht="12" x14ac:dyDescent="0.2">
      <c r="A69" s="168">
        <v>15</v>
      </c>
      <c r="B69" s="477">
        <v>10453</v>
      </c>
      <c r="C69" s="476" t="s">
        <v>2330</v>
      </c>
      <c r="D69" s="450">
        <f t="shared" si="12"/>
        <v>5644214</v>
      </c>
      <c r="E69" s="431">
        <v>2303507</v>
      </c>
      <c r="F69" s="431">
        <v>129582</v>
      </c>
      <c r="G69" s="431">
        <v>1112547</v>
      </c>
      <c r="H69" s="431">
        <v>0</v>
      </c>
      <c r="I69" s="431">
        <v>1420635</v>
      </c>
      <c r="J69" s="431">
        <v>700000</v>
      </c>
      <c r="K69" s="431">
        <v>735000</v>
      </c>
      <c r="L69" s="431">
        <v>0</v>
      </c>
      <c r="M69" s="431">
        <v>292329</v>
      </c>
      <c r="N69" s="431">
        <v>192743</v>
      </c>
      <c r="O69" s="431">
        <v>0</v>
      </c>
      <c r="P69" s="432">
        <f t="shared" si="2"/>
        <v>4637623</v>
      </c>
      <c r="Q69" s="458">
        <v>1743513</v>
      </c>
      <c r="R69" s="458">
        <v>834064</v>
      </c>
      <c r="S69" s="458">
        <v>0</v>
      </c>
      <c r="T69" s="458">
        <v>0</v>
      </c>
      <c r="U69" s="458">
        <v>0</v>
      </c>
      <c r="V69" s="458">
        <v>0</v>
      </c>
      <c r="W69" s="458">
        <v>178315</v>
      </c>
      <c r="X69" s="458">
        <v>134567</v>
      </c>
      <c r="Y69" s="458">
        <v>9000</v>
      </c>
      <c r="Z69" s="458">
        <v>1744536</v>
      </c>
      <c r="AA69" s="458">
        <v>0</v>
      </c>
      <c r="AB69" s="458">
        <v>-6372</v>
      </c>
      <c r="AC69" s="458">
        <v>799907</v>
      </c>
      <c r="AD69" s="458">
        <v>0</v>
      </c>
      <c r="AE69" s="458">
        <v>1617192</v>
      </c>
      <c r="AF69" s="458">
        <v>0</v>
      </c>
      <c r="AG69" s="458">
        <v>425191</v>
      </c>
      <c r="AH69" s="458">
        <v>256312</v>
      </c>
      <c r="AI69" s="458">
        <v>225020</v>
      </c>
      <c r="AJ69" s="458">
        <v>0</v>
      </c>
      <c r="AK69" s="458">
        <v>0</v>
      </c>
      <c r="AL69" s="458">
        <v>1314001</v>
      </c>
      <c r="AM69" s="458">
        <v>0</v>
      </c>
    </row>
    <row r="70" spans="1:39" s="155" customFormat="1" ht="12" x14ac:dyDescent="0.2">
      <c r="A70" s="168">
        <v>16</v>
      </c>
      <c r="B70" s="477">
        <v>10514</v>
      </c>
      <c r="C70" s="476" t="s">
        <v>2331</v>
      </c>
      <c r="D70" s="450">
        <f t="shared" si="12"/>
        <v>5381373</v>
      </c>
      <c r="E70" s="431">
        <v>2617394</v>
      </c>
      <c r="F70" s="431">
        <v>94310</v>
      </c>
      <c r="G70" s="431">
        <v>1135648</v>
      </c>
      <c r="H70" s="431">
        <v>0</v>
      </c>
      <c r="I70" s="431">
        <v>1047000</v>
      </c>
      <c r="J70" s="431">
        <v>0</v>
      </c>
      <c r="K70" s="431">
        <v>308000</v>
      </c>
      <c r="L70" s="431">
        <v>0</v>
      </c>
      <c r="M70" s="431">
        <v>1323397</v>
      </c>
      <c r="N70" s="431">
        <v>85582</v>
      </c>
      <c r="O70" s="431">
        <v>0</v>
      </c>
      <c r="P70" s="432">
        <f t="shared" si="2"/>
        <v>5791410</v>
      </c>
      <c r="Q70" s="458">
        <v>1387176</v>
      </c>
      <c r="R70" s="458">
        <v>1184213</v>
      </c>
      <c r="S70" s="458">
        <v>0</v>
      </c>
      <c r="T70" s="458">
        <v>0</v>
      </c>
      <c r="U70" s="458">
        <v>0</v>
      </c>
      <c r="V70" s="458">
        <v>295692</v>
      </c>
      <c r="W70" s="458">
        <v>0</v>
      </c>
      <c r="X70" s="458">
        <v>108000</v>
      </c>
      <c r="Y70" s="458">
        <v>0</v>
      </c>
      <c r="Z70" s="458">
        <v>2816329</v>
      </c>
      <c r="AA70" s="458">
        <v>0</v>
      </c>
      <c r="AB70" s="458">
        <v>0</v>
      </c>
      <c r="AC70" s="458">
        <v>825030</v>
      </c>
      <c r="AD70" s="458">
        <v>51959</v>
      </c>
      <c r="AE70" s="458">
        <v>828303</v>
      </c>
      <c r="AF70" s="458">
        <v>0</v>
      </c>
      <c r="AG70" s="458">
        <v>234911</v>
      </c>
      <c r="AH70" s="458">
        <v>365223</v>
      </c>
      <c r="AI70" s="458">
        <v>265360</v>
      </c>
      <c r="AJ70" s="458">
        <v>149461</v>
      </c>
      <c r="AK70" s="458">
        <v>0</v>
      </c>
      <c r="AL70" s="458">
        <v>3039413</v>
      </c>
      <c r="AM70" s="458">
        <v>31750</v>
      </c>
    </row>
    <row r="71" spans="1:39" s="155" customFormat="1" ht="12" x14ac:dyDescent="0.2">
      <c r="A71" s="168">
        <v>17</v>
      </c>
      <c r="B71" s="477">
        <v>10532</v>
      </c>
      <c r="C71" s="476" t="s">
        <v>2332</v>
      </c>
      <c r="D71" s="450">
        <f t="shared" si="12"/>
        <v>4714574</v>
      </c>
      <c r="E71" s="431">
        <v>1641917</v>
      </c>
      <c r="F71" s="431">
        <v>122422</v>
      </c>
      <c r="G71" s="431">
        <v>1071710</v>
      </c>
      <c r="H71" s="431">
        <v>0</v>
      </c>
      <c r="I71" s="431">
        <v>1520072</v>
      </c>
      <c r="J71" s="431">
        <v>750000</v>
      </c>
      <c r="K71" s="431">
        <v>167000</v>
      </c>
      <c r="L71" s="431">
        <v>0</v>
      </c>
      <c r="M71" s="431">
        <v>635585</v>
      </c>
      <c r="N71" s="431">
        <v>0</v>
      </c>
      <c r="O71" s="431">
        <v>0</v>
      </c>
      <c r="P71" s="432">
        <f t="shared" si="2"/>
        <v>5114573</v>
      </c>
      <c r="Q71" s="458">
        <v>1910385</v>
      </c>
      <c r="R71" s="458">
        <v>1292461</v>
      </c>
      <c r="S71" s="458">
        <v>0</v>
      </c>
      <c r="T71" s="458">
        <v>0</v>
      </c>
      <c r="U71" s="458">
        <v>0</v>
      </c>
      <c r="V71" s="458">
        <v>0</v>
      </c>
      <c r="W71" s="458">
        <v>0</v>
      </c>
      <c r="X71" s="458">
        <v>142153</v>
      </c>
      <c r="Y71" s="458">
        <v>0</v>
      </c>
      <c r="Z71" s="458">
        <v>1770000</v>
      </c>
      <c r="AA71" s="458">
        <v>0</v>
      </c>
      <c r="AB71" s="458">
        <v>-426</v>
      </c>
      <c r="AC71" s="458">
        <v>798831</v>
      </c>
      <c r="AD71" s="458">
        <v>0</v>
      </c>
      <c r="AE71" s="458">
        <v>1151541</v>
      </c>
      <c r="AF71" s="458">
        <v>0</v>
      </c>
      <c r="AG71" s="458">
        <v>41034</v>
      </c>
      <c r="AH71" s="458">
        <v>700825</v>
      </c>
      <c r="AI71" s="458">
        <v>439709</v>
      </c>
      <c r="AJ71" s="458">
        <v>169831</v>
      </c>
      <c r="AK71" s="458">
        <v>0</v>
      </c>
      <c r="AL71" s="458">
        <v>1812802</v>
      </c>
      <c r="AM71" s="458">
        <v>0</v>
      </c>
    </row>
    <row r="72" spans="1:39" s="155" customFormat="1" ht="12" x14ac:dyDescent="0.2">
      <c r="A72" s="168">
        <v>18</v>
      </c>
      <c r="B72" s="477">
        <v>10649</v>
      </c>
      <c r="C72" s="476" t="s">
        <v>2333</v>
      </c>
      <c r="D72" s="450">
        <f t="shared" si="12"/>
        <v>3409934</v>
      </c>
      <c r="E72" s="431">
        <v>1867363</v>
      </c>
      <c r="F72" s="431">
        <v>186060</v>
      </c>
      <c r="G72" s="431">
        <v>983741</v>
      </c>
      <c r="H72" s="431">
        <v>0</v>
      </c>
      <c r="I72" s="431">
        <v>559903</v>
      </c>
      <c r="J72" s="431">
        <v>0</v>
      </c>
      <c r="K72" s="431">
        <v>114000</v>
      </c>
      <c r="L72" s="431">
        <v>0</v>
      </c>
      <c r="M72" s="431">
        <v>143338</v>
      </c>
      <c r="N72" s="431">
        <v>675330</v>
      </c>
      <c r="O72" s="431">
        <v>50000</v>
      </c>
      <c r="P72" s="432">
        <f t="shared" si="2"/>
        <v>3658275</v>
      </c>
      <c r="Q72" s="458">
        <v>858866</v>
      </c>
      <c r="R72" s="458">
        <v>973482</v>
      </c>
      <c r="S72" s="458">
        <v>0</v>
      </c>
      <c r="T72" s="458">
        <v>0</v>
      </c>
      <c r="U72" s="458">
        <v>0</v>
      </c>
      <c r="V72" s="458">
        <v>0</v>
      </c>
      <c r="W72" s="458">
        <v>1118562</v>
      </c>
      <c r="X72" s="458">
        <v>77969</v>
      </c>
      <c r="Y72" s="458">
        <v>142555</v>
      </c>
      <c r="Z72" s="458">
        <v>487802</v>
      </c>
      <c r="AA72" s="458">
        <v>0</v>
      </c>
      <c r="AB72" s="458">
        <v>-961</v>
      </c>
      <c r="AC72" s="458">
        <v>565774</v>
      </c>
      <c r="AD72" s="458">
        <v>354912</v>
      </c>
      <c r="AE72" s="458">
        <v>473068</v>
      </c>
      <c r="AF72" s="458">
        <v>0</v>
      </c>
      <c r="AG72" s="458">
        <v>356880</v>
      </c>
      <c r="AH72" s="458">
        <v>160215</v>
      </c>
      <c r="AI72" s="458">
        <v>732263</v>
      </c>
      <c r="AJ72" s="458">
        <v>68448</v>
      </c>
      <c r="AK72" s="458">
        <v>0</v>
      </c>
      <c r="AL72" s="458">
        <v>780378</v>
      </c>
      <c r="AM72" s="458">
        <v>166337</v>
      </c>
    </row>
    <row r="73" spans="1:39" s="155" customFormat="1" ht="12" x14ac:dyDescent="0.2">
      <c r="A73" s="168">
        <v>19</v>
      </c>
      <c r="B73" s="477">
        <v>10701</v>
      </c>
      <c r="C73" s="476" t="s">
        <v>2334</v>
      </c>
      <c r="D73" s="450">
        <f t="shared" si="12"/>
        <v>4457081</v>
      </c>
      <c r="E73" s="431">
        <v>1763673</v>
      </c>
      <c r="F73" s="431">
        <v>74581</v>
      </c>
      <c r="G73" s="431">
        <v>1380637</v>
      </c>
      <c r="H73" s="431">
        <v>0</v>
      </c>
      <c r="I73" s="431">
        <v>877609</v>
      </c>
      <c r="J73" s="431">
        <v>50000</v>
      </c>
      <c r="K73" s="431">
        <v>129000</v>
      </c>
      <c r="L73" s="431">
        <v>0</v>
      </c>
      <c r="M73" s="431">
        <v>823078</v>
      </c>
      <c r="N73" s="431">
        <v>766941</v>
      </c>
      <c r="O73" s="431">
        <v>46780</v>
      </c>
      <c r="P73" s="432">
        <f t="shared" si="2"/>
        <v>5454765</v>
      </c>
      <c r="Q73" s="458">
        <v>1227502</v>
      </c>
      <c r="R73" s="458">
        <v>1453169</v>
      </c>
      <c r="S73" s="458">
        <v>0</v>
      </c>
      <c r="T73" s="458">
        <v>0</v>
      </c>
      <c r="U73" s="458">
        <v>0</v>
      </c>
      <c r="V73" s="458">
        <v>0</v>
      </c>
      <c r="W73" s="458">
        <v>782254</v>
      </c>
      <c r="X73" s="458">
        <v>62740</v>
      </c>
      <c r="Y73" s="458">
        <v>0</v>
      </c>
      <c r="Z73" s="458">
        <v>1929100</v>
      </c>
      <c r="AA73" s="458">
        <v>0</v>
      </c>
      <c r="AB73" s="458">
        <v>0</v>
      </c>
      <c r="AC73" s="458">
        <v>1254244</v>
      </c>
      <c r="AD73" s="458">
        <v>0</v>
      </c>
      <c r="AE73" s="458">
        <v>1256330</v>
      </c>
      <c r="AF73" s="458">
        <v>0</v>
      </c>
      <c r="AG73" s="458">
        <v>87973</v>
      </c>
      <c r="AH73" s="458">
        <v>213421</v>
      </c>
      <c r="AI73" s="458">
        <v>98061</v>
      </c>
      <c r="AJ73" s="458">
        <v>98787</v>
      </c>
      <c r="AK73" s="458">
        <v>0</v>
      </c>
      <c r="AL73" s="458">
        <v>2431353</v>
      </c>
      <c r="AM73" s="458">
        <v>14596</v>
      </c>
    </row>
    <row r="74" spans="1:39" s="155" customFormat="1" ht="12" x14ac:dyDescent="0.2">
      <c r="A74" s="168">
        <v>20</v>
      </c>
      <c r="B74" s="477">
        <v>12912</v>
      </c>
      <c r="C74" s="476" t="s">
        <v>2335</v>
      </c>
      <c r="D74" s="450">
        <f t="shared" si="12"/>
        <v>3406225</v>
      </c>
      <c r="E74" s="431">
        <v>1692628</v>
      </c>
      <c r="F74" s="431">
        <v>214634</v>
      </c>
      <c r="G74" s="431">
        <v>1024731</v>
      </c>
      <c r="H74" s="431">
        <v>0</v>
      </c>
      <c r="I74" s="431">
        <v>807000</v>
      </c>
      <c r="J74" s="431">
        <v>0</v>
      </c>
      <c r="K74" s="431">
        <v>145000</v>
      </c>
      <c r="L74" s="431">
        <v>0</v>
      </c>
      <c r="M74" s="431">
        <v>74883</v>
      </c>
      <c r="N74" s="431">
        <v>427714</v>
      </c>
      <c r="O74" s="431">
        <v>259000</v>
      </c>
      <c r="P74" s="432">
        <f t="shared" si="2"/>
        <v>3114075</v>
      </c>
      <c r="Q74" s="458">
        <v>1074812</v>
      </c>
      <c r="R74" s="458">
        <v>724171</v>
      </c>
      <c r="S74" s="458">
        <v>0</v>
      </c>
      <c r="T74" s="458">
        <v>0</v>
      </c>
      <c r="U74" s="458">
        <v>0</v>
      </c>
      <c r="V74" s="458">
        <v>10232</v>
      </c>
      <c r="W74" s="458">
        <v>497675</v>
      </c>
      <c r="X74" s="458">
        <v>118291</v>
      </c>
      <c r="Y74" s="458">
        <v>53300</v>
      </c>
      <c r="Z74" s="458">
        <v>635594</v>
      </c>
      <c r="AA74" s="458">
        <v>0</v>
      </c>
      <c r="AB74" s="458">
        <v>0</v>
      </c>
      <c r="AC74" s="458">
        <v>973065</v>
      </c>
      <c r="AD74" s="458">
        <v>0</v>
      </c>
      <c r="AE74" s="458">
        <v>1113193</v>
      </c>
      <c r="AF74" s="458">
        <v>0</v>
      </c>
      <c r="AG74" s="458">
        <v>684246</v>
      </c>
      <c r="AH74" s="458">
        <v>147695</v>
      </c>
      <c r="AI74" s="458">
        <v>155876</v>
      </c>
      <c r="AJ74" s="458">
        <v>0</v>
      </c>
      <c r="AK74" s="458">
        <v>0</v>
      </c>
      <c r="AL74" s="458">
        <v>40000</v>
      </c>
      <c r="AM74" s="458">
        <v>0</v>
      </c>
    </row>
    <row r="75" spans="1:39" s="155" customFormat="1" ht="12" x14ac:dyDescent="0.2">
      <c r="A75" s="168">
        <v>21</v>
      </c>
      <c r="B75" s="477">
        <v>9280</v>
      </c>
      <c r="C75" s="476" t="s">
        <v>2336</v>
      </c>
      <c r="D75" s="450">
        <f t="shared" si="12"/>
        <v>5295819</v>
      </c>
      <c r="E75" s="431">
        <v>1883706</v>
      </c>
      <c r="F75" s="431">
        <v>235514</v>
      </c>
      <c r="G75" s="431">
        <v>251830</v>
      </c>
      <c r="H75" s="431">
        <v>0</v>
      </c>
      <c r="I75" s="431">
        <v>1598000</v>
      </c>
      <c r="J75" s="431">
        <v>189490</v>
      </c>
      <c r="K75" s="431">
        <v>584000</v>
      </c>
      <c r="L75" s="431">
        <v>0</v>
      </c>
      <c r="M75" s="431">
        <v>1030758</v>
      </c>
      <c r="N75" s="431">
        <v>0</v>
      </c>
      <c r="O75" s="431">
        <v>9865</v>
      </c>
      <c r="P75" s="432">
        <f t="shared" si="2"/>
        <v>6583438</v>
      </c>
      <c r="Q75" s="458">
        <v>1954931</v>
      </c>
      <c r="R75" s="458">
        <v>1416942</v>
      </c>
      <c r="S75" s="458">
        <v>0</v>
      </c>
      <c r="T75" s="458">
        <v>0</v>
      </c>
      <c r="U75" s="458">
        <v>0</v>
      </c>
      <c r="V75" s="458">
        <v>0</v>
      </c>
      <c r="W75" s="458">
        <v>0</v>
      </c>
      <c r="X75" s="458">
        <v>139237</v>
      </c>
      <c r="Y75" s="458">
        <v>41282</v>
      </c>
      <c r="Z75" s="458">
        <v>3031046</v>
      </c>
      <c r="AA75" s="458">
        <v>0</v>
      </c>
      <c r="AB75" s="458">
        <v>0</v>
      </c>
      <c r="AC75" s="458">
        <v>1013757</v>
      </c>
      <c r="AD75" s="458">
        <v>0</v>
      </c>
      <c r="AE75" s="458">
        <v>1629360</v>
      </c>
      <c r="AF75" s="458">
        <v>0</v>
      </c>
      <c r="AG75" s="458">
        <v>163061</v>
      </c>
      <c r="AH75" s="458">
        <v>336478</v>
      </c>
      <c r="AI75" s="458">
        <v>664202</v>
      </c>
      <c r="AJ75" s="458">
        <v>53217</v>
      </c>
      <c r="AK75" s="458">
        <v>0</v>
      </c>
      <c r="AL75" s="458">
        <v>2723363</v>
      </c>
      <c r="AM75" s="458">
        <v>0</v>
      </c>
    </row>
    <row r="76" spans="1:39" s="155" customFormat="1" ht="12" x14ac:dyDescent="0.2">
      <c r="A76" s="168">
        <v>22</v>
      </c>
      <c r="B76" s="477">
        <v>10827</v>
      </c>
      <c r="C76" s="476" t="s">
        <v>2337</v>
      </c>
      <c r="D76" s="450">
        <f t="shared" si="12"/>
        <v>5262452</v>
      </c>
      <c r="E76" s="431">
        <v>2274894</v>
      </c>
      <c r="F76" s="431">
        <v>996924</v>
      </c>
      <c r="G76" s="431">
        <v>402759</v>
      </c>
      <c r="H76" s="431">
        <v>0</v>
      </c>
      <c r="I76" s="431">
        <v>1385590</v>
      </c>
      <c r="J76" s="431">
        <v>400000</v>
      </c>
      <c r="K76" s="431">
        <v>650000</v>
      </c>
      <c r="L76" s="431">
        <v>0</v>
      </c>
      <c r="M76" s="431">
        <v>144157</v>
      </c>
      <c r="N76" s="431">
        <v>407811</v>
      </c>
      <c r="O76" s="431">
        <v>0</v>
      </c>
      <c r="P76" s="432">
        <f t="shared" si="2"/>
        <v>5149266</v>
      </c>
      <c r="Q76" s="458">
        <v>1911948</v>
      </c>
      <c r="R76" s="458">
        <v>1396295</v>
      </c>
      <c r="S76" s="458">
        <v>0</v>
      </c>
      <c r="T76" s="458">
        <v>0</v>
      </c>
      <c r="U76" s="458">
        <v>0</v>
      </c>
      <c r="V76" s="458">
        <v>29000</v>
      </c>
      <c r="W76" s="458">
        <v>102231</v>
      </c>
      <c r="X76" s="458">
        <v>85139</v>
      </c>
      <c r="Y76" s="458">
        <v>3992</v>
      </c>
      <c r="Z76" s="458">
        <v>1194698</v>
      </c>
      <c r="AA76" s="458">
        <v>425963</v>
      </c>
      <c r="AB76" s="458">
        <v>0</v>
      </c>
      <c r="AC76" s="458">
        <v>782282</v>
      </c>
      <c r="AD76" s="458">
        <v>0</v>
      </c>
      <c r="AE76" s="458">
        <v>969103</v>
      </c>
      <c r="AF76" s="458">
        <v>0</v>
      </c>
      <c r="AG76" s="458">
        <v>114490</v>
      </c>
      <c r="AH76" s="458">
        <v>567751</v>
      </c>
      <c r="AI76" s="458">
        <v>2187446</v>
      </c>
      <c r="AJ76" s="458">
        <v>0</v>
      </c>
      <c r="AK76" s="458">
        <v>0</v>
      </c>
      <c r="AL76" s="458">
        <v>528194</v>
      </c>
      <c r="AM76" s="458">
        <v>0</v>
      </c>
    </row>
    <row r="77" spans="1:39" s="155" customFormat="1" ht="12" x14ac:dyDescent="0.2">
      <c r="A77" s="168">
        <v>23</v>
      </c>
      <c r="B77" s="477">
        <v>12920</v>
      </c>
      <c r="C77" s="476" t="s">
        <v>2338</v>
      </c>
      <c r="D77" s="450">
        <f t="shared" si="12"/>
        <v>6343757</v>
      </c>
      <c r="E77" s="431">
        <v>2211874</v>
      </c>
      <c r="F77" s="431">
        <v>389339</v>
      </c>
      <c r="G77" s="431">
        <v>683621</v>
      </c>
      <c r="H77" s="431">
        <v>0</v>
      </c>
      <c r="I77" s="431">
        <v>1024892</v>
      </c>
      <c r="J77" s="431">
        <v>0</v>
      </c>
      <c r="K77" s="431">
        <v>1186000</v>
      </c>
      <c r="L77" s="431">
        <v>0</v>
      </c>
      <c r="M77" s="431">
        <v>431418</v>
      </c>
      <c r="N77" s="431">
        <v>1475573</v>
      </c>
      <c r="O77" s="431">
        <v>14000</v>
      </c>
      <c r="P77" s="432">
        <f t="shared" si="2"/>
        <v>5230571</v>
      </c>
      <c r="Q77" s="458">
        <v>1372212</v>
      </c>
      <c r="R77" s="458">
        <v>1147919</v>
      </c>
      <c r="S77" s="458">
        <v>6620</v>
      </c>
      <c r="T77" s="458">
        <v>0</v>
      </c>
      <c r="U77" s="458">
        <v>0</v>
      </c>
      <c r="V77" s="458">
        <v>0</v>
      </c>
      <c r="W77" s="458">
        <v>252850</v>
      </c>
      <c r="X77" s="458">
        <v>129517</v>
      </c>
      <c r="Y77" s="458">
        <v>23000</v>
      </c>
      <c r="Z77" s="458">
        <v>1996321</v>
      </c>
      <c r="AA77" s="458">
        <v>302132</v>
      </c>
      <c r="AB77" s="458">
        <v>0</v>
      </c>
      <c r="AC77" s="458">
        <v>826489</v>
      </c>
      <c r="AD77" s="458">
        <v>91286</v>
      </c>
      <c r="AE77" s="458">
        <v>1181382</v>
      </c>
      <c r="AF77" s="458">
        <v>0</v>
      </c>
      <c r="AG77" s="458">
        <v>327229</v>
      </c>
      <c r="AH77" s="458">
        <v>244230</v>
      </c>
      <c r="AI77" s="458">
        <v>745336</v>
      </c>
      <c r="AJ77" s="458">
        <v>61590</v>
      </c>
      <c r="AK77" s="458">
        <v>0</v>
      </c>
      <c r="AL77" s="458">
        <v>1753029</v>
      </c>
      <c r="AM77" s="458">
        <v>0</v>
      </c>
    </row>
    <row r="78" spans="1:39" s="155" customFormat="1" ht="12" x14ac:dyDescent="0.2">
      <c r="A78" s="168">
        <v>24</v>
      </c>
      <c r="B78" s="477">
        <v>10872</v>
      </c>
      <c r="C78" s="476" t="s">
        <v>2339</v>
      </c>
      <c r="D78" s="450">
        <f t="shared" si="12"/>
        <v>7037563</v>
      </c>
      <c r="E78" s="431">
        <v>2156985</v>
      </c>
      <c r="F78" s="431">
        <v>609854</v>
      </c>
      <c r="G78" s="431">
        <v>493749</v>
      </c>
      <c r="H78" s="431">
        <v>0</v>
      </c>
      <c r="I78" s="431">
        <v>1996528</v>
      </c>
      <c r="J78" s="431">
        <v>127000</v>
      </c>
      <c r="K78" s="431">
        <v>650000</v>
      </c>
      <c r="L78" s="431">
        <v>0</v>
      </c>
      <c r="M78" s="431">
        <v>819857</v>
      </c>
      <c r="N78" s="431">
        <v>1121844</v>
      </c>
      <c r="O78" s="431">
        <v>165349</v>
      </c>
      <c r="P78" s="432">
        <f t="shared" si="2"/>
        <v>7085699</v>
      </c>
      <c r="Q78" s="458">
        <v>2242114</v>
      </c>
      <c r="R78" s="458">
        <v>1608167</v>
      </c>
      <c r="S78" s="458">
        <v>0</v>
      </c>
      <c r="T78" s="458">
        <v>0</v>
      </c>
      <c r="U78" s="458">
        <v>0</v>
      </c>
      <c r="V78" s="458">
        <v>0</v>
      </c>
      <c r="W78" s="458">
        <v>910370</v>
      </c>
      <c r="X78" s="458">
        <v>244198</v>
      </c>
      <c r="Y78" s="458">
        <v>24999</v>
      </c>
      <c r="Z78" s="458">
        <v>2076603</v>
      </c>
      <c r="AA78" s="458">
        <v>0</v>
      </c>
      <c r="AB78" s="458">
        <v>-20752</v>
      </c>
      <c r="AC78" s="458">
        <v>1434260</v>
      </c>
      <c r="AD78" s="458">
        <v>0</v>
      </c>
      <c r="AE78" s="458">
        <v>1805822</v>
      </c>
      <c r="AF78" s="458">
        <v>0</v>
      </c>
      <c r="AG78" s="458">
        <v>522472</v>
      </c>
      <c r="AH78" s="458">
        <v>340590</v>
      </c>
      <c r="AI78" s="458">
        <v>1534948</v>
      </c>
      <c r="AJ78" s="458">
        <v>161568</v>
      </c>
      <c r="AK78" s="458">
        <v>0</v>
      </c>
      <c r="AL78" s="458">
        <v>1286039</v>
      </c>
      <c r="AM78" s="458">
        <v>0</v>
      </c>
    </row>
    <row r="79" spans="1:39" s="155" customFormat="1" ht="12" x14ac:dyDescent="0.2">
      <c r="A79" s="168">
        <v>25</v>
      </c>
      <c r="B79" s="477">
        <v>10916</v>
      </c>
      <c r="C79" s="476" t="s">
        <v>2340</v>
      </c>
      <c r="D79" s="450">
        <f t="shared" si="12"/>
        <v>5310122</v>
      </c>
      <c r="E79" s="431">
        <v>1946839</v>
      </c>
      <c r="F79" s="431">
        <v>176526</v>
      </c>
      <c r="G79" s="431">
        <v>604816</v>
      </c>
      <c r="H79" s="431">
        <v>0</v>
      </c>
      <c r="I79" s="431">
        <v>1251062</v>
      </c>
      <c r="J79" s="431">
        <v>0</v>
      </c>
      <c r="K79" s="431">
        <v>469000</v>
      </c>
      <c r="L79" s="431">
        <v>0</v>
      </c>
      <c r="M79" s="431">
        <v>1375004</v>
      </c>
      <c r="N79" s="431">
        <v>218217</v>
      </c>
      <c r="O79" s="431">
        <v>50000</v>
      </c>
      <c r="P79" s="432">
        <f t="shared" ref="P79:P142" si="13">IF(SUM(Q79:AB79)=SUM(AC79:AM79),SUM(Q79:AB79),"  EROARE ART/CAP")</f>
        <v>5030957</v>
      </c>
      <c r="Q79" s="458">
        <v>1462155</v>
      </c>
      <c r="R79" s="458">
        <v>550073</v>
      </c>
      <c r="S79" s="458">
        <v>4795</v>
      </c>
      <c r="T79" s="458">
        <v>0</v>
      </c>
      <c r="U79" s="458">
        <v>0</v>
      </c>
      <c r="V79" s="458">
        <v>0</v>
      </c>
      <c r="W79" s="458">
        <v>50000</v>
      </c>
      <c r="X79" s="458">
        <v>95630</v>
      </c>
      <c r="Y79" s="458">
        <v>37000</v>
      </c>
      <c r="Z79" s="458">
        <v>2609961</v>
      </c>
      <c r="AA79" s="458">
        <v>236587</v>
      </c>
      <c r="AB79" s="458">
        <v>-15244</v>
      </c>
      <c r="AC79" s="458">
        <v>558581</v>
      </c>
      <c r="AD79" s="458">
        <v>0</v>
      </c>
      <c r="AE79" s="458">
        <v>1209500</v>
      </c>
      <c r="AF79" s="458">
        <v>0</v>
      </c>
      <c r="AG79" s="458">
        <v>351992</v>
      </c>
      <c r="AH79" s="458">
        <v>199677</v>
      </c>
      <c r="AI79" s="458">
        <v>181321</v>
      </c>
      <c r="AJ79" s="458">
        <v>1348489</v>
      </c>
      <c r="AK79" s="458">
        <v>0</v>
      </c>
      <c r="AL79" s="458">
        <v>1181397</v>
      </c>
      <c r="AM79" s="458">
        <v>0</v>
      </c>
    </row>
    <row r="80" spans="1:39" s="155" customFormat="1" ht="12" x14ac:dyDescent="0.2">
      <c r="A80" s="168">
        <v>26</v>
      </c>
      <c r="B80" s="477">
        <v>10943</v>
      </c>
      <c r="C80" s="476" t="s">
        <v>2341</v>
      </c>
      <c r="D80" s="450">
        <f t="shared" si="12"/>
        <v>9727982</v>
      </c>
      <c r="E80" s="431">
        <v>2703686</v>
      </c>
      <c r="F80" s="431">
        <v>1158009</v>
      </c>
      <c r="G80" s="431">
        <v>217912</v>
      </c>
      <c r="H80" s="431">
        <v>0</v>
      </c>
      <c r="I80" s="431">
        <v>4130096</v>
      </c>
      <c r="J80" s="431">
        <v>480000</v>
      </c>
      <c r="K80" s="431">
        <v>375000</v>
      </c>
      <c r="L80" s="431">
        <v>0</v>
      </c>
      <c r="M80" s="431">
        <v>1838414</v>
      </c>
      <c r="N80" s="431">
        <v>200786</v>
      </c>
      <c r="O80" s="431">
        <v>0</v>
      </c>
      <c r="P80" s="432">
        <f t="shared" si="13"/>
        <v>9827912</v>
      </c>
      <c r="Q80" s="458">
        <v>4456537</v>
      </c>
      <c r="R80" s="458">
        <v>1617837</v>
      </c>
      <c r="S80" s="458">
        <v>0</v>
      </c>
      <c r="T80" s="458">
        <v>0</v>
      </c>
      <c r="U80" s="458">
        <v>34000</v>
      </c>
      <c r="V80" s="458">
        <v>0</v>
      </c>
      <c r="W80" s="458">
        <v>0</v>
      </c>
      <c r="X80" s="458">
        <v>347026</v>
      </c>
      <c r="Y80" s="458">
        <v>33495</v>
      </c>
      <c r="Z80" s="458">
        <v>3339698</v>
      </c>
      <c r="AA80" s="458">
        <v>0</v>
      </c>
      <c r="AB80" s="458">
        <v>-681</v>
      </c>
      <c r="AC80" s="458">
        <v>1213436</v>
      </c>
      <c r="AD80" s="458">
        <v>30908</v>
      </c>
      <c r="AE80" s="458">
        <v>3421250</v>
      </c>
      <c r="AF80" s="458">
        <v>45355</v>
      </c>
      <c r="AG80" s="458">
        <v>211850</v>
      </c>
      <c r="AH80" s="458">
        <v>907123</v>
      </c>
      <c r="AI80" s="458">
        <v>285182</v>
      </c>
      <c r="AJ80" s="458">
        <v>983237</v>
      </c>
      <c r="AK80" s="458">
        <v>0</v>
      </c>
      <c r="AL80" s="458">
        <v>2516874</v>
      </c>
      <c r="AM80" s="458">
        <v>212697</v>
      </c>
    </row>
    <row r="81" spans="1:39" s="155" customFormat="1" ht="12" x14ac:dyDescent="0.2">
      <c r="A81" s="168">
        <v>27</v>
      </c>
      <c r="B81" s="477">
        <v>11058</v>
      </c>
      <c r="C81" s="476" t="s">
        <v>2342</v>
      </c>
      <c r="D81" s="450">
        <f t="shared" si="12"/>
        <v>4910415</v>
      </c>
      <c r="E81" s="431">
        <v>1749223</v>
      </c>
      <c r="F81" s="431">
        <v>231968</v>
      </c>
      <c r="G81" s="431">
        <v>1047718</v>
      </c>
      <c r="H81" s="431">
        <v>0</v>
      </c>
      <c r="I81" s="431">
        <v>1805967</v>
      </c>
      <c r="J81" s="431">
        <v>500000</v>
      </c>
      <c r="K81" s="431">
        <v>172000</v>
      </c>
      <c r="L81" s="431">
        <v>0</v>
      </c>
      <c r="M81" s="431">
        <v>683225</v>
      </c>
      <c r="N81" s="431">
        <v>0</v>
      </c>
      <c r="O81" s="431">
        <v>0</v>
      </c>
      <c r="P81" s="432">
        <f t="shared" si="13"/>
        <v>5008034</v>
      </c>
      <c r="Q81" s="458">
        <v>2061676</v>
      </c>
      <c r="R81" s="458">
        <v>1030816</v>
      </c>
      <c r="S81" s="458">
        <v>0</v>
      </c>
      <c r="T81" s="458">
        <v>0</v>
      </c>
      <c r="U81" s="458">
        <v>0</v>
      </c>
      <c r="V81" s="458">
        <v>176922</v>
      </c>
      <c r="W81" s="458">
        <v>0</v>
      </c>
      <c r="X81" s="458">
        <v>119492</v>
      </c>
      <c r="Y81" s="458">
        <v>0</v>
      </c>
      <c r="Z81" s="458">
        <v>1619128</v>
      </c>
      <c r="AA81" s="458">
        <v>0</v>
      </c>
      <c r="AB81" s="458">
        <v>0</v>
      </c>
      <c r="AC81" s="458">
        <v>935606</v>
      </c>
      <c r="AD81" s="458">
        <v>0</v>
      </c>
      <c r="AE81" s="458">
        <v>1559299</v>
      </c>
      <c r="AF81" s="458">
        <v>0</v>
      </c>
      <c r="AG81" s="458">
        <v>96672</v>
      </c>
      <c r="AH81" s="458">
        <v>350687</v>
      </c>
      <c r="AI81" s="458">
        <v>225022</v>
      </c>
      <c r="AJ81" s="458">
        <v>8477</v>
      </c>
      <c r="AK81" s="458">
        <v>0</v>
      </c>
      <c r="AL81" s="458">
        <v>1756111</v>
      </c>
      <c r="AM81" s="458">
        <v>76160</v>
      </c>
    </row>
    <row r="82" spans="1:39" s="155" customFormat="1" ht="12" x14ac:dyDescent="0.2">
      <c r="A82" s="168">
        <v>28</v>
      </c>
      <c r="B82" s="477">
        <v>11174</v>
      </c>
      <c r="C82" s="476" t="s">
        <v>2343</v>
      </c>
      <c r="D82" s="450">
        <f t="shared" si="12"/>
        <v>3279521</v>
      </c>
      <c r="E82" s="431">
        <v>1688310</v>
      </c>
      <c r="F82" s="431">
        <v>100713</v>
      </c>
      <c r="G82" s="431">
        <v>1372639</v>
      </c>
      <c r="H82" s="431">
        <v>0</v>
      </c>
      <c r="I82" s="431">
        <v>813651</v>
      </c>
      <c r="J82" s="431">
        <v>247922</v>
      </c>
      <c r="K82" s="431">
        <v>56000</v>
      </c>
      <c r="L82" s="431">
        <v>0</v>
      </c>
      <c r="M82" s="431">
        <v>100433</v>
      </c>
      <c r="N82" s="431">
        <v>323205</v>
      </c>
      <c r="O82" s="431">
        <v>50000</v>
      </c>
      <c r="P82" s="432">
        <f t="shared" si="13"/>
        <v>2863229</v>
      </c>
      <c r="Q82" s="458">
        <v>1213134</v>
      </c>
      <c r="R82" s="458">
        <v>897563</v>
      </c>
      <c r="S82" s="458">
        <v>0</v>
      </c>
      <c r="T82" s="458">
        <v>0</v>
      </c>
      <c r="U82" s="458">
        <v>0</v>
      </c>
      <c r="V82" s="458">
        <v>0</v>
      </c>
      <c r="W82" s="458">
        <v>391852</v>
      </c>
      <c r="X82" s="458">
        <v>73869</v>
      </c>
      <c r="Y82" s="458">
        <v>0</v>
      </c>
      <c r="Z82" s="458">
        <v>286811</v>
      </c>
      <c r="AA82" s="458">
        <v>0</v>
      </c>
      <c r="AB82" s="458">
        <v>0</v>
      </c>
      <c r="AC82" s="458">
        <v>628515</v>
      </c>
      <c r="AD82" s="458">
        <v>135000</v>
      </c>
      <c r="AE82" s="458">
        <v>630622</v>
      </c>
      <c r="AF82" s="458">
        <v>0</v>
      </c>
      <c r="AG82" s="458">
        <v>217197</v>
      </c>
      <c r="AH82" s="458">
        <v>354849</v>
      </c>
      <c r="AI82" s="458">
        <v>25359</v>
      </c>
      <c r="AJ82" s="458">
        <v>0</v>
      </c>
      <c r="AK82" s="458">
        <v>0</v>
      </c>
      <c r="AL82" s="458">
        <v>871687</v>
      </c>
      <c r="AM82" s="458">
        <v>0</v>
      </c>
    </row>
    <row r="83" spans="1:39" s="155" customFormat="1" ht="12" x14ac:dyDescent="0.2">
      <c r="A83" s="168">
        <v>29</v>
      </c>
      <c r="B83" s="477">
        <v>11236</v>
      </c>
      <c r="C83" s="476" t="s">
        <v>2344</v>
      </c>
      <c r="D83" s="450">
        <f t="shared" si="12"/>
        <v>4130037</v>
      </c>
      <c r="E83" s="431">
        <v>1676191</v>
      </c>
      <c r="F83" s="431">
        <v>46386</v>
      </c>
      <c r="G83" s="431">
        <v>1466614</v>
      </c>
      <c r="H83" s="431">
        <v>0</v>
      </c>
      <c r="I83" s="431">
        <v>818382</v>
      </c>
      <c r="J83" s="431">
        <v>500000</v>
      </c>
      <c r="K83" s="431">
        <v>108000</v>
      </c>
      <c r="L83" s="431">
        <v>0</v>
      </c>
      <c r="M83" s="431">
        <v>402180</v>
      </c>
      <c r="N83" s="431">
        <v>593620</v>
      </c>
      <c r="O83" s="431">
        <v>31664</v>
      </c>
      <c r="P83" s="432">
        <f t="shared" si="13"/>
        <v>3588792</v>
      </c>
      <c r="Q83" s="458">
        <v>981754</v>
      </c>
      <c r="R83" s="458">
        <v>292936</v>
      </c>
      <c r="S83" s="458">
        <v>0</v>
      </c>
      <c r="T83" s="458">
        <v>0</v>
      </c>
      <c r="U83" s="458">
        <v>0</v>
      </c>
      <c r="V83" s="458">
        <v>250000</v>
      </c>
      <c r="W83" s="458">
        <v>865443</v>
      </c>
      <c r="X83" s="458">
        <v>153646</v>
      </c>
      <c r="Y83" s="458">
        <v>0</v>
      </c>
      <c r="Z83" s="458">
        <v>1045013</v>
      </c>
      <c r="AA83" s="458">
        <v>0</v>
      </c>
      <c r="AB83" s="458">
        <v>0</v>
      </c>
      <c r="AC83" s="458">
        <v>1011406</v>
      </c>
      <c r="AD83" s="458">
        <v>0</v>
      </c>
      <c r="AE83" s="458">
        <v>615608</v>
      </c>
      <c r="AF83" s="458">
        <v>0</v>
      </c>
      <c r="AG83" s="458">
        <v>318569</v>
      </c>
      <c r="AH83" s="458">
        <v>373084</v>
      </c>
      <c r="AI83" s="458">
        <v>202915</v>
      </c>
      <c r="AJ83" s="458">
        <v>0</v>
      </c>
      <c r="AK83" s="458">
        <v>0</v>
      </c>
      <c r="AL83" s="458">
        <v>1057210</v>
      </c>
      <c r="AM83" s="458">
        <v>10000</v>
      </c>
    </row>
    <row r="84" spans="1:39" s="155" customFormat="1" ht="12" x14ac:dyDescent="0.2">
      <c r="A84" s="168">
        <v>30</v>
      </c>
      <c r="B84" s="477">
        <v>11307</v>
      </c>
      <c r="C84" s="476" t="s">
        <v>2345</v>
      </c>
      <c r="D84" s="450">
        <f t="shared" si="12"/>
        <v>1960080</v>
      </c>
      <c r="E84" s="431">
        <v>1466871</v>
      </c>
      <c r="F84" s="431">
        <v>37337</v>
      </c>
      <c r="G84" s="431">
        <v>1254670</v>
      </c>
      <c r="H84" s="431">
        <v>0</v>
      </c>
      <c r="I84" s="431">
        <v>340593</v>
      </c>
      <c r="J84" s="431">
        <v>0</v>
      </c>
      <c r="K84" s="431">
        <v>51000</v>
      </c>
      <c r="L84" s="431">
        <v>0</v>
      </c>
      <c r="M84" s="431">
        <v>101616</v>
      </c>
      <c r="N84" s="431">
        <v>0</v>
      </c>
      <c r="O84" s="431">
        <v>0</v>
      </c>
      <c r="P84" s="432">
        <f t="shared" si="13"/>
        <v>1967967</v>
      </c>
      <c r="Q84" s="458">
        <v>599280</v>
      </c>
      <c r="R84" s="458">
        <v>214958</v>
      </c>
      <c r="S84" s="458">
        <v>0</v>
      </c>
      <c r="T84" s="458">
        <v>0</v>
      </c>
      <c r="U84" s="458">
        <v>0</v>
      </c>
      <c r="V84" s="458">
        <v>40000</v>
      </c>
      <c r="W84" s="458">
        <v>0</v>
      </c>
      <c r="X84" s="458">
        <v>51079</v>
      </c>
      <c r="Y84" s="458">
        <v>10450</v>
      </c>
      <c r="Z84" s="458">
        <v>1052200</v>
      </c>
      <c r="AA84" s="458">
        <v>0</v>
      </c>
      <c r="AB84" s="458">
        <v>0</v>
      </c>
      <c r="AC84" s="458">
        <v>420016</v>
      </c>
      <c r="AD84" s="458">
        <v>3257</v>
      </c>
      <c r="AE84" s="458">
        <v>251617</v>
      </c>
      <c r="AF84" s="458">
        <v>0</v>
      </c>
      <c r="AG84" s="458">
        <v>218140</v>
      </c>
      <c r="AH84" s="458">
        <v>165228</v>
      </c>
      <c r="AI84" s="458">
        <v>33853</v>
      </c>
      <c r="AJ84" s="458">
        <v>33424</v>
      </c>
      <c r="AK84" s="458">
        <v>0</v>
      </c>
      <c r="AL84" s="458">
        <v>842432</v>
      </c>
      <c r="AM84" s="458">
        <v>0</v>
      </c>
    </row>
    <row r="85" spans="1:39" s="155" customFormat="1" ht="12" x14ac:dyDescent="0.2">
      <c r="A85" s="168">
        <v>31</v>
      </c>
      <c r="B85" s="477">
        <v>11352</v>
      </c>
      <c r="C85" s="476" t="s">
        <v>2346</v>
      </c>
      <c r="D85" s="450">
        <f t="shared" si="12"/>
        <v>3747102</v>
      </c>
      <c r="E85" s="431">
        <v>1754783</v>
      </c>
      <c r="F85" s="431">
        <v>392270</v>
      </c>
      <c r="G85" s="431">
        <v>761762</v>
      </c>
      <c r="H85" s="431">
        <v>0</v>
      </c>
      <c r="I85" s="431">
        <v>1407000</v>
      </c>
      <c r="J85" s="431">
        <v>0</v>
      </c>
      <c r="K85" s="431">
        <v>375000</v>
      </c>
      <c r="L85" s="431">
        <v>0</v>
      </c>
      <c r="M85" s="431">
        <v>52804</v>
      </c>
      <c r="N85" s="431">
        <v>157515</v>
      </c>
      <c r="O85" s="431">
        <v>0</v>
      </c>
      <c r="P85" s="432">
        <f t="shared" si="13"/>
        <v>3647331</v>
      </c>
      <c r="Q85" s="458">
        <v>1789270</v>
      </c>
      <c r="R85" s="458">
        <v>759994</v>
      </c>
      <c r="S85" s="458">
        <v>0</v>
      </c>
      <c r="T85" s="458">
        <v>0</v>
      </c>
      <c r="U85" s="458">
        <v>0</v>
      </c>
      <c r="V85" s="458">
        <v>0</v>
      </c>
      <c r="W85" s="458">
        <v>0</v>
      </c>
      <c r="X85" s="458">
        <v>69831</v>
      </c>
      <c r="Y85" s="458">
        <v>134474</v>
      </c>
      <c r="Z85" s="458">
        <v>893762</v>
      </c>
      <c r="AA85" s="458">
        <v>0</v>
      </c>
      <c r="AB85" s="458">
        <v>0</v>
      </c>
      <c r="AC85" s="458">
        <v>850292</v>
      </c>
      <c r="AD85" s="458">
        <v>0</v>
      </c>
      <c r="AE85" s="458">
        <v>1257961</v>
      </c>
      <c r="AF85" s="458">
        <v>0</v>
      </c>
      <c r="AG85" s="458">
        <v>369143</v>
      </c>
      <c r="AH85" s="458">
        <v>333200</v>
      </c>
      <c r="AI85" s="458">
        <v>694902</v>
      </c>
      <c r="AJ85" s="458">
        <v>0</v>
      </c>
      <c r="AK85" s="458">
        <v>0</v>
      </c>
      <c r="AL85" s="458">
        <v>149552</v>
      </c>
      <c r="AM85" s="458">
        <v>-7719</v>
      </c>
    </row>
    <row r="86" spans="1:39" s="155" customFormat="1" ht="12" x14ac:dyDescent="0.2">
      <c r="A86" s="168">
        <v>32</v>
      </c>
      <c r="B86" s="477">
        <v>9333</v>
      </c>
      <c r="C86" s="476" t="s">
        <v>2347</v>
      </c>
      <c r="D86" s="450">
        <f t="shared" si="12"/>
        <v>4288573</v>
      </c>
      <c r="E86" s="431">
        <v>2546183</v>
      </c>
      <c r="F86" s="431">
        <v>947151</v>
      </c>
      <c r="G86" s="431">
        <v>336751</v>
      </c>
      <c r="H86" s="431">
        <v>0</v>
      </c>
      <c r="I86" s="431">
        <v>921061</v>
      </c>
      <c r="J86" s="431">
        <v>0</v>
      </c>
      <c r="K86" s="431">
        <v>817000</v>
      </c>
      <c r="L86" s="431">
        <v>0</v>
      </c>
      <c r="M86" s="431">
        <v>4329</v>
      </c>
      <c r="N86" s="431">
        <v>0</v>
      </c>
      <c r="O86" s="431">
        <v>0</v>
      </c>
      <c r="P86" s="432">
        <f t="shared" si="13"/>
        <v>4173166</v>
      </c>
      <c r="Q86" s="458">
        <v>1278529</v>
      </c>
      <c r="R86" s="458">
        <v>1198992</v>
      </c>
      <c r="S86" s="458">
        <v>0</v>
      </c>
      <c r="T86" s="458">
        <v>0</v>
      </c>
      <c r="U86" s="458">
        <v>0</v>
      </c>
      <c r="V86" s="458">
        <v>0</v>
      </c>
      <c r="W86" s="458">
        <v>0</v>
      </c>
      <c r="X86" s="458">
        <v>145932</v>
      </c>
      <c r="Y86" s="458">
        <v>10000</v>
      </c>
      <c r="Z86" s="458">
        <v>1539713</v>
      </c>
      <c r="AA86" s="458">
        <v>0</v>
      </c>
      <c r="AB86" s="458">
        <v>0</v>
      </c>
      <c r="AC86" s="458">
        <v>896807</v>
      </c>
      <c r="AD86" s="458">
        <v>266626</v>
      </c>
      <c r="AE86" s="458">
        <v>747061</v>
      </c>
      <c r="AF86" s="458">
        <v>0</v>
      </c>
      <c r="AG86" s="458">
        <v>179185</v>
      </c>
      <c r="AH86" s="458">
        <v>415831</v>
      </c>
      <c r="AI86" s="458">
        <v>234244</v>
      </c>
      <c r="AJ86" s="458">
        <v>113935</v>
      </c>
      <c r="AK86" s="458">
        <v>0</v>
      </c>
      <c r="AL86" s="458">
        <v>1319477</v>
      </c>
      <c r="AM86" s="458">
        <v>0</v>
      </c>
    </row>
    <row r="87" spans="1:39" s="155" customFormat="1" ht="12" x14ac:dyDescent="0.2">
      <c r="A87" s="168">
        <v>33</v>
      </c>
      <c r="B87" s="477">
        <v>11398</v>
      </c>
      <c r="C87" s="476" t="s">
        <v>2348</v>
      </c>
      <c r="D87" s="450">
        <f t="shared" ref="D87:D118" si="14">E87+SUM(H87:O87)</f>
        <v>7472045</v>
      </c>
      <c r="E87" s="431">
        <v>2568297</v>
      </c>
      <c r="F87" s="431">
        <v>605970</v>
      </c>
      <c r="G87" s="431">
        <v>628677</v>
      </c>
      <c r="H87" s="431">
        <v>0</v>
      </c>
      <c r="I87" s="431">
        <v>2281206</v>
      </c>
      <c r="J87" s="431">
        <v>0</v>
      </c>
      <c r="K87" s="431">
        <v>946000</v>
      </c>
      <c r="L87" s="431">
        <v>0</v>
      </c>
      <c r="M87" s="431">
        <v>1317974</v>
      </c>
      <c r="N87" s="431">
        <v>334878</v>
      </c>
      <c r="O87" s="431">
        <v>23690</v>
      </c>
      <c r="P87" s="432">
        <f t="shared" si="13"/>
        <v>7521429</v>
      </c>
      <c r="Q87" s="458">
        <v>2540626</v>
      </c>
      <c r="R87" s="458">
        <v>1370358</v>
      </c>
      <c r="S87" s="458">
        <v>0</v>
      </c>
      <c r="T87" s="458">
        <v>0</v>
      </c>
      <c r="U87" s="458">
        <v>149000</v>
      </c>
      <c r="V87" s="458">
        <v>21351</v>
      </c>
      <c r="W87" s="458">
        <v>407700</v>
      </c>
      <c r="X87" s="458">
        <v>300100</v>
      </c>
      <c r="Y87" s="458">
        <v>0</v>
      </c>
      <c r="Z87" s="458">
        <v>2732294</v>
      </c>
      <c r="AA87" s="458">
        <v>0</v>
      </c>
      <c r="AB87" s="458">
        <v>0</v>
      </c>
      <c r="AC87" s="458">
        <v>1117756</v>
      </c>
      <c r="AD87" s="458">
        <v>145323</v>
      </c>
      <c r="AE87" s="458">
        <v>2836239</v>
      </c>
      <c r="AF87" s="458">
        <v>0</v>
      </c>
      <c r="AG87" s="458">
        <v>1198543</v>
      </c>
      <c r="AH87" s="458">
        <v>398827</v>
      </c>
      <c r="AI87" s="458">
        <v>721735</v>
      </c>
      <c r="AJ87" s="458">
        <v>175569</v>
      </c>
      <c r="AK87" s="458">
        <v>0</v>
      </c>
      <c r="AL87" s="458">
        <v>927437</v>
      </c>
      <c r="AM87" s="458">
        <v>0</v>
      </c>
    </row>
    <row r="88" spans="1:39" s="155" customFormat="1" ht="12" x14ac:dyDescent="0.2">
      <c r="A88" s="168">
        <v>34</v>
      </c>
      <c r="B88" s="477">
        <v>11423</v>
      </c>
      <c r="C88" s="476" t="s">
        <v>2349</v>
      </c>
      <c r="D88" s="450">
        <f t="shared" si="14"/>
        <v>6255977</v>
      </c>
      <c r="E88" s="431">
        <v>2424996</v>
      </c>
      <c r="F88" s="431">
        <v>173307</v>
      </c>
      <c r="G88" s="431">
        <v>1174554</v>
      </c>
      <c r="H88" s="431">
        <v>0</v>
      </c>
      <c r="I88" s="431">
        <v>2301387</v>
      </c>
      <c r="J88" s="431">
        <v>400000</v>
      </c>
      <c r="K88" s="431">
        <v>782000</v>
      </c>
      <c r="L88" s="431">
        <v>0</v>
      </c>
      <c r="M88" s="431">
        <v>74809</v>
      </c>
      <c r="N88" s="431">
        <v>126285</v>
      </c>
      <c r="O88" s="431">
        <v>146500</v>
      </c>
      <c r="P88" s="432">
        <f t="shared" si="13"/>
        <v>6323113</v>
      </c>
      <c r="Q88" s="458">
        <v>2561654</v>
      </c>
      <c r="R88" s="458">
        <v>1539181</v>
      </c>
      <c r="S88" s="458">
        <v>0</v>
      </c>
      <c r="T88" s="458">
        <v>0</v>
      </c>
      <c r="U88" s="458">
        <v>0</v>
      </c>
      <c r="V88" s="458">
        <v>0</v>
      </c>
      <c r="W88" s="458">
        <v>164835</v>
      </c>
      <c r="X88" s="458">
        <v>189018</v>
      </c>
      <c r="Y88" s="458">
        <v>36980</v>
      </c>
      <c r="Z88" s="458">
        <v>1831445</v>
      </c>
      <c r="AA88" s="458">
        <v>0</v>
      </c>
      <c r="AB88" s="458">
        <v>0</v>
      </c>
      <c r="AC88" s="458">
        <v>866779</v>
      </c>
      <c r="AD88" s="458">
        <v>180019</v>
      </c>
      <c r="AE88" s="458">
        <v>2095579</v>
      </c>
      <c r="AF88" s="458">
        <v>0</v>
      </c>
      <c r="AG88" s="458">
        <v>236035</v>
      </c>
      <c r="AH88" s="458">
        <v>454548</v>
      </c>
      <c r="AI88" s="458">
        <v>995700</v>
      </c>
      <c r="AJ88" s="458">
        <v>0</v>
      </c>
      <c r="AK88" s="458">
        <v>0</v>
      </c>
      <c r="AL88" s="458">
        <v>1449839</v>
      </c>
      <c r="AM88" s="458">
        <v>44614</v>
      </c>
    </row>
    <row r="89" spans="1:39" s="155" customFormat="1" ht="12" x14ac:dyDescent="0.2">
      <c r="A89" s="168">
        <v>35</v>
      </c>
      <c r="B89" s="477">
        <v>11478</v>
      </c>
      <c r="C89" s="476" t="s">
        <v>2350</v>
      </c>
      <c r="D89" s="450">
        <f t="shared" si="14"/>
        <v>2615631</v>
      </c>
      <c r="E89" s="431">
        <v>2063488</v>
      </c>
      <c r="F89" s="431">
        <v>282669</v>
      </c>
      <c r="G89" s="431">
        <v>914759</v>
      </c>
      <c r="H89" s="431">
        <v>0</v>
      </c>
      <c r="I89" s="431">
        <v>449000</v>
      </c>
      <c r="J89" s="431">
        <v>0</v>
      </c>
      <c r="K89" s="431">
        <v>69000</v>
      </c>
      <c r="L89" s="431">
        <v>0</v>
      </c>
      <c r="M89" s="431">
        <v>8143</v>
      </c>
      <c r="N89" s="431">
        <v>0</v>
      </c>
      <c r="O89" s="431">
        <v>26000</v>
      </c>
      <c r="P89" s="432">
        <f t="shared" si="13"/>
        <v>2615420</v>
      </c>
      <c r="Q89" s="458">
        <v>782812</v>
      </c>
      <c r="R89" s="458">
        <v>1316400</v>
      </c>
      <c r="S89" s="458">
        <v>0</v>
      </c>
      <c r="T89" s="458">
        <v>0</v>
      </c>
      <c r="U89" s="458">
        <v>27376</v>
      </c>
      <c r="V89" s="458">
        <v>65000</v>
      </c>
      <c r="W89" s="458">
        <v>0</v>
      </c>
      <c r="X89" s="458">
        <v>101606</v>
      </c>
      <c r="Y89" s="458">
        <v>99228</v>
      </c>
      <c r="Z89" s="458">
        <v>222998</v>
      </c>
      <c r="AA89" s="458">
        <v>0</v>
      </c>
      <c r="AB89" s="458">
        <v>0</v>
      </c>
      <c r="AC89" s="458">
        <v>866245</v>
      </c>
      <c r="AD89" s="458">
        <v>0</v>
      </c>
      <c r="AE89" s="458">
        <v>449347</v>
      </c>
      <c r="AF89" s="458">
        <v>0</v>
      </c>
      <c r="AG89" s="458">
        <v>254538</v>
      </c>
      <c r="AH89" s="458">
        <v>172574</v>
      </c>
      <c r="AI89" s="458">
        <v>389936</v>
      </c>
      <c r="AJ89" s="458">
        <v>221328</v>
      </c>
      <c r="AK89" s="458">
        <v>0</v>
      </c>
      <c r="AL89" s="458">
        <v>261452</v>
      </c>
      <c r="AM89" s="458">
        <v>0</v>
      </c>
    </row>
    <row r="90" spans="1:39" s="155" customFormat="1" ht="12" x14ac:dyDescent="0.2">
      <c r="A90" s="168">
        <v>36</v>
      </c>
      <c r="B90" s="477">
        <v>11502</v>
      </c>
      <c r="C90" s="476" t="s">
        <v>2351</v>
      </c>
      <c r="D90" s="450">
        <f t="shared" si="14"/>
        <v>2396967</v>
      </c>
      <c r="E90" s="431">
        <v>1279126</v>
      </c>
      <c r="F90" s="431">
        <v>304012</v>
      </c>
      <c r="G90" s="431">
        <v>514865</v>
      </c>
      <c r="H90" s="431">
        <v>0</v>
      </c>
      <c r="I90" s="431">
        <v>993234</v>
      </c>
      <c r="J90" s="431">
        <v>0</v>
      </c>
      <c r="K90" s="431">
        <v>103000</v>
      </c>
      <c r="L90" s="431">
        <v>0</v>
      </c>
      <c r="M90" s="431">
        <v>21607</v>
      </c>
      <c r="N90" s="431">
        <v>0</v>
      </c>
      <c r="O90" s="431">
        <v>0</v>
      </c>
      <c r="P90" s="432">
        <f t="shared" si="13"/>
        <v>2395476</v>
      </c>
      <c r="Q90" s="458">
        <v>1320285</v>
      </c>
      <c r="R90" s="458">
        <v>549707</v>
      </c>
      <c r="S90" s="458">
        <v>0</v>
      </c>
      <c r="T90" s="458">
        <v>0</v>
      </c>
      <c r="U90" s="458">
        <v>7088</v>
      </c>
      <c r="V90" s="458">
        <v>0</v>
      </c>
      <c r="W90" s="458">
        <v>0</v>
      </c>
      <c r="X90" s="458">
        <v>48867</v>
      </c>
      <c r="Y90" s="458">
        <v>16000</v>
      </c>
      <c r="Z90" s="458">
        <v>453529</v>
      </c>
      <c r="AA90" s="458">
        <v>0</v>
      </c>
      <c r="AB90" s="458">
        <v>0</v>
      </c>
      <c r="AC90" s="458">
        <v>753133</v>
      </c>
      <c r="AD90" s="458">
        <v>48276</v>
      </c>
      <c r="AE90" s="458">
        <v>869877</v>
      </c>
      <c r="AF90" s="458">
        <v>15732</v>
      </c>
      <c r="AG90" s="458">
        <v>19000</v>
      </c>
      <c r="AH90" s="458">
        <v>178929</v>
      </c>
      <c r="AI90" s="458">
        <v>226792</v>
      </c>
      <c r="AJ90" s="458">
        <v>0</v>
      </c>
      <c r="AK90" s="458">
        <v>0</v>
      </c>
      <c r="AL90" s="458">
        <v>283737</v>
      </c>
      <c r="AM90" s="458">
        <v>0</v>
      </c>
    </row>
    <row r="91" spans="1:39" s="155" customFormat="1" ht="12" x14ac:dyDescent="0.2">
      <c r="A91" s="168">
        <v>37</v>
      </c>
      <c r="B91" s="477">
        <v>11539</v>
      </c>
      <c r="C91" s="476" t="s">
        <v>2352</v>
      </c>
      <c r="D91" s="450">
        <f t="shared" si="14"/>
        <v>8196233</v>
      </c>
      <c r="E91" s="431">
        <v>2648629</v>
      </c>
      <c r="F91" s="431">
        <v>917350</v>
      </c>
      <c r="G91" s="431">
        <v>588622</v>
      </c>
      <c r="H91" s="431">
        <v>0</v>
      </c>
      <c r="I91" s="431">
        <v>1795330</v>
      </c>
      <c r="J91" s="431">
        <v>0</v>
      </c>
      <c r="K91" s="431">
        <v>1045000</v>
      </c>
      <c r="L91" s="431">
        <v>0</v>
      </c>
      <c r="M91" s="431">
        <v>1368137</v>
      </c>
      <c r="N91" s="431">
        <v>1231137</v>
      </c>
      <c r="O91" s="431">
        <v>108000</v>
      </c>
      <c r="P91" s="432">
        <f t="shared" si="13"/>
        <v>8174656</v>
      </c>
      <c r="Q91" s="458">
        <v>2157439</v>
      </c>
      <c r="R91" s="458">
        <v>1569417</v>
      </c>
      <c r="S91" s="458">
        <v>0</v>
      </c>
      <c r="T91" s="458">
        <v>0</v>
      </c>
      <c r="U91" s="458">
        <v>22699</v>
      </c>
      <c r="V91" s="458">
        <v>89851</v>
      </c>
      <c r="W91" s="458">
        <v>1478306</v>
      </c>
      <c r="X91" s="458">
        <v>324659</v>
      </c>
      <c r="Y91" s="458">
        <v>99646</v>
      </c>
      <c r="Z91" s="458">
        <v>2432704</v>
      </c>
      <c r="AA91" s="458">
        <v>0</v>
      </c>
      <c r="AB91" s="458">
        <v>-65</v>
      </c>
      <c r="AC91" s="458">
        <v>1692945</v>
      </c>
      <c r="AD91" s="458">
        <v>135282</v>
      </c>
      <c r="AE91" s="458">
        <v>2168807</v>
      </c>
      <c r="AF91" s="458">
        <v>0</v>
      </c>
      <c r="AG91" s="458">
        <v>387101</v>
      </c>
      <c r="AH91" s="458">
        <v>324659</v>
      </c>
      <c r="AI91" s="458">
        <v>1437916</v>
      </c>
      <c r="AJ91" s="458">
        <v>26777</v>
      </c>
      <c r="AK91" s="458">
        <v>0</v>
      </c>
      <c r="AL91" s="458">
        <v>2001169</v>
      </c>
      <c r="AM91" s="458">
        <v>0</v>
      </c>
    </row>
    <row r="92" spans="1:39" s="155" customFormat="1" ht="12" x14ac:dyDescent="0.2">
      <c r="A92" s="168">
        <v>38</v>
      </c>
      <c r="B92" s="477">
        <v>11637</v>
      </c>
      <c r="C92" s="476" t="s">
        <v>2353</v>
      </c>
      <c r="D92" s="450">
        <f t="shared" si="14"/>
        <v>4095138</v>
      </c>
      <c r="E92" s="431">
        <v>1837499</v>
      </c>
      <c r="F92" s="431">
        <v>90028</v>
      </c>
      <c r="G92" s="431">
        <v>1201684</v>
      </c>
      <c r="H92" s="431">
        <v>0</v>
      </c>
      <c r="I92" s="431">
        <v>746162</v>
      </c>
      <c r="J92" s="431">
        <v>200000</v>
      </c>
      <c r="K92" s="431">
        <v>168000</v>
      </c>
      <c r="L92" s="431">
        <v>0</v>
      </c>
      <c r="M92" s="431">
        <v>976313</v>
      </c>
      <c r="N92" s="431">
        <v>147164</v>
      </c>
      <c r="O92" s="431">
        <v>20000</v>
      </c>
      <c r="P92" s="432">
        <f t="shared" si="13"/>
        <v>3956475</v>
      </c>
      <c r="Q92" s="458">
        <v>1056433</v>
      </c>
      <c r="R92" s="458">
        <v>823545</v>
      </c>
      <c r="S92" s="458">
        <v>0</v>
      </c>
      <c r="T92" s="458">
        <v>0</v>
      </c>
      <c r="U92" s="458">
        <v>0</v>
      </c>
      <c r="V92" s="458">
        <v>150000</v>
      </c>
      <c r="W92" s="458">
        <v>196785</v>
      </c>
      <c r="X92" s="458">
        <v>54960</v>
      </c>
      <c r="Y92" s="458">
        <v>46000</v>
      </c>
      <c r="Z92" s="458">
        <v>1628752</v>
      </c>
      <c r="AA92" s="458">
        <v>0</v>
      </c>
      <c r="AB92" s="458">
        <v>0</v>
      </c>
      <c r="AC92" s="458">
        <v>644101</v>
      </c>
      <c r="AD92" s="458">
        <v>29650</v>
      </c>
      <c r="AE92" s="458">
        <v>1043660</v>
      </c>
      <c r="AF92" s="458">
        <v>0</v>
      </c>
      <c r="AG92" s="458">
        <v>234906</v>
      </c>
      <c r="AH92" s="458">
        <v>138815</v>
      </c>
      <c r="AI92" s="458">
        <v>378557</v>
      </c>
      <c r="AJ92" s="458">
        <v>80103</v>
      </c>
      <c r="AK92" s="458">
        <v>0</v>
      </c>
      <c r="AL92" s="458">
        <v>1406683</v>
      </c>
      <c r="AM92" s="458">
        <v>0</v>
      </c>
    </row>
    <row r="93" spans="1:39" s="155" customFormat="1" ht="12" x14ac:dyDescent="0.2">
      <c r="A93" s="168">
        <v>39</v>
      </c>
      <c r="B93" s="477">
        <v>11664</v>
      </c>
      <c r="C93" s="476" t="s">
        <v>2354</v>
      </c>
      <c r="D93" s="450">
        <f t="shared" si="14"/>
        <v>2902359</v>
      </c>
      <c r="E93" s="431">
        <v>1544416</v>
      </c>
      <c r="F93" s="431">
        <v>134564</v>
      </c>
      <c r="G93" s="431">
        <v>1061721</v>
      </c>
      <c r="H93" s="431">
        <v>0</v>
      </c>
      <c r="I93" s="431">
        <v>765632</v>
      </c>
      <c r="J93" s="431">
        <v>80000</v>
      </c>
      <c r="K93" s="431">
        <v>190000</v>
      </c>
      <c r="L93" s="431">
        <v>0</v>
      </c>
      <c r="M93" s="431">
        <v>47761</v>
      </c>
      <c r="N93" s="431">
        <v>274550</v>
      </c>
      <c r="O93" s="431">
        <v>0</v>
      </c>
      <c r="P93" s="432">
        <f t="shared" si="13"/>
        <v>2848534</v>
      </c>
      <c r="Q93" s="458">
        <v>1058546</v>
      </c>
      <c r="R93" s="458">
        <v>508193</v>
      </c>
      <c r="S93" s="458">
        <v>0</v>
      </c>
      <c r="T93" s="458">
        <v>0</v>
      </c>
      <c r="U93" s="458">
        <v>0</v>
      </c>
      <c r="V93" s="458">
        <v>0</v>
      </c>
      <c r="W93" s="458">
        <v>0</v>
      </c>
      <c r="X93" s="458">
        <v>67549</v>
      </c>
      <c r="Y93" s="458">
        <v>0</v>
      </c>
      <c r="Z93" s="458">
        <v>1214246</v>
      </c>
      <c r="AA93" s="458">
        <v>0</v>
      </c>
      <c r="AB93" s="458">
        <v>0</v>
      </c>
      <c r="AC93" s="458">
        <v>606801</v>
      </c>
      <c r="AD93" s="458">
        <v>15318</v>
      </c>
      <c r="AE93" s="458">
        <v>707407</v>
      </c>
      <c r="AF93" s="458">
        <v>0</v>
      </c>
      <c r="AG93" s="458">
        <v>15000</v>
      </c>
      <c r="AH93" s="458">
        <v>141048</v>
      </c>
      <c r="AI93" s="458">
        <v>665319</v>
      </c>
      <c r="AJ93" s="458">
        <v>0</v>
      </c>
      <c r="AK93" s="458">
        <v>0</v>
      </c>
      <c r="AL93" s="458">
        <v>697641</v>
      </c>
      <c r="AM93" s="458">
        <v>0</v>
      </c>
    </row>
    <row r="94" spans="1:39" s="155" customFormat="1" ht="12" x14ac:dyDescent="0.2">
      <c r="A94" s="168">
        <v>40</v>
      </c>
      <c r="B94" s="477">
        <v>11735</v>
      </c>
      <c r="C94" s="476" t="s">
        <v>2355</v>
      </c>
      <c r="D94" s="450">
        <f t="shared" si="14"/>
        <v>4099320</v>
      </c>
      <c r="E94" s="431">
        <v>1909276</v>
      </c>
      <c r="F94" s="431">
        <v>171834</v>
      </c>
      <c r="G94" s="431">
        <v>957706</v>
      </c>
      <c r="H94" s="431">
        <v>0</v>
      </c>
      <c r="I94" s="431">
        <v>1079334</v>
      </c>
      <c r="J94" s="431">
        <v>0</v>
      </c>
      <c r="K94" s="431">
        <v>307000</v>
      </c>
      <c r="L94" s="431">
        <v>0</v>
      </c>
      <c r="M94" s="431">
        <v>749110</v>
      </c>
      <c r="N94" s="431">
        <v>0</v>
      </c>
      <c r="O94" s="431">
        <v>54600</v>
      </c>
      <c r="P94" s="432">
        <f t="shared" si="13"/>
        <v>4223859</v>
      </c>
      <c r="Q94" s="458">
        <v>1520516</v>
      </c>
      <c r="R94" s="458">
        <v>637633</v>
      </c>
      <c r="S94" s="458">
        <v>0</v>
      </c>
      <c r="T94" s="458">
        <v>0</v>
      </c>
      <c r="U94" s="458">
        <v>74400</v>
      </c>
      <c r="V94" s="458">
        <v>230000</v>
      </c>
      <c r="W94" s="458">
        <v>0</v>
      </c>
      <c r="X94" s="458">
        <v>64119</v>
      </c>
      <c r="Y94" s="458">
        <v>100000</v>
      </c>
      <c r="Z94" s="458">
        <v>1597191</v>
      </c>
      <c r="AA94" s="458">
        <v>0</v>
      </c>
      <c r="AB94" s="458">
        <v>0</v>
      </c>
      <c r="AC94" s="458">
        <v>993910</v>
      </c>
      <c r="AD94" s="458">
        <v>2455</v>
      </c>
      <c r="AE94" s="458">
        <v>1060366</v>
      </c>
      <c r="AF94" s="458">
        <v>0</v>
      </c>
      <c r="AG94" s="458">
        <v>109512</v>
      </c>
      <c r="AH94" s="458">
        <v>269575</v>
      </c>
      <c r="AI94" s="458">
        <v>74936</v>
      </c>
      <c r="AJ94" s="458">
        <v>0</v>
      </c>
      <c r="AK94" s="458">
        <v>0</v>
      </c>
      <c r="AL94" s="458">
        <v>1713105</v>
      </c>
      <c r="AM94" s="458">
        <v>0</v>
      </c>
    </row>
    <row r="95" spans="1:39" s="155" customFormat="1" ht="12" x14ac:dyDescent="0.2">
      <c r="A95" s="168">
        <v>41</v>
      </c>
      <c r="B95" s="477">
        <v>11762</v>
      </c>
      <c r="C95" s="476" t="s">
        <v>2356</v>
      </c>
      <c r="D95" s="450">
        <f t="shared" si="14"/>
        <v>4183159</v>
      </c>
      <c r="E95" s="431">
        <v>1509573</v>
      </c>
      <c r="F95" s="431">
        <v>43367</v>
      </c>
      <c r="G95" s="431">
        <v>1186688</v>
      </c>
      <c r="H95" s="431">
        <v>0</v>
      </c>
      <c r="I95" s="431">
        <v>683593</v>
      </c>
      <c r="J95" s="431">
        <v>100000</v>
      </c>
      <c r="K95" s="431">
        <v>78000</v>
      </c>
      <c r="L95" s="431">
        <v>0</v>
      </c>
      <c r="M95" s="431">
        <v>1801993</v>
      </c>
      <c r="N95" s="431">
        <v>0</v>
      </c>
      <c r="O95" s="431">
        <v>10000</v>
      </c>
      <c r="P95" s="432">
        <f t="shared" si="13"/>
        <v>4283159</v>
      </c>
      <c r="Q95" s="458">
        <v>889217</v>
      </c>
      <c r="R95" s="458">
        <v>784863</v>
      </c>
      <c r="S95" s="458">
        <v>0</v>
      </c>
      <c r="T95" s="458">
        <v>0</v>
      </c>
      <c r="U95" s="458">
        <v>0</v>
      </c>
      <c r="V95" s="458">
        <v>0</v>
      </c>
      <c r="W95" s="458">
        <v>0</v>
      </c>
      <c r="X95" s="458">
        <v>166832</v>
      </c>
      <c r="Y95" s="458">
        <v>0</v>
      </c>
      <c r="Z95" s="458">
        <v>2442247</v>
      </c>
      <c r="AA95" s="458">
        <v>0</v>
      </c>
      <c r="AB95" s="458">
        <v>0</v>
      </c>
      <c r="AC95" s="458">
        <v>650690</v>
      </c>
      <c r="AD95" s="458">
        <v>19532</v>
      </c>
      <c r="AE95" s="458">
        <v>494834</v>
      </c>
      <c r="AF95" s="458">
        <v>0</v>
      </c>
      <c r="AG95" s="458">
        <v>220331</v>
      </c>
      <c r="AH95" s="458">
        <v>196029</v>
      </c>
      <c r="AI95" s="458">
        <v>1030948</v>
      </c>
      <c r="AJ95" s="458">
        <v>43106</v>
      </c>
      <c r="AK95" s="458">
        <v>0</v>
      </c>
      <c r="AL95" s="458">
        <v>1627689</v>
      </c>
      <c r="AM95" s="458">
        <v>0</v>
      </c>
    </row>
    <row r="96" spans="1:39" s="155" customFormat="1" ht="12" x14ac:dyDescent="0.2">
      <c r="A96" s="168">
        <v>42</v>
      </c>
      <c r="B96" s="477">
        <v>11842</v>
      </c>
      <c r="C96" s="476" t="s">
        <v>2357</v>
      </c>
      <c r="D96" s="450">
        <f t="shared" si="14"/>
        <v>5378659</v>
      </c>
      <c r="E96" s="431">
        <v>2382915</v>
      </c>
      <c r="F96" s="431">
        <v>667460</v>
      </c>
      <c r="G96" s="431">
        <v>336825</v>
      </c>
      <c r="H96" s="431">
        <v>0</v>
      </c>
      <c r="I96" s="431">
        <v>1724550</v>
      </c>
      <c r="J96" s="431">
        <v>160000</v>
      </c>
      <c r="K96" s="431">
        <v>469000</v>
      </c>
      <c r="L96" s="431">
        <v>0</v>
      </c>
      <c r="M96" s="431">
        <v>369692</v>
      </c>
      <c r="N96" s="431">
        <v>148386</v>
      </c>
      <c r="O96" s="431">
        <v>124116</v>
      </c>
      <c r="P96" s="432">
        <f t="shared" si="13"/>
        <v>5738428</v>
      </c>
      <c r="Q96" s="458">
        <v>2086699</v>
      </c>
      <c r="R96" s="458">
        <v>1418302</v>
      </c>
      <c r="S96" s="458">
        <v>2463</v>
      </c>
      <c r="T96" s="458">
        <v>0</v>
      </c>
      <c r="U96" s="458">
        <v>0</v>
      </c>
      <c r="V96" s="458">
        <v>57040</v>
      </c>
      <c r="W96" s="458">
        <v>80178</v>
      </c>
      <c r="X96" s="458">
        <v>118205</v>
      </c>
      <c r="Y96" s="458">
        <v>9994</v>
      </c>
      <c r="Z96" s="458">
        <v>1911425</v>
      </c>
      <c r="AA96" s="458">
        <v>54122</v>
      </c>
      <c r="AB96" s="458">
        <v>0</v>
      </c>
      <c r="AC96" s="458">
        <v>1640929</v>
      </c>
      <c r="AD96" s="458">
        <v>6526</v>
      </c>
      <c r="AE96" s="458">
        <v>1570946</v>
      </c>
      <c r="AF96" s="458">
        <v>0</v>
      </c>
      <c r="AG96" s="458">
        <v>328299</v>
      </c>
      <c r="AH96" s="458">
        <v>285333</v>
      </c>
      <c r="AI96" s="458">
        <v>244668</v>
      </c>
      <c r="AJ96" s="458">
        <v>0</v>
      </c>
      <c r="AK96" s="458">
        <v>0</v>
      </c>
      <c r="AL96" s="458">
        <v>1661727</v>
      </c>
      <c r="AM96" s="458">
        <v>0</v>
      </c>
    </row>
    <row r="97" spans="1:39" s="155" customFormat="1" ht="12" x14ac:dyDescent="0.2">
      <c r="A97" s="168">
        <v>43</v>
      </c>
      <c r="B97" s="477">
        <v>11940</v>
      </c>
      <c r="C97" s="476" t="s">
        <v>2358</v>
      </c>
      <c r="D97" s="450">
        <f t="shared" si="14"/>
        <v>7403158</v>
      </c>
      <c r="E97" s="431">
        <v>2721220</v>
      </c>
      <c r="F97" s="431">
        <v>341277</v>
      </c>
      <c r="G97" s="431">
        <v>860531</v>
      </c>
      <c r="H97" s="431">
        <v>0</v>
      </c>
      <c r="I97" s="431">
        <v>2790000</v>
      </c>
      <c r="J97" s="431">
        <v>0</v>
      </c>
      <c r="K97" s="431">
        <v>1285000</v>
      </c>
      <c r="L97" s="431">
        <v>0</v>
      </c>
      <c r="M97" s="431">
        <v>171066</v>
      </c>
      <c r="N97" s="431">
        <v>435872</v>
      </c>
      <c r="O97" s="431">
        <v>0</v>
      </c>
      <c r="P97" s="432">
        <f t="shared" si="13"/>
        <v>6959005</v>
      </c>
      <c r="Q97" s="458">
        <v>2977239</v>
      </c>
      <c r="R97" s="458">
        <v>1686640</v>
      </c>
      <c r="S97" s="458">
        <v>0</v>
      </c>
      <c r="T97" s="458">
        <v>0</v>
      </c>
      <c r="U97" s="458">
        <v>0</v>
      </c>
      <c r="V97" s="458">
        <v>0</v>
      </c>
      <c r="W97" s="458">
        <v>572931</v>
      </c>
      <c r="X97" s="458">
        <v>183059</v>
      </c>
      <c r="Y97" s="458">
        <v>23711</v>
      </c>
      <c r="Z97" s="458">
        <v>1515425</v>
      </c>
      <c r="AA97" s="458">
        <v>0</v>
      </c>
      <c r="AB97" s="458">
        <v>0</v>
      </c>
      <c r="AC97" s="458">
        <v>1276744</v>
      </c>
      <c r="AD97" s="458">
        <v>409698</v>
      </c>
      <c r="AE97" s="458">
        <v>2222886</v>
      </c>
      <c r="AF97" s="458">
        <v>16787</v>
      </c>
      <c r="AG97" s="458">
        <v>93325</v>
      </c>
      <c r="AH97" s="458">
        <v>729977</v>
      </c>
      <c r="AI97" s="458">
        <v>324145</v>
      </c>
      <c r="AJ97" s="458">
        <v>304566</v>
      </c>
      <c r="AK97" s="458">
        <v>0</v>
      </c>
      <c r="AL97" s="458">
        <v>1580877</v>
      </c>
      <c r="AM97" s="458">
        <v>0</v>
      </c>
    </row>
    <row r="98" spans="1:39" s="155" customFormat="1" ht="12" x14ac:dyDescent="0.2">
      <c r="A98" s="168">
        <v>44</v>
      </c>
      <c r="B98" s="477">
        <v>11995</v>
      </c>
      <c r="C98" s="476" t="s">
        <v>2359</v>
      </c>
      <c r="D98" s="450">
        <f t="shared" si="14"/>
        <v>6793018</v>
      </c>
      <c r="E98" s="431">
        <v>1574435</v>
      </c>
      <c r="F98" s="431">
        <v>160260</v>
      </c>
      <c r="G98" s="431">
        <v>631760</v>
      </c>
      <c r="H98" s="431">
        <v>0</v>
      </c>
      <c r="I98" s="431">
        <v>1522186</v>
      </c>
      <c r="J98" s="431">
        <v>0</v>
      </c>
      <c r="K98" s="431">
        <v>460000</v>
      </c>
      <c r="L98" s="431">
        <v>0</v>
      </c>
      <c r="M98" s="431">
        <v>3104437</v>
      </c>
      <c r="N98" s="431">
        <v>131960</v>
      </c>
      <c r="O98" s="431">
        <v>0</v>
      </c>
      <c r="P98" s="432">
        <f t="shared" si="13"/>
        <v>6662641</v>
      </c>
      <c r="Q98" s="458">
        <v>1696880</v>
      </c>
      <c r="R98" s="458">
        <v>1173637</v>
      </c>
      <c r="S98" s="458">
        <v>0</v>
      </c>
      <c r="T98" s="458">
        <v>0</v>
      </c>
      <c r="U98" s="458">
        <v>0</v>
      </c>
      <c r="V98" s="458">
        <v>0</v>
      </c>
      <c r="W98" s="458">
        <v>181345</v>
      </c>
      <c r="X98" s="458">
        <v>183569</v>
      </c>
      <c r="Y98" s="458">
        <v>29000</v>
      </c>
      <c r="Z98" s="458">
        <v>3398210</v>
      </c>
      <c r="AA98" s="458">
        <v>0</v>
      </c>
      <c r="AB98" s="458">
        <v>0</v>
      </c>
      <c r="AC98" s="458">
        <v>592782</v>
      </c>
      <c r="AD98" s="458">
        <v>30679</v>
      </c>
      <c r="AE98" s="458">
        <v>1463931</v>
      </c>
      <c r="AF98" s="458">
        <v>0</v>
      </c>
      <c r="AG98" s="458">
        <v>356288</v>
      </c>
      <c r="AH98" s="458">
        <v>263539</v>
      </c>
      <c r="AI98" s="458">
        <v>302348</v>
      </c>
      <c r="AJ98" s="458">
        <v>37541</v>
      </c>
      <c r="AK98" s="458">
        <v>0</v>
      </c>
      <c r="AL98" s="458">
        <v>3615533</v>
      </c>
      <c r="AM98" s="458">
        <v>0</v>
      </c>
    </row>
    <row r="99" spans="1:39" s="155" customFormat="1" ht="12" x14ac:dyDescent="0.2">
      <c r="A99" s="168">
        <v>45</v>
      </c>
      <c r="B99" s="477">
        <v>12037</v>
      </c>
      <c r="C99" s="476" t="s">
        <v>2360</v>
      </c>
      <c r="D99" s="450">
        <f t="shared" si="14"/>
        <v>7817525</v>
      </c>
      <c r="E99" s="431">
        <v>2458216</v>
      </c>
      <c r="F99" s="431">
        <v>626976</v>
      </c>
      <c r="G99" s="431">
        <v>533622</v>
      </c>
      <c r="H99" s="431">
        <v>0</v>
      </c>
      <c r="I99" s="431">
        <v>1587104</v>
      </c>
      <c r="J99" s="431">
        <v>0</v>
      </c>
      <c r="K99" s="431">
        <v>1208000</v>
      </c>
      <c r="L99" s="431">
        <v>0</v>
      </c>
      <c r="M99" s="431">
        <v>1573889</v>
      </c>
      <c r="N99" s="431">
        <v>768137</v>
      </c>
      <c r="O99" s="431">
        <v>222179</v>
      </c>
      <c r="P99" s="432">
        <f t="shared" si="13"/>
        <v>8007620</v>
      </c>
      <c r="Q99" s="458">
        <v>1896257</v>
      </c>
      <c r="R99" s="458">
        <v>1444089</v>
      </c>
      <c r="S99" s="458">
        <v>31112</v>
      </c>
      <c r="T99" s="458">
        <v>0</v>
      </c>
      <c r="U99" s="458">
        <v>0</v>
      </c>
      <c r="V99" s="458">
        <v>199509</v>
      </c>
      <c r="W99" s="458">
        <v>961245</v>
      </c>
      <c r="X99" s="458">
        <v>103208</v>
      </c>
      <c r="Y99" s="458">
        <v>45545</v>
      </c>
      <c r="Z99" s="458">
        <v>3254918</v>
      </c>
      <c r="AA99" s="458">
        <v>105108</v>
      </c>
      <c r="AB99" s="458">
        <v>-33371</v>
      </c>
      <c r="AC99" s="458">
        <v>1010821</v>
      </c>
      <c r="AD99" s="458">
        <v>78559</v>
      </c>
      <c r="AE99" s="458">
        <v>2232685</v>
      </c>
      <c r="AF99" s="458">
        <v>8565</v>
      </c>
      <c r="AG99" s="458">
        <v>43614</v>
      </c>
      <c r="AH99" s="458">
        <v>356638</v>
      </c>
      <c r="AI99" s="458">
        <v>1771023</v>
      </c>
      <c r="AJ99" s="458">
        <v>192101</v>
      </c>
      <c r="AK99" s="458">
        <v>0</v>
      </c>
      <c r="AL99" s="458">
        <v>2313614</v>
      </c>
      <c r="AM99" s="458">
        <v>0</v>
      </c>
    </row>
    <row r="100" spans="1:39" s="155" customFormat="1" ht="12" x14ac:dyDescent="0.2">
      <c r="A100" s="168">
        <v>46</v>
      </c>
      <c r="B100" s="477">
        <v>12055</v>
      </c>
      <c r="C100" s="476" t="s">
        <v>2361</v>
      </c>
      <c r="D100" s="450">
        <f t="shared" si="14"/>
        <v>7912005</v>
      </c>
      <c r="E100" s="431">
        <v>2119982</v>
      </c>
      <c r="F100" s="431">
        <v>285521</v>
      </c>
      <c r="G100" s="431">
        <v>913551</v>
      </c>
      <c r="H100" s="431">
        <v>0</v>
      </c>
      <c r="I100" s="431">
        <v>2659064</v>
      </c>
      <c r="J100" s="431">
        <v>420000</v>
      </c>
      <c r="K100" s="431">
        <v>1014000</v>
      </c>
      <c r="L100" s="431">
        <v>0</v>
      </c>
      <c r="M100" s="431">
        <v>782143</v>
      </c>
      <c r="N100" s="431">
        <v>906820</v>
      </c>
      <c r="O100" s="431">
        <v>9996</v>
      </c>
      <c r="P100" s="432">
        <f t="shared" si="13"/>
        <v>8059936</v>
      </c>
      <c r="Q100" s="458">
        <v>3112907</v>
      </c>
      <c r="R100" s="458">
        <v>1802501</v>
      </c>
      <c r="S100" s="458">
        <v>0</v>
      </c>
      <c r="T100" s="458">
        <v>36000</v>
      </c>
      <c r="U100" s="458">
        <v>0</v>
      </c>
      <c r="V100" s="458">
        <v>70000</v>
      </c>
      <c r="W100" s="458">
        <v>1037371</v>
      </c>
      <c r="X100" s="458">
        <v>153421</v>
      </c>
      <c r="Y100" s="458">
        <v>21022</v>
      </c>
      <c r="Z100" s="458">
        <v>1826714</v>
      </c>
      <c r="AA100" s="458">
        <v>0</v>
      </c>
      <c r="AB100" s="458">
        <v>0</v>
      </c>
      <c r="AC100" s="458">
        <v>2480892</v>
      </c>
      <c r="AD100" s="458">
        <v>11458</v>
      </c>
      <c r="AE100" s="458">
        <v>2264482</v>
      </c>
      <c r="AF100" s="458">
        <v>19002</v>
      </c>
      <c r="AG100" s="458">
        <v>97675</v>
      </c>
      <c r="AH100" s="458">
        <v>654461</v>
      </c>
      <c r="AI100" s="458">
        <v>157077</v>
      </c>
      <c r="AJ100" s="458">
        <v>36000</v>
      </c>
      <c r="AK100" s="458">
        <v>0</v>
      </c>
      <c r="AL100" s="458">
        <v>2338889</v>
      </c>
      <c r="AM100" s="458">
        <v>0</v>
      </c>
    </row>
    <row r="101" spans="1:39" s="155" customFormat="1" ht="12" x14ac:dyDescent="0.2">
      <c r="A101" s="168">
        <v>47</v>
      </c>
      <c r="B101" s="477">
        <v>12126</v>
      </c>
      <c r="C101" s="476" t="s">
        <v>2362</v>
      </c>
      <c r="D101" s="450">
        <f t="shared" si="14"/>
        <v>16209648</v>
      </c>
      <c r="E101" s="431">
        <v>2373782</v>
      </c>
      <c r="F101" s="431">
        <v>491616</v>
      </c>
      <c r="G101" s="431">
        <v>264885</v>
      </c>
      <c r="H101" s="431">
        <v>0</v>
      </c>
      <c r="I101" s="431">
        <v>1203735</v>
      </c>
      <c r="J101" s="431">
        <v>300000</v>
      </c>
      <c r="K101" s="431">
        <v>327000</v>
      </c>
      <c r="L101" s="431">
        <v>0</v>
      </c>
      <c r="M101" s="431">
        <v>1900431</v>
      </c>
      <c r="N101" s="431">
        <v>9502700</v>
      </c>
      <c r="O101" s="431">
        <v>602000</v>
      </c>
      <c r="P101" s="432">
        <f t="shared" si="13"/>
        <v>17844406</v>
      </c>
      <c r="Q101" s="458">
        <v>1527430</v>
      </c>
      <c r="R101" s="458">
        <v>664275</v>
      </c>
      <c r="S101" s="458">
        <v>22080</v>
      </c>
      <c r="T101" s="458">
        <v>0</v>
      </c>
      <c r="U101" s="458">
        <v>0</v>
      </c>
      <c r="V101" s="458">
        <v>0</v>
      </c>
      <c r="W101" s="458">
        <v>14064794</v>
      </c>
      <c r="X101" s="458">
        <v>123742</v>
      </c>
      <c r="Y101" s="458">
        <v>111300</v>
      </c>
      <c r="Z101" s="458">
        <v>830785</v>
      </c>
      <c r="AA101" s="458">
        <v>500000</v>
      </c>
      <c r="AB101" s="458">
        <v>0</v>
      </c>
      <c r="AC101" s="458">
        <v>1301666</v>
      </c>
      <c r="AD101" s="458">
        <v>0</v>
      </c>
      <c r="AE101" s="458">
        <v>945063</v>
      </c>
      <c r="AF101" s="458">
        <v>0</v>
      </c>
      <c r="AG101" s="458">
        <v>1401145</v>
      </c>
      <c r="AH101" s="458">
        <v>446270</v>
      </c>
      <c r="AI101" s="458">
        <v>574269</v>
      </c>
      <c r="AJ101" s="458">
        <v>8649585</v>
      </c>
      <c r="AK101" s="458">
        <v>0</v>
      </c>
      <c r="AL101" s="458">
        <v>4526408</v>
      </c>
      <c r="AM101" s="458">
        <v>0</v>
      </c>
    </row>
    <row r="102" spans="1:39" s="155" customFormat="1" ht="12" x14ac:dyDescent="0.2">
      <c r="A102" s="168">
        <v>48</v>
      </c>
      <c r="B102" s="477">
        <v>12144</v>
      </c>
      <c r="C102" s="476" t="s">
        <v>2363</v>
      </c>
      <c r="D102" s="450">
        <f t="shared" si="14"/>
        <v>6246029</v>
      </c>
      <c r="E102" s="431">
        <v>2516675</v>
      </c>
      <c r="F102" s="431">
        <v>433778</v>
      </c>
      <c r="G102" s="431">
        <v>596574</v>
      </c>
      <c r="H102" s="431">
        <v>0</v>
      </c>
      <c r="I102" s="431">
        <v>1704300</v>
      </c>
      <c r="J102" s="431">
        <v>0</v>
      </c>
      <c r="K102" s="431">
        <v>1291000</v>
      </c>
      <c r="L102" s="431">
        <v>0</v>
      </c>
      <c r="M102" s="431">
        <v>166815</v>
      </c>
      <c r="N102" s="431">
        <v>517939</v>
      </c>
      <c r="O102" s="431">
        <v>49300</v>
      </c>
      <c r="P102" s="432">
        <f t="shared" si="13"/>
        <v>5198729</v>
      </c>
      <c r="Q102" s="458">
        <v>1862469</v>
      </c>
      <c r="R102" s="458">
        <v>1599387</v>
      </c>
      <c r="S102" s="458">
        <v>0</v>
      </c>
      <c r="T102" s="458">
        <v>0</v>
      </c>
      <c r="U102" s="458">
        <v>0</v>
      </c>
      <c r="V102" s="458">
        <v>12735</v>
      </c>
      <c r="W102" s="458">
        <v>584632</v>
      </c>
      <c r="X102" s="458">
        <v>289091</v>
      </c>
      <c r="Y102" s="458">
        <v>13058</v>
      </c>
      <c r="Z102" s="458">
        <v>837357</v>
      </c>
      <c r="AA102" s="458">
        <v>0</v>
      </c>
      <c r="AB102" s="458">
        <v>0</v>
      </c>
      <c r="AC102" s="458">
        <v>957852</v>
      </c>
      <c r="AD102" s="458">
        <v>0</v>
      </c>
      <c r="AE102" s="458">
        <v>1693796</v>
      </c>
      <c r="AF102" s="458">
        <v>0</v>
      </c>
      <c r="AG102" s="458">
        <v>601519</v>
      </c>
      <c r="AH102" s="458">
        <v>433780</v>
      </c>
      <c r="AI102" s="458">
        <v>479709</v>
      </c>
      <c r="AJ102" s="458">
        <v>158455</v>
      </c>
      <c r="AK102" s="458">
        <v>0</v>
      </c>
      <c r="AL102" s="458">
        <v>873618</v>
      </c>
      <c r="AM102" s="458">
        <v>0</v>
      </c>
    </row>
    <row r="103" spans="1:39" s="155" customFormat="1" ht="12" x14ac:dyDescent="0.2">
      <c r="A103" s="168">
        <v>49</v>
      </c>
      <c r="B103" s="477">
        <v>12206</v>
      </c>
      <c r="C103" s="476" t="s">
        <v>2364</v>
      </c>
      <c r="D103" s="450">
        <f t="shared" si="14"/>
        <v>3633270</v>
      </c>
      <c r="E103" s="431">
        <v>1826159</v>
      </c>
      <c r="F103" s="431">
        <v>236389</v>
      </c>
      <c r="G103" s="431">
        <v>889709</v>
      </c>
      <c r="H103" s="431">
        <v>0</v>
      </c>
      <c r="I103" s="431">
        <v>1343000</v>
      </c>
      <c r="J103" s="431">
        <v>0</v>
      </c>
      <c r="K103" s="431">
        <v>330000</v>
      </c>
      <c r="L103" s="431">
        <v>0</v>
      </c>
      <c r="M103" s="431">
        <v>44433</v>
      </c>
      <c r="N103" s="431">
        <v>89678</v>
      </c>
      <c r="O103" s="431">
        <v>0</v>
      </c>
      <c r="P103" s="432">
        <f t="shared" si="13"/>
        <v>3515201</v>
      </c>
      <c r="Q103" s="458">
        <v>1703310</v>
      </c>
      <c r="R103" s="458">
        <v>1068046</v>
      </c>
      <c r="S103" s="458">
        <v>0</v>
      </c>
      <c r="T103" s="458">
        <v>0</v>
      </c>
      <c r="U103" s="458">
        <v>0</v>
      </c>
      <c r="V103" s="458">
        <v>0</v>
      </c>
      <c r="W103" s="458">
        <v>134207</v>
      </c>
      <c r="X103" s="458">
        <v>104460</v>
      </c>
      <c r="Y103" s="458">
        <v>45000</v>
      </c>
      <c r="Z103" s="458">
        <v>460178</v>
      </c>
      <c r="AA103" s="458">
        <v>0</v>
      </c>
      <c r="AB103" s="458">
        <v>0</v>
      </c>
      <c r="AC103" s="458">
        <v>946436</v>
      </c>
      <c r="AD103" s="458">
        <v>135706</v>
      </c>
      <c r="AE103" s="458">
        <v>1486420</v>
      </c>
      <c r="AF103" s="458">
        <v>0</v>
      </c>
      <c r="AG103" s="458">
        <v>95800</v>
      </c>
      <c r="AH103" s="458">
        <v>232048</v>
      </c>
      <c r="AI103" s="458">
        <v>125170</v>
      </c>
      <c r="AJ103" s="458">
        <v>220383</v>
      </c>
      <c r="AK103" s="458">
        <v>0</v>
      </c>
      <c r="AL103" s="458">
        <v>273238</v>
      </c>
      <c r="AM103" s="458">
        <v>0</v>
      </c>
    </row>
    <row r="104" spans="1:39" s="155" customFormat="1" ht="12" x14ac:dyDescent="0.2">
      <c r="A104" s="168">
        <v>50</v>
      </c>
      <c r="B104" s="477">
        <v>12224</v>
      </c>
      <c r="C104" s="476" t="s">
        <v>2365</v>
      </c>
      <c r="D104" s="450">
        <f t="shared" si="14"/>
        <v>4469217</v>
      </c>
      <c r="E104" s="431">
        <v>1781843</v>
      </c>
      <c r="F104" s="431">
        <v>169970</v>
      </c>
      <c r="G104" s="431">
        <v>964703</v>
      </c>
      <c r="H104" s="431">
        <v>0</v>
      </c>
      <c r="I104" s="431">
        <v>1063337</v>
      </c>
      <c r="J104" s="431">
        <v>275603</v>
      </c>
      <c r="K104" s="431">
        <v>268000</v>
      </c>
      <c r="L104" s="431">
        <v>0</v>
      </c>
      <c r="M104" s="431">
        <v>760060</v>
      </c>
      <c r="N104" s="431">
        <v>320374</v>
      </c>
      <c r="O104" s="431">
        <v>0</v>
      </c>
      <c r="P104" s="432">
        <f t="shared" si="13"/>
        <v>4094562</v>
      </c>
      <c r="Q104" s="458">
        <v>1658838</v>
      </c>
      <c r="R104" s="458">
        <v>622263</v>
      </c>
      <c r="S104" s="458">
        <v>0</v>
      </c>
      <c r="T104" s="458">
        <v>0</v>
      </c>
      <c r="U104" s="458">
        <v>0</v>
      </c>
      <c r="V104" s="458">
        <v>311000</v>
      </c>
      <c r="W104" s="458">
        <v>237428</v>
      </c>
      <c r="X104" s="458">
        <v>79335</v>
      </c>
      <c r="Y104" s="458">
        <v>33300</v>
      </c>
      <c r="Z104" s="458">
        <v>1208499</v>
      </c>
      <c r="AA104" s="458">
        <v>0</v>
      </c>
      <c r="AB104" s="458">
        <v>-56101</v>
      </c>
      <c r="AC104" s="458">
        <v>1252537</v>
      </c>
      <c r="AD104" s="458">
        <v>139212</v>
      </c>
      <c r="AE104" s="458">
        <v>1486988</v>
      </c>
      <c r="AF104" s="458">
        <v>0</v>
      </c>
      <c r="AG104" s="458">
        <v>95153</v>
      </c>
      <c r="AH104" s="458">
        <v>314256</v>
      </c>
      <c r="AI104" s="458">
        <v>209127</v>
      </c>
      <c r="AJ104" s="458">
        <v>30000</v>
      </c>
      <c r="AK104" s="458">
        <v>0</v>
      </c>
      <c r="AL104" s="458">
        <v>567289</v>
      </c>
      <c r="AM104" s="458">
        <v>0</v>
      </c>
    </row>
    <row r="105" spans="1:39" s="155" customFormat="1" ht="12" x14ac:dyDescent="0.2">
      <c r="A105" s="168">
        <v>51</v>
      </c>
      <c r="B105" s="477">
        <v>12242</v>
      </c>
      <c r="C105" s="476" t="s">
        <v>2366</v>
      </c>
      <c r="D105" s="450">
        <f t="shared" si="14"/>
        <v>8812167</v>
      </c>
      <c r="E105" s="431">
        <v>2342192</v>
      </c>
      <c r="F105" s="431">
        <v>399142</v>
      </c>
      <c r="G105" s="431">
        <v>533588</v>
      </c>
      <c r="H105" s="431">
        <v>0</v>
      </c>
      <c r="I105" s="431">
        <v>1942824</v>
      </c>
      <c r="J105" s="431">
        <v>100000</v>
      </c>
      <c r="K105" s="431">
        <v>1788700</v>
      </c>
      <c r="L105" s="431">
        <v>0</v>
      </c>
      <c r="M105" s="431">
        <v>2638451</v>
      </c>
      <c r="N105" s="431">
        <v>0</v>
      </c>
      <c r="O105" s="431">
        <v>0</v>
      </c>
      <c r="P105" s="432">
        <f t="shared" si="13"/>
        <v>8347791</v>
      </c>
      <c r="Q105" s="458">
        <v>2216304</v>
      </c>
      <c r="R105" s="458">
        <v>2977196</v>
      </c>
      <c r="S105" s="458">
        <v>0</v>
      </c>
      <c r="T105" s="458">
        <v>0</v>
      </c>
      <c r="U105" s="458">
        <v>0</v>
      </c>
      <c r="V105" s="458">
        <v>163308</v>
      </c>
      <c r="W105" s="458">
        <v>0</v>
      </c>
      <c r="X105" s="458">
        <v>272622</v>
      </c>
      <c r="Y105" s="458">
        <v>0</v>
      </c>
      <c r="Z105" s="458">
        <v>2718361</v>
      </c>
      <c r="AA105" s="458">
        <v>0</v>
      </c>
      <c r="AB105" s="458">
        <v>0</v>
      </c>
      <c r="AC105" s="458">
        <v>1686984</v>
      </c>
      <c r="AD105" s="458">
        <v>0</v>
      </c>
      <c r="AE105" s="458">
        <v>2929080</v>
      </c>
      <c r="AF105" s="458">
        <v>0</v>
      </c>
      <c r="AG105" s="458">
        <v>48645</v>
      </c>
      <c r="AH105" s="458">
        <v>488212</v>
      </c>
      <c r="AI105" s="458">
        <v>946841</v>
      </c>
      <c r="AJ105" s="458">
        <v>207592</v>
      </c>
      <c r="AK105" s="458">
        <v>0</v>
      </c>
      <c r="AL105" s="458">
        <v>1996293</v>
      </c>
      <c r="AM105" s="458">
        <v>44144</v>
      </c>
    </row>
    <row r="106" spans="1:39" s="155" customFormat="1" ht="12" x14ac:dyDescent="0.2">
      <c r="A106" s="168">
        <v>52</v>
      </c>
      <c r="B106" s="477">
        <v>12288</v>
      </c>
      <c r="C106" s="476" t="s">
        <v>2367</v>
      </c>
      <c r="D106" s="450">
        <f t="shared" si="14"/>
        <v>4218883</v>
      </c>
      <c r="E106" s="431">
        <v>1734233</v>
      </c>
      <c r="F106" s="431">
        <v>72168</v>
      </c>
      <c r="G106" s="431">
        <v>1136659</v>
      </c>
      <c r="H106" s="431">
        <v>0</v>
      </c>
      <c r="I106" s="431">
        <v>518000</v>
      </c>
      <c r="J106" s="431">
        <v>0</v>
      </c>
      <c r="K106" s="431">
        <v>281000</v>
      </c>
      <c r="L106" s="431">
        <v>0</v>
      </c>
      <c r="M106" s="431">
        <v>623359</v>
      </c>
      <c r="N106" s="431">
        <v>1062291</v>
      </c>
      <c r="O106" s="431">
        <v>0</v>
      </c>
      <c r="P106" s="432">
        <f t="shared" si="13"/>
        <v>3595014</v>
      </c>
      <c r="Q106" s="458">
        <v>786346</v>
      </c>
      <c r="R106" s="458">
        <v>637987</v>
      </c>
      <c r="S106" s="458">
        <v>10390</v>
      </c>
      <c r="T106" s="458">
        <v>0</v>
      </c>
      <c r="U106" s="458">
        <v>0</v>
      </c>
      <c r="V106" s="458">
        <v>0</v>
      </c>
      <c r="W106" s="458">
        <v>885277</v>
      </c>
      <c r="X106" s="458">
        <v>27670</v>
      </c>
      <c r="Y106" s="458">
        <v>24680</v>
      </c>
      <c r="Z106" s="458">
        <v>758615</v>
      </c>
      <c r="AA106" s="458">
        <v>469245</v>
      </c>
      <c r="AB106" s="458">
        <v>-5196</v>
      </c>
      <c r="AC106" s="458">
        <v>603027</v>
      </c>
      <c r="AD106" s="458">
        <v>2565</v>
      </c>
      <c r="AE106" s="458">
        <v>1106261</v>
      </c>
      <c r="AF106" s="458">
        <v>0</v>
      </c>
      <c r="AG106" s="458">
        <v>32153</v>
      </c>
      <c r="AH106" s="458">
        <v>59046</v>
      </c>
      <c r="AI106" s="458">
        <v>65487</v>
      </c>
      <c r="AJ106" s="458">
        <v>43546</v>
      </c>
      <c r="AK106" s="458">
        <v>0</v>
      </c>
      <c r="AL106" s="458">
        <v>1598183</v>
      </c>
      <c r="AM106" s="458">
        <v>84746</v>
      </c>
    </row>
    <row r="107" spans="1:39" s="155" customFormat="1" ht="12" x14ac:dyDescent="0.2">
      <c r="A107" s="168">
        <v>53</v>
      </c>
      <c r="B107" s="477">
        <v>12340</v>
      </c>
      <c r="C107" s="476" t="s">
        <v>2368</v>
      </c>
      <c r="D107" s="450">
        <f t="shared" si="14"/>
        <v>6849430</v>
      </c>
      <c r="E107" s="431">
        <v>2304951</v>
      </c>
      <c r="F107" s="431">
        <v>463921</v>
      </c>
      <c r="G107" s="431">
        <v>532654</v>
      </c>
      <c r="H107" s="431">
        <v>0</v>
      </c>
      <c r="I107" s="431">
        <v>1717851</v>
      </c>
      <c r="J107" s="431">
        <v>0</v>
      </c>
      <c r="K107" s="431">
        <v>971000</v>
      </c>
      <c r="L107" s="431">
        <v>0</v>
      </c>
      <c r="M107" s="431">
        <v>114869</v>
      </c>
      <c r="N107" s="431">
        <v>1740759</v>
      </c>
      <c r="O107" s="431">
        <v>0</v>
      </c>
      <c r="P107" s="432">
        <f t="shared" si="13"/>
        <v>4475351</v>
      </c>
      <c r="Q107" s="458">
        <v>2001340</v>
      </c>
      <c r="R107" s="458">
        <v>1376643</v>
      </c>
      <c r="S107" s="458">
        <v>0</v>
      </c>
      <c r="T107" s="458">
        <v>0</v>
      </c>
      <c r="U107" s="458">
        <v>0</v>
      </c>
      <c r="V107" s="458">
        <v>0</v>
      </c>
      <c r="W107" s="458">
        <v>114116</v>
      </c>
      <c r="X107" s="458">
        <v>235138</v>
      </c>
      <c r="Y107" s="458">
        <v>68000</v>
      </c>
      <c r="Z107" s="458">
        <v>689378</v>
      </c>
      <c r="AA107" s="458">
        <v>0</v>
      </c>
      <c r="AB107" s="458">
        <v>-9264</v>
      </c>
      <c r="AC107" s="458">
        <v>768720</v>
      </c>
      <c r="AD107" s="458">
        <v>38635</v>
      </c>
      <c r="AE107" s="458">
        <v>1519745</v>
      </c>
      <c r="AF107" s="458">
        <v>0</v>
      </c>
      <c r="AG107" s="458">
        <v>210879</v>
      </c>
      <c r="AH107" s="458">
        <v>400154</v>
      </c>
      <c r="AI107" s="458">
        <v>464563</v>
      </c>
      <c r="AJ107" s="458">
        <v>0</v>
      </c>
      <c r="AK107" s="458">
        <v>0</v>
      </c>
      <c r="AL107" s="458">
        <v>1064273</v>
      </c>
      <c r="AM107" s="458">
        <v>8382</v>
      </c>
    </row>
    <row r="108" spans="1:39" s="155" customFormat="1" ht="12" x14ac:dyDescent="0.2">
      <c r="A108" s="168">
        <v>54</v>
      </c>
      <c r="B108" s="477">
        <v>12368</v>
      </c>
      <c r="C108" s="476" t="s">
        <v>2369</v>
      </c>
      <c r="D108" s="450">
        <f t="shared" si="14"/>
        <v>14652847</v>
      </c>
      <c r="E108" s="431">
        <v>4161616</v>
      </c>
      <c r="F108" s="431">
        <v>797295</v>
      </c>
      <c r="G108" s="431">
        <v>1113233</v>
      </c>
      <c r="H108" s="431">
        <v>0</v>
      </c>
      <c r="I108" s="431">
        <v>3255000</v>
      </c>
      <c r="J108" s="431">
        <v>360000</v>
      </c>
      <c r="K108" s="431">
        <v>2510000</v>
      </c>
      <c r="L108" s="431">
        <v>0</v>
      </c>
      <c r="M108" s="431">
        <v>1090843</v>
      </c>
      <c r="N108" s="431">
        <v>2932436</v>
      </c>
      <c r="O108" s="431">
        <v>342952</v>
      </c>
      <c r="P108" s="432">
        <f t="shared" si="13"/>
        <v>13108405</v>
      </c>
      <c r="Q108" s="458">
        <v>3646950</v>
      </c>
      <c r="R108" s="458">
        <v>1815484</v>
      </c>
      <c r="S108" s="458">
        <v>11366</v>
      </c>
      <c r="T108" s="458">
        <v>0</v>
      </c>
      <c r="U108" s="458">
        <v>12500</v>
      </c>
      <c r="V108" s="458">
        <v>173525</v>
      </c>
      <c r="W108" s="458">
        <v>2538200</v>
      </c>
      <c r="X108" s="458">
        <v>415315</v>
      </c>
      <c r="Y108" s="458">
        <v>115406</v>
      </c>
      <c r="Z108" s="458">
        <v>2495121</v>
      </c>
      <c r="AA108" s="458">
        <v>1888272</v>
      </c>
      <c r="AB108" s="458">
        <v>-3734</v>
      </c>
      <c r="AC108" s="458">
        <v>1694633</v>
      </c>
      <c r="AD108" s="458">
        <v>0</v>
      </c>
      <c r="AE108" s="458">
        <v>3284359</v>
      </c>
      <c r="AF108" s="458">
        <v>20470</v>
      </c>
      <c r="AG108" s="458">
        <v>362416</v>
      </c>
      <c r="AH108" s="458">
        <v>653249</v>
      </c>
      <c r="AI108" s="458">
        <v>1335223</v>
      </c>
      <c r="AJ108" s="458">
        <v>159606</v>
      </c>
      <c r="AK108" s="458">
        <v>0</v>
      </c>
      <c r="AL108" s="458">
        <v>4354853</v>
      </c>
      <c r="AM108" s="458">
        <v>1243596</v>
      </c>
    </row>
    <row r="109" spans="1:39" s="155" customFormat="1" ht="12" x14ac:dyDescent="0.2">
      <c r="A109" s="168">
        <v>55</v>
      </c>
      <c r="B109" s="477">
        <v>12402</v>
      </c>
      <c r="C109" s="476" t="s">
        <v>2370</v>
      </c>
      <c r="D109" s="450">
        <f t="shared" si="14"/>
        <v>1841250</v>
      </c>
      <c r="E109" s="431">
        <v>1609530</v>
      </c>
      <c r="F109" s="431">
        <v>47485</v>
      </c>
      <c r="G109" s="431">
        <v>1386635</v>
      </c>
      <c r="H109" s="431">
        <v>0</v>
      </c>
      <c r="I109" s="431">
        <v>161380</v>
      </c>
      <c r="J109" s="431">
        <v>0</v>
      </c>
      <c r="K109" s="431">
        <v>70000</v>
      </c>
      <c r="L109" s="431">
        <v>0</v>
      </c>
      <c r="M109" s="431">
        <v>340</v>
      </c>
      <c r="N109" s="431">
        <v>0</v>
      </c>
      <c r="O109" s="431">
        <v>0</v>
      </c>
      <c r="P109" s="432">
        <f t="shared" si="13"/>
        <v>1620561</v>
      </c>
      <c r="Q109" s="458">
        <v>397239</v>
      </c>
      <c r="R109" s="458">
        <v>1172692</v>
      </c>
      <c r="S109" s="458">
        <v>0</v>
      </c>
      <c r="T109" s="458">
        <v>0</v>
      </c>
      <c r="U109" s="458">
        <v>50000</v>
      </c>
      <c r="V109" s="458">
        <v>0</v>
      </c>
      <c r="W109" s="458">
        <v>0</v>
      </c>
      <c r="X109" s="458">
        <v>630</v>
      </c>
      <c r="Y109" s="458">
        <v>0</v>
      </c>
      <c r="Z109" s="458">
        <v>0</v>
      </c>
      <c r="AA109" s="458">
        <v>0</v>
      </c>
      <c r="AB109" s="458">
        <v>0</v>
      </c>
      <c r="AC109" s="458">
        <v>629813</v>
      </c>
      <c r="AD109" s="458">
        <v>0</v>
      </c>
      <c r="AE109" s="458">
        <v>209061</v>
      </c>
      <c r="AF109" s="458">
        <v>0</v>
      </c>
      <c r="AG109" s="458">
        <v>115374</v>
      </c>
      <c r="AH109" s="458">
        <v>13260</v>
      </c>
      <c r="AI109" s="458">
        <v>319215</v>
      </c>
      <c r="AJ109" s="458">
        <v>0</v>
      </c>
      <c r="AK109" s="458">
        <v>0</v>
      </c>
      <c r="AL109" s="458">
        <v>331262</v>
      </c>
      <c r="AM109" s="458">
        <v>2576</v>
      </c>
    </row>
    <row r="110" spans="1:39" s="155" customFormat="1" ht="12" x14ac:dyDescent="0.2">
      <c r="A110" s="168">
        <v>56</v>
      </c>
      <c r="B110" s="477">
        <v>9360</v>
      </c>
      <c r="C110" s="476" t="s">
        <v>2371</v>
      </c>
      <c r="D110" s="450">
        <f t="shared" si="14"/>
        <v>4155172</v>
      </c>
      <c r="E110" s="431">
        <v>1818501</v>
      </c>
      <c r="F110" s="431">
        <v>588739</v>
      </c>
      <c r="G110" s="431">
        <v>203860</v>
      </c>
      <c r="H110" s="431">
        <v>0</v>
      </c>
      <c r="I110" s="431">
        <v>1077829</v>
      </c>
      <c r="J110" s="431">
        <v>0</v>
      </c>
      <c r="K110" s="431">
        <v>421000</v>
      </c>
      <c r="L110" s="431">
        <v>0</v>
      </c>
      <c r="M110" s="431">
        <v>829342</v>
      </c>
      <c r="N110" s="431">
        <v>0</v>
      </c>
      <c r="O110" s="431">
        <v>8500</v>
      </c>
      <c r="P110" s="432">
        <f t="shared" si="13"/>
        <v>3946693</v>
      </c>
      <c r="Q110" s="458">
        <v>1444526</v>
      </c>
      <c r="R110" s="458">
        <v>949649</v>
      </c>
      <c r="S110" s="458">
        <v>0</v>
      </c>
      <c r="T110" s="458">
        <v>0</v>
      </c>
      <c r="U110" s="458">
        <v>0</v>
      </c>
      <c r="V110" s="458">
        <v>0</v>
      </c>
      <c r="W110" s="458">
        <v>0</v>
      </c>
      <c r="X110" s="458">
        <v>84254</v>
      </c>
      <c r="Y110" s="458">
        <v>52600</v>
      </c>
      <c r="Z110" s="458">
        <v>1417664</v>
      </c>
      <c r="AA110" s="458">
        <v>0</v>
      </c>
      <c r="AB110" s="458">
        <v>-2000</v>
      </c>
      <c r="AC110" s="458">
        <v>727478</v>
      </c>
      <c r="AD110" s="458">
        <v>68128</v>
      </c>
      <c r="AE110" s="458">
        <v>1064210</v>
      </c>
      <c r="AF110" s="458">
        <v>0</v>
      </c>
      <c r="AG110" s="458">
        <v>516780</v>
      </c>
      <c r="AH110" s="458">
        <v>243083</v>
      </c>
      <c r="AI110" s="458">
        <v>122122</v>
      </c>
      <c r="AJ110" s="458">
        <v>10232</v>
      </c>
      <c r="AK110" s="458">
        <v>0</v>
      </c>
      <c r="AL110" s="458">
        <v>1173580</v>
      </c>
      <c r="AM110" s="458">
        <v>21080</v>
      </c>
    </row>
    <row r="111" spans="1:39" s="155" customFormat="1" ht="12" x14ac:dyDescent="0.2">
      <c r="A111" s="168">
        <v>57</v>
      </c>
      <c r="B111" s="477">
        <v>12457</v>
      </c>
      <c r="C111" s="476" t="s">
        <v>2372</v>
      </c>
      <c r="D111" s="450">
        <f t="shared" si="14"/>
        <v>3477300</v>
      </c>
      <c r="E111" s="431">
        <v>1737217</v>
      </c>
      <c r="F111" s="431">
        <v>74688</v>
      </c>
      <c r="G111" s="431">
        <v>948751</v>
      </c>
      <c r="H111" s="431">
        <v>0</v>
      </c>
      <c r="I111" s="431">
        <v>876258</v>
      </c>
      <c r="J111" s="431">
        <v>237006</v>
      </c>
      <c r="K111" s="431">
        <v>177000</v>
      </c>
      <c r="L111" s="431">
        <v>0</v>
      </c>
      <c r="M111" s="431">
        <v>128212</v>
      </c>
      <c r="N111" s="431">
        <v>311607</v>
      </c>
      <c r="O111" s="431">
        <v>10000</v>
      </c>
      <c r="P111" s="432">
        <f t="shared" si="13"/>
        <v>3277881</v>
      </c>
      <c r="Q111" s="458">
        <v>1195854</v>
      </c>
      <c r="R111" s="458">
        <v>814164</v>
      </c>
      <c r="S111" s="458">
        <v>4400</v>
      </c>
      <c r="T111" s="458">
        <v>0</v>
      </c>
      <c r="U111" s="458">
        <v>24000</v>
      </c>
      <c r="V111" s="458">
        <v>0</v>
      </c>
      <c r="W111" s="458">
        <v>325313</v>
      </c>
      <c r="X111" s="458">
        <v>113458</v>
      </c>
      <c r="Y111" s="458">
        <v>0</v>
      </c>
      <c r="Z111" s="458">
        <v>800692</v>
      </c>
      <c r="AA111" s="458">
        <v>0</v>
      </c>
      <c r="AB111" s="458">
        <v>0</v>
      </c>
      <c r="AC111" s="458">
        <v>951773</v>
      </c>
      <c r="AD111" s="458">
        <v>0</v>
      </c>
      <c r="AE111" s="458">
        <v>719504</v>
      </c>
      <c r="AF111" s="458">
        <v>0</v>
      </c>
      <c r="AG111" s="458">
        <v>322253</v>
      </c>
      <c r="AH111" s="458">
        <v>230848</v>
      </c>
      <c r="AI111" s="458">
        <v>339397</v>
      </c>
      <c r="AJ111" s="458">
        <v>0</v>
      </c>
      <c r="AK111" s="458">
        <v>0</v>
      </c>
      <c r="AL111" s="458">
        <v>714106</v>
      </c>
      <c r="AM111" s="458">
        <v>0</v>
      </c>
    </row>
    <row r="112" spans="1:39" s="155" customFormat="1" ht="12" x14ac:dyDescent="0.2">
      <c r="A112" s="168">
        <v>58</v>
      </c>
      <c r="B112" s="477">
        <v>12509</v>
      </c>
      <c r="C112" s="476" t="s">
        <v>2373</v>
      </c>
      <c r="D112" s="450">
        <f t="shared" si="14"/>
        <v>7403987</v>
      </c>
      <c r="E112" s="431">
        <v>2801242</v>
      </c>
      <c r="F112" s="431">
        <v>382120</v>
      </c>
      <c r="G112" s="431">
        <v>902682</v>
      </c>
      <c r="H112" s="431">
        <v>0</v>
      </c>
      <c r="I112" s="431">
        <v>2989000</v>
      </c>
      <c r="J112" s="431">
        <v>465525</v>
      </c>
      <c r="K112" s="431">
        <v>498000</v>
      </c>
      <c r="L112" s="431">
        <v>0</v>
      </c>
      <c r="M112" s="431">
        <v>550147</v>
      </c>
      <c r="N112" s="431">
        <v>50473</v>
      </c>
      <c r="O112" s="431">
        <v>49600</v>
      </c>
      <c r="P112" s="432">
        <f t="shared" si="13"/>
        <v>7388504</v>
      </c>
      <c r="Q112" s="458">
        <v>3607922</v>
      </c>
      <c r="R112" s="458">
        <v>3107051</v>
      </c>
      <c r="S112" s="458">
        <v>0</v>
      </c>
      <c r="T112" s="458">
        <v>0</v>
      </c>
      <c r="U112" s="458">
        <v>75000</v>
      </c>
      <c r="V112" s="458">
        <v>0</v>
      </c>
      <c r="W112" s="458">
        <v>0</v>
      </c>
      <c r="X112" s="458">
        <v>163775</v>
      </c>
      <c r="Y112" s="458">
        <v>0</v>
      </c>
      <c r="Z112" s="458">
        <v>437093</v>
      </c>
      <c r="AA112" s="458">
        <v>0</v>
      </c>
      <c r="AB112" s="458">
        <v>-2337</v>
      </c>
      <c r="AC112" s="458">
        <v>989693</v>
      </c>
      <c r="AD112" s="458">
        <v>206021</v>
      </c>
      <c r="AE112" s="458">
        <v>2615982</v>
      </c>
      <c r="AF112" s="458">
        <v>0</v>
      </c>
      <c r="AG112" s="458">
        <v>138582</v>
      </c>
      <c r="AH112" s="458">
        <v>607453</v>
      </c>
      <c r="AI112" s="458">
        <v>848102</v>
      </c>
      <c r="AJ112" s="458">
        <v>595070</v>
      </c>
      <c r="AK112" s="458">
        <v>0</v>
      </c>
      <c r="AL112" s="458">
        <v>916428</v>
      </c>
      <c r="AM112" s="458">
        <v>471173</v>
      </c>
    </row>
    <row r="113" spans="1:39" s="155" customFormat="1" ht="12" x14ac:dyDescent="0.2">
      <c r="A113" s="168">
        <v>59</v>
      </c>
      <c r="B113" s="477">
        <v>10765</v>
      </c>
      <c r="C113" s="476" t="s">
        <v>2374</v>
      </c>
      <c r="D113" s="450">
        <f t="shared" si="14"/>
        <v>3813119</v>
      </c>
      <c r="E113" s="431">
        <v>1847584</v>
      </c>
      <c r="F113" s="431">
        <v>132095</v>
      </c>
      <c r="G113" s="431">
        <v>816749</v>
      </c>
      <c r="H113" s="431">
        <v>0</v>
      </c>
      <c r="I113" s="431">
        <v>1038119</v>
      </c>
      <c r="J113" s="431">
        <v>200000</v>
      </c>
      <c r="K113" s="431">
        <v>337000</v>
      </c>
      <c r="L113" s="431">
        <v>0</v>
      </c>
      <c r="M113" s="431">
        <v>316963</v>
      </c>
      <c r="N113" s="431">
        <v>73453</v>
      </c>
      <c r="O113" s="431">
        <v>0</v>
      </c>
      <c r="P113" s="432">
        <f t="shared" si="13"/>
        <v>3707063</v>
      </c>
      <c r="Q113" s="458">
        <v>1554151</v>
      </c>
      <c r="R113" s="458">
        <v>801403</v>
      </c>
      <c r="S113" s="458">
        <v>0</v>
      </c>
      <c r="T113" s="458">
        <v>0</v>
      </c>
      <c r="U113" s="458">
        <v>0</v>
      </c>
      <c r="V113" s="458">
        <v>0</v>
      </c>
      <c r="W113" s="458">
        <v>55064</v>
      </c>
      <c r="X113" s="458">
        <v>66909</v>
      </c>
      <c r="Y113" s="458">
        <v>51000</v>
      </c>
      <c r="Z113" s="458">
        <v>1186803</v>
      </c>
      <c r="AA113" s="458">
        <v>0</v>
      </c>
      <c r="AB113" s="458">
        <v>-8267</v>
      </c>
      <c r="AC113" s="458">
        <v>1082680</v>
      </c>
      <c r="AD113" s="458">
        <v>39711</v>
      </c>
      <c r="AE113" s="458">
        <v>1100415</v>
      </c>
      <c r="AF113" s="458">
        <v>0</v>
      </c>
      <c r="AG113" s="458">
        <v>85622</v>
      </c>
      <c r="AH113" s="458">
        <v>190095</v>
      </c>
      <c r="AI113" s="458">
        <v>165778</v>
      </c>
      <c r="AJ113" s="458">
        <v>0</v>
      </c>
      <c r="AK113" s="458">
        <v>0</v>
      </c>
      <c r="AL113" s="458">
        <v>989159</v>
      </c>
      <c r="AM113" s="458">
        <v>53603</v>
      </c>
    </row>
    <row r="114" spans="1:39" s="155" customFormat="1" ht="12" x14ac:dyDescent="0.2">
      <c r="A114" s="168">
        <v>60</v>
      </c>
      <c r="B114" s="477">
        <v>12572</v>
      </c>
      <c r="C114" s="476" t="s">
        <v>2375</v>
      </c>
      <c r="D114" s="450">
        <f t="shared" si="14"/>
        <v>3211397</v>
      </c>
      <c r="E114" s="431">
        <v>1617679</v>
      </c>
      <c r="F114" s="431">
        <v>144087</v>
      </c>
      <c r="G114" s="431">
        <v>929756</v>
      </c>
      <c r="H114" s="431">
        <v>0</v>
      </c>
      <c r="I114" s="431">
        <v>933945</v>
      </c>
      <c r="J114" s="431">
        <v>380000</v>
      </c>
      <c r="K114" s="431">
        <v>101000</v>
      </c>
      <c r="L114" s="431">
        <v>0</v>
      </c>
      <c r="M114" s="431">
        <v>178773</v>
      </c>
      <c r="N114" s="431">
        <v>0</v>
      </c>
      <c r="O114" s="431">
        <v>0</v>
      </c>
      <c r="P114" s="432">
        <f t="shared" si="13"/>
        <v>3105871</v>
      </c>
      <c r="Q114" s="458">
        <v>1167506</v>
      </c>
      <c r="R114" s="458">
        <v>922003</v>
      </c>
      <c r="S114" s="458">
        <v>0</v>
      </c>
      <c r="T114" s="458">
        <v>0</v>
      </c>
      <c r="U114" s="458">
        <v>0</v>
      </c>
      <c r="V114" s="458">
        <v>0</v>
      </c>
      <c r="W114" s="458">
        <v>0</v>
      </c>
      <c r="X114" s="458">
        <v>55224</v>
      </c>
      <c r="Y114" s="458">
        <v>17000</v>
      </c>
      <c r="Z114" s="458">
        <v>944138</v>
      </c>
      <c r="AA114" s="458">
        <v>0</v>
      </c>
      <c r="AB114" s="458">
        <v>0</v>
      </c>
      <c r="AC114" s="458">
        <v>745249</v>
      </c>
      <c r="AD114" s="458">
        <v>3055</v>
      </c>
      <c r="AE114" s="458">
        <v>878223</v>
      </c>
      <c r="AF114" s="458">
        <v>0</v>
      </c>
      <c r="AG114" s="458">
        <v>172398</v>
      </c>
      <c r="AH114" s="458">
        <v>198456</v>
      </c>
      <c r="AI114" s="458">
        <v>121377</v>
      </c>
      <c r="AJ114" s="458">
        <v>32425</v>
      </c>
      <c r="AK114" s="458">
        <v>0</v>
      </c>
      <c r="AL114" s="458">
        <v>939518</v>
      </c>
      <c r="AM114" s="458">
        <v>15170</v>
      </c>
    </row>
    <row r="115" spans="1:39" s="155" customFormat="1" ht="12" x14ac:dyDescent="0.2">
      <c r="A115" s="168">
        <v>61</v>
      </c>
      <c r="B115" s="477">
        <v>12643</v>
      </c>
      <c r="C115" s="476" t="s">
        <v>2376</v>
      </c>
      <c r="D115" s="450">
        <f t="shared" si="14"/>
        <v>11012854</v>
      </c>
      <c r="E115" s="431">
        <v>4198277</v>
      </c>
      <c r="F115" s="431">
        <v>812556</v>
      </c>
      <c r="G115" s="431">
        <v>911289</v>
      </c>
      <c r="H115" s="431">
        <v>0</v>
      </c>
      <c r="I115" s="431">
        <v>3356000</v>
      </c>
      <c r="J115" s="431">
        <v>0</v>
      </c>
      <c r="K115" s="431">
        <v>2108000</v>
      </c>
      <c r="L115" s="431">
        <v>0</v>
      </c>
      <c r="M115" s="431">
        <v>1213027</v>
      </c>
      <c r="N115" s="431">
        <v>110061</v>
      </c>
      <c r="O115" s="431">
        <v>27489</v>
      </c>
      <c r="P115" s="432">
        <f t="shared" si="13"/>
        <v>10912741</v>
      </c>
      <c r="Q115" s="458">
        <v>3821001</v>
      </c>
      <c r="R115" s="458">
        <v>3576232</v>
      </c>
      <c r="S115" s="458">
        <v>0</v>
      </c>
      <c r="T115" s="458">
        <v>0</v>
      </c>
      <c r="U115" s="458">
        <v>0</v>
      </c>
      <c r="V115" s="458">
        <v>0</v>
      </c>
      <c r="W115" s="458">
        <v>124128</v>
      </c>
      <c r="X115" s="458">
        <v>328436</v>
      </c>
      <c r="Y115" s="458">
        <v>65570</v>
      </c>
      <c r="Z115" s="458">
        <v>3019648</v>
      </c>
      <c r="AA115" s="458">
        <v>0</v>
      </c>
      <c r="AB115" s="458">
        <v>-22274</v>
      </c>
      <c r="AC115" s="458">
        <v>2275032</v>
      </c>
      <c r="AD115" s="458">
        <v>0</v>
      </c>
      <c r="AE115" s="458">
        <v>3321308</v>
      </c>
      <c r="AF115" s="458">
        <v>203592</v>
      </c>
      <c r="AG115" s="458">
        <v>415109</v>
      </c>
      <c r="AH115" s="458">
        <v>752227</v>
      </c>
      <c r="AI115" s="458">
        <v>395741</v>
      </c>
      <c r="AJ115" s="458">
        <v>332624</v>
      </c>
      <c r="AK115" s="458">
        <v>0</v>
      </c>
      <c r="AL115" s="458">
        <v>3217108</v>
      </c>
      <c r="AM115" s="458">
        <v>0</v>
      </c>
    </row>
    <row r="116" spans="1:39" s="155" customFormat="1" ht="12" x14ac:dyDescent="0.2">
      <c r="A116" s="168">
        <v>62</v>
      </c>
      <c r="B116" s="477">
        <v>12689</v>
      </c>
      <c r="C116" s="476" t="s">
        <v>2377</v>
      </c>
      <c r="D116" s="450">
        <f t="shared" si="14"/>
        <v>4224246</v>
      </c>
      <c r="E116" s="431">
        <v>1776341</v>
      </c>
      <c r="F116" s="431">
        <v>160273</v>
      </c>
      <c r="G116" s="431">
        <v>1079619</v>
      </c>
      <c r="H116" s="431">
        <v>0</v>
      </c>
      <c r="I116" s="431">
        <v>1525448</v>
      </c>
      <c r="J116" s="431">
        <v>0</v>
      </c>
      <c r="K116" s="431">
        <v>462000</v>
      </c>
      <c r="L116" s="431">
        <v>0</v>
      </c>
      <c r="M116" s="431">
        <v>445891</v>
      </c>
      <c r="N116" s="431">
        <v>0</v>
      </c>
      <c r="O116" s="431">
        <v>14566</v>
      </c>
      <c r="P116" s="432">
        <f t="shared" si="13"/>
        <v>3876371</v>
      </c>
      <c r="Q116" s="458">
        <v>1785314</v>
      </c>
      <c r="R116" s="458">
        <v>692447</v>
      </c>
      <c r="S116" s="458">
        <v>0</v>
      </c>
      <c r="T116" s="458">
        <v>0</v>
      </c>
      <c r="U116" s="458">
        <v>0</v>
      </c>
      <c r="V116" s="458">
        <v>0</v>
      </c>
      <c r="W116" s="458">
        <v>0</v>
      </c>
      <c r="X116" s="458">
        <v>137569</v>
      </c>
      <c r="Y116" s="458">
        <v>0</v>
      </c>
      <c r="Z116" s="458">
        <v>1270342</v>
      </c>
      <c r="AA116" s="458">
        <v>0</v>
      </c>
      <c r="AB116" s="458">
        <v>-9301</v>
      </c>
      <c r="AC116" s="458">
        <v>551055</v>
      </c>
      <c r="AD116" s="458">
        <v>24443</v>
      </c>
      <c r="AE116" s="458">
        <v>891292</v>
      </c>
      <c r="AF116" s="458">
        <v>28986</v>
      </c>
      <c r="AG116" s="458">
        <v>121792</v>
      </c>
      <c r="AH116" s="458">
        <v>648122</v>
      </c>
      <c r="AI116" s="458">
        <v>1258272</v>
      </c>
      <c r="AJ116" s="458">
        <v>0</v>
      </c>
      <c r="AK116" s="458">
        <v>0</v>
      </c>
      <c r="AL116" s="458">
        <v>341442</v>
      </c>
      <c r="AM116" s="458">
        <v>10967</v>
      </c>
    </row>
    <row r="117" spans="1:39" s="155" customFormat="1" ht="12" x14ac:dyDescent="0.2">
      <c r="A117" s="168">
        <v>63</v>
      </c>
      <c r="B117" s="477">
        <v>9397</v>
      </c>
      <c r="C117" s="476" t="s">
        <v>2378</v>
      </c>
      <c r="D117" s="450">
        <f t="shared" si="14"/>
        <v>20247970</v>
      </c>
      <c r="E117" s="431">
        <v>11251626</v>
      </c>
      <c r="F117" s="431">
        <v>2484992</v>
      </c>
      <c r="G117" s="431">
        <v>805455</v>
      </c>
      <c r="H117" s="431">
        <v>0</v>
      </c>
      <c r="I117" s="431">
        <v>3812423</v>
      </c>
      <c r="J117" s="431">
        <v>700000</v>
      </c>
      <c r="K117" s="431">
        <v>1660000</v>
      </c>
      <c r="L117" s="431">
        <v>0</v>
      </c>
      <c r="M117" s="431">
        <v>333604</v>
      </c>
      <c r="N117" s="431">
        <v>2414517</v>
      </c>
      <c r="O117" s="431">
        <v>75800</v>
      </c>
      <c r="P117" s="432">
        <f t="shared" si="13"/>
        <v>15536763</v>
      </c>
      <c r="Q117" s="458">
        <v>4226773</v>
      </c>
      <c r="R117" s="458">
        <v>5875189</v>
      </c>
      <c r="S117" s="458">
        <v>0</v>
      </c>
      <c r="T117" s="458">
        <v>0</v>
      </c>
      <c r="U117" s="458">
        <v>0</v>
      </c>
      <c r="V117" s="458">
        <v>0</v>
      </c>
      <c r="W117" s="458">
        <v>757918</v>
      </c>
      <c r="X117" s="458">
        <v>548747</v>
      </c>
      <c r="Y117" s="458">
        <v>141535</v>
      </c>
      <c r="Z117" s="458">
        <v>4062527</v>
      </c>
      <c r="AA117" s="458">
        <v>0</v>
      </c>
      <c r="AB117" s="458">
        <v>-75926</v>
      </c>
      <c r="AC117" s="458">
        <v>1749987</v>
      </c>
      <c r="AD117" s="458">
        <v>0</v>
      </c>
      <c r="AE117" s="458">
        <v>3644454</v>
      </c>
      <c r="AF117" s="458">
        <v>0</v>
      </c>
      <c r="AG117" s="458">
        <v>964209</v>
      </c>
      <c r="AH117" s="458">
        <v>886389</v>
      </c>
      <c r="AI117" s="458">
        <v>8291724</v>
      </c>
      <c r="AJ117" s="458">
        <v>0</v>
      </c>
      <c r="AK117" s="458">
        <v>0</v>
      </c>
      <c r="AL117" s="458">
        <v>0</v>
      </c>
      <c r="AM117" s="458">
        <v>0</v>
      </c>
    </row>
    <row r="118" spans="1:39" s="155" customFormat="1" ht="12" x14ac:dyDescent="0.2">
      <c r="A118" s="168">
        <v>64</v>
      </c>
      <c r="B118" s="477">
        <v>12778</v>
      </c>
      <c r="C118" s="476" t="s">
        <v>2379</v>
      </c>
      <c r="D118" s="450">
        <f t="shared" si="14"/>
        <v>7430772</v>
      </c>
      <c r="E118" s="431">
        <v>2555251</v>
      </c>
      <c r="F118" s="431">
        <v>232951</v>
      </c>
      <c r="G118" s="431">
        <v>904446</v>
      </c>
      <c r="H118" s="431">
        <v>0</v>
      </c>
      <c r="I118" s="431">
        <v>1726514</v>
      </c>
      <c r="J118" s="431">
        <v>540000</v>
      </c>
      <c r="K118" s="431">
        <v>1402000</v>
      </c>
      <c r="L118" s="431">
        <v>0</v>
      </c>
      <c r="M118" s="431">
        <v>185024</v>
      </c>
      <c r="N118" s="431">
        <v>0</v>
      </c>
      <c r="O118" s="431">
        <v>1021983</v>
      </c>
      <c r="P118" s="432">
        <f t="shared" si="13"/>
        <v>7598112</v>
      </c>
      <c r="Q118" s="458">
        <v>2128119</v>
      </c>
      <c r="R118" s="458">
        <v>2602553</v>
      </c>
      <c r="S118" s="458">
        <v>0</v>
      </c>
      <c r="T118" s="458">
        <v>0</v>
      </c>
      <c r="U118" s="458">
        <v>364788</v>
      </c>
      <c r="V118" s="458">
        <v>0</v>
      </c>
      <c r="W118" s="458">
        <v>351612</v>
      </c>
      <c r="X118" s="458">
        <v>128499</v>
      </c>
      <c r="Y118" s="458">
        <v>240541</v>
      </c>
      <c r="Z118" s="458">
        <v>1782000</v>
      </c>
      <c r="AA118" s="458">
        <v>0</v>
      </c>
      <c r="AB118" s="458">
        <v>0</v>
      </c>
      <c r="AC118" s="458">
        <v>2113534</v>
      </c>
      <c r="AD118" s="458">
        <v>185281</v>
      </c>
      <c r="AE118" s="458">
        <v>1635617</v>
      </c>
      <c r="AF118" s="458">
        <v>0</v>
      </c>
      <c r="AG118" s="458">
        <v>929184</v>
      </c>
      <c r="AH118" s="458">
        <v>293318</v>
      </c>
      <c r="AI118" s="458">
        <v>415687</v>
      </c>
      <c r="AJ118" s="458">
        <v>1162000</v>
      </c>
      <c r="AK118" s="458">
        <v>0</v>
      </c>
      <c r="AL118" s="458">
        <v>845491</v>
      </c>
      <c r="AM118" s="458">
        <v>18000</v>
      </c>
    </row>
    <row r="119" spans="1:39" s="155" customFormat="1" ht="12" x14ac:dyDescent="0.2">
      <c r="A119" s="168">
        <v>65</v>
      </c>
      <c r="B119" s="477">
        <v>12938</v>
      </c>
      <c r="C119" s="476" t="s">
        <v>2380</v>
      </c>
      <c r="D119" s="450">
        <f t="shared" ref="D119:D122" si="15">E119+SUM(H119:O119)</f>
        <v>4311279</v>
      </c>
      <c r="E119" s="431">
        <v>2143415</v>
      </c>
      <c r="F119" s="431">
        <v>219464</v>
      </c>
      <c r="G119" s="431">
        <v>900710</v>
      </c>
      <c r="H119" s="431">
        <v>0</v>
      </c>
      <c r="I119" s="431">
        <v>920383</v>
      </c>
      <c r="J119" s="431">
        <v>0</v>
      </c>
      <c r="K119" s="431">
        <v>452000</v>
      </c>
      <c r="L119" s="431">
        <v>0</v>
      </c>
      <c r="M119" s="431">
        <v>174183</v>
      </c>
      <c r="N119" s="431">
        <v>559298</v>
      </c>
      <c r="O119" s="431">
        <v>62000</v>
      </c>
      <c r="P119" s="432">
        <f t="shared" si="13"/>
        <v>4231676</v>
      </c>
      <c r="Q119" s="458">
        <v>1383144</v>
      </c>
      <c r="R119" s="458">
        <v>917221</v>
      </c>
      <c r="S119" s="458">
        <v>0</v>
      </c>
      <c r="T119" s="458">
        <v>0</v>
      </c>
      <c r="U119" s="458">
        <v>0</v>
      </c>
      <c r="V119" s="458">
        <v>0</v>
      </c>
      <c r="W119" s="458">
        <v>813700</v>
      </c>
      <c r="X119" s="458">
        <v>59935</v>
      </c>
      <c r="Y119" s="458">
        <v>28892</v>
      </c>
      <c r="Z119" s="458">
        <v>1118920</v>
      </c>
      <c r="AA119" s="458">
        <v>0</v>
      </c>
      <c r="AB119" s="458">
        <v>-90136</v>
      </c>
      <c r="AC119" s="458">
        <v>950676</v>
      </c>
      <c r="AD119" s="458">
        <v>19339</v>
      </c>
      <c r="AE119" s="458">
        <v>696663</v>
      </c>
      <c r="AF119" s="458">
        <v>0</v>
      </c>
      <c r="AG119" s="458">
        <v>584379</v>
      </c>
      <c r="AH119" s="458">
        <v>277492</v>
      </c>
      <c r="AI119" s="458">
        <v>252226</v>
      </c>
      <c r="AJ119" s="458">
        <v>705717</v>
      </c>
      <c r="AK119" s="458">
        <v>0</v>
      </c>
      <c r="AL119" s="458">
        <v>585177</v>
      </c>
      <c r="AM119" s="458">
        <v>160007</v>
      </c>
    </row>
    <row r="120" spans="1:39" s="155" customFormat="1" ht="12" x14ac:dyDescent="0.2">
      <c r="A120" s="168">
        <v>66</v>
      </c>
      <c r="B120" s="477">
        <v>12812</v>
      </c>
      <c r="C120" s="476" t="s">
        <v>2381</v>
      </c>
      <c r="D120" s="450">
        <f t="shared" si="15"/>
        <v>3202394</v>
      </c>
      <c r="E120" s="431">
        <v>1659560</v>
      </c>
      <c r="F120" s="431">
        <v>110372</v>
      </c>
      <c r="G120" s="431">
        <v>1105709</v>
      </c>
      <c r="H120" s="431">
        <v>0</v>
      </c>
      <c r="I120" s="431">
        <v>1294000</v>
      </c>
      <c r="J120" s="431">
        <v>0</v>
      </c>
      <c r="K120" s="431">
        <v>237910</v>
      </c>
      <c r="L120" s="431">
        <v>0</v>
      </c>
      <c r="M120" s="431">
        <v>10924</v>
      </c>
      <c r="N120" s="431">
        <v>0</v>
      </c>
      <c r="O120" s="431">
        <v>0</v>
      </c>
      <c r="P120" s="432">
        <f t="shared" si="13"/>
        <v>3076796</v>
      </c>
      <c r="Q120" s="458">
        <v>1646159</v>
      </c>
      <c r="R120" s="458">
        <v>994502</v>
      </c>
      <c r="S120" s="458">
        <v>0</v>
      </c>
      <c r="T120" s="458">
        <v>0</v>
      </c>
      <c r="U120" s="458">
        <v>0</v>
      </c>
      <c r="V120" s="458">
        <v>0</v>
      </c>
      <c r="W120" s="458">
        <v>0</v>
      </c>
      <c r="X120" s="458">
        <v>114135</v>
      </c>
      <c r="Y120" s="458">
        <v>32000</v>
      </c>
      <c r="Z120" s="458">
        <v>290000</v>
      </c>
      <c r="AA120" s="458">
        <v>0</v>
      </c>
      <c r="AB120" s="458">
        <v>0</v>
      </c>
      <c r="AC120" s="458">
        <v>683241</v>
      </c>
      <c r="AD120" s="458">
        <v>0</v>
      </c>
      <c r="AE120" s="458">
        <v>1209686</v>
      </c>
      <c r="AF120" s="458">
        <v>0</v>
      </c>
      <c r="AG120" s="458">
        <v>38413</v>
      </c>
      <c r="AH120" s="458">
        <v>392644</v>
      </c>
      <c r="AI120" s="458">
        <v>130698</v>
      </c>
      <c r="AJ120" s="458">
        <v>19973</v>
      </c>
      <c r="AK120" s="458">
        <v>0</v>
      </c>
      <c r="AL120" s="458">
        <v>602141</v>
      </c>
      <c r="AM120" s="458">
        <v>0</v>
      </c>
    </row>
    <row r="121" spans="1:39" s="155" customFormat="1" ht="12" x14ac:dyDescent="0.2">
      <c r="A121" s="168">
        <v>67</v>
      </c>
      <c r="B121" s="477">
        <v>12849</v>
      </c>
      <c r="C121" s="476" t="s">
        <v>2382</v>
      </c>
      <c r="D121" s="450">
        <f t="shared" si="15"/>
        <v>3825769</v>
      </c>
      <c r="E121" s="431">
        <v>1517792</v>
      </c>
      <c r="F121" s="431">
        <v>80163</v>
      </c>
      <c r="G121" s="431">
        <v>672794</v>
      </c>
      <c r="H121" s="431">
        <v>0</v>
      </c>
      <c r="I121" s="431">
        <v>613396</v>
      </c>
      <c r="J121" s="431">
        <v>320000</v>
      </c>
      <c r="K121" s="431">
        <v>304000</v>
      </c>
      <c r="L121" s="431">
        <v>0</v>
      </c>
      <c r="M121" s="431">
        <v>839068</v>
      </c>
      <c r="N121" s="431">
        <v>209513</v>
      </c>
      <c r="O121" s="431">
        <v>22000</v>
      </c>
      <c r="P121" s="432">
        <f t="shared" si="13"/>
        <v>3607796</v>
      </c>
      <c r="Q121" s="458">
        <v>863900</v>
      </c>
      <c r="R121" s="458">
        <v>611292</v>
      </c>
      <c r="S121" s="458">
        <v>68251</v>
      </c>
      <c r="T121" s="458">
        <v>0</v>
      </c>
      <c r="U121" s="458">
        <v>0</v>
      </c>
      <c r="V121" s="458">
        <v>105957</v>
      </c>
      <c r="W121" s="458">
        <v>351289</v>
      </c>
      <c r="X121" s="458">
        <v>138185</v>
      </c>
      <c r="Y121" s="458">
        <v>11220</v>
      </c>
      <c r="Z121" s="458">
        <v>1287702</v>
      </c>
      <c r="AA121" s="458">
        <v>170000</v>
      </c>
      <c r="AB121" s="458">
        <v>0</v>
      </c>
      <c r="AC121" s="458">
        <v>652550</v>
      </c>
      <c r="AD121" s="458">
        <v>302275</v>
      </c>
      <c r="AE121" s="458">
        <v>604093</v>
      </c>
      <c r="AF121" s="458">
        <v>0</v>
      </c>
      <c r="AG121" s="458">
        <v>256070</v>
      </c>
      <c r="AH121" s="458">
        <v>102235</v>
      </c>
      <c r="AI121" s="458">
        <v>253409</v>
      </c>
      <c r="AJ121" s="458">
        <v>61076</v>
      </c>
      <c r="AK121" s="458">
        <v>0</v>
      </c>
      <c r="AL121" s="458">
        <v>1376088</v>
      </c>
      <c r="AM121" s="458">
        <v>0</v>
      </c>
    </row>
    <row r="122" spans="1:39" s="155" customFormat="1" ht="12" x14ac:dyDescent="0.2">
      <c r="A122" s="168">
        <v>68</v>
      </c>
      <c r="B122" s="477">
        <v>12876</v>
      </c>
      <c r="C122" s="476" t="s">
        <v>2383</v>
      </c>
      <c r="D122" s="450">
        <f t="shared" si="15"/>
        <v>9818771</v>
      </c>
      <c r="E122" s="431">
        <v>5073239</v>
      </c>
      <c r="F122" s="431">
        <v>2140757</v>
      </c>
      <c r="G122" s="431">
        <v>392760</v>
      </c>
      <c r="H122" s="431">
        <v>0</v>
      </c>
      <c r="I122" s="431">
        <v>1518870</v>
      </c>
      <c r="J122" s="431">
        <v>0</v>
      </c>
      <c r="K122" s="431">
        <v>879000</v>
      </c>
      <c r="L122" s="431">
        <v>0</v>
      </c>
      <c r="M122" s="431">
        <v>2347662</v>
      </c>
      <c r="N122" s="431">
        <v>0</v>
      </c>
      <c r="O122" s="431">
        <v>0</v>
      </c>
      <c r="P122" s="432">
        <f t="shared" si="13"/>
        <v>9369569</v>
      </c>
      <c r="Q122" s="458">
        <v>1944446</v>
      </c>
      <c r="R122" s="458">
        <v>1868743</v>
      </c>
      <c r="S122" s="458">
        <v>0</v>
      </c>
      <c r="T122" s="458">
        <v>0</v>
      </c>
      <c r="U122" s="458">
        <v>0</v>
      </c>
      <c r="V122" s="458">
        <v>0</v>
      </c>
      <c r="W122" s="458">
        <v>103555</v>
      </c>
      <c r="X122" s="458">
        <v>245475</v>
      </c>
      <c r="Y122" s="458">
        <v>55743</v>
      </c>
      <c r="Z122" s="458">
        <v>5193196</v>
      </c>
      <c r="AA122" s="458">
        <v>0</v>
      </c>
      <c r="AB122" s="458">
        <v>-41589</v>
      </c>
      <c r="AC122" s="458">
        <v>1413232</v>
      </c>
      <c r="AD122" s="458">
        <v>5306</v>
      </c>
      <c r="AE122" s="458">
        <v>1361314</v>
      </c>
      <c r="AF122" s="458">
        <v>0</v>
      </c>
      <c r="AG122" s="458">
        <v>192553</v>
      </c>
      <c r="AH122" s="458">
        <v>458862</v>
      </c>
      <c r="AI122" s="458">
        <v>1140833</v>
      </c>
      <c r="AJ122" s="458">
        <v>3126034</v>
      </c>
      <c r="AK122" s="458">
        <v>0</v>
      </c>
      <c r="AL122" s="458">
        <v>1671435</v>
      </c>
      <c r="AM122" s="458">
        <v>0</v>
      </c>
    </row>
    <row r="123" spans="1:39" s="155" customFormat="1" ht="12" hidden="1" x14ac:dyDescent="0.2">
      <c r="A123" s="168">
        <v>69</v>
      </c>
      <c r="B123" s="480"/>
      <c r="C123" s="481"/>
      <c r="D123" s="432">
        <f t="shared" ref="D123:D143" si="16">E123+SUM(H123:O123)</f>
        <v>0</v>
      </c>
      <c r="E123" s="431"/>
      <c r="F123" s="431"/>
      <c r="G123" s="431"/>
      <c r="H123" s="431"/>
      <c r="I123" s="431"/>
      <c r="J123" s="431"/>
      <c r="K123" s="431"/>
      <c r="L123" s="431"/>
      <c r="M123" s="431"/>
      <c r="N123" s="431"/>
      <c r="O123" s="431"/>
      <c r="P123" s="432">
        <f t="shared" si="13"/>
        <v>0</v>
      </c>
      <c r="Q123" s="431"/>
      <c r="R123" s="431"/>
      <c r="S123" s="431"/>
      <c r="T123" s="431"/>
      <c r="U123" s="431"/>
      <c r="V123" s="431"/>
      <c r="W123" s="431"/>
      <c r="X123" s="431"/>
      <c r="Y123" s="431"/>
      <c r="Z123" s="468"/>
      <c r="AA123" s="431"/>
      <c r="AB123" s="431"/>
      <c r="AC123" s="468"/>
      <c r="AD123" s="431"/>
      <c r="AE123" s="431"/>
      <c r="AF123" s="431"/>
      <c r="AG123" s="431"/>
      <c r="AH123" s="431"/>
      <c r="AI123" s="468"/>
      <c r="AJ123" s="468"/>
      <c r="AK123" s="431"/>
      <c r="AL123" s="431"/>
      <c r="AM123" s="431"/>
    </row>
    <row r="124" spans="1:39" s="155" customFormat="1" ht="12" hidden="1" x14ac:dyDescent="0.2">
      <c r="A124" s="168">
        <v>70</v>
      </c>
      <c r="B124" s="480"/>
      <c r="C124" s="481"/>
      <c r="D124" s="432">
        <f t="shared" si="16"/>
        <v>0</v>
      </c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32">
        <f t="shared" si="13"/>
        <v>0</v>
      </c>
      <c r="Q124" s="431"/>
      <c r="R124" s="431"/>
      <c r="S124" s="431"/>
      <c r="T124" s="431"/>
      <c r="U124" s="431"/>
      <c r="V124" s="431"/>
      <c r="W124" s="431"/>
      <c r="X124" s="431"/>
      <c r="Y124" s="431"/>
      <c r="Z124" s="468"/>
      <c r="AA124" s="431"/>
      <c r="AB124" s="431"/>
      <c r="AC124" s="468"/>
      <c r="AD124" s="431"/>
      <c r="AE124" s="431"/>
      <c r="AF124" s="431"/>
      <c r="AG124" s="431"/>
      <c r="AH124" s="431"/>
      <c r="AI124" s="468"/>
      <c r="AJ124" s="468"/>
      <c r="AK124" s="431"/>
      <c r="AL124" s="431"/>
      <c r="AM124" s="431"/>
    </row>
    <row r="125" spans="1:39" s="155" customFormat="1" ht="12" hidden="1" x14ac:dyDescent="0.2">
      <c r="A125" s="168">
        <v>71</v>
      </c>
      <c r="B125" s="480"/>
      <c r="C125" s="481"/>
      <c r="D125" s="432">
        <f t="shared" si="16"/>
        <v>0</v>
      </c>
      <c r="E125" s="431"/>
      <c r="F125" s="431"/>
      <c r="G125" s="431"/>
      <c r="H125" s="431"/>
      <c r="I125" s="431"/>
      <c r="J125" s="431"/>
      <c r="K125" s="431"/>
      <c r="L125" s="431"/>
      <c r="M125" s="431"/>
      <c r="N125" s="431"/>
      <c r="O125" s="431"/>
      <c r="P125" s="432">
        <f t="shared" si="13"/>
        <v>0</v>
      </c>
      <c r="Q125" s="431"/>
      <c r="R125" s="431"/>
      <c r="S125" s="431"/>
      <c r="T125" s="431"/>
      <c r="U125" s="431"/>
      <c r="V125" s="431"/>
      <c r="W125" s="431"/>
      <c r="X125" s="431"/>
      <c r="Y125" s="431"/>
      <c r="Z125" s="468"/>
      <c r="AA125" s="431"/>
      <c r="AB125" s="431"/>
      <c r="AC125" s="468"/>
      <c r="AD125" s="431"/>
      <c r="AE125" s="431"/>
      <c r="AF125" s="431"/>
      <c r="AG125" s="431"/>
      <c r="AH125" s="431"/>
      <c r="AI125" s="468"/>
      <c r="AJ125" s="468"/>
      <c r="AK125" s="431"/>
      <c r="AL125" s="431"/>
      <c r="AM125" s="431"/>
    </row>
    <row r="126" spans="1:39" s="155" customFormat="1" ht="12" hidden="1" x14ac:dyDescent="0.2">
      <c r="A126" s="168">
        <v>72</v>
      </c>
      <c r="B126" s="480"/>
      <c r="C126" s="481"/>
      <c r="D126" s="432">
        <f t="shared" si="16"/>
        <v>0</v>
      </c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32">
        <f t="shared" si="13"/>
        <v>0</v>
      </c>
      <c r="Q126" s="431"/>
      <c r="R126" s="431"/>
      <c r="S126" s="431"/>
      <c r="T126" s="431"/>
      <c r="U126" s="431"/>
      <c r="V126" s="431"/>
      <c r="W126" s="431"/>
      <c r="X126" s="431"/>
      <c r="Y126" s="431"/>
      <c r="Z126" s="468"/>
      <c r="AA126" s="431"/>
      <c r="AB126" s="431"/>
      <c r="AC126" s="468"/>
      <c r="AD126" s="431"/>
      <c r="AE126" s="431"/>
      <c r="AF126" s="431"/>
      <c r="AG126" s="431"/>
      <c r="AH126" s="431"/>
      <c r="AI126" s="468"/>
      <c r="AJ126" s="468"/>
      <c r="AK126" s="431"/>
      <c r="AL126" s="431"/>
      <c r="AM126" s="431"/>
    </row>
    <row r="127" spans="1:39" s="155" customFormat="1" ht="12" hidden="1" x14ac:dyDescent="0.2">
      <c r="A127" s="168">
        <v>73</v>
      </c>
      <c r="B127" s="480"/>
      <c r="C127" s="481"/>
      <c r="D127" s="432">
        <f t="shared" si="16"/>
        <v>0</v>
      </c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32">
        <f t="shared" si="13"/>
        <v>0</v>
      </c>
      <c r="Q127" s="431"/>
      <c r="R127" s="431"/>
      <c r="S127" s="431"/>
      <c r="T127" s="431"/>
      <c r="U127" s="431"/>
      <c r="V127" s="431"/>
      <c r="W127" s="431"/>
      <c r="X127" s="431"/>
      <c r="Y127" s="431"/>
      <c r="Z127" s="468"/>
      <c r="AA127" s="431"/>
      <c r="AB127" s="431"/>
      <c r="AC127" s="468"/>
      <c r="AD127" s="431"/>
      <c r="AE127" s="431"/>
      <c r="AF127" s="431"/>
      <c r="AG127" s="431"/>
      <c r="AH127" s="431"/>
      <c r="AI127" s="468"/>
      <c r="AJ127" s="468"/>
      <c r="AK127" s="431"/>
      <c r="AL127" s="431"/>
      <c r="AM127" s="431"/>
    </row>
    <row r="128" spans="1:39" s="155" customFormat="1" ht="12" hidden="1" x14ac:dyDescent="0.2">
      <c r="A128" s="168">
        <v>74</v>
      </c>
      <c r="B128" s="480"/>
      <c r="C128" s="481"/>
      <c r="D128" s="432">
        <f t="shared" si="16"/>
        <v>0</v>
      </c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32">
        <f t="shared" si="13"/>
        <v>0</v>
      </c>
      <c r="Q128" s="431"/>
      <c r="R128" s="431"/>
      <c r="S128" s="431"/>
      <c r="T128" s="431"/>
      <c r="U128" s="431"/>
      <c r="V128" s="431"/>
      <c r="W128" s="431"/>
      <c r="X128" s="431"/>
      <c r="Y128" s="431"/>
      <c r="Z128" s="468"/>
      <c r="AA128" s="431"/>
      <c r="AB128" s="431"/>
      <c r="AC128" s="468"/>
      <c r="AD128" s="431"/>
      <c r="AE128" s="431"/>
      <c r="AF128" s="431"/>
      <c r="AG128" s="431"/>
      <c r="AH128" s="431"/>
      <c r="AI128" s="468"/>
      <c r="AJ128" s="468"/>
      <c r="AK128" s="431"/>
      <c r="AL128" s="431"/>
      <c r="AM128" s="431"/>
    </row>
    <row r="129" spans="1:39" s="155" customFormat="1" ht="12" hidden="1" x14ac:dyDescent="0.2">
      <c r="A129" s="168">
        <v>75</v>
      </c>
      <c r="B129" s="480"/>
      <c r="C129" s="481"/>
      <c r="D129" s="432">
        <f t="shared" si="16"/>
        <v>0</v>
      </c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32">
        <f t="shared" si="13"/>
        <v>0</v>
      </c>
      <c r="Q129" s="431"/>
      <c r="R129" s="431"/>
      <c r="S129" s="431"/>
      <c r="T129" s="431"/>
      <c r="U129" s="431"/>
      <c r="V129" s="431"/>
      <c r="W129" s="431"/>
      <c r="X129" s="431"/>
      <c r="Y129" s="431"/>
      <c r="Z129" s="468"/>
      <c r="AA129" s="431"/>
      <c r="AB129" s="431"/>
      <c r="AC129" s="468"/>
      <c r="AD129" s="431"/>
      <c r="AE129" s="431"/>
      <c r="AF129" s="431"/>
      <c r="AG129" s="431"/>
      <c r="AH129" s="431"/>
      <c r="AI129" s="468"/>
      <c r="AJ129" s="468"/>
      <c r="AK129" s="431"/>
      <c r="AL129" s="431"/>
      <c r="AM129" s="431"/>
    </row>
    <row r="130" spans="1:39" s="155" customFormat="1" ht="12" hidden="1" x14ac:dyDescent="0.2">
      <c r="A130" s="168">
        <v>76</v>
      </c>
      <c r="B130" s="480"/>
      <c r="C130" s="481"/>
      <c r="D130" s="432">
        <f t="shared" si="16"/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32">
        <f t="shared" si="13"/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</row>
    <row r="131" spans="1:39" s="155" customFormat="1" ht="12" hidden="1" x14ac:dyDescent="0.2">
      <c r="A131" s="168">
        <v>77</v>
      </c>
      <c r="B131" s="480"/>
      <c r="C131" s="481"/>
      <c r="D131" s="432">
        <f t="shared" si="16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2">
        <f t="shared" si="13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</row>
    <row r="132" spans="1:39" s="155" customFormat="1" ht="12" hidden="1" x14ac:dyDescent="0.2">
      <c r="A132" s="168">
        <v>78</v>
      </c>
      <c r="B132" s="480"/>
      <c r="C132" s="481"/>
      <c r="D132" s="432">
        <f t="shared" si="16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2">
        <f t="shared" si="13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</row>
    <row r="133" spans="1:39" s="155" customFormat="1" ht="12" hidden="1" x14ac:dyDescent="0.2">
      <c r="A133" s="168">
        <v>79</v>
      </c>
      <c r="B133" s="480"/>
      <c r="C133" s="481"/>
      <c r="D133" s="432">
        <f t="shared" si="16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si="13"/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155" customFormat="1" ht="12" hidden="1" x14ac:dyDescent="0.2">
      <c r="A134" s="168">
        <v>80</v>
      </c>
      <c r="B134" s="480"/>
      <c r="C134" s="481"/>
      <c r="D134" s="432">
        <f t="shared" si="16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si="13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155" customFormat="1" ht="12" hidden="1" x14ac:dyDescent="0.2">
      <c r="A135" s="168">
        <v>81</v>
      </c>
      <c r="B135" s="480"/>
      <c r="C135" s="481"/>
      <c r="D135" s="432">
        <f t="shared" si="16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13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155" customFormat="1" ht="12" hidden="1" x14ac:dyDescent="0.2">
      <c r="A136" s="168">
        <v>82</v>
      </c>
      <c r="B136" s="480"/>
      <c r="C136" s="481"/>
      <c r="D136" s="432">
        <f t="shared" si="16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13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155" customFormat="1" ht="12" hidden="1" x14ac:dyDescent="0.2">
      <c r="A137" s="168">
        <v>83</v>
      </c>
      <c r="B137" s="480"/>
      <c r="C137" s="481"/>
      <c r="D137" s="432">
        <f t="shared" si="16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13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68"/>
      <c r="C138" s="172"/>
      <c r="D138" s="432">
        <f t="shared" si="16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3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68"/>
      <c r="C139" s="172"/>
      <c r="D139" s="432">
        <f t="shared" si="16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3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68"/>
      <c r="C140" s="172"/>
      <c r="D140" s="432">
        <f t="shared" si="16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3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173"/>
      <c r="D141" s="432">
        <f t="shared" si="16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3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6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3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6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pane xSplit="3" ySplit="13" topLeftCell="D14" activePane="bottomRight" state="frozen"/>
      <selection activeCell="L9" sqref="L9:L11"/>
      <selection pane="topRight" activeCell="L9" sqref="L9:L11"/>
      <selection pane="bottomLeft" activeCell="L9" sqref="L9:L11"/>
      <selection pane="bottomRight"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947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1751840131</v>
      </c>
      <c r="E14" s="432">
        <f>SUM(E15,E16,E33,E54)</f>
        <v>757702615</v>
      </c>
      <c r="F14" s="432">
        <f t="shared" ref="F14:O14" si="0">SUM(F15,F16,F33,F54)</f>
        <v>377996666</v>
      </c>
      <c r="G14" s="432">
        <f t="shared" si="0"/>
        <v>131942244</v>
      </c>
      <c r="H14" s="432">
        <f t="shared" si="0"/>
        <v>71929898</v>
      </c>
      <c r="I14" s="432">
        <f t="shared" si="0"/>
        <v>512264612</v>
      </c>
      <c r="J14" s="432">
        <f t="shared" si="0"/>
        <v>20105655</v>
      </c>
      <c r="K14" s="432">
        <f t="shared" si="0"/>
        <v>70033300</v>
      </c>
      <c r="L14" s="432">
        <f t="shared" si="0"/>
        <v>0</v>
      </c>
      <c r="M14" s="432">
        <f t="shared" si="0"/>
        <v>208983402</v>
      </c>
      <c r="N14" s="432">
        <f t="shared" si="0"/>
        <v>99377684</v>
      </c>
      <c r="O14" s="432">
        <f t="shared" si="0"/>
        <v>11442965</v>
      </c>
      <c r="P14" s="432">
        <f>IF(SUM(Q14:AB14)=SUM(AC14:AM14),SUM(Q14:AB14),"  EROARE ART/CAP")</f>
        <v>1687518160</v>
      </c>
      <c r="Q14" s="432">
        <f t="shared" ref="Q14:AM14" si="1">Q15+Q16+Q33+Q54</f>
        <v>620947653</v>
      </c>
      <c r="R14" s="432">
        <f t="shared" si="1"/>
        <v>299152244</v>
      </c>
      <c r="S14" s="432">
        <f t="shared" si="1"/>
        <v>2693485</v>
      </c>
      <c r="T14" s="432">
        <f t="shared" si="1"/>
        <v>41614616</v>
      </c>
      <c r="U14" s="432">
        <f t="shared" si="1"/>
        <v>68753585</v>
      </c>
      <c r="V14" s="432">
        <f t="shared" si="1"/>
        <v>5282593</v>
      </c>
      <c r="W14" s="432">
        <f t="shared" si="1"/>
        <v>223772308</v>
      </c>
      <c r="X14" s="432">
        <f t="shared" si="1"/>
        <v>140666502</v>
      </c>
      <c r="Y14" s="432">
        <f t="shared" si="1"/>
        <v>20028181</v>
      </c>
      <c r="Z14" s="432">
        <f t="shared" si="1"/>
        <v>251146199</v>
      </c>
      <c r="AA14" s="432">
        <f t="shared" si="1"/>
        <v>16525783</v>
      </c>
      <c r="AB14" s="432">
        <f t="shared" si="1"/>
        <v>-3064989</v>
      </c>
      <c r="AC14" s="432">
        <f t="shared" si="1"/>
        <v>162970559</v>
      </c>
      <c r="AD14" s="432">
        <f t="shared" si="1"/>
        <v>18289285</v>
      </c>
      <c r="AE14" s="432">
        <f t="shared" si="1"/>
        <v>563836086</v>
      </c>
      <c r="AF14" s="432">
        <f t="shared" si="1"/>
        <v>29946902</v>
      </c>
      <c r="AG14" s="432">
        <f t="shared" si="1"/>
        <v>121477651</v>
      </c>
      <c r="AH14" s="432">
        <f t="shared" si="1"/>
        <v>222754226</v>
      </c>
      <c r="AI14" s="432">
        <f t="shared" si="1"/>
        <v>190425684</v>
      </c>
      <c r="AJ14" s="432">
        <f t="shared" si="1"/>
        <v>113477332</v>
      </c>
      <c r="AK14" s="432">
        <f t="shared" si="1"/>
        <v>34853391</v>
      </c>
      <c r="AL14" s="432">
        <f t="shared" si="1"/>
        <v>215542493</v>
      </c>
      <c r="AM14" s="432">
        <f t="shared" si="1"/>
        <v>13944551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339749699</v>
      </c>
      <c r="E15" s="431">
        <v>127803807</v>
      </c>
      <c r="F15" s="431">
        <v>80235147</v>
      </c>
      <c r="G15" s="431">
        <v>37286295</v>
      </c>
      <c r="H15" s="431">
        <v>71929898</v>
      </c>
      <c r="I15" s="431">
        <v>0</v>
      </c>
      <c r="J15" s="431">
        <v>2526000</v>
      </c>
      <c r="K15" s="431">
        <v>21464830</v>
      </c>
      <c r="L15" s="431">
        <v>0</v>
      </c>
      <c r="M15" s="431">
        <v>104020574</v>
      </c>
      <c r="N15" s="431">
        <v>11981490</v>
      </c>
      <c r="O15" s="431">
        <v>23100</v>
      </c>
      <c r="P15" s="432">
        <f t="shared" ref="P15:P78" si="2">IF(SUM(Q15:AB15)=SUM(AC15:AM15),SUM(Q15:AB15),"  EROARE ART/CAP")</f>
        <v>347222160</v>
      </c>
      <c r="Q15" s="431">
        <v>54721850</v>
      </c>
      <c r="R15" s="431">
        <v>37237112</v>
      </c>
      <c r="S15" s="431">
        <v>1416065</v>
      </c>
      <c r="T15" s="431">
        <v>0</v>
      </c>
      <c r="U15" s="431">
        <v>47519921</v>
      </c>
      <c r="V15" s="431">
        <v>729806</v>
      </c>
      <c r="W15" s="431">
        <v>66292291</v>
      </c>
      <c r="X15" s="431">
        <v>103649775</v>
      </c>
      <c r="Y15" s="431">
        <v>6236260</v>
      </c>
      <c r="Z15" s="431">
        <v>21092364</v>
      </c>
      <c r="AA15" s="431">
        <v>8624704</v>
      </c>
      <c r="AB15" s="431">
        <v>-297988</v>
      </c>
      <c r="AC15" s="431">
        <v>29754831</v>
      </c>
      <c r="AD15" s="431">
        <v>1231344</v>
      </c>
      <c r="AE15" s="431">
        <v>30943157</v>
      </c>
      <c r="AF15" s="431">
        <v>14862103</v>
      </c>
      <c r="AG15" s="431">
        <v>28615695</v>
      </c>
      <c r="AH15" s="431">
        <v>150416662</v>
      </c>
      <c r="AI15" s="431">
        <v>1475748</v>
      </c>
      <c r="AJ15" s="431">
        <v>51605812</v>
      </c>
      <c r="AK15" s="431">
        <v>0</v>
      </c>
      <c r="AL15" s="431">
        <v>29980195</v>
      </c>
      <c r="AM15" s="431">
        <v>8336613</v>
      </c>
    </row>
    <row r="16" spans="1:39" s="155" customFormat="1" ht="12" x14ac:dyDescent="0.2">
      <c r="A16" s="156" t="s">
        <v>72</v>
      </c>
      <c r="B16" s="157"/>
      <c r="C16" s="159"/>
      <c r="D16" s="432">
        <f>E16+SUM(H16:O16)</f>
        <v>612535493</v>
      </c>
      <c r="E16" s="433">
        <f>SUM(E18:E32)</f>
        <v>270776642</v>
      </c>
      <c r="F16" s="433">
        <f t="shared" ref="F16:O16" si="3">SUM(F18:F32)</f>
        <v>157481340</v>
      </c>
      <c r="G16" s="433">
        <f t="shared" si="3"/>
        <v>5318899</v>
      </c>
      <c r="H16" s="433">
        <f t="shared" si="3"/>
        <v>0</v>
      </c>
      <c r="I16" s="433">
        <f t="shared" si="3"/>
        <v>253843165</v>
      </c>
      <c r="J16" s="433">
        <f t="shared" si="3"/>
        <v>200000</v>
      </c>
      <c r="K16" s="433">
        <f t="shared" si="3"/>
        <v>4231310</v>
      </c>
      <c r="L16" s="433">
        <f t="shared" si="3"/>
        <v>0</v>
      </c>
      <c r="M16" s="433">
        <f t="shared" si="3"/>
        <v>26970790</v>
      </c>
      <c r="N16" s="433">
        <f t="shared" si="3"/>
        <v>55093260</v>
      </c>
      <c r="O16" s="433">
        <f t="shared" si="3"/>
        <v>1420326</v>
      </c>
      <c r="P16" s="432">
        <f t="shared" si="2"/>
        <v>592616819</v>
      </c>
      <c r="Q16" s="432">
        <f>SUM(Q18:Q32)</f>
        <v>265551381</v>
      </c>
      <c r="R16" s="432">
        <f t="shared" ref="R16:AM16" si="4">SUM(R18:R32)</f>
        <v>112784619</v>
      </c>
      <c r="S16" s="432">
        <f t="shared" si="4"/>
        <v>250435</v>
      </c>
      <c r="T16" s="432">
        <f t="shared" si="4"/>
        <v>41372977</v>
      </c>
      <c r="U16" s="432">
        <f t="shared" si="4"/>
        <v>14410984</v>
      </c>
      <c r="V16" s="432">
        <f t="shared" si="4"/>
        <v>3012272</v>
      </c>
      <c r="W16" s="432">
        <f t="shared" si="4"/>
        <v>96067305</v>
      </c>
      <c r="X16" s="432">
        <f t="shared" si="4"/>
        <v>13413199</v>
      </c>
      <c r="Y16" s="432">
        <f t="shared" si="4"/>
        <v>1891199</v>
      </c>
      <c r="Z16" s="432">
        <f t="shared" si="4"/>
        <v>42732863</v>
      </c>
      <c r="AA16" s="432">
        <f t="shared" si="4"/>
        <v>1806356</v>
      </c>
      <c r="AB16" s="432">
        <f t="shared" si="4"/>
        <v>-676771</v>
      </c>
      <c r="AC16" s="432">
        <f t="shared" si="4"/>
        <v>25475592</v>
      </c>
      <c r="AD16" s="432">
        <f t="shared" si="4"/>
        <v>8438847</v>
      </c>
      <c r="AE16" s="432">
        <f t="shared" si="4"/>
        <v>269470453</v>
      </c>
      <c r="AF16" s="432">
        <f t="shared" si="4"/>
        <v>6197099</v>
      </c>
      <c r="AG16" s="432">
        <f t="shared" si="4"/>
        <v>37471889</v>
      </c>
      <c r="AH16" s="432">
        <f t="shared" si="4"/>
        <v>23633718</v>
      </c>
      <c r="AI16" s="432">
        <f t="shared" si="4"/>
        <v>102887365</v>
      </c>
      <c r="AJ16" s="432">
        <f t="shared" si="4"/>
        <v>15084947</v>
      </c>
      <c r="AK16" s="432">
        <f t="shared" si="4"/>
        <v>33672062</v>
      </c>
      <c r="AL16" s="432">
        <f t="shared" si="4"/>
        <v>69733180</v>
      </c>
      <c r="AM16" s="432">
        <f t="shared" si="4"/>
        <v>551667</v>
      </c>
    </row>
    <row r="17" spans="1:39" s="155" customFormat="1" ht="22.5" x14ac:dyDescent="0.2">
      <c r="A17" s="277" t="s">
        <v>2306</v>
      </c>
      <c r="B17" s="279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146">
        <v>1</v>
      </c>
      <c r="B18" s="310">
        <v>13169</v>
      </c>
      <c r="C18" s="495" t="s">
        <v>2384</v>
      </c>
      <c r="D18" s="432">
        <f>E18+SUM(H18:O18)</f>
        <v>456560609</v>
      </c>
      <c r="E18" s="431">
        <v>217584871</v>
      </c>
      <c r="F18" s="431">
        <v>128246604</v>
      </c>
      <c r="G18" s="431">
        <v>3057245</v>
      </c>
      <c r="H18" s="431">
        <v>0</v>
      </c>
      <c r="I18" s="431">
        <v>169761581</v>
      </c>
      <c r="J18" s="431">
        <v>0</v>
      </c>
      <c r="K18" s="431">
        <v>1128610</v>
      </c>
      <c r="L18" s="431">
        <v>0</v>
      </c>
      <c r="M18" s="431">
        <v>21033128</v>
      </c>
      <c r="N18" s="431">
        <v>47048419</v>
      </c>
      <c r="O18" s="431">
        <v>4000</v>
      </c>
      <c r="P18" s="432">
        <f t="shared" si="2"/>
        <v>445650542</v>
      </c>
      <c r="Q18" s="431">
        <v>177909004</v>
      </c>
      <c r="R18" s="431">
        <v>90351983</v>
      </c>
      <c r="S18" s="431">
        <v>67281</v>
      </c>
      <c r="T18" s="431">
        <v>41372977</v>
      </c>
      <c r="U18" s="431">
        <v>9366546</v>
      </c>
      <c r="V18" s="431">
        <v>2567217</v>
      </c>
      <c r="W18" s="431">
        <v>80665416</v>
      </c>
      <c r="X18" s="431">
        <v>9992641</v>
      </c>
      <c r="Y18" s="431">
        <v>1527794</v>
      </c>
      <c r="Z18" s="431">
        <v>30770357</v>
      </c>
      <c r="AA18" s="431">
        <v>1555556</v>
      </c>
      <c r="AB18" s="431">
        <v>-496230</v>
      </c>
      <c r="AC18" s="431">
        <v>18369641</v>
      </c>
      <c r="AD18" s="431">
        <v>7536370</v>
      </c>
      <c r="AE18" s="431">
        <v>183157132</v>
      </c>
      <c r="AF18" s="431">
        <v>2865731</v>
      </c>
      <c r="AG18" s="431">
        <v>31381377</v>
      </c>
      <c r="AH18" s="431">
        <v>17529540</v>
      </c>
      <c r="AI18" s="431">
        <v>81179323</v>
      </c>
      <c r="AJ18" s="431">
        <v>12074337</v>
      </c>
      <c r="AK18" s="431">
        <v>33672062</v>
      </c>
      <c r="AL18" s="431">
        <v>57348879</v>
      </c>
      <c r="AM18" s="431">
        <v>536150</v>
      </c>
    </row>
    <row r="19" spans="1:39" s="155" customFormat="1" ht="12" x14ac:dyDescent="0.2">
      <c r="A19" s="146">
        <v>2</v>
      </c>
      <c r="B19" s="310">
        <v>13490</v>
      </c>
      <c r="C19" s="495" t="s">
        <v>2385</v>
      </c>
      <c r="D19" s="432">
        <f>E19+SUM(H19:O19)</f>
        <v>73402414</v>
      </c>
      <c r="E19" s="431">
        <v>26678722</v>
      </c>
      <c r="F19" s="431">
        <v>13951895</v>
      </c>
      <c r="G19" s="431">
        <v>1496420</v>
      </c>
      <c r="H19" s="431">
        <v>0</v>
      </c>
      <c r="I19" s="431">
        <v>39928113</v>
      </c>
      <c r="J19" s="431">
        <v>200000</v>
      </c>
      <c r="K19" s="431">
        <v>2444720</v>
      </c>
      <c r="L19" s="431">
        <v>0</v>
      </c>
      <c r="M19" s="431">
        <v>2279930</v>
      </c>
      <c r="N19" s="431">
        <v>1741001</v>
      </c>
      <c r="O19" s="431">
        <v>129928</v>
      </c>
      <c r="P19" s="432">
        <f t="shared" si="2"/>
        <v>66527743</v>
      </c>
      <c r="Q19" s="431">
        <v>41538245</v>
      </c>
      <c r="R19" s="431">
        <v>10816703</v>
      </c>
      <c r="S19" s="431">
        <v>183154</v>
      </c>
      <c r="T19" s="431">
        <v>0</v>
      </c>
      <c r="U19" s="431">
        <v>2627930</v>
      </c>
      <c r="V19" s="431">
        <v>408927</v>
      </c>
      <c r="W19" s="431">
        <v>1590046</v>
      </c>
      <c r="X19" s="431">
        <v>1915963</v>
      </c>
      <c r="Y19" s="431">
        <v>349183</v>
      </c>
      <c r="Z19" s="431">
        <v>6969614</v>
      </c>
      <c r="AA19" s="431">
        <v>250800</v>
      </c>
      <c r="AB19" s="431">
        <v>-122822</v>
      </c>
      <c r="AC19" s="431">
        <v>3984887</v>
      </c>
      <c r="AD19" s="431">
        <v>847995</v>
      </c>
      <c r="AE19" s="431">
        <v>42502386</v>
      </c>
      <c r="AF19" s="431">
        <v>2146418</v>
      </c>
      <c r="AG19" s="431">
        <v>3291408</v>
      </c>
      <c r="AH19" s="431">
        <v>2923106</v>
      </c>
      <c r="AI19" s="431">
        <v>1815065</v>
      </c>
      <c r="AJ19" s="431">
        <v>1278342</v>
      </c>
      <c r="AK19" s="431">
        <v>0</v>
      </c>
      <c r="AL19" s="431">
        <v>7722619</v>
      </c>
      <c r="AM19" s="431">
        <v>15517</v>
      </c>
    </row>
    <row r="20" spans="1:39" s="155" customFormat="1" ht="12" x14ac:dyDescent="0.2">
      <c r="A20" s="146">
        <v>3</v>
      </c>
      <c r="B20" s="310">
        <v>13622</v>
      </c>
      <c r="C20" s="495" t="s">
        <v>2386</v>
      </c>
      <c r="D20" s="432">
        <f>E20+SUM(H20:O20)</f>
        <v>82572470</v>
      </c>
      <c r="E20" s="431">
        <v>26513049</v>
      </c>
      <c r="F20" s="431">
        <v>15282841</v>
      </c>
      <c r="G20" s="431">
        <v>765234</v>
      </c>
      <c r="H20" s="431">
        <v>0</v>
      </c>
      <c r="I20" s="431">
        <v>44153471</v>
      </c>
      <c r="J20" s="431">
        <v>0</v>
      </c>
      <c r="K20" s="431">
        <v>657980</v>
      </c>
      <c r="L20" s="431">
        <v>0</v>
      </c>
      <c r="M20" s="431">
        <v>3657732</v>
      </c>
      <c r="N20" s="431">
        <v>6303840</v>
      </c>
      <c r="O20" s="431">
        <v>1286398</v>
      </c>
      <c r="P20" s="432">
        <f t="shared" si="2"/>
        <v>80438534</v>
      </c>
      <c r="Q20" s="431">
        <v>46104132</v>
      </c>
      <c r="R20" s="431">
        <v>11615933</v>
      </c>
      <c r="S20" s="431">
        <v>0</v>
      </c>
      <c r="T20" s="431">
        <v>0</v>
      </c>
      <c r="U20" s="431">
        <v>2416508</v>
      </c>
      <c r="V20" s="431">
        <v>36128</v>
      </c>
      <c r="W20" s="431">
        <v>13811843</v>
      </c>
      <c r="X20" s="431">
        <v>1504595</v>
      </c>
      <c r="Y20" s="431">
        <v>14222</v>
      </c>
      <c r="Z20" s="431">
        <v>4992892</v>
      </c>
      <c r="AA20" s="431">
        <v>0</v>
      </c>
      <c r="AB20" s="431">
        <v>-57719</v>
      </c>
      <c r="AC20" s="431">
        <v>3121064</v>
      </c>
      <c r="AD20" s="431">
        <v>54482</v>
      </c>
      <c r="AE20" s="431">
        <v>43810935</v>
      </c>
      <c r="AF20" s="431">
        <v>1184950</v>
      </c>
      <c r="AG20" s="431">
        <v>2799104</v>
      </c>
      <c r="AH20" s="431">
        <v>3181072</v>
      </c>
      <c r="AI20" s="431">
        <v>19892977</v>
      </c>
      <c r="AJ20" s="431">
        <v>1732268</v>
      </c>
      <c r="AK20" s="431">
        <v>0</v>
      </c>
      <c r="AL20" s="431">
        <v>4661682</v>
      </c>
      <c r="AM20" s="431">
        <v>0</v>
      </c>
    </row>
    <row r="21" spans="1:39" s="155" customFormat="1" ht="12" hidden="1" x14ac:dyDescent="0.2">
      <c r="A21" s="146">
        <v>4</v>
      </c>
      <c r="B21" s="146"/>
      <c r="C21" s="206"/>
      <c r="D21" s="432">
        <f t="shared" ref="D21:D41" si="5">E21+SUM(H21:O21)</f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2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146">
        <v>5</v>
      </c>
      <c r="B22" s="146"/>
      <c r="C22" s="206"/>
      <c r="D22" s="432">
        <f t="shared" si="5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2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146"/>
      <c r="C23" s="206"/>
      <c r="D23" s="432">
        <f t="shared" si="5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2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46"/>
      <c r="C24" s="206"/>
      <c r="D24" s="432">
        <f t="shared" si="5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2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46"/>
      <c r="C25" s="206"/>
      <c r="D25" s="432">
        <f t="shared" si="5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2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46"/>
      <c r="C26" s="206"/>
      <c r="D26" s="432">
        <f t="shared" si="5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2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46"/>
      <c r="C27" s="206"/>
      <c r="D27" s="432">
        <f t="shared" si="5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2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46"/>
      <c r="C28" s="206"/>
      <c r="D28" s="432">
        <f t="shared" si="5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2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46"/>
      <c r="C29" s="206"/>
      <c r="D29" s="432">
        <f t="shared" si="5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2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46"/>
      <c r="C30" s="206"/>
      <c r="D30" s="432">
        <f t="shared" si="5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2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46"/>
      <c r="C31" s="206"/>
      <c r="D31" s="432">
        <f t="shared" si="5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2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46"/>
      <c r="C32" s="207"/>
      <c r="D32" s="432">
        <f t="shared" si="5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2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4"/>
      <c r="C33" s="208"/>
      <c r="D33" s="432">
        <f t="shared" si="5"/>
        <v>187111937</v>
      </c>
      <c r="E33" s="432">
        <f>SUM(E34:E53)</f>
        <v>123892970</v>
      </c>
      <c r="F33" s="432">
        <f t="shared" ref="F33:O33" si="6">SUM(F34:F53)</f>
        <v>78758560</v>
      </c>
      <c r="G33" s="432">
        <f t="shared" si="6"/>
        <v>3268132</v>
      </c>
      <c r="H33" s="432">
        <f t="shared" si="6"/>
        <v>0</v>
      </c>
      <c r="I33" s="432">
        <f t="shared" si="6"/>
        <v>52867760</v>
      </c>
      <c r="J33" s="432">
        <f t="shared" si="6"/>
        <v>0</v>
      </c>
      <c r="K33" s="432">
        <f t="shared" si="6"/>
        <v>2779280</v>
      </c>
      <c r="L33" s="432">
        <f t="shared" si="6"/>
        <v>0</v>
      </c>
      <c r="M33" s="432">
        <f t="shared" si="6"/>
        <v>4428277</v>
      </c>
      <c r="N33" s="432">
        <f t="shared" si="6"/>
        <v>3031555</v>
      </c>
      <c r="O33" s="432">
        <f t="shared" si="6"/>
        <v>112095</v>
      </c>
      <c r="P33" s="432">
        <f t="shared" si="2"/>
        <v>166689953</v>
      </c>
      <c r="Q33" s="432">
        <f>SUM(Q34:Q53)</f>
        <v>58735559</v>
      </c>
      <c r="R33" s="432">
        <f t="shared" ref="R33:AM33" si="7">SUM(R34:R53)</f>
        <v>42348577</v>
      </c>
      <c r="S33" s="432">
        <f t="shared" si="7"/>
        <v>95394</v>
      </c>
      <c r="T33" s="432">
        <f t="shared" si="7"/>
        <v>0</v>
      </c>
      <c r="U33" s="432">
        <f t="shared" si="7"/>
        <v>5649638</v>
      </c>
      <c r="V33" s="432">
        <f t="shared" si="7"/>
        <v>223610</v>
      </c>
      <c r="W33" s="432">
        <f t="shared" si="7"/>
        <v>10411372</v>
      </c>
      <c r="X33" s="432">
        <f t="shared" si="7"/>
        <v>2554628</v>
      </c>
      <c r="Y33" s="432">
        <f t="shared" si="7"/>
        <v>8910230</v>
      </c>
      <c r="Z33" s="432">
        <f t="shared" si="7"/>
        <v>36924698</v>
      </c>
      <c r="AA33" s="432">
        <f t="shared" si="7"/>
        <v>1137838</v>
      </c>
      <c r="AB33" s="432">
        <f t="shared" si="7"/>
        <v>-301591</v>
      </c>
      <c r="AC33" s="432">
        <f t="shared" si="7"/>
        <v>14900612</v>
      </c>
      <c r="AD33" s="432">
        <f t="shared" si="7"/>
        <v>2345428</v>
      </c>
      <c r="AE33" s="432">
        <f t="shared" si="7"/>
        <v>55243337</v>
      </c>
      <c r="AF33" s="432">
        <f t="shared" si="7"/>
        <v>6948577</v>
      </c>
      <c r="AG33" s="432">
        <f t="shared" si="7"/>
        <v>30279128</v>
      </c>
      <c r="AH33" s="432">
        <f t="shared" si="7"/>
        <v>6961318</v>
      </c>
      <c r="AI33" s="432">
        <f t="shared" si="7"/>
        <v>21119241</v>
      </c>
      <c r="AJ33" s="432">
        <f t="shared" si="7"/>
        <v>9680386</v>
      </c>
      <c r="AK33" s="432">
        <f t="shared" si="7"/>
        <v>672431</v>
      </c>
      <c r="AL33" s="432">
        <f t="shared" si="7"/>
        <v>17699477</v>
      </c>
      <c r="AM33" s="432">
        <f t="shared" si="7"/>
        <v>840018</v>
      </c>
    </row>
    <row r="34" spans="1:39" s="155" customFormat="1" ht="12" x14ac:dyDescent="0.2">
      <c r="A34" s="146">
        <v>1</v>
      </c>
      <c r="B34" s="482">
        <v>13301</v>
      </c>
      <c r="C34" s="483" t="s">
        <v>2387</v>
      </c>
      <c r="D34" s="432">
        <f>E34+SUM(H34:O34)</f>
        <v>120443256</v>
      </c>
      <c r="E34" s="431">
        <v>94989066</v>
      </c>
      <c r="F34" s="431">
        <v>65036485</v>
      </c>
      <c r="G34" s="431">
        <v>779881</v>
      </c>
      <c r="H34" s="431">
        <v>0</v>
      </c>
      <c r="I34" s="431">
        <v>24124000</v>
      </c>
      <c r="J34" s="431">
        <v>0</v>
      </c>
      <c r="K34" s="431">
        <v>281220</v>
      </c>
      <c r="L34" s="431">
        <v>0</v>
      </c>
      <c r="M34" s="431">
        <v>832542</v>
      </c>
      <c r="N34" s="431">
        <v>128135</v>
      </c>
      <c r="O34" s="431">
        <v>88293</v>
      </c>
      <c r="P34" s="432">
        <f t="shared" si="2"/>
        <v>101313860</v>
      </c>
      <c r="Q34" s="431">
        <v>26910960</v>
      </c>
      <c r="R34" s="431">
        <v>32975468</v>
      </c>
      <c r="S34" s="431">
        <v>0</v>
      </c>
      <c r="T34" s="431">
        <v>0</v>
      </c>
      <c r="U34" s="431">
        <v>5081379</v>
      </c>
      <c r="V34" s="431">
        <v>0</v>
      </c>
      <c r="W34" s="431">
        <v>3350714</v>
      </c>
      <c r="X34" s="431">
        <v>652099</v>
      </c>
      <c r="Y34" s="431">
        <v>8567662</v>
      </c>
      <c r="Z34" s="431">
        <v>23934388</v>
      </c>
      <c r="AA34" s="431">
        <v>0</v>
      </c>
      <c r="AB34" s="431">
        <v>-158810</v>
      </c>
      <c r="AC34" s="431">
        <v>6013713</v>
      </c>
      <c r="AD34" s="431">
        <v>2293914</v>
      </c>
      <c r="AE34" s="431">
        <v>26850450</v>
      </c>
      <c r="AF34" s="431">
        <v>6748536</v>
      </c>
      <c r="AG34" s="431">
        <v>25638382</v>
      </c>
      <c r="AH34" s="431">
        <v>3464798</v>
      </c>
      <c r="AI34" s="431">
        <v>12229400</v>
      </c>
      <c r="AJ34" s="431">
        <v>8473804</v>
      </c>
      <c r="AK34" s="431">
        <v>0</v>
      </c>
      <c r="AL34" s="431">
        <v>9600863</v>
      </c>
      <c r="AM34" s="431">
        <v>0</v>
      </c>
    </row>
    <row r="35" spans="1:39" s="155" customFormat="1" ht="12" x14ac:dyDescent="0.2">
      <c r="A35" s="146">
        <v>2</v>
      </c>
      <c r="B35" s="484">
        <v>13668</v>
      </c>
      <c r="C35" s="485" t="s">
        <v>2388</v>
      </c>
      <c r="D35" s="432">
        <f>E35+SUM(H35:O35)</f>
        <v>22569464</v>
      </c>
      <c r="E35" s="431">
        <v>7063785</v>
      </c>
      <c r="F35" s="431">
        <v>3464405</v>
      </c>
      <c r="G35" s="431">
        <v>1074387</v>
      </c>
      <c r="H35" s="431">
        <v>0</v>
      </c>
      <c r="I35" s="431">
        <v>12442218</v>
      </c>
      <c r="J35" s="431">
        <v>0</v>
      </c>
      <c r="K35" s="431">
        <v>608440</v>
      </c>
      <c r="L35" s="431">
        <v>0</v>
      </c>
      <c r="M35" s="431">
        <v>950789</v>
      </c>
      <c r="N35" s="431">
        <v>1501834</v>
      </c>
      <c r="O35" s="431">
        <v>2398</v>
      </c>
      <c r="P35" s="432">
        <f t="shared" si="2"/>
        <v>22942751</v>
      </c>
      <c r="Q35" s="431">
        <v>13172280</v>
      </c>
      <c r="R35" s="431">
        <v>2652023</v>
      </c>
      <c r="S35" s="431">
        <v>359</v>
      </c>
      <c r="T35" s="431">
        <v>0</v>
      </c>
      <c r="U35" s="431">
        <v>0</v>
      </c>
      <c r="V35" s="431">
        <v>10000</v>
      </c>
      <c r="W35" s="431">
        <v>3584408</v>
      </c>
      <c r="X35" s="431">
        <v>491998</v>
      </c>
      <c r="Y35" s="431">
        <v>103895</v>
      </c>
      <c r="Z35" s="431">
        <v>2955724</v>
      </c>
      <c r="AA35" s="431">
        <v>15838</v>
      </c>
      <c r="AB35" s="431">
        <v>-43774</v>
      </c>
      <c r="AC35" s="431">
        <v>2017440</v>
      </c>
      <c r="AD35" s="431">
        <v>21199</v>
      </c>
      <c r="AE35" s="431">
        <v>13397215</v>
      </c>
      <c r="AF35" s="431">
        <v>88772</v>
      </c>
      <c r="AG35" s="431">
        <v>877457</v>
      </c>
      <c r="AH35" s="431">
        <v>1046219</v>
      </c>
      <c r="AI35" s="431">
        <v>1862002</v>
      </c>
      <c r="AJ35" s="431">
        <v>137660</v>
      </c>
      <c r="AK35" s="431">
        <v>0</v>
      </c>
      <c r="AL35" s="431">
        <v>3494787</v>
      </c>
      <c r="AM35" s="431">
        <v>0</v>
      </c>
    </row>
    <row r="36" spans="1:39" s="155" customFormat="1" ht="12" x14ac:dyDescent="0.2">
      <c r="A36" s="146">
        <v>3</v>
      </c>
      <c r="B36" s="484">
        <v>13757</v>
      </c>
      <c r="C36" s="485" t="s">
        <v>2389</v>
      </c>
      <c r="D36" s="432">
        <f>E36+SUM(H36:O36)</f>
        <v>21794205</v>
      </c>
      <c r="E36" s="431">
        <v>8724591</v>
      </c>
      <c r="F36" s="431">
        <v>4140592</v>
      </c>
      <c r="G36" s="431">
        <v>891570</v>
      </c>
      <c r="H36" s="431">
        <v>0</v>
      </c>
      <c r="I36" s="431">
        <v>7860417</v>
      </c>
      <c r="J36" s="431">
        <v>0</v>
      </c>
      <c r="K36" s="431">
        <v>1374920</v>
      </c>
      <c r="L36" s="431">
        <v>0</v>
      </c>
      <c r="M36" s="431">
        <v>2554846</v>
      </c>
      <c r="N36" s="431">
        <v>1258027</v>
      </c>
      <c r="O36" s="431">
        <v>21404</v>
      </c>
      <c r="P36" s="432">
        <f t="shared" si="2"/>
        <v>22554306</v>
      </c>
      <c r="Q36" s="431">
        <v>9100099</v>
      </c>
      <c r="R36" s="431">
        <v>3095509</v>
      </c>
      <c r="S36" s="431">
        <v>95035</v>
      </c>
      <c r="T36" s="431">
        <v>0</v>
      </c>
      <c r="U36" s="431">
        <v>568259</v>
      </c>
      <c r="V36" s="431">
        <v>213610</v>
      </c>
      <c r="W36" s="431">
        <v>2971995</v>
      </c>
      <c r="X36" s="431">
        <v>670842</v>
      </c>
      <c r="Y36" s="431">
        <v>154255</v>
      </c>
      <c r="Z36" s="431">
        <v>4598850</v>
      </c>
      <c r="AA36" s="431">
        <v>1122000</v>
      </c>
      <c r="AB36" s="431">
        <v>-36148</v>
      </c>
      <c r="AC36" s="431">
        <v>4816245</v>
      </c>
      <c r="AD36" s="431">
        <v>28769</v>
      </c>
      <c r="AE36" s="431">
        <v>7420619</v>
      </c>
      <c r="AF36" s="431">
        <v>39915</v>
      </c>
      <c r="AG36" s="431">
        <v>3254829</v>
      </c>
      <c r="AH36" s="431">
        <v>1083291</v>
      </c>
      <c r="AI36" s="431">
        <v>3724970</v>
      </c>
      <c r="AJ36" s="431">
        <v>112879</v>
      </c>
      <c r="AK36" s="431">
        <v>672431</v>
      </c>
      <c r="AL36" s="431">
        <v>1332066</v>
      </c>
      <c r="AM36" s="431">
        <v>68292</v>
      </c>
    </row>
    <row r="37" spans="1:39" s="155" customFormat="1" ht="12" x14ac:dyDescent="0.2">
      <c r="A37" s="146">
        <v>4</v>
      </c>
      <c r="B37" s="486">
        <v>13392</v>
      </c>
      <c r="C37" s="487" t="s">
        <v>2390</v>
      </c>
      <c r="D37" s="432">
        <f>E37+SUM(H37:O37)</f>
        <v>22305012</v>
      </c>
      <c r="E37" s="431">
        <v>13115528</v>
      </c>
      <c r="F37" s="431">
        <v>6117078</v>
      </c>
      <c r="G37" s="431">
        <v>522294</v>
      </c>
      <c r="H37" s="431">
        <v>0</v>
      </c>
      <c r="I37" s="431">
        <v>8441125</v>
      </c>
      <c r="J37" s="431">
        <v>0</v>
      </c>
      <c r="K37" s="431">
        <v>514700</v>
      </c>
      <c r="L37" s="431">
        <v>0</v>
      </c>
      <c r="M37" s="431">
        <v>90100</v>
      </c>
      <c r="N37" s="431">
        <v>143559</v>
      </c>
      <c r="O37" s="431">
        <v>0</v>
      </c>
      <c r="P37" s="432">
        <f t="shared" si="2"/>
        <v>19879036</v>
      </c>
      <c r="Q37" s="431">
        <v>9552220</v>
      </c>
      <c r="R37" s="431">
        <v>3625577</v>
      </c>
      <c r="S37" s="431">
        <v>0</v>
      </c>
      <c r="T37" s="431">
        <v>0</v>
      </c>
      <c r="U37" s="431">
        <v>0</v>
      </c>
      <c r="V37" s="431">
        <v>0</v>
      </c>
      <c r="W37" s="431">
        <v>504255</v>
      </c>
      <c r="X37" s="431">
        <v>739689</v>
      </c>
      <c r="Y37" s="431">
        <v>84418</v>
      </c>
      <c r="Z37" s="431">
        <v>5435736</v>
      </c>
      <c r="AA37" s="431">
        <v>0</v>
      </c>
      <c r="AB37" s="431">
        <v>-62859</v>
      </c>
      <c r="AC37" s="431">
        <v>2053214</v>
      </c>
      <c r="AD37" s="431">
        <v>1546</v>
      </c>
      <c r="AE37" s="431">
        <v>7575053</v>
      </c>
      <c r="AF37" s="431">
        <v>71354</v>
      </c>
      <c r="AG37" s="431">
        <v>508460</v>
      </c>
      <c r="AH37" s="431">
        <v>1367010</v>
      </c>
      <c r="AI37" s="431">
        <v>3302869</v>
      </c>
      <c r="AJ37" s="431">
        <v>956043</v>
      </c>
      <c r="AK37" s="431">
        <v>0</v>
      </c>
      <c r="AL37" s="431">
        <v>3271761</v>
      </c>
      <c r="AM37" s="431">
        <v>771726</v>
      </c>
    </row>
    <row r="38" spans="1:39" s="155" customFormat="1" ht="12" hidden="1" x14ac:dyDescent="0.2">
      <c r="A38" s="146">
        <v>5</v>
      </c>
      <c r="B38" s="478"/>
      <c r="C38" s="481"/>
      <c r="D38" s="432">
        <f t="shared" si="5"/>
        <v>0</v>
      </c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2">
        <f t="shared" si="2"/>
        <v>0</v>
      </c>
      <c r="Q38" s="435"/>
      <c r="R38" s="435"/>
      <c r="S38" s="435"/>
      <c r="T38" s="435"/>
      <c r="U38" s="435"/>
      <c r="V38" s="431"/>
      <c r="W38" s="431"/>
      <c r="X38" s="431"/>
      <c r="Y38" s="431"/>
      <c r="Z38" s="435"/>
      <c r="AA38" s="431"/>
      <c r="AB38" s="431"/>
      <c r="AC38" s="445"/>
      <c r="AD38" s="435"/>
      <c r="AE38" s="435"/>
      <c r="AF38" s="435"/>
      <c r="AG38" s="435"/>
      <c r="AH38" s="435"/>
      <c r="AI38" s="435"/>
      <c r="AJ38" s="435"/>
      <c r="AK38" s="435"/>
      <c r="AL38" s="435"/>
      <c r="AM38" s="435"/>
    </row>
    <row r="39" spans="1:39" s="155" customFormat="1" ht="12" hidden="1" x14ac:dyDescent="0.2">
      <c r="A39" s="146">
        <v>6</v>
      </c>
      <c r="B39" s="478"/>
      <c r="C39" s="481"/>
      <c r="D39" s="432">
        <f t="shared" si="5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2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</row>
    <row r="40" spans="1:39" s="155" customFormat="1" ht="12" hidden="1" x14ac:dyDescent="0.2">
      <c r="A40" s="146">
        <v>7</v>
      </c>
      <c r="B40" s="146"/>
      <c r="C40" s="182"/>
      <c r="D40" s="432">
        <f t="shared" si="5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2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155" customFormat="1" ht="12" hidden="1" x14ac:dyDescent="0.2">
      <c r="A41" s="146">
        <v>8</v>
      </c>
      <c r="B41" s="146"/>
      <c r="C41" s="173"/>
      <c r="D41" s="432">
        <f t="shared" si="5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2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146">
        <v>9</v>
      </c>
      <c r="B42" s="146"/>
      <c r="C42" s="206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2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146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2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46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2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46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2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46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2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46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2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46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2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46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2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46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2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46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2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46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2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46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2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4"/>
      <c r="C54" s="208"/>
      <c r="D54" s="432">
        <f t="shared" ref="D54" si="8">E54+SUM(H54:O54)</f>
        <v>612443002</v>
      </c>
      <c r="E54" s="432">
        <f>SUM(E55:E149)</f>
        <v>235229196</v>
      </c>
      <c r="F54" s="432">
        <f t="shared" ref="F54:AM54" si="9">SUM(F55:F149)</f>
        <v>61521619</v>
      </c>
      <c r="G54" s="432">
        <f t="shared" si="9"/>
        <v>86068918</v>
      </c>
      <c r="H54" s="432">
        <f t="shared" si="9"/>
        <v>0</v>
      </c>
      <c r="I54" s="432">
        <f t="shared" si="9"/>
        <v>205553687</v>
      </c>
      <c r="J54" s="432">
        <f t="shared" si="9"/>
        <v>17379655</v>
      </c>
      <c r="K54" s="432">
        <f t="shared" si="9"/>
        <v>41557880</v>
      </c>
      <c r="L54" s="432">
        <f t="shared" si="9"/>
        <v>0</v>
      </c>
      <c r="M54" s="432">
        <f t="shared" si="9"/>
        <v>73563761</v>
      </c>
      <c r="N54" s="432">
        <f t="shared" si="9"/>
        <v>29271379</v>
      </c>
      <c r="O54" s="432">
        <f t="shared" si="9"/>
        <v>9887444</v>
      </c>
      <c r="P54" s="432">
        <f t="shared" si="2"/>
        <v>580989228</v>
      </c>
      <c r="Q54" s="432">
        <f t="shared" si="9"/>
        <v>241938863</v>
      </c>
      <c r="R54" s="432">
        <f t="shared" si="9"/>
        <v>106781936</v>
      </c>
      <c r="S54" s="432">
        <f t="shared" si="9"/>
        <v>931591</v>
      </c>
      <c r="T54" s="432">
        <f t="shared" si="9"/>
        <v>241639</v>
      </c>
      <c r="U54" s="432">
        <f t="shared" si="9"/>
        <v>1173042</v>
      </c>
      <c r="V54" s="432">
        <f t="shared" si="9"/>
        <v>1316905</v>
      </c>
      <c r="W54" s="432">
        <f t="shared" si="9"/>
        <v>51001340</v>
      </c>
      <c r="X54" s="432">
        <f t="shared" si="9"/>
        <v>21048900</v>
      </c>
      <c r="Y54" s="432">
        <f t="shared" si="9"/>
        <v>2990492</v>
      </c>
      <c r="Z54" s="432">
        <f t="shared" si="9"/>
        <v>150396274</v>
      </c>
      <c r="AA54" s="432">
        <f t="shared" si="9"/>
        <v>4956885</v>
      </c>
      <c r="AB54" s="432">
        <f t="shared" si="9"/>
        <v>-1788639</v>
      </c>
      <c r="AC54" s="432">
        <f t="shared" si="9"/>
        <v>92839524</v>
      </c>
      <c r="AD54" s="432">
        <f t="shared" si="9"/>
        <v>6273666</v>
      </c>
      <c r="AE54" s="432">
        <f t="shared" si="9"/>
        <v>208179139</v>
      </c>
      <c r="AF54" s="432">
        <f t="shared" si="9"/>
        <v>1939123</v>
      </c>
      <c r="AG54" s="432">
        <f t="shared" si="9"/>
        <v>25110939</v>
      </c>
      <c r="AH54" s="432">
        <f t="shared" si="9"/>
        <v>41742528</v>
      </c>
      <c r="AI54" s="432">
        <f t="shared" si="9"/>
        <v>64943330</v>
      </c>
      <c r="AJ54" s="432">
        <f t="shared" si="9"/>
        <v>37106187</v>
      </c>
      <c r="AK54" s="432">
        <f t="shared" si="9"/>
        <v>508898</v>
      </c>
      <c r="AL54" s="432">
        <f t="shared" si="9"/>
        <v>98129641</v>
      </c>
      <c r="AM54" s="432">
        <f t="shared" si="9"/>
        <v>4216253</v>
      </c>
    </row>
    <row r="55" spans="1:39" s="155" customFormat="1" ht="12" x14ac:dyDescent="0.2">
      <c r="A55" s="168">
        <v>1</v>
      </c>
      <c r="B55" s="488">
        <v>13819</v>
      </c>
      <c r="C55" s="489" t="s">
        <v>2391</v>
      </c>
      <c r="D55" s="432">
        <f t="shared" ref="D55:D86" si="10">E55+SUM(H55:O55)</f>
        <v>7099301</v>
      </c>
      <c r="E55" s="431">
        <v>2302002</v>
      </c>
      <c r="F55" s="431">
        <v>357664</v>
      </c>
      <c r="G55" s="431">
        <v>1125624</v>
      </c>
      <c r="H55" s="431">
        <v>0</v>
      </c>
      <c r="I55" s="431">
        <v>3396814</v>
      </c>
      <c r="J55" s="431">
        <v>100000</v>
      </c>
      <c r="K55" s="431">
        <v>1133900</v>
      </c>
      <c r="L55" s="431">
        <v>0</v>
      </c>
      <c r="M55" s="431">
        <v>59063</v>
      </c>
      <c r="N55" s="431">
        <v>94627</v>
      </c>
      <c r="O55" s="431">
        <v>12895</v>
      </c>
      <c r="P55" s="432">
        <f t="shared" si="2"/>
        <v>8832599</v>
      </c>
      <c r="Q55" s="431">
        <v>3980835</v>
      </c>
      <c r="R55" s="431">
        <v>1635511</v>
      </c>
      <c r="S55" s="431">
        <v>37416</v>
      </c>
      <c r="T55" s="431">
        <v>0</v>
      </c>
      <c r="U55" s="431">
        <v>0</v>
      </c>
      <c r="V55" s="431">
        <v>119892</v>
      </c>
      <c r="W55" s="431">
        <v>78139</v>
      </c>
      <c r="X55" s="431">
        <v>280967</v>
      </c>
      <c r="Y55" s="431">
        <v>26000</v>
      </c>
      <c r="Z55" s="431">
        <v>872570</v>
      </c>
      <c r="AA55" s="431">
        <v>1916890</v>
      </c>
      <c r="AB55" s="431">
        <v>-115621</v>
      </c>
      <c r="AC55" s="431">
        <v>1307743</v>
      </c>
      <c r="AD55" s="431">
        <v>31801</v>
      </c>
      <c r="AE55" s="431">
        <v>3113460</v>
      </c>
      <c r="AF55" s="431">
        <v>0</v>
      </c>
      <c r="AG55" s="431">
        <v>204674</v>
      </c>
      <c r="AH55" s="431">
        <v>502732</v>
      </c>
      <c r="AI55" s="431">
        <v>504842</v>
      </c>
      <c r="AJ55" s="431">
        <v>2661760</v>
      </c>
      <c r="AK55" s="431">
        <v>0</v>
      </c>
      <c r="AL55" s="431">
        <v>368389</v>
      </c>
      <c r="AM55" s="431">
        <v>137198</v>
      </c>
    </row>
    <row r="56" spans="1:39" s="155" customFormat="1" ht="12" x14ac:dyDescent="0.2">
      <c r="A56" s="168">
        <v>2</v>
      </c>
      <c r="B56" s="490">
        <v>13891</v>
      </c>
      <c r="C56" s="491" t="s">
        <v>2392</v>
      </c>
      <c r="D56" s="432">
        <f t="shared" si="10"/>
        <v>3163752</v>
      </c>
      <c r="E56" s="431">
        <v>1685770</v>
      </c>
      <c r="F56" s="431">
        <v>103124</v>
      </c>
      <c r="G56" s="431">
        <v>1124343</v>
      </c>
      <c r="H56" s="431">
        <v>0</v>
      </c>
      <c r="I56" s="431">
        <v>1067515</v>
      </c>
      <c r="J56" s="431">
        <v>90000</v>
      </c>
      <c r="K56" s="431">
        <v>118280</v>
      </c>
      <c r="L56" s="431">
        <v>0</v>
      </c>
      <c r="M56" s="431">
        <v>46728</v>
      </c>
      <c r="N56" s="431">
        <v>78119</v>
      </c>
      <c r="O56" s="431">
        <v>77340</v>
      </c>
      <c r="P56" s="432">
        <f t="shared" si="2"/>
        <v>2631220</v>
      </c>
      <c r="Q56" s="431">
        <v>1519548</v>
      </c>
      <c r="R56" s="431">
        <v>603746</v>
      </c>
      <c r="S56" s="431">
        <v>0</v>
      </c>
      <c r="T56" s="431">
        <v>0</v>
      </c>
      <c r="U56" s="431">
        <v>0</v>
      </c>
      <c r="V56" s="431">
        <v>0</v>
      </c>
      <c r="W56" s="431">
        <v>102622</v>
      </c>
      <c r="X56" s="431">
        <v>64436</v>
      </c>
      <c r="Y56" s="431">
        <v>1320</v>
      </c>
      <c r="Z56" s="431">
        <v>343474</v>
      </c>
      <c r="AA56" s="431">
        <v>0</v>
      </c>
      <c r="AB56" s="431">
        <v>-3926</v>
      </c>
      <c r="AC56" s="431">
        <v>650925</v>
      </c>
      <c r="AD56" s="431">
        <v>0</v>
      </c>
      <c r="AE56" s="431">
        <v>933971</v>
      </c>
      <c r="AF56" s="431">
        <v>0</v>
      </c>
      <c r="AG56" s="431">
        <v>69603</v>
      </c>
      <c r="AH56" s="431">
        <v>329106</v>
      </c>
      <c r="AI56" s="431">
        <v>393304</v>
      </c>
      <c r="AJ56" s="431">
        <v>37492</v>
      </c>
      <c r="AK56" s="431">
        <v>0</v>
      </c>
      <c r="AL56" s="431">
        <v>114197</v>
      </c>
      <c r="AM56" s="431">
        <v>102622</v>
      </c>
    </row>
    <row r="57" spans="1:39" s="155" customFormat="1" ht="12" x14ac:dyDescent="0.2">
      <c r="A57" s="168">
        <v>3</v>
      </c>
      <c r="B57" s="490">
        <v>13935</v>
      </c>
      <c r="C57" s="491" t="s">
        <v>2393</v>
      </c>
      <c r="D57" s="432">
        <f t="shared" si="10"/>
        <v>6498280</v>
      </c>
      <c r="E57" s="431">
        <v>3492467</v>
      </c>
      <c r="F57" s="431">
        <v>1121228</v>
      </c>
      <c r="G57" s="431">
        <v>405600</v>
      </c>
      <c r="H57" s="431">
        <v>0</v>
      </c>
      <c r="I57" s="431">
        <v>2072754</v>
      </c>
      <c r="J57" s="431">
        <v>250000</v>
      </c>
      <c r="K57" s="431">
        <v>661380</v>
      </c>
      <c r="L57" s="431">
        <v>0</v>
      </c>
      <c r="M57" s="431">
        <v>18274</v>
      </c>
      <c r="N57" s="431">
        <v>0</v>
      </c>
      <c r="O57" s="431">
        <v>3405</v>
      </c>
      <c r="P57" s="432">
        <f t="shared" si="2"/>
        <v>5084162</v>
      </c>
      <c r="Q57" s="431">
        <v>2313652</v>
      </c>
      <c r="R57" s="431">
        <v>937017</v>
      </c>
      <c r="S57" s="431">
        <v>0</v>
      </c>
      <c r="T57" s="431">
        <v>0</v>
      </c>
      <c r="U57" s="431">
        <v>0</v>
      </c>
      <c r="V57" s="431">
        <v>291999</v>
      </c>
      <c r="W57" s="431">
        <v>0</v>
      </c>
      <c r="X57" s="431">
        <v>244380</v>
      </c>
      <c r="Y57" s="431">
        <v>0</v>
      </c>
      <c r="Z57" s="431">
        <v>1297114</v>
      </c>
      <c r="AA57" s="431">
        <v>0</v>
      </c>
      <c r="AB57" s="431">
        <v>0</v>
      </c>
      <c r="AC57" s="431">
        <v>772026</v>
      </c>
      <c r="AD57" s="431">
        <v>20220</v>
      </c>
      <c r="AE57" s="431">
        <v>1789583</v>
      </c>
      <c r="AF57" s="431">
        <v>8508</v>
      </c>
      <c r="AG57" s="431">
        <v>75308</v>
      </c>
      <c r="AH57" s="431">
        <v>397093</v>
      </c>
      <c r="AI57" s="431">
        <v>440254</v>
      </c>
      <c r="AJ57" s="431">
        <v>133390</v>
      </c>
      <c r="AK57" s="431">
        <v>0</v>
      </c>
      <c r="AL57" s="431">
        <v>1428200</v>
      </c>
      <c r="AM57" s="431">
        <v>19580</v>
      </c>
    </row>
    <row r="58" spans="1:39" s="155" customFormat="1" ht="12" x14ac:dyDescent="0.2">
      <c r="A58" s="168">
        <v>4</v>
      </c>
      <c r="B58" s="490">
        <v>13999</v>
      </c>
      <c r="C58" s="491" t="s">
        <v>2394</v>
      </c>
      <c r="D58" s="432">
        <f t="shared" si="10"/>
        <v>5951538</v>
      </c>
      <c r="E58" s="431">
        <v>1923658</v>
      </c>
      <c r="F58" s="431">
        <v>409614</v>
      </c>
      <c r="G58" s="431">
        <v>1039305</v>
      </c>
      <c r="H58" s="431">
        <v>0</v>
      </c>
      <c r="I58" s="431">
        <v>1990713</v>
      </c>
      <c r="J58" s="431">
        <v>550000</v>
      </c>
      <c r="K58" s="431">
        <v>264180</v>
      </c>
      <c r="L58" s="431">
        <v>0</v>
      </c>
      <c r="M58" s="431">
        <v>1019492</v>
      </c>
      <c r="N58" s="431">
        <v>0</v>
      </c>
      <c r="O58" s="431">
        <v>203495</v>
      </c>
      <c r="P58" s="432">
        <f t="shared" si="2"/>
        <v>5186703</v>
      </c>
      <c r="Q58" s="431">
        <v>2341987</v>
      </c>
      <c r="R58" s="431">
        <v>872304</v>
      </c>
      <c r="S58" s="431">
        <v>0</v>
      </c>
      <c r="T58" s="431">
        <v>0</v>
      </c>
      <c r="U58" s="431">
        <v>23437</v>
      </c>
      <c r="V58" s="431">
        <v>3775</v>
      </c>
      <c r="W58" s="431">
        <v>913894</v>
      </c>
      <c r="X58" s="431">
        <v>134517</v>
      </c>
      <c r="Y58" s="431">
        <v>20000</v>
      </c>
      <c r="Z58" s="431">
        <v>880564</v>
      </c>
      <c r="AA58" s="431">
        <v>0</v>
      </c>
      <c r="AB58" s="431">
        <v>-3775</v>
      </c>
      <c r="AC58" s="431">
        <v>732771</v>
      </c>
      <c r="AD58" s="431">
        <v>122633</v>
      </c>
      <c r="AE58" s="431">
        <v>1789944</v>
      </c>
      <c r="AF58" s="431">
        <v>0</v>
      </c>
      <c r="AG58" s="431">
        <v>93565</v>
      </c>
      <c r="AH58" s="431">
        <v>367550</v>
      </c>
      <c r="AI58" s="431">
        <v>281753</v>
      </c>
      <c r="AJ58" s="431">
        <v>1046836</v>
      </c>
      <c r="AK58" s="431">
        <v>0</v>
      </c>
      <c r="AL58" s="431">
        <v>751651</v>
      </c>
      <c r="AM58" s="431">
        <v>0</v>
      </c>
    </row>
    <row r="59" spans="1:39" s="155" customFormat="1" ht="12" x14ac:dyDescent="0.2">
      <c r="A59" s="168">
        <v>5</v>
      </c>
      <c r="B59" s="490">
        <v>14049</v>
      </c>
      <c r="C59" s="491" t="s">
        <v>2395</v>
      </c>
      <c r="D59" s="432">
        <f t="shared" si="10"/>
        <v>9781219</v>
      </c>
      <c r="E59" s="431">
        <v>2135822</v>
      </c>
      <c r="F59" s="431">
        <v>583124</v>
      </c>
      <c r="G59" s="431">
        <v>412977</v>
      </c>
      <c r="H59" s="431">
        <v>0</v>
      </c>
      <c r="I59" s="431">
        <v>1386061</v>
      </c>
      <c r="J59" s="431">
        <v>300000</v>
      </c>
      <c r="K59" s="431">
        <v>601310</v>
      </c>
      <c r="L59" s="431">
        <v>0</v>
      </c>
      <c r="M59" s="431">
        <v>5243076</v>
      </c>
      <c r="N59" s="431">
        <v>114950</v>
      </c>
      <c r="O59" s="431">
        <v>0</v>
      </c>
      <c r="P59" s="432">
        <f t="shared" si="2"/>
        <v>9436589</v>
      </c>
      <c r="Q59" s="431">
        <v>1734102</v>
      </c>
      <c r="R59" s="431">
        <v>855642</v>
      </c>
      <c r="S59" s="431">
        <v>111167</v>
      </c>
      <c r="T59" s="431">
        <v>0</v>
      </c>
      <c r="U59" s="431">
        <v>0</v>
      </c>
      <c r="V59" s="431">
        <v>50000</v>
      </c>
      <c r="W59" s="431">
        <v>0</v>
      </c>
      <c r="X59" s="431">
        <v>123548</v>
      </c>
      <c r="Y59" s="431">
        <v>20800</v>
      </c>
      <c r="Z59" s="431">
        <v>6409956</v>
      </c>
      <c r="AA59" s="431">
        <v>166667</v>
      </c>
      <c r="AB59" s="431">
        <v>-35293</v>
      </c>
      <c r="AC59" s="431">
        <v>932473</v>
      </c>
      <c r="AD59" s="431">
        <v>22483</v>
      </c>
      <c r="AE59" s="431">
        <v>1251967</v>
      </c>
      <c r="AF59" s="431">
        <v>0</v>
      </c>
      <c r="AG59" s="431">
        <v>58490</v>
      </c>
      <c r="AH59" s="431">
        <v>233688</v>
      </c>
      <c r="AI59" s="431">
        <v>290124</v>
      </c>
      <c r="AJ59" s="431">
        <v>9920</v>
      </c>
      <c r="AK59" s="431">
        <v>0</v>
      </c>
      <c r="AL59" s="431">
        <v>6637444</v>
      </c>
      <c r="AM59" s="431">
        <v>0</v>
      </c>
    </row>
    <row r="60" spans="1:39" s="155" customFormat="1" ht="12" x14ac:dyDescent="0.2">
      <c r="A60" s="168">
        <v>6</v>
      </c>
      <c r="B60" s="490">
        <v>13187</v>
      </c>
      <c r="C60" s="491" t="s">
        <v>2396</v>
      </c>
      <c r="D60" s="432">
        <f t="shared" si="10"/>
        <v>18249029</v>
      </c>
      <c r="E60" s="431">
        <v>10773764</v>
      </c>
      <c r="F60" s="431">
        <v>5239404</v>
      </c>
      <c r="G60" s="431">
        <v>249316</v>
      </c>
      <c r="H60" s="431">
        <v>0</v>
      </c>
      <c r="I60" s="431">
        <v>4847758</v>
      </c>
      <c r="J60" s="431">
        <v>300000</v>
      </c>
      <c r="K60" s="431">
        <v>191940</v>
      </c>
      <c r="L60" s="431">
        <v>0</v>
      </c>
      <c r="M60" s="431">
        <v>632659</v>
      </c>
      <c r="N60" s="431">
        <v>1442513</v>
      </c>
      <c r="O60" s="431">
        <v>60395</v>
      </c>
      <c r="P60" s="432">
        <f t="shared" si="2"/>
        <v>18568337</v>
      </c>
      <c r="Q60" s="431">
        <v>5523878</v>
      </c>
      <c r="R60" s="431">
        <v>5188721</v>
      </c>
      <c r="S60" s="431">
        <v>11724</v>
      </c>
      <c r="T60" s="431">
        <v>137625</v>
      </c>
      <c r="U60" s="431">
        <v>627109</v>
      </c>
      <c r="V60" s="431">
        <v>239188</v>
      </c>
      <c r="W60" s="431">
        <v>4077042</v>
      </c>
      <c r="X60" s="431">
        <v>889520</v>
      </c>
      <c r="Y60" s="431">
        <v>612240</v>
      </c>
      <c r="Z60" s="431">
        <v>1006872</v>
      </c>
      <c r="AA60" s="431">
        <v>254628</v>
      </c>
      <c r="AB60" s="431">
        <v>-210</v>
      </c>
      <c r="AC60" s="431">
        <v>2042311</v>
      </c>
      <c r="AD60" s="431">
        <v>28290</v>
      </c>
      <c r="AE60" s="431">
        <v>8872077</v>
      </c>
      <c r="AF60" s="431">
        <v>0</v>
      </c>
      <c r="AG60" s="431">
        <v>1364910</v>
      </c>
      <c r="AH60" s="431">
        <v>1380235</v>
      </c>
      <c r="AI60" s="431">
        <v>1128519</v>
      </c>
      <c r="AJ60" s="431">
        <v>1080292</v>
      </c>
      <c r="AK60" s="431">
        <v>403684</v>
      </c>
      <c r="AL60" s="431">
        <v>2060509</v>
      </c>
      <c r="AM60" s="431">
        <v>207510</v>
      </c>
    </row>
    <row r="61" spans="1:39" s="155" customFormat="1" ht="12" x14ac:dyDescent="0.2">
      <c r="A61" s="168">
        <v>7</v>
      </c>
      <c r="B61" s="490">
        <v>14085</v>
      </c>
      <c r="C61" s="491" t="s">
        <v>2397</v>
      </c>
      <c r="D61" s="432">
        <f t="shared" si="10"/>
        <v>5226344</v>
      </c>
      <c r="E61" s="431">
        <v>1865120</v>
      </c>
      <c r="F61" s="431">
        <v>184303</v>
      </c>
      <c r="G61" s="431">
        <v>1053971</v>
      </c>
      <c r="H61" s="431">
        <v>0</v>
      </c>
      <c r="I61" s="431">
        <v>1792519</v>
      </c>
      <c r="J61" s="431">
        <v>240000</v>
      </c>
      <c r="K61" s="431">
        <v>475850</v>
      </c>
      <c r="L61" s="431">
        <v>0</v>
      </c>
      <c r="M61" s="431">
        <v>783555</v>
      </c>
      <c r="N61" s="431">
        <v>0</v>
      </c>
      <c r="O61" s="431">
        <v>69300</v>
      </c>
      <c r="P61" s="432">
        <f t="shared" si="2"/>
        <v>5332286</v>
      </c>
      <c r="Q61" s="431">
        <v>2341298</v>
      </c>
      <c r="R61" s="431">
        <v>1393147</v>
      </c>
      <c r="S61" s="431">
        <v>0</v>
      </c>
      <c r="T61" s="431">
        <v>0</v>
      </c>
      <c r="U61" s="431">
        <v>0</v>
      </c>
      <c r="V61" s="431">
        <v>0</v>
      </c>
      <c r="W61" s="431">
        <v>0</v>
      </c>
      <c r="X61" s="431">
        <v>180905</v>
      </c>
      <c r="Y61" s="431">
        <v>0</v>
      </c>
      <c r="Z61" s="431">
        <v>1418119</v>
      </c>
      <c r="AA61" s="431">
        <v>0</v>
      </c>
      <c r="AB61" s="431">
        <v>-1183</v>
      </c>
      <c r="AC61" s="431">
        <v>1096532</v>
      </c>
      <c r="AD61" s="431">
        <v>105026</v>
      </c>
      <c r="AE61" s="431">
        <v>1571519</v>
      </c>
      <c r="AF61" s="431">
        <v>109288</v>
      </c>
      <c r="AG61" s="431">
        <v>55857</v>
      </c>
      <c r="AH61" s="431">
        <v>395926</v>
      </c>
      <c r="AI61" s="431">
        <v>197814</v>
      </c>
      <c r="AJ61" s="431">
        <v>0</v>
      </c>
      <c r="AK61" s="431">
        <v>0</v>
      </c>
      <c r="AL61" s="431">
        <v>1800324</v>
      </c>
      <c r="AM61" s="431">
        <v>0</v>
      </c>
    </row>
    <row r="62" spans="1:39" s="155" customFormat="1" ht="12" x14ac:dyDescent="0.2">
      <c r="A62" s="168">
        <v>8</v>
      </c>
      <c r="B62" s="490">
        <v>14165</v>
      </c>
      <c r="C62" s="491" t="s">
        <v>2398</v>
      </c>
      <c r="D62" s="432">
        <f t="shared" si="10"/>
        <v>7841883</v>
      </c>
      <c r="E62" s="431">
        <v>2820841</v>
      </c>
      <c r="F62" s="431">
        <v>910008</v>
      </c>
      <c r="G62" s="431">
        <v>921737</v>
      </c>
      <c r="H62" s="431">
        <v>0</v>
      </c>
      <c r="I62" s="431">
        <v>3880635</v>
      </c>
      <c r="J62" s="431">
        <v>19816</v>
      </c>
      <c r="K62" s="431">
        <v>1079600</v>
      </c>
      <c r="L62" s="431">
        <v>0</v>
      </c>
      <c r="M62" s="431">
        <v>40991</v>
      </c>
      <c r="N62" s="431">
        <v>0</v>
      </c>
      <c r="O62" s="431">
        <v>0</v>
      </c>
      <c r="P62" s="432">
        <f t="shared" si="2"/>
        <v>7410901</v>
      </c>
      <c r="Q62" s="431">
        <v>4264495</v>
      </c>
      <c r="R62" s="431">
        <v>1492050</v>
      </c>
      <c r="S62" s="431">
        <v>0</v>
      </c>
      <c r="T62" s="431">
        <v>0</v>
      </c>
      <c r="U62" s="431">
        <v>0</v>
      </c>
      <c r="V62" s="431">
        <v>0</v>
      </c>
      <c r="W62" s="431">
        <v>0</v>
      </c>
      <c r="X62" s="431">
        <v>343431</v>
      </c>
      <c r="Y62" s="431">
        <v>169999</v>
      </c>
      <c r="Z62" s="431">
        <v>1147080</v>
      </c>
      <c r="AA62" s="431">
        <v>0</v>
      </c>
      <c r="AB62" s="431">
        <v>-6154</v>
      </c>
      <c r="AC62" s="431">
        <v>1292829</v>
      </c>
      <c r="AD62" s="431">
        <v>119196</v>
      </c>
      <c r="AE62" s="431">
        <v>3877754</v>
      </c>
      <c r="AF62" s="431">
        <v>0</v>
      </c>
      <c r="AG62" s="431">
        <v>277208</v>
      </c>
      <c r="AH62" s="431">
        <v>551253</v>
      </c>
      <c r="AI62" s="431">
        <v>372267</v>
      </c>
      <c r="AJ62" s="431">
        <v>257132</v>
      </c>
      <c r="AK62" s="431">
        <v>0</v>
      </c>
      <c r="AL62" s="431">
        <v>530362</v>
      </c>
      <c r="AM62" s="431">
        <v>132900</v>
      </c>
    </row>
    <row r="63" spans="1:39" s="155" customFormat="1" ht="12" x14ac:dyDescent="0.2">
      <c r="A63" s="168">
        <v>9</v>
      </c>
      <c r="B63" s="490">
        <v>14272</v>
      </c>
      <c r="C63" s="491" t="s">
        <v>2399</v>
      </c>
      <c r="D63" s="432">
        <f t="shared" si="10"/>
        <v>6787191</v>
      </c>
      <c r="E63" s="431">
        <v>1992371</v>
      </c>
      <c r="F63" s="431">
        <v>215818</v>
      </c>
      <c r="G63" s="431">
        <v>1067257</v>
      </c>
      <c r="H63" s="431">
        <v>0</v>
      </c>
      <c r="I63" s="431">
        <v>2375721</v>
      </c>
      <c r="J63" s="431">
        <v>134804</v>
      </c>
      <c r="K63" s="431">
        <v>521460</v>
      </c>
      <c r="L63" s="431">
        <v>0</v>
      </c>
      <c r="M63" s="431">
        <v>1306474</v>
      </c>
      <c r="N63" s="431">
        <v>420499</v>
      </c>
      <c r="O63" s="431">
        <v>35862</v>
      </c>
      <c r="P63" s="432">
        <f t="shared" si="2"/>
        <v>6384378</v>
      </c>
      <c r="Q63" s="431">
        <v>2996834</v>
      </c>
      <c r="R63" s="431">
        <v>1012472</v>
      </c>
      <c r="S63" s="431">
        <v>0</v>
      </c>
      <c r="T63" s="431">
        <v>0</v>
      </c>
      <c r="U63" s="431">
        <v>100215</v>
      </c>
      <c r="V63" s="431">
        <v>0</v>
      </c>
      <c r="W63" s="431">
        <v>538042</v>
      </c>
      <c r="X63" s="431">
        <v>173230</v>
      </c>
      <c r="Y63" s="431">
        <v>31355</v>
      </c>
      <c r="Z63" s="431">
        <v>1556163</v>
      </c>
      <c r="AA63" s="431">
        <v>0</v>
      </c>
      <c r="AB63" s="431">
        <v>-23933</v>
      </c>
      <c r="AC63" s="431">
        <v>1097160</v>
      </c>
      <c r="AD63" s="431">
        <v>16515</v>
      </c>
      <c r="AE63" s="431">
        <v>3542313</v>
      </c>
      <c r="AF63" s="431">
        <v>17935</v>
      </c>
      <c r="AG63" s="431">
        <v>378004</v>
      </c>
      <c r="AH63" s="431">
        <v>449600</v>
      </c>
      <c r="AI63" s="431">
        <v>520440</v>
      </c>
      <c r="AJ63" s="431">
        <v>103084</v>
      </c>
      <c r="AK63" s="431">
        <v>0</v>
      </c>
      <c r="AL63" s="431">
        <v>259327</v>
      </c>
      <c r="AM63" s="431">
        <v>0</v>
      </c>
    </row>
    <row r="64" spans="1:39" s="155" customFormat="1" ht="12" x14ac:dyDescent="0.2">
      <c r="A64" s="168">
        <v>10</v>
      </c>
      <c r="B64" s="490">
        <v>14352</v>
      </c>
      <c r="C64" s="491" t="s">
        <v>2400</v>
      </c>
      <c r="D64" s="432">
        <f t="shared" si="10"/>
        <v>3286136</v>
      </c>
      <c r="E64" s="431">
        <v>1645117</v>
      </c>
      <c r="F64" s="431">
        <v>88581</v>
      </c>
      <c r="G64" s="431">
        <v>1196125</v>
      </c>
      <c r="H64" s="431">
        <v>0</v>
      </c>
      <c r="I64" s="431">
        <v>1208022</v>
      </c>
      <c r="J64" s="431">
        <v>0</v>
      </c>
      <c r="K64" s="431">
        <v>60080</v>
      </c>
      <c r="L64" s="431">
        <v>0</v>
      </c>
      <c r="M64" s="431">
        <v>369991</v>
      </c>
      <c r="N64" s="431">
        <v>0</v>
      </c>
      <c r="O64" s="431">
        <v>2926</v>
      </c>
      <c r="P64" s="432">
        <f t="shared" si="2"/>
        <v>2953739</v>
      </c>
      <c r="Q64" s="431">
        <v>1588440</v>
      </c>
      <c r="R64" s="431">
        <v>543517</v>
      </c>
      <c r="S64" s="431">
        <v>0</v>
      </c>
      <c r="T64" s="431">
        <v>0</v>
      </c>
      <c r="U64" s="431">
        <v>0</v>
      </c>
      <c r="V64" s="431">
        <v>0</v>
      </c>
      <c r="W64" s="431">
        <v>0</v>
      </c>
      <c r="X64" s="431">
        <v>99614</v>
      </c>
      <c r="Y64" s="431">
        <v>11000</v>
      </c>
      <c r="Z64" s="431">
        <v>785972</v>
      </c>
      <c r="AA64" s="431">
        <v>0</v>
      </c>
      <c r="AB64" s="431">
        <v>-74804</v>
      </c>
      <c r="AC64" s="431">
        <v>806423</v>
      </c>
      <c r="AD64" s="431">
        <v>30994</v>
      </c>
      <c r="AE64" s="431">
        <v>1032583</v>
      </c>
      <c r="AF64" s="431">
        <v>0</v>
      </c>
      <c r="AG64" s="431">
        <v>82768</v>
      </c>
      <c r="AH64" s="431">
        <v>317439</v>
      </c>
      <c r="AI64" s="431">
        <v>525581</v>
      </c>
      <c r="AJ64" s="431">
        <v>89158</v>
      </c>
      <c r="AK64" s="431">
        <v>0</v>
      </c>
      <c r="AL64" s="431">
        <v>68793</v>
      </c>
      <c r="AM64" s="431">
        <v>0</v>
      </c>
    </row>
    <row r="65" spans="1:39" s="155" customFormat="1" ht="12" x14ac:dyDescent="0.2">
      <c r="A65" s="168">
        <v>11</v>
      </c>
      <c r="B65" s="490">
        <v>14405</v>
      </c>
      <c r="C65" s="491" t="s">
        <v>2401</v>
      </c>
      <c r="D65" s="432">
        <f t="shared" si="10"/>
        <v>6196801</v>
      </c>
      <c r="E65" s="431">
        <v>2520457</v>
      </c>
      <c r="F65" s="431">
        <v>953774</v>
      </c>
      <c r="G65" s="431">
        <v>477223</v>
      </c>
      <c r="H65" s="431">
        <v>0</v>
      </c>
      <c r="I65" s="431">
        <v>2704913</v>
      </c>
      <c r="J65" s="431">
        <v>497665</v>
      </c>
      <c r="K65" s="431">
        <v>440200</v>
      </c>
      <c r="L65" s="431">
        <v>0</v>
      </c>
      <c r="M65" s="431">
        <v>29966</v>
      </c>
      <c r="N65" s="431">
        <v>0</v>
      </c>
      <c r="O65" s="431">
        <v>3600</v>
      </c>
      <c r="P65" s="432">
        <f t="shared" si="2"/>
        <v>5810354</v>
      </c>
      <c r="Q65" s="431">
        <v>3136810</v>
      </c>
      <c r="R65" s="431">
        <v>1248609</v>
      </c>
      <c r="S65" s="431">
        <v>0</v>
      </c>
      <c r="T65" s="431">
        <v>0</v>
      </c>
      <c r="U65" s="431">
        <v>249929</v>
      </c>
      <c r="V65" s="431">
        <v>1743</v>
      </c>
      <c r="W65" s="431">
        <v>0</v>
      </c>
      <c r="X65" s="431">
        <v>235322</v>
      </c>
      <c r="Y65" s="431">
        <v>40000</v>
      </c>
      <c r="Z65" s="431">
        <v>908195</v>
      </c>
      <c r="AA65" s="431">
        <v>0</v>
      </c>
      <c r="AB65" s="431">
        <v>-10254</v>
      </c>
      <c r="AC65" s="431">
        <v>1001874</v>
      </c>
      <c r="AD65" s="431">
        <v>32630</v>
      </c>
      <c r="AE65" s="431">
        <v>2431717</v>
      </c>
      <c r="AF65" s="431">
        <v>9986</v>
      </c>
      <c r="AG65" s="431">
        <v>385896</v>
      </c>
      <c r="AH65" s="431">
        <v>494667</v>
      </c>
      <c r="AI65" s="431">
        <v>557091</v>
      </c>
      <c r="AJ65" s="431">
        <v>103525</v>
      </c>
      <c r="AK65" s="431">
        <v>0</v>
      </c>
      <c r="AL65" s="431">
        <v>745424</v>
      </c>
      <c r="AM65" s="431">
        <v>47544</v>
      </c>
    </row>
    <row r="66" spans="1:39" s="155" customFormat="1" ht="12" x14ac:dyDescent="0.2">
      <c r="A66" s="168">
        <v>12</v>
      </c>
      <c r="B66" s="490">
        <v>14450</v>
      </c>
      <c r="C66" s="491" t="s">
        <v>2402</v>
      </c>
      <c r="D66" s="432">
        <f t="shared" si="10"/>
        <v>8032465</v>
      </c>
      <c r="E66" s="431">
        <v>2359941</v>
      </c>
      <c r="F66" s="431">
        <v>699120</v>
      </c>
      <c r="G66" s="431">
        <v>634599</v>
      </c>
      <c r="H66" s="431">
        <v>0</v>
      </c>
      <c r="I66" s="431">
        <v>3785764</v>
      </c>
      <c r="J66" s="431">
        <v>100000</v>
      </c>
      <c r="K66" s="431">
        <v>1042070</v>
      </c>
      <c r="L66" s="431">
        <v>0</v>
      </c>
      <c r="M66" s="431">
        <v>182609</v>
      </c>
      <c r="N66" s="431">
        <v>562081</v>
      </c>
      <c r="O66" s="431">
        <v>0</v>
      </c>
      <c r="P66" s="432">
        <f t="shared" si="2"/>
        <v>7544792</v>
      </c>
      <c r="Q66" s="431">
        <v>4207615</v>
      </c>
      <c r="R66" s="431">
        <v>1733963</v>
      </c>
      <c r="S66" s="431">
        <v>0</v>
      </c>
      <c r="T66" s="431">
        <v>0</v>
      </c>
      <c r="U66" s="431">
        <v>0</v>
      </c>
      <c r="V66" s="431">
        <v>0</v>
      </c>
      <c r="W66" s="431">
        <v>0</v>
      </c>
      <c r="X66" s="431">
        <v>272432</v>
      </c>
      <c r="Y66" s="431">
        <v>18005</v>
      </c>
      <c r="Z66" s="431">
        <v>1326892</v>
      </c>
      <c r="AA66" s="431">
        <v>0</v>
      </c>
      <c r="AB66" s="431">
        <v>-14115</v>
      </c>
      <c r="AC66" s="431">
        <v>990506</v>
      </c>
      <c r="AD66" s="431">
        <v>130270</v>
      </c>
      <c r="AE66" s="431">
        <v>3695545</v>
      </c>
      <c r="AF66" s="431">
        <v>0</v>
      </c>
      <c r="AG66" s="431">
        <v>127823</v>
      </c>
      <c r="AH66" s="431">
        <v>717219</v>
      </c>
      <c r="AI66" s="431">
        <v>1311427</v>
      </c>
      <c r="AJ66" s="431">
        <v>89616</v>
      </c>
      <c r="AK66" s="431">
        <v>0</v>
      </c>
      <c r="AL66" s="431">
        <v>388332</v>
      </c>
      <c r="AM66" s="431">
        <v>94054</v>
      </c>
    </row>
    <row r="67" spans="1:39" s="155" customFormat="1" ht="12" x14ac:dyDescent="0.2">
      <c r="A67" s="168">
        <v>13</v>
      </c>
      <c r="B67" s="490">
        <v>14584</v>
      </c>
      <c r="C67" s="491" t="s">
        <v>2403</v>
      </c>
      <c r="D67" s="432">
        <f t="shared" si="10"/>
        <v>6480339</v>
      </c>
      <c r="E67" s="431">
        <v>2376939</v>
      </c>
      <c r="F67" s="431">
        <v>396185</v>
      </c>
      <c r="G67" s="431">
        <v>695299</v>
      </c>
      <c r="H67" s="431">
        <v>0</v>
      </c>
      <c r="I67" s="431">
        <v>2758739</v>
      </c>
      <c r="J67" s="431">
        <v>500000</v>
      </c>
      <c r="K67" s="431">
        <v>523450</v>
      </c>
      <c r="L67" s="431">
        <v>0</v>
      </c>
      <c r="M67" s="431">
        <v>109066</v>
      </c>
      <c r="N67" s="431">
        <v>144425</v>
      </c>
      <c r="O67" s="431">
        <v>67720</v>
      </c>
      <c r="P67" s="432">
        <f t="shared" si="2"/>
        <v>6488591</v>
      </c>
      <c r="Q67" s="431">
        <v>3500635</v>
      </c>
      <c r="R67" s="431">
        <v>1036627</v>
      </c>
      <c r="S67" s="431">
        <v>0</v>
      </c>
      <c r="T67" s="431">
        <v>0</v>
      </c>
      <c r="U67" s="431">
        <v>22851</v>
      </c>
      <c r="V67" s="431">
        <v>0</v>
      </c>
      <c r="W67" s="431">
        <v>160406</v>
      </c>
      <c r="X67" s="431">
        <v>268417</v>
      </c>
      <c r="Y67" s="431">
        <v>74772</v>
      </c>
      <c r="Z67" s="431">
        <v>1424883</v>
      </c>
      <c r="AA67" s="431">
        <v>0</v>
      </c>
      <c r="AB67" s="431">
        <v>0</v>
      </c>
      <c r="AC67" s="431">
        <v>1443825</v>
      </c>
      <c r="AD67" s="431">
        <v>30400</v>
      </c>
      <c r="AE67" s="431">
        <v>2360629</v>
      </c>
      <c r="AF67" s="431">
        <v>0</v>
      </c>
      <c r="AG67" s="431">
        <v>301698</v>
      </c>
      <c r="AH67" s="431">
        <v>939045</v>
      </c>
      <c r="AI67" s="431">
        <v>534993</v>
      </c>
      <c r="AJ67" s="431">
        <v>251335</v>
      </c>
      <c r="AK67" s="431">
        <v>0</v>
      </c>
      <c r="AL67" s="431">
        <v>626666</v>
      </c>
      <c r="AM67" s="431">
        <v>0</v>
      </c>
    </row>
    <row r="68" spans="1:39" s="155" customFormat="1" ht="12" x14ac:dyDescent="0.2">
      <c r="A68" s="168">
        <v>14</v>
      </c>
      <c r="B68" s="490">
        <v>14673</v>
      </c>
      <c r="C68" s="491" t="s">
        <v>2404</v>
      </c>
      <c r="D68" s="432">
        <f t="shared" si="10"/>
        <v>6107440</v>
      </c>
      <c r="E68" s="431">
        <v>1821794</v>
      </c>
      <c r="F68" s="431">
        <v>142521</v>
      </c>
      <c r="G68" s="431">
        <v>1240670</v>
      </c>
      <c r="H68" s="431">
        <v>0</v>
      </c>
      <c r="I68" s="431">
        <v>1481174</v>
      </c>
      <c r="J68" s="431">
        <v>146856</v>
      </c>
      <c r="K68" s="431">
        <v>163470</v>
      </c>
      <c r="L68" s="431">
        <v>0</v>
      </c>
      <c r="M68" s="431">
        <v>2338460</v>
      </c>
      <c r="N68" s="431">
        <v>155686</v>
      </c>
      <c r="O68" s="431">
        <v>0</v>
      </c>
      <c r="P68" s="432">
        <f t="shared" si="2"/>
        <v>6164405</v>
      </c>
      <c r="Q68" s="431">
        <v>1912097</v>
      </c>
      <c r="R68" s="431">
        <v>759096</v>
      </c>
      <c r="S68" s="431">
        <v>0</v>
      </c>
      <c r="T68" s="431">
        <v>0</v>
      </c>
      <c r="U68" s="431">
        <v>0</v>
      </c>
      <c r="V68" s="431">
        <v>0</v>
      </c>
      <c r="W68" s="431">
        <v>204445</v>
      </c>
      <c r="X68" s="431">
        <v>104121</v>
      </c>
      <c r="Y68" s="431">
        <v>5983</v>
      </c>
      <c r="Z68" s="431">
        <v>3178663</v>
      </c>
      <c r="AA68" s="431">
        <v>0</v>
      </c>
      <c r="AB68" s="431">
        <v>0</v>
      </c>
      <c r="AC68" s="431">
        <v>1023137</v>
      </c>
      <c r="AD68" s="431">
        <v>5310</v>
      </c>
      <c r="AE68" s="431">
        <v>1406320</v>
      </c>
      <c r="AF68" s="431">
        <v>137497</v>
      </c>
      <c r="AG68" s="431">
        <v>321521</v>
      </c>
      <c r="AH68" s="431">
        <v>506529</v>
      </c>
      <c r="AI68" s="431">
        <v>58821</v>
      </c>
      <c r="AJ68" s="431">
        <v>1699802</v>
      </c>
      <c r="AK68" s="431">
        <v>0</v>
      </c>
      <c r="AL68" s="431">
        <v>1005468</v>
      </c>
      <c r="AM68" s="431">
        <v>0</v>
      </c>
    </row>
    <row r="69" spans="1:39" s="155" customFormat="1" ht="12" x14ac:dyDescent="0.2">
      <c r="A69" s="168">
        <v>15</v>
      </c>
      <c r="B69" s="490">
        <v>14726</v>
      </c>
      <c r="C69" s="491" t="s">
        <v>2405</v>
      </c>
      <c r="D69" s="432">
        <f t="shared" si="10"/>
        <v>2422702</v>
      </c>
      <c r="E69" s="431">
        <v>1623223</v>
      </c>
      <c r="F69" s="431">
        <v>47188</v>
      </c>
      <c r="G69" s="431">
        <v>1335638</v>
      </c>
      <c r="H69" s="431">
        <v>0</v>
      </c>
      <c r="I69" s="431">
        <v>691767</v>
      </c>
      <c r="J69" s="431">
        <v>19860</v>
      </c>
      <c r="K69" s="431">
        <v>73560</v>
      </c>
      <c r="L69" s="431">
        <v>0</v>
      </c>
      <c r="M69" s="431">
        <v>6304</v>
      </c>
      <c r="N69" s="431">
        <v>0</v>
      </c>
      <c r="O69" s="431">
        <v>7988</v>
      </c>
      <c r="P69" s="432">
        <f t="shared" si="2"/>
        <v>2349752</v>
      </c>
      <c r="Q69" s="431">
        <v>930392</v>
      </c>
      <c r="R69" s="431">
        <v>538219</v>
      </c>
      <c r="S69" s="431">
        <v>0</v>
      </c>
      <c r="T69" s="431">
        <v>0</v>
      </c>
      <c r="U69" s="431">
        <v>0</v>
      </c>
      <c r="V69" s="431">
        <v>0</v>
      </c>
      <c r="W69" s="431">
        <v>0</v>
      </c>
      <c r="X69" s="431">
        <v>115584</v>
      </c>
      <c r="Y69" s="431">
        <v>10000</v>
      </c>
      <c r="Z69" s="431">
        <v>755557</v>
      </c>
      <c r="AA69" s="431">
        <v>0</v>
      </c>
      <c r="AB69" s="431">
        <v>0</v>
      </c>
      <c r="AC69" s="431">
        <v>536890</v>
      </c>
      <c r="AD69" s="431">
        <v>32871</v>
      </c>
      <c r="AE69" s="431">
        <v>666985</v>
      </c>
      <c r="AF69" s="431">
        <v>486043</v>
      </c>
      <c r="AG69" s="431">
        <v>0</v>
      </c>
      <c r="AH69" s="431">
        <v>174366</v>
      </c>
      <c r="AI69" s="431">
        <v>100931</v>
      </c>
      <c r="AJ69" s="431">
        <v>108826</v>
      </c>
      <c r="AK69" s="431">
        <v>0</v>
      </c>
      <c r="AL69" s="431">
        <v>242840</v>
      </c>
      <c r="AM69" s="431">
        <v>0</v>
      </c>
    </row>
    <row r="70" spans="1:39" s="155" customFormat="1" ht="12" x14ac:dyDescent="0.2">
      <c r="A70" s="168">
        <v>16</v>
      </c>
      <c r="B70" s="490">
        <v>13276</v>
      </c>
      <c r="C70" s="491" t="s">
        <v>2406</v>
      </c>
      <c r="D70" s="432">
        <f t="shared" si="10"/>
        <v>21475867</v>
      </c>
      <c r="E70" s="431">
        <v>19070061</v>
      </c>
      <c r="F70" s="431">
        <v>9770594</v>
      </c>
      <c r="G70" s="431">
        <v>174088</v>
      </c>
      <c r="H70" s="431">
        <v>0</v>
      </c>
      <c r="I70" s="431">
        <v>2259529</v>
      </c>
      <c r="J70" s="431">
        <v>50000</v>
      </c>
      <c r="K70" s="431">
        <v>63100</v>
      </c>
      <c r="L70" s="431">
        <v>0</v>
      </c>
      <c r="M70" s="431">
        <v>33177</v>
      </c>
      <c r="N70" s="431">
        <v>0</v>
      </c>
      <c r="O70" s="431">
        <v>0</v>
      </c>
      <c r="P70" s="432">
        <f t="shared" si="2"/>
        <v>18719497</v>
      </c>
      <c r="Q70" s="431">
        <v>2786426</v>
      </c>
      <c r="R70" s="431">
        <v>4531029</v>
      </c>
      <c r="S70" s="431">
        <v>104893</v>
      </c>
      <c r="T70" s="431">
        <v>0</v>
      </c>
      <c r="U70" s="431">
        <v>0</v>
      </c>
      <c r="V70" s="431">
        <v>0</v>
      </c>
      <c r="W70" s="431">
        <v>0</v>
      </c>
      <c r="X70" s="431">
        <v>472797</v>
      </c>
      <c r="Y70" s="431">
        <v>90100</v>
      </c>
      <c r="Z70" s="431">
        <v>10237014</v>
      </c>
      <c r="AA70" s="431">
        <v>500238</v>
      </c>
      <c r="AB70" s="431">
        <v>-3000</v>
      </c>
      <c r="AC70" s="431">
        <v>1323287</v>
      </c>
      <c r="AD70" s="431">
        <v>756636</v>
      </c>
      <c r="AE70" s="431">
        <v>1989765</v>
      </c>
      <c r="AF70" s="431">
        <v>0</v>
      </c>
      <c r="AG70" s="431">
        <v>2928507</v>
      </c>
      <c r="AH70" s="431">
        <v>675482</v>
      </c>
      <c r="AI70" s="431">
        <v>3314394</v>
      </c>
      <c r="AJ70" s="431">
        <v>1405193</v>
      </c>
      <c r="AK70" s="431">
        <v>0</v>
      </c>
      <c r="AL70" s="431">
        <v>6326233</v>
      </c>
      <c r="AM70" s="431">
        <v>0</v>
      </c>
    </row>
    <row r="71" spans="1:39" s="155" customFormat="1" ht="12" x14ac:dyDescent="0.2">
      <c r="A71" s="168">
        <v>17</v>
      </c>
      <c r="B71" s="490">
        <v>14753</v>
      </c>
      <c r="C71" s="491" t="s">
        <v>2407</v>
      </c>
      <c r="D71" s="432">
        <f t="shared" si="10"/>
        <v>4223154</v>
      </c>
      <c r="E71" s="431">
        <v>1760253</v>
      </c>
      <c r="F71" s="431">
        <v>406516</v>
      </c>
      <c r="G71" s="431">
        <v>881909</v>
      </c>
      <c r="H71" s="431">
        <v>0</v>
      </c>
      <c r="I71" s="431">
        <v>1196559</v>
      </c>
      <c r="J71" s="431">
        <v>50000</v>
      </c>
      <c r="K71" s="431">
        <v>152290</v>
      </c>
      <c r="L71" s="431">
        <v>0</v>
      </c>
      <c r="M71" s="431">
        <v>943651</v>
      </c>
      <c r="N71" s="431">
        <v>74737</v>
      </c>
      <c r="O71" s="431">
        <v>45664</v>
      </c>
      <c r="P71" s="432">
        <f t="shared" si="2"/>
        <v>3909488</v>
      </c>
      <c r="Q71" s="431">
        <v>1402021</v>
      </c>
      <c r="R71" s="431">
        <v>758364</v>
      </c>
      <c r="S71" s="431">
        <v>13800</v>
      </c>
      <c r="T71" s="431">
        <v>0</v>
      </c>
      <c r="U71" s="431">
        <v>23669</v>
      </c>
      <c r="V71" s="431">
        <v>25608</v>
      </c>
      <c r="W71" s="431">
        <v>589522</v>
      </c>
      <c r="X71" s="431">
        <v>237679</v>
      </c>
      <c r="Y71" s="431">
        <v>0</v>
      </c>
      <c r="Z71" s="431">
        <v>839948</v>
      </c>
      <c r="AA71" s="431">
        <v>20833</v>
      </c>
      <c r="AB71" s="431">
        <v>-1956</v>
      </c>
      <c r="AC71" s="431">
        <v>714034</v>
      </c>
      <c r="AD71" s="431">
        <v>13780</v>
      </c>
      <c r="AE71" s="431">
        <v>1107365</v>
      </c>
      <c r="AF71" s="431">
        <v>0</v>
      </c>
      <c r="AG71" s="431">
        <v>217613</v>
      </c>
      <c r="AH71" s="431">
        <v>237679</v>
      </c>
      <c r="AI71" s="431">
        <v>136436</v>
      </c>
      <c r="AJ71" s="431">
        <v>813954</v>
      </c>
      <c r="AK71" s="431">
        <v>0</v>
      </c>
      <c r="AL71" s="431">
        <v>564972</v>
      </c>
      <c r="AM71" s="431">
        <v>103655</v>
      </c>
    </row>
    <row r="72" spans="1:39" s="155" customFormat="1" ht="12" x14ac:dyDescent="0.2">
      <c r="A72" s="168">
        <v>18</v>
      </c>
      <c r="B72" s="490">
        <v>14851</v>
      </c>
      <c r="C72" s="491" t="s">
        <v>2408</v>
      </c>
      <c r="D72" s="432">
        <f t="shared" si="10"/>
        <v>5299499</v>
      </c>
      <c r="E72" s="431">
        <v>2089347</v>
      </c>
      <c r="F72" s="431">
        <v>544831</v>
      </c>
      <c r="G72" s="431">
        <v>795977</v>
      </c>
      <c r="H72" s="431">
        <v>0</v>
      </c>
      <c r="I72" s="431">
        <v>2148721</v>
      </c>
      <c r="J72" s="431">
        <v>50000</v>
      </c>
      <c r="K72" s="431">
        <v>590390</v>
      </c>
      <c r="L72" s="431">
        <v>0</v>
      </c>
      <c r="M72" s="431">
        <v>106172</v>
      </c>
      <c r="N72" s="431">
        <v>314869</v>
      </c>
      <c r="O72" s="431">
        <v>0</v>
      </c>
      <c r="P72" s="432">
        <f t="shared" si="2"/>
        <v>4646281</v>
      </c>
      <c r="Q72" s="431">
        <v>2621678</v>
      </c>
      <c r="R72" s="431">
        <v>1349666</v>
      </c>
      <c r="S72" s="431">
        <v>0</v>
      </c>
      <c r="T72" s="431">
        <v>0</v>
      </c>
      <c r="U72" s="431">
        <v>0</v>
      </c>
      <c r="V72" s="431">
        <v>0</v>
      </c>
      <c r="W72" s="431">
        <v>421600</v>
      </c>
      <c r="X72" s="431">
        <v>208002</v>
      </c>
      <c r="Y72" s="431">
        <v>5952</v>
      </c>
      <c r="Z72" s="431">
        <v>39383</v>
      </c>
      <c r="AA72" s="431">
        <v>0</v>
      </c>
      <c r="AB72" s="431">
        <v>0</v>
      </c>
      <c r="AC72" s="431">
        <v>1333536</v>
      </c>
      <c r="AD72" s="431">
        <v>189313</v>
      </c>
      <c r="AE72" s="431">
        <v>2110476</v>
      </c>
      <c r="AF72" s="431">
        <v>0</v>
      </c>
      <c r="AG72" s="431">
        <v>118163</v>
      </c>
      <c r="AH72" s="431">
        <v>454414</v>
      </c>
      <c r="AI72" s="431">
        <v>210207</v>
      </c>
      <c r="AJ72" s="431">
        <v>120286</v>
      </c>
      <c r="AK72" s="431">
        <v>0</v>
      </c>
      <c r="AL72" s="431">
        <v>109886</v>
      </c>
      <c r="AM72" s="431">
        <v>0</v>
      </c>
    </row>
    <row r="73" spans="1:39" s="155" customFormat="1" ht="12" x14ac:dyDescent="0.2">
      <c r="A73" s="168">
        <v>19</v>
      </c>
      <c r="B73" s="490">
        <v>14922</v>
      </c>
      <c r="C73" s="491" t="s">
        <v>2409</v>
      </c>
      <c r="D73" s="432">
        <f t="shared" si="10"/>
        <v>4448345</v>
      </c>
      <c r="E73" s="431">
        <v>1670913</v>
      </c>
      <c r="F73" s="431">
        <v>128344</v>
      </c>
      <c r="G73" s="431">
        <v>1127004</v>
      </c>
      <c r="H73" s="431">
        <v>0</v>
      </c>
      <c r="I73" s="431">
        <v>2112116</v>
      </c>
      <c r="J73" s="431">
        <v>99919</v>
      </c>
      <c r="K73" s="431">
        <v>257960</v>
      </c>
      <c r="L73" s="431">
        <v>0</v>
      </c>
      <c r="M73" s="431">
        <v>80399</v>
      </c>
      <c r="N73" s="431">
        <v>223543</v>
      </c>
      <c r="O73" s="431">
        <v>3495</v>
      </c>
      <c r="P73" s="432">
        <f t="shared" si="2"/>
        <v>4197635</v>
      </c>
      <c r="Q73" s="431">
        <v>2311909</v>
      </c>
      <c r="R73" s="431">
        <v>771515</v>
      </c>
      <c r="S73" s="431">
        <v>0</v>
      </c>
      <c r="T73" s="431">
        <v>0</v>
      </c>
      <c r="U73" s="431">
        <v>0</v>
      </c>
      <c r="V73" s="431">
        <v>5027</v>
      </c>
      <c r="W73" s="431">
        <v>285897</v>
      </c>
      <c r="X73" s="431">
        <v>286499</v>
      </c>
      <c r="Y73" s="431">
        <v>0</v>
      </c>
      <c r="Z73" s="431">
        <v>541840</v>
      </c>
      <c r="AA73" s="431">
        <v>0</v>
      </c>
      <c r="AB73" s="431">
        <v>-5052</v>
      </c>
      <c r="AC73" s="431">
        <v>1029918</v>
      </c>
      <c r="AD73" s="431">
        <v>42429</v>
      </c>
      <c r="AE73" s="431">
        <v>1896641</v>
      </c>
      <c r="AF73" s="431">
        <v>0</v>
      </c>
      <c r="AG73" s="431">
        <v>66511</v>
      </c>
      <c r="AH73" s="431">
        <v>309076</v>
      </c>
      <c r="AI73" s="431">
        <v>121654</v>
      </c>
      <c r="AJ73" s="431">
        <v>92330</v>
      </c>
      <c r="AK73" s="431">
        <v>0</v>
      </c>
      <c r="AL73" s="431">
        <v>630076</v>
      </c>
      <c r="AM73" s="431">
        <v>9000</v>
      </c>
    </row>
    <row r="74" spans="1:39" s="155" customFormat="1" ht="12" x14ac:dyDescent="0.2">
      <c r="A74" s="168">
        <v>20</v>
      </c>
      <c r="B74" s="490">
        <v>14940</v>
      </c>
      <c r="C74" s="491" t="s">
        <v>2410</v>
      </c>
      <c r="D74" s="432">
        <f t="shared" si="10"/>
        <v>10251615</v>
      </c>
      <c r="E74" s="431">
        <v>2630351</v>
      </c>
      <c r="F74" s="431">
        <v>654382</v>
      </c>
      <c r="G74" s="431">
        <v>825816</v>
      </c>
      <c r="H74" s="431">
        <v>0</v>
      </c>
      <c r="I74" s="431">
        <v>3220476</v>
      </c>
      <c r="J74" s="431">
        <v>230000</v>
      </c>
      <c r="K74" s="431">
        <v>1274570</v>
      </c>
      <c r="L74" s="431">
        <v>0</v>
      </c>
      <c r="M74" s="431">
        <v>1052379</v>
      </c>
      <c r="N74" s="431">
        <v>1840349</v>
      </c>
      <c r="O74" s="431">
        <v>3490</v>
      </c>
      <c r="P74" s="432">
        <f t="shared" si="2"/>
        <v>10763245</v>
      </c>
      <c r="Q74" s="431">
        <v>3640971</v>
      </c>
      <c r="R74" s="431">
        <v>1518291</v>
      </c>
      <c r="S74" s="431">
        <v>6881</v>
      </c>
      <c r="T74" s="431">
        <v>0</v>
      </c>
      <c r="U74" s="431">
        <v>0</v>
      </c>
      <c r="V74" s="431">
        <v>0</v>
      </c>
      <c r="W74" s="431">
        <v>4930155</v>
      </c>
      <c r="X74" s="431">
        <v>401767</v>
      </c>
      <c r="Y74" s="431">
        <v>0</v>
      </c>
      <c r="Z74" s="431">
        <v>204150</v>
      </c>
      <c r="AA74" s="431">
        <v>62592</v>
      </c>
      <c r="AB74" s="431">
        <v>-1562</v>
      </c>
      <c r="AC74" s="431">
        <v>1130025</v>
      </c>
      <c r="AD74" s="431">
        <v>61200</v>
      </c>
      <c r="AE74" s="431">
        <v>2745413</v>
      </c>
      <c r="AF74" s="431">
        <v>0</v>
      </c>
      <c r="AG74" s="431">
        <v>369695</v>
      </c>
      <c r="AH74" s="431">
        <v>632165</v>
      </c>
      <c r="AI74" s="431">
        <v>521239</v>
      </c>
      <c r="AJ74" s="431">
        <v>31011</v>
      </c>
      <c r="AK74" s="431">
        <v>0</v>
      </c>
      <c r="AL74" s="431">
        <v>5246703</v>
      </c>
      <c r="AM74" s="431">
        <v>25794</v>
      </c>
    </row>
    <row r="75" spans="1:39" s="155" customFormat="1" ht="12" x14ac:dyDescent="0.2">
      <c r="A75" s="168">
        <v>21</v>
      </c>
      <c r="B75" s="490">
        <v>15064</v>
      </c>
      <c r="C75" s="491" t="s">
        <v>2411</v>
      </c>
      <c r="D75" s="432">
        <f t="shared" si="10"/>
        <v>7901731</v>
      </c>
      <c r="E75" s="431">
        <v>2017076</v>
      </c>
      <c r="F75" s="431">
        <v>306950</v>
      </c>
      <c r="G75" s="431">
        <v>882068</v>
      </c>
      <c r="H75" s="431">
        <v>0</v>
      </c>
      <c r="I75" s="431">
        <v>1526790</v>
      </c>
      <c r="J75" s="431">
        <v>200000</v>
      </c>
      <c r="K75" s="431">
        <v>219040</v>
      </c>
      <c r="L75" s="431">
        <v>0</v>
      </c>
      <c r="M75" s="431">
        <v>94485</v>
      </c>
      <c r="N75" s="431">
        <v>206845</v>
      </c>
      <c r="O75" s="431">
        <v>3637495</v>
      </c>
      <c r="P75" s="432">
        <f t="shared" si="2"/>
        <v>7586713</v>
      </c>
      <c r="Q75" s="431">
        <v>1820761</v>
      </c>
      <c r="R75" s="431">
        <v>640912</v>
      </c>
      <c r="S75" s="431">
        <v>85000</v>
      </c>
      <c r="T75" s="431">
        <v>0</v>
      </c>
      <c r="U75" s="431">
        <v>0</v>
      </c>
      <c r="V75" s="431">
        <v>0</v>
      </c>
      <c r="W75" s="431">
        <v>310148</v>
      </c>
      <c r="X75" s="431">
        <v>276141</v>
      </c>
      <c r="Y75" s="431">
        <v>14991</v>
      </c>
      <c r="Z75" s="431">
        <v>4237842</v>
      </c>
      <c r="AA75" s="431">
        <v>257000</v>
      </c>
      <c r="AB75" s="431">
        <v>-56082</v>
      </c>
      <c r="AC75" s="431">
        <v>804423</v>
      </c>
      <c r="AD75" s="431">
        <v>19060</v>
      </c>
      <c r="AE75" s="431">
        <v>1465441</v>
      </c>
      <c r="AF75" s="431">
        <v>0</v>
      </c>
      <c r="AG75" s="431">
        <v>30561</v>
      </c>
      <c r="AH75" s="431">
        <v>429357</v>
      </c>
      <c r="AI75" s="431">
        <v>563864</v>
      </c>
      <c r="AJ75" s="431">
        <v>4167863</v>
      </c>
      <c r="AK75" s="431">
        <v>0</v>
      </c>
      <c r="AL75" s="431">
        <v>106144</v>
      </c>
      <c r="AM75" s="431">
        <v>0</v>
      </c>
    </row>
    <row r="76" spans="1:39" s="155" customFormat="1" ht="12" x14ac:dyDescent="0.2">
      <c r="A76" s="168">
        <v>22</v>
      </c>
      <c r="B76" s="490">
        <v>15108</v>
      </c>
      <c r="C76" s="491" t="s">
        <v>2412</v>
      </c>
      <c r="D76" s="432">
        <f t="shared" si="10"/>
        <v>12808987</v>
      </c>
      <c r="E76" s="431">
        <v>3275633</v>
      </c>
      <c r="F76" s="431">
        <v>1045643</v>
      </c>
      <c r="G76" s="431">
        <v>944406</v>
      </c>
      <c r="H76" s="431">
        <v>0</v>
      </c>
      <c r="I76" s="431">
        <v>6288609</v>
      </c>
      <c r="J76" s="431">
        <v>200000</v>
      </c>
      <c r="K76" s="431">
        <v>1395520</v>
      </c>
      <c r="L76" s="431">
        <v>0</v>
      </c>
      <c r="M76" s="431">
        <v>1618748</v>
      </c>
      <c r="N76" s="431">
        <v>19992</v>
      </c>
      <c r="O76" s="431">
        <v>10485</v>
      </c>
      <c r="P76" s="432">
        <f t="shared" si="2"/>
        <v>13094212</v>
      </c>
      <c r="Q76" s="431">
        <v>6923768</v>
      </c>
      <c r="R76" s="431">
        <v>1924262</v>
      </c>
      <c r="S76" s="431">
        <v>0</v>
      </c>
      <c r="T76" s="431">
        <v>0</v>
      </c>
      <c r="U76" s="431">
        <v>88445</v>
      </c>
      <c r="V76" s="431">
        <v>0</v>
      </c>
      <c r="W76" s="431">
        <v>431814</v>
      </c>
      <c r="X76" s="431">
        <v>561336</v>
      </c>
      <c r="Y76" s="431">
        <v>5000</v>
      </c>
      <c r="Z76" s="431">
        <v>3164100</v>
      </c>
      <c r="AA76" s="431">
        <v>0</v>
      </c>
      <c r="AB76" s="431">
        <v>-4513</v>
      </c>
      <c r="AC76" s="431">
        <v>1943190</v>
      </c>
      <c r="AD76" s="431">
        <v>34830</v>
      </c>
      <c r="AE76" s="431">
        <v>5674261</v>
      </c>
      <c r="AF76" s="431">
        <v>15701</v>
      </c>
      <c r="AG76" s="431">
        <v>247348</v>
      </c>
      <c r="AH76" s="431">
        <v>1057242</v>
      </c>
      <c r="AI76" s="431">
        <v>2477262</v>
      </c>
      <c r="AJ76" s="431">
        <v>377900</v>
      </c>
      <c r="AK76" s="431">
        <v>0</v>
      </c>
      <c r="AL76" s="431">
        <v>1266478</v>
      </c>
      <c r="AM76" s="431">
        <v>0</v>
      </c>
    </row>
    <row r="77" spans="1:39" s="155" customFormat="1" ht="12" x14ac:dyDescent="0.2">
      <c r="A77" s="168">
        <v>23</v>
      </c>
      <c r="B77" s="490">
        <v>15233</v>
      </c>
      <c r="C77" s="491" t="s">
        <v>2413</v>
      </c>
      <c r="D77" s="432">
        <f t="shared" si="10"/>
        <v>7381775</v>
      </c>
      <c r="E77" s="431">
        <v>3238208</v>
      </c>
      <c r="F77" s="431">
        <v>871462</v>
      </c>
      <c r="G77" s="431">
        <v>337392</v>
      </c>
      <c r="H77" s="431">
        <v>0</v>
      </c>
      <c r="I77" s="431">
        <v>3113120</v>
      </c>
      <c r="J77" s="431">
        <v>40000</v>
      </c>
      <c r="K77" s="431">
        <v>524360</v>
      </c>
      <c r="L77" s="431">
        <v>0</v>
      </c>
      <c r="M77" s="431">
        <v>444254</v>
      </c>
      <c r="N77" s="431">
        <v>0</v>
      </c>
      <c r="O77" s="431">
        <v>21833</v>
      </c>
      <c r="P77" s="432">
        <f t="shared" si="2"/>
        <v>7003513</v>
      </c>
      <c r="Q77" s="431">
        <v>3379553</v>
      </c>
      <c r="R77" s="431">
        <v>1162324</v>
      </c>
      <c r="S77" s="431">
        <v>0</v>
      </c>
      <c r="T77" s="431">
        <v>0</v>
      </c>
      <c r="U77" s="431">
        <v>0</v>
      </c>
      <c r="V77" s="431">
        <v>0</v>
      </c>
      <c r="W77" s="431">
        <v>0</v>
      </c>
      <c r="X77" s="431">
        <v>157836</v>
      </c>
      <c r="Y77" s="431">
        <v>75000</v>
      </c>
      <c r="Z77" s="431">
        <v>2253328</v>
      </c>
      <c r="AA77" s="431">
        <v>0</v>
      </c>
      <c r="AB77" s="431">
        <v>-24528</v>
      </c>
      <c r="AC77" s="431">
        <v>1394053</v>
      </c>
      <c r="AD77" s="431">
        <v>114504</v>
      </c>
      <c r="AE77" s="431">
        <v>3928792</v>
      </c>
      <c r="AF77" s="431">
        <v>0</v>
      </c>
      <c r="AG77" s="431">
        <v>127473</v>
      </c>
      <c r="AH77" s="431">
        <v>269822</v>
      </c>
      <c r="AI77" s="431">
        <v>589448</v>
      </c>
      <c r="AJ77" s="431">
        <v>0</v>
      </c>
      <c r="AK77" s="431">
        <v>0</v>
      </c>
      <c r="AL77" s="431">
        <v>565854</v>
      </c>
      <c r="AM77" s="431">
        <v>13567</v>
      </c>
    </row>
    <row r="78" spans="1:39" s="155" customFormat="1" ht="12" x14ac:dyDescent="0.2">
      <c r="A78" s="168">
        <v>24</v>
      </c>
      <c r="B78" s="490">
        <v>15313</v>
      </c>
      <c r="C78" s="491" t="s">
        <v>2414</v>
      </c>
      <c r="D78" s="432">
        <f t="shared" si="10"/>
        <v>5087273</v>
      </c>
      <c r="E78" s="431">
        <v>1706666</v>
      </c>
      <c r="F78" s="431">
        <v>155004</v>
      </c>
      <c r="G78" s="431">
        <v>1246369</v>
      </c>
      <c r="H78" s="431">
        <v>0</v>
      </c>
      <c r="I78" s="431">
        <v>2028547</v>
      </c>
      <c r="J78" s="431">
        <v>150000</v>
      </c>
      <c r="K78" s="431">
        <v>210450</v>
      </c>
      <c r="L78" s="431">
        <v>0</v>
      </c>
      <c r="M78" s="431">
        <v>298565</v>
      </c>
      <c r="N78" s="431">
        <v>686145</v>
      </c>
      <c r="O78" s="431">
        <v>6900</v>
      </c>
      <c r="P78" s="432">
        <f t="shared" si="2"/>
        <v>5098176</v>
      </c>
      <c r="Q78" s="431">
        <v>2312840</v>
      </c>
      <c r="R78" s="431">
        <v>1209749</v>
      </c>
      <c r="S78" s="431">
        <v>0</v>
      </c>
      <c r="T78" s="431">
        <v>0</v>
      </c>
      <c r="U78" s="431">
        <v>0</v>
      </c>
      <c r="V78" s="431">
        <v>0</v>
      </c>
      <c r="W78" s="431">
        <v>1151623</v>
      </c>
      <c r="X78" s="431">
        <v>170364</v>
      </c>
      <c r="Y78" s="431">
        <v>0</v>
      </c>
      <c r="Z78" s="431">
        <v>253600</v>
      </c>
      <c r="AA78" s="431">
        <v>0</v>
      </c>
      <c r="AB78" s="431">
        <v>0</v>
      </c>
      <c r="AC78" s="431">
        <v>1262386</v>
      </c>
      <c r="AD78" s="431">
        <v>0</v>
      </c>
      <c r="AE78" s="431">
        <v>2944090</v>
      </c>
      <c r="AF78" s="431">
        <v>0</v>
      </c>
      <c r="AG78" s="431">
        <v>31799</v>
      </c>
      <c r="AH78" s="431">
        <v>304436</v>
      </c>
      <c r="AI78" s="431">
        <v>167254</v>
      </c>
      <c r="AJ78" s="431">
        <v>0</v>
      </c>
      <c r="AK78" s="431">
        <v>0</v>
      </c>
      <c r="AL78" s="431">
        <v>388211</v>
      </c>
      <c r="AM78" s="431">
        <v>0</v>
      </c>
    </row>
    <row r="79" spans="1:39" s="155" customFormat="1" ht="12" x14ac:dyDescent="0.2">
      <c r="A79" s="168">
        <v>25</v>
      </c>
      <c r="B79" s="490">
        <v>15402</v>
      </c>
      <c r="C79" s="491" t="s">
        <v>2415</v>
      </c>
      <c r="D79" s="432">
        <f t="shared" si="10"/>
        <v>5338930</v>
      </c>
      <c r="E79" s="431">
        <v>1998286</v>
      </c>
      <c r="F79" s="431">
        <v>359301</v>
      </c>
      <c r="G79" s="431">
        <v>922214</v>
      </c>
      <c r="H79" s="431">
        <v>0</v>
      </c>
      <c r="I79" s="431">
        <v>2428954</v>
      </c>
      <c r="J79" s="431">
        <v>74737</v>
      </c>
      <c r="K79" s="431">
        <v>319550</v>
      </c>
      <c r="L79" s="431">
        <v>0</v>
      </c>
      <c r="M79" s="431">
        <v>439608</v>
      </c>
      <c r="N79" s="431">
        <v>77795</v>
      </c>
      <c r="O79" s="431">
        <v>0</v>
      </c>
      <c r="P79" s="432">
        <f t="shared" ref="P79:P142" si="11">IF(SUM(Q79:AB79)=SUM(AC79:AM79),SUM(Q79:AB79),"  EROARE ART/CAP")</f>
        <v>4756431</v>
      </c>
      <c r="Q79" s="431">
        <v>2750618</v>
      </c>
      <c r="R79" s="431">
        <v>847560</v>
      </c>
      <c r="S79" s="431">
        <v>0</v>
      </c>
      <c r="T79" s="431">
        <v>0</v>
      </c>
      <c r="U79" s="431">
        <v>0</v>
      </c>
      <c r="V79" s="431">
        <v>0</v>
      </c>
      <c r="W79" s="431">
        <v>0</v>
      </c>
      <c r="X79" s="431">
        <v>255401</v>
      </c>
      <c r="Y79" s="431">
        <v>0</v>
      </c>
      <c r="Z79" s="431">
        <v>902852</v>
      </c>
      <c r="AA79" s="431">
        <v>0</v>
      </c>
      <c r="AB79" s="431">
        <v>0</v>
      </c>
      <c r="AC79" s="431">
        <v>1154251</v>
      </c>
      <c r="AD79" s="431">
        <v>54372</v>
      </c>
      <c r="AE79" s="431">
        <v>2177802</v>
      </c>
      <c r="AF79" s="431">
        <v>25070</v>
      </c>
      <c r="AG79" s="431">
        <v>202601</v>
      </c>
      <c r="AH79" s="431">
        <v>420820</v>
      </c>
      <c r="AI79" s="431">
        <v>201765</v>
      </c>
      <c r="AJ79" s="431">
        <v>71742</v>
      </c>
      <c r="AK79" s="431">
        <v>0</v>
      </c>
      <c r="AL79" s="431">
        <v>441209</v>
      </c>
      <c r="AM79" s="431">
        <v>6799</v>
      </c>
    </row>
    <row r="80" spans="1:39" s="155" customFormat="1" ht="12" x14ac:dyDescent="0.2">
      <c r="A80" s="168">
        <v>26</v>
      </c>
      <c r="B80" s="490">
        <v>15448</v>
      </c>
      <c r="C80" s="491" t="s">
        <v>2416</v>
      </c>
      <c r="D80" s="432">
        <f t="shared" si="10"/>
        <v>12576887</v>
      </c>
      <c r="E80" s="431">
        <v>1779160</v>
      </c>
      <c r="F80" s="431">
        <v>166542</v>
      </c>
      <c r="G80" s="431">
        <v>1356172</v>
      </c>
      <c r="H80" s="431">
        <v>0</v>
      </c>
      <c r="I80" s="431">
        <v>1340911</v>
      </c>
      <c r="J80" s="431">
        <v>750000</v>
      </c>
      <c r="K80" s="431">
        <v>447270</v>
      </c>
      <c r="L80" s="431">
        <v>0</v>
      </c>
      <c r="M80" s="431">
        <v>6586975</v>
      </c>
      <c r="N80" s="431">
        <v>1669076</v>
      </c>
      <c r="O80" s="431">
        <v>3495</v>
      </c>
      <c r="P80" s="432">
        <f t="shared" si="11"/>
        <v>12473782</v>
      </c>
      <c r="Q80" s="431">
        <v>1699754</v>
      </c>
      <c r="R80" s="431">
        <v>1439940</v>
      </c>
      <c r="S80" s="431">
        <v>92865</v>
      </c>
      <c r="T80" s="431">
        <v>0</v>
      </c>
      <c r="U80" s="431">
        <v>0</v>
      </c>
      <c r="V80" s="431">
        <v>89952</v>
      </c>
      <c r="W80" s="431">
        <v>2799813</v>
      </c>
      <c r="X80" s="431">
        <v>89081</v>
      </c>
      <c r="Y80" s="431">
        <v>18000</v>
      </c>
      <c r="Z80" s="431">
        <v>6139756</v>
      </c>
      <c r="AA80" s="431">
        <v>139227</v>
      </c>
      <c r="AB80" s="431">
        <v>-34606</v>
      </c>
      <c r="AC80" s="431">
        <v>1377599</v>
      </c>
      <c r="AD80" s="431">
        <v>26032</v>
      </c>
      <c r="AE80" s="431">
        <v>4108748</v>
      </c>
      <c r="AF80" s="431">
        <v>0</v>
      </c>
      <c r="AG80" s="431">
        <v>422280</v>
      </c>
      <c r="AH80" s="431">
        <v>293170</v>
      </c>
      <c r="AI80" s="431">
        <v>223763</v>
      </c>
      <c r="AJ80" s="431">
        <v>0</v>
      </c>
      <c r="AK80" s="431">
        <v>0</v>
      </c>
      <c r="AL80" s="431">
        <v>6022190</v>
      </c>
      <c r="AM80" s="431">
        <v>0</v>
      </c>
    </row>
    <row r="81" spans="1:39" s="155" customFormat="1" ht="12" x14ac:dyDescent="0.2">
      <c r="A81" s="168">
        <v>27</v>
      </c>
      <c r="B81" s="490">
        <v>15493</v>
      </c>
      <c r="C81" s="491" t="s">
        <v>2417</v>
      </c>
      <c r="D81" s="432">
        <f t="shared" si="10"/>
        <v>6431521</v>
      </c>
      <c r="E81" s="431">
        <v>1842007</v>
      </c>
      <c r="F81" s="431">
        <v>124043</v>
      </c>
      <c r="G81" s="431">
        <v>1234215</v>
      </c>
      <c r="H81" s="431">
        <v>0</v>
      </c>
      <c r="I81" s="431">
        <v>1408833</v>
      </c>
      <c r="J81" s="431">
        <v>172000</v>
      </c>
      <c r="K81" s="431">
        <v>342350</v>
      </c>
      <c r="L81" s="431">
        <v>0</v>
      </c>
      <c r="M81" s="431">
        <v>2516855</v>
      </c>
      <c r="N81" s="431">
        <v>149476</v>
      </c>
      <c r="O81" s="431">
        <v>0</v>
      </c>
      <c r="P81" s="432">
        <f t="shared" si="11"/>
        <v>7429029</v>
      </c>
      <c r="Q81" s="431">
        <v>1863719</v>
      </c>
      <c r="R81" s="431">
        <v>1765953</v>
      </c>
      <c r="S81" s="431">
        <v>0</v>
      </c>
      <c r="T81" s="431">
        <v>0</v>
      </c>
      <c r="U81" s="431">
        <v>0</v>
      </c>
      <c r="V81" s="431">
        <v>0</v>
      </c>
      <c r="W81" s="431">
        <v>396072</v>
      </c>
      <c r="X81" s="431">
        <v>109599</v>
      </c>
      <c r="Y81" s="431">
        <v>3993</v>
      </c>
      <c r="Z81" s="431">
        <v>3290044</v>
      </c>
      <c r="AA81" s="431">
        <v>0</v>
      </c>
      <c r="AB81" s="431">
        <v>-351</v>
      </c>
      <c r="AC81" s="431">
        <v>712862</v>
      </c>
      <c r="AD81" s="431">
        <v>181780</v>
      </c>
      <c r="AE81" s="431">
        <v>1336925</v>
      </c>
      <c r="AF81" s="431">
        <v>0</v>
      </c>
      <c r="AG81" s="431">
        <v>191044</v>
      </c>
      <c r="AH81" s="431">
        <v>168194</v>
      </c>
      <c r="AI81" s="431">
        <v>1378287</v>
      </c>
      <c r="AJ81" s="431">
        <v>1502294</v>
      </c>
      <c r="AK81" s="431">
        <v>0</v>
      </c>
      <c r="AL81" s="431">
        <v>1938681</v>
      </c>
      <c r="AM81" s="431">
        <v>18962</v>
      </c>
    </row>
    <row r="82" spans="1:39" s="155" customFormat="1" ht="12" x14ac:dyDescent="0.2">
      <c r="A82" s="168">
        <v>28</v>
      </c>
      <c r="B82" s="490">
        <v>15554</v>
      </c>
      <c r="C82" s="491" t="s">
        <v>2418</v>
      </c>
      <c r="D82" s="432">
        <f t="shared" si="10"/>
        <v>2639922</v>
      </c>
      <c r="E82" s="431">
        <v>1565981</v>
      </c>
      <c r="F82" s="431">
        <v>60960</v>
      </c>
      <c r="G82" s="431">
        <v>1323136</v>
      </c>
      <c r="H82" s="431">
        <v>0</v>
      </c>
      <c r="I82" s="431">
        <v>778119</v>
      </c>
      <c r="J82" s="431">
        <v>230000</v>
      </c>
      <c r="K82" s="431">
        <v>46090</v>
      </c>
      <c r="L82" s="431">
        <v>0</v>
      </c>
      <c r="M82" s="431">
        <v>19732</v>
      </c>
      <c r="N82" s="431">
        <v>0</v>
      </c>
      <c r="O82" s="431">
        <v>0</v>
      </c>
      <c r="P82" s="432">
        <f t="shared" si="11"/>
        <v>2783820</v>
      </c>
      <c r="Q82" s="431">
        <v>883639</v>
      </c>
      <c r="R82" s="431">
        <v>762589</v>
      </c>
      <c r="S82" s="431">
        <v>0</v>
      </c>
      <c r="T82" s="431">
        <v>0</v>
      </c>
      <c r="U82" s="431">
        <v>0</v>
      </c>
      <c r="V82" s="431">
        <v>0</v>
      </c>
      <c r="W82" s="431">
        <v>0</v>
      </c>
      <c r="X82" s="431">
        <v>157546</v>
      </c>
      <c r="Y82" s="431">
        <v>0</v>
      </c>
      <c r="Z82" s="431">
        <v>993301</v>
      </c>
      <c r="AA82" s="431">
        <v>0</v>
      </c>
      <c r="AB82" s="431">
        <v>-13255</v>
      </c>
      <c r="AC82" s="431">
        <v>682199</v>
      </c>
      <c r="AD82" s="431">
        <v>0</v>
      </c>
      <c r="AE82" s="431">
        <v>679973</v>
      </c>
      <c r="AF82" s="431">
        <v>0</v>
      </c>
      <c r="AG82" s="431">
        <v>135957</v>
      </c>
      <c r="AH82" s="431">
        <v>182726</v>
      </c>
      <c r="AI82" s="431">
        <v>554647</v>
      </c>
      <c r="AJ82" s="431">
        <v>44900</v>
      </c>
      <c r="AK82" s="431">
        <v>0</v>
      </c>
      <c r="AL82" s="431">
        <v>503418</v>
      </c>
      <c r="AM82" s="431">
        <v>0</v>
      </c>
    </row>
    <row r="83" spans="1:39" s="155" customFormat="1" ht="12" x14ac:dyDescent="0.2">
      <c r="A83" s="168">
        <v>29</v>
      </c>
      <c r="B83" s="490">
        <v>15652</v>
      </c>
      <c r="C83" s="491" t="s">
        <v>2419</v>
      </c>
      <c r="D83" s="432">
        <f t="shared" si="10"/>
        <v>3453137</v>
      </c>
      <c r="E83" s="431">
        <v>1691034</v>
      </c>
      <c r="F83" s="431">
        <v>145704</v>
      </c>
      <c r="G83" s="431">
        <v>1169285</v>
      </c>
      <c r="H83" s="431">
        <v>0</v>
      </c>
      <c r="I83" s="431">
        <v>1223513</v>
      </c>
      <c r="J83" s="431">
        <v>200000</v>
      </c>
      <c r="K83" s="431">
        <v>298650</v>
      </c>
      <c r="L83" s="431">
        <v>0</v>
      </c>
      <c r="M83" s="431">
        <v>39940</v>
      </c>
      <c r="N83" s="431">
        <v>0</v>
      </c>
      <c r="O83" s="431">
        <v>0</v>
      </c>
      <c r="P83" s="432">
        <f t="shared" si="11"/>
        <v>3431738</v>
      </c>
      <c r="Q83" s="431">
        <v>1562653</v>
      </c>
      <c r="R83" s="431">
        <v>767887</v>
      </c>
      <c r="S83" s="431">
        <v>0</v>
      </c>
      <c r="T83" s="431">
        <v>0</v>
      </c>
      <c r="U83" s="431">
        <v>0</v>
      </c>
      <c r="V83" s="431">
        <v>0</v>
      </c>
      <c r="W83" s="431">
        <v>0</v>
      </c>
      <c r="X83" s="431">
        <v>98937</v>
      </c>
      <c r="Y83" s="431">
        <v>0</v>
      </c>
      <c r="Z83" s="431">
        <v>1023062</v>
      </c>
      <c r="AA83" s="431">
        <v>0</v>
      </c>
      <c r="AB83" s="431">
        <v>-20801</v>
      </c>
      <c r="AC83" s="431">
        <v>610501</v>
      </c>
      <c r="AD83" s="431">
        <v>17953</v>
      </c>
      <c r="AE83" s="431">
        <v>1124242</v>
      </c>
      <c r="AF83" s="431">
        <v>234902</v>
      </c>
      <c r="AG83" s="431">
        <v>22073</v>
      </c>
      <c r="AH83" s="431">
        <v>224160</v>
      </c>
      <c r="AI83" s="431">
        <v>620405</v>
      </c>
      <c r="AJ83" s="431">
        <v>0</v>
      </c>
      <c r="AK83" s="431">
        <v>0</v>
      </c>
      <c r="AL83" s="431">
        <v>577502</v>
      </c>
      <c r="AM83" s="431">
        <v>0</v>
      </c>
    </row>
    <row r="84" spans="1:39" s="155" customFormat="1" ht="12" x14ac:dyDescent="0.2">
      <c r="A84" s="168">
        <v>30</v>
      </c>
      <c r="B84" s="490">
        <v>15741</v>
      </c>
      <c r="C84" s="491" t="s">
        <v>2420</v>
      </c>
      <c r="D84" s="432">
        <f t="shared" si="10"/>
        <v>8396172</v>
      </c>
      <c r="E84" s="431">
        <v>2251312</v>
      </c>
      <c r="F84" s="431">
        <v>407773</v>
      </c>
      <c r="G84" s="431">
        <v>1222528</v>
      </c>
      <c r="H84" s="431">
        <v>0</v>
      </c>
      <c r="I84" s="431">
        <v>4033211</v>
      </c>
      <c r="J84" s="431">
        <v>200000</v>
      </c>
      <c r="K84" s="431">
        <v>756650</v>
      </c>
      <c r="L84" s="431">
        <v>0</v>
      </c>
      <c r="M84" s="431">
        <v>736414</v>
      </c>
      <c r="N84" s="431">
        <v>93925</v>
      </c>
      <c r="O84" s="431">
        <v>324660</v>
      </c>
      <c r="P84" s="432">
        <f t="shared" si="11"/>
        <v>9460451</v>
      </c>
      <c r="Q84" s="431">
        <v>4310289</v>
      </c>
      <c r="R84" s="431">
        <v>1670982</v>
      </c>
      <c r="S84" s="431">
        <v>0</v>
      </c>
      <c r="T84" s="431">
        <v>0</v>
      </c>
      <c r="U84" s="431">
        <v>0</v>
      </c>
      <c r="V84" s="431">
        <v>200000</v>
      </c>
      <c r="W84" s="431">
        <v>2115074</v>
      </c>
      <c r="X84" s="431">
        <v>321211</v>
      </c>
      <c r="Y84" s="431">
        <v>0</v>
      </c>
      <c r="Z84" s="431">
        <v>849791</v>
      </c>
      <c r="AA84" s="431">
        <v>0</v>
      </c>
      <c r="AB84" s="431">
        <v>-6896</v>
      </c>
      <c r="AC84" s="431">
        <v>1262398</v>
      </c>
      <c r="AD84" s="431">
        <v>1538</v>
      </c>
      <c r="AE84" s="431">
        <v>3806118</v>
      </c>
      <c r="AF84" s="431">
        <v>0</v>
      </c>
      <c r="AG84" s="431">
        <v>0</v>
      </c>
      <c r="AH84" s="431">
        <v>633551</v>
      </c>
      <c r="AI84" s="431">
        <v>360813</v>
      </c>
      <c r="AJ84" s="431">
        <v>74000</v>
      </c>
      <c r="AK84" s="431">
        <v>0</v>
      </c>
      <c r="AL84" s="431">
        <v>3322033</v>
      </c>
      <c r="AM84" s="431">
        <v>0</v>
      </c>
    </row>
    <row r="85" spans="1:39" s="155" customFormat="1" ht="12" x14ac:dyDescent="0.2">
      <c r="A85" s="168">
        <v>31</v>
      </c>
      <c r="B85" s="490">
        <v>15830</v>
      </c>
      <c r="C85" s="491" t="s">
        <v>2421</v>
      </c>
      <c r="D85" s="432">
        <f t="shared" si="10"/>
        <v>6744978</v>
      </c>
      <c r="E85" s="431">
        <v>2337042</v>
      </c>
      <c r="F85" s="431">
        <v>358977</v>
      </c>
      <c r="G85" s="431">
        <v>644052</v>
      </c>
      <c r="H85" s="431">
        <v>0</v>
      </c>
      <c r="I85" s="431">
        <v>2714738</v>
      </c>
      <c r="J85" s="431">
        <v>320000</v>
      </c>
      <c r="K85" s="431">
        <v>812320</v>
      </c>
      <c r="L85" s="431">
        <v>0</v>
      </c>
      <c r="M85" s="431">
        <v>299669</v>
      </c>
      <c r="N85" s="431">
        <v>206070</v>
      </c>
      <c r="O85" s="431">
        <v>55139</v>
      </c>
      <c r="P85" s="432">
        <f t="shared" si="11"/>
        <v>6573569</v>
      </c>
      <c r="Q85" s="431">
        <v>3255006</v>
      </c>
      <c r="R85" s="431">
        <v>1218998</v>
      </c>
      <c r="S85" s="431">
        <v>40397</v>
      </c>
      <c r="T85" s="431">
        <v>0</v>
      </c>
      <c r="U85" s="431">
        <v>0</v>
      </c>
      <c r="V85" s="431">
        <v>4560</v>
      </c>
      <c r="W85" s="431">
        <v>192276</v>
      </c>
      <c r="X85" s="431">
        <v>213826</v>
      </c>
      <c r="Y85" s="431">
        <v>2500</v>
      </c>
      <c r="Z85" s="431">
        <v>1482932</v>
      </c>
      <c r="AA85" s="431">
        <v>205854</v>
      </c>
      <c r="AB85" s="431">
        <v>-42780</v>
      </c>
      <c r="AC85" s="431">
        <v>836400</v>
      </c>
      <c r="AD85" s="431">
        <v>62069</v>
      </c>
      <c r="AE85" s="431">
        <v>2274270</v>
      </c>
      <c r="AF85" s="431">
        <v>0</v>
      </c>
      <c r="AG85" s="431">
        <v>557770</v>
      </c>
      <c r="AH85" s="431">
        <v>543158</v>
      </c>
      <c r="AI85" s="431">
        <v>925710</v>
      </c>
      <c r="AJ85" s="431">
        <v>0</v>
      </c>
      <c r="AK85" s="431">
        <v>0</v>
      </c>
      <c r="AL85" s="431">
        <v>1374192</v>
      </c>
      <c r="AM85" s="431">
        <v>0</v>
      </c>
    </row>
    <row r="86" spans="1:39" s="155" customFormat="1" ht="12" x14ac:dyDescent="0.2">
      <c r="A86" s="168">
        <v>32</v>
      </c>
      <c r="B86" s="490">
        <v>15901</v>
      </c>
      <c r="C86" s="491" t="s">
        <v>2422</v>
      </c>
      <c r="D86" s="432">
        <f t="shared" si="10"/>
        <v>6306973</v>
      </c>
      <c r="E86" s="431">
        <v>2237458</v>
      </c>
      <c r="F86" s="431">
        <v>398346</v>
      </c>
      <c r="G86" s="431">
        <v>1014063</v>
      </c>
      <c r="H86" s="431">
        <v>0</v>
      </c>
      <c r="I86" s="431">
        <v>3249980</v>
      </c>
      <c r="J86" s="431">
        <v>99992</v>
      </c>
      <c r="K86" s="431">
        <v>653080</v>
      </c>
      <c r="L86" s="431">
        <v>0</v>
      </c>
      <c r="M86" s="431">
        <v>54063</v>
      </c>
      <c r="N86" s="431">
        <v>0</v>
      </c>
      <c r="O86" s="431">
        <v>12400</v>
      </c>
      <c r="P86" s="432">
        <f t="shared" si="11"/>
        <v>5972420</v>
      </c>
      <c r="Q86" s="431">
        <v>3495987</v>
      </c>
      <c r="R86" s="431">
        <v>1234007</v>
      </c>
      <c r="S86" s="431">
        <v>0</v>
      </c>
      <c r="T86" s="431">
        <v>0</v>
      </c>
      <c r="U86" s="431">
        <v>0</v>
      </c>
      <c r="V86" s="431">
        <v>0</v>
      </c>
      <c r="W86" s="431">
        <v>0</v>
      </c>
      <c r="X86" s="431">
        <v>442905</v>
      </c>
      <c r="Y86" s="431">
        <v>5500</v>
      </c>
      <c r="Z86" s="431">
        <v>794021</v>
      </c>
      <c r="AA86" s="431">
        <v>0</v>
      </c>
      <c r="AB86" s="431">
        <v>0</v>
      </c>
      <c r="AC86" s="431">
        <v>691589</v>
      </c>
      <c r="AD86" s="431">
        <v>46088</v>
      </c>
      <c r="AE86" s="431">
        <v>2926380</v>
      </c>
      <c r="AF86" s="431">
        <v>0</v>
      </c>
      <c r="AG86" s="431">
        <v>34937</v>
      </c>
      <c r="AH86" s="431">
        <v>625678</v>
      </c>
      <c r="AI86" s="431">
        <v>759195</v>
      </c>
      <c r="AJ86" s="431">
        <v>217339</v>
      </c>
      <c r="AK86" s="431">
        <v>0</v>
      </c>
      <c r="AL86" s="431">
        <v>671214</v>
      </c>
      <c r="AM86" s="431">
        <v>0</v>
      </c>
    </row>
    <row r="87" spans="1:39" s="155" customFormat="1" ht="12" x14ac:dyDescent="0.2">
      <c r="A87" s="168">
        <v>33</v>
      </c>
      <c r="B87" s="490">
        <v>15983</v>
      </c>
      <c r="C87" s="491" t="s">
        <v>2423</v>
      </c>
      <c r="D87" s="432">
        <f t="shared" ref="D87:D118" si="12">E87+SUM(H87:O87)</f>
        <v>4703456</v>
      </c>
      <c r="E87" s="431">
        <v>1673393</v>
      </c>
      <c r="F87" s="431">
        <v>158431</v>
      </c>
      <c r="G87" s="431">
        <v>1127977</v>
      </c>
      <c r="H87" s="431">
        <v>0</v>
      </c>
      <c r="I87" s="431">
        <v>1147577</v>
      </c>
      <c r="J87" s="431">
        <v>347000</v>
      </c>
      <c r="K87" s="431">
        <v>67170</v>
      </c>
      <c r="L87" s="431">
        <v>0</v>
      </c>
      <c r="M87" s="431">
        <v>1466612</v>
      </c>
      <c r="N87" s="431">
        <v>1704</v>
      </c>
      <c r="O87" s="431">
        <v>0</v>
      </c>
      <c r="P87" s="432">
        <f t="shared" si="11"/>
        <v>4700917</v>
      </c>
      <c r="Q87" s="431">
        <v>1588580</v>
      </c>
      <c r="R87" s="431">
        <v>946210</v>
      </c>
      <c r="S87" s="431">
        <v>0</v>
      </c>
      <c r="T87" s="431">
        <v>0</v>
      </c>
      <c r="U87" s="431">
        <v>0</v>
      </c>
      <c r="V87" s="431">
        <v>0</v>
      </c>
      <c r="W87" s="431">
        <v>0</v>
      </c>
      <c r="X87" s="431">
        <v>164496</v>
      </c>
      <c r="Y87" s="431">
        <v>0</v>
      </c>
      <c r="Z87" s="431">
        <v>2020296</v>
      </c>
      <c r="AA87" s="431">
        <v>0</v>
      </c>
      <c r="AB87" s="431">
        <v>-18665</v>
      </c>
      <c r="AC87" s="431">
        <v>831755</v>
      </c>
      <c r="AD87" s="431">
        <v>28163</v>
      </c>
      <c r="AE87" s="431">
        <v>1008852</v>
      </c>
      <c r="AF87" s="431">
        <v>0</v>
      </c>
      <c r="AG87" s="431">
        <v>93011</v>
      </c>
      <c r="AH87" s="431">
        <v>243716</v>
      </c>
      <c r="AI87" s="431">
        <v>1963995</v>
      </c>
      <c r="AJ87" s="431">
        <v>40008</v>
      </c>
      <c r="AK87" s="431">
        <v>0</v>
      </c>
      <c r="AL87" s="431">
        <v>491417</v>
      </c>
      <c r="AM87" s="431">
        <v>0</v>
      </c>
    </row>
    <row r="88" spans="1:39" s="155" customFormat="1" ht="12" x14ac:dyDescent="0.2">
      <c r="A88" s="168">
        <v>34</v>
      </c>
      <c r="B88" s="490">
        <v>16132</v>
      </c>
      <c r="C88" s="491" t="s">
        <v>2424</v>
      </c>
      <c r="D88" s="432">
        <f t="shared" si="12"/>
        <v>4710052</v>
      </c>
      <c r="E88" s="431">
        <v>1930407</v>
      </c>
      <c r="F88" s="431">
        <v>334835</v>
      </c>
      <c r="G88" s="431">
        <v>982616</v>
      </c>
      <c r="H88" s="431">
        <v>0</v>
      </c>
      <c r="I88" s="431">
        <v>1060938</v>
      </c>
      <c r="J88" s="431">
        <v>80000</v>
      </c>
      <c r="K88" s="431">
        <v>108100</v>
      </c>
      <c r="L88" s="431">
        <v>0</v>
      </c>
      <c r="M88" s="431">
        <v>1530607</v>
      </c>
      <c r="N88" s="431">
        <v>0</v>
      </c>
      <c r="O88" s="431">
        <v>0</v>
      </c>
      <c r="P88" s="432">
        <f t="shared" si="11"/>
        <v>3987639</v>
      </c>
      <c r="Q88" s="431">
        <v>1253131</v>
      </c>
      <c r="R88" s="431">
        <v>478747</v>
      </c>
      <c r="S88" s="431">
        <v>0</v>
      </c>
      <c r="T88" s="431">
        <v>0</v>
      </c>
      <c r="U88" s="431">
        <v>0</v>
      </c>
      <c r="V88" s="431">
        <v>0</v>
      </c>
      <c r="W88" s="431">
        <v>0</v>
      </c>
      <c r="X88" s="431">
        <v>114687</v>
      </c>
      <c r="Y88" s="431">
        <v>33000</v>
      </c>
      <c r="Z88" s="431">
        <v>2109453</v>
      </c>
      <c r="AA88" s="431">
        <v>0</v>
      </c>
      <c r="AB88" s="431">
        <v>-1379</v>
      </c>
      <c r="AC88" s="431">
        <v>496225</v>
      </c>
      <c r="AD88" s="431">
        <v>0</v>
      </c>
      <c r="AE88" s="431">
        <v>1000937</v>
      </c>
      <c r="AF88" s="431">
        <v>0</v>
      </c>
      <c r="AG88" s="431">
        <v>50605</v>
      </c>
      <c r="AH88" s="431">
        <v>129389</v>
      </c>
      <c r="AI88" s="431">
        <v>64448</v>
      </c>
      <c r="AJ88" s="431">
        <v>35157</v>
      </c>
      <c r="AK88" s="431">
        <v>0</v>
      </c>
      <c r="AL88" s="431">
        <v>2208550</v>
      </c>
      <c r="AM88" s="431">
        <v>2328</v>
      </c>
    </row>
    <row r="89" spans="1:39" s="155" customFormat="1" ht="12" x14ac:dyDescent="0.2">
      <c r="A89" s="168">
        <v>35</v>
      </c>
      <c r="B89" s="490">
        <v>16285</v>
      </c>
      <c r="C89" s="491" t="s">
        <v>2425</v>
      </c>
      <c r="D89" s="432">
        <f t="shared" si="12"/>
        <v>4161208</v>
      </c>
      <c r="E89" s="431">
        <v>1790435</v>
      </c>
      <c r="F89" s="431">
        <v>106972</v>
      </c>
      <c r="G89" s="431">
        <v>1120043</v>
      </c>
      <c r="H89" s="431">
        <v>0</v>
      </c>
      <c r="I89" s="431">
        <v>1910526</v>
      </c>
      <c r="J89" s="431">
        <v>150000</v>
      </c>
      <c r="K89" s="431">
        <v>268260</v>
      </c>
      <c r="L89" s="431">
        <v>0</v>
      </c>
      <c r="M89" s="431">
        <v>13478</v>
      </c>
      <c r="N89" s="431">
        <v>0</v>
      </c>
      <c r="O89" s="431">
        <v>28509</v>
      </c>
      <c r="P89" s="432">
        <f t="shared" si="11"/>
        <v>3759522</v>
      </c>
      <c r="Q89" s="431">
        <v>2269215</v>
      </c>
      <c r="R89" s="431">
        <v>1032611</v>
      </c>
      <c r="S89" s="431">
        <v>0</v>
      </c>
      <c r="T89" s="431">
        <v>0</v>
      </c>
      <c r="U89" s="431">
        <v>0</v>
      </c>
      <c r="V89" s="431">
        <v>0</v>
      </c>
      <c r="W89" s="431">
        <v>0</v>
      </c>
      <c r="X89" s="431">
        <v>88768</v>
      </c>
      <c r="Y89" s="431">
        <v>15360</v>
      </c>
      <c r="Z89" s="431">
        <v>355951</v>
      </c>
      <c r="AA89" s="431">
        <v>0</v>
      </c>
      <c r="AB89" s="431">
        <v>-2383</v>
      </c>
      <c r="AC89" s="431">
        <v>897407</v>
      </c>
      <c r="AD89" s="431">
        <v>0</v>
      </c>
      <c r="AE89" s="431">
        <v>1793521</v>
      </c>
      <c r="AF89" s="431">
        <v>0</v>
      </c>
      <c r="AG89" s="431">
        <v>405392</v>
      </c>
      <c r="AH89" s="431">
        <v>292727</v>
      </c>
      <c r="AI89" s="431">
        <v>79279</v>
      </c>
      <c r="AJ89" s="431">
        <v>122117</v>
      </c>
      <c r="AK89" s="431">
        <v>0</v>
      </c>
      <c r="AL89" s="431">
        <v>169079</v>
      </c>
      <c r="AM89" s="431">
        <v>0</v>
      </c>
    </row>
    <row r="90" spans="1:39" s="155" customFormat="1" ht="12" x14ac:dyDescent="0.2">
      <c r="A90" s="168">
        <v>36</v>
      </c>
      <c r="B90" s="490">
        <v>16329</v>
      </c>
      <c r="C90" s="491" t="s">
        <v>2426</v>
      </c>
      <c r="D90" s="432">
        <f t="shared" si="12"/>
        <v>4023589</v>
      </c>
      <c r="E90" s="431">
        <v>1651344</v>
      </c>
      <c r="F90" s="431">
        <v>112386</v>
      </c>
      <c r="G90" s="431">
        <v>837314</v>
      </c>
      <c r="H90" s="431">
        <v>0</v>
      </c>
      <c r="I90" s="431">
        <v>766529</v>
      </c>
      <c r="J90" s="431">
        <v>150000</v>
      </c>
      <c r="K90" s="431">
        <v>48900</v>
      </c>
      <c r="L90" s="431">
        <v>0</v>
      </c>
      <c r="M90" s="431">
        <v>303806</v>
      </c>
      <c r="N90" s="431">
        <v>767018</v>
      </c>
      <c r="O90" s="431">
        <v>335992</v>
      </c>
      <c r="P90" s="432">
        <f t="shared" si="11"/>
        <v>2978898</v>
      </c>
      <c r="Q90" s="431">
        <v>1046334</v>
      </c>
      <c r="R90" s="431">
        <v>533347</v>
      </c>
      <c r="S90" s="431">
        <v>0</v>
      </c>
      <c r="T90" s="431">
        <v>0</v>
      </c>
      <c r="U90" s="431">
        <v>0</v>
      </c>
      <c r="V90" s="431">
        <v>0</v>
      </c>
      <c r="W90" s="431">
        <v>930085</v>
      </c>
      <c r="X90" s="431">
        <v>20811</v>
      </c>
      <c r="Y90" s="431">
        <v>0</v>
      </c>
      <c r="Z90" s="431">
        <v>452784</v>
      </c>
      <c r="AA90" s="431">
        <v>0</v>
      </c>
      <c r="AB90" s="431">
        <v>-4463</v>
      </c>
      <c r="AC90" s="431">
        <v>503127</v>
      </c>
      <c r="AD90" s="431">
        <v>391399</v>
      </c>
      <c r="AE90" s="431">
        <v>708029</v>
      </c>
      <c r="AF90" s="431">
        <v>0</v>
      </c>
      <c r="AG90" s="431">
        <v>52542</v>
      </c>
      <c r="AH90" s="431">
        <v>184421</v>
      </c>
      <c r="AI90" s="431">
        <v>331032</v>
      </c>
      <c r="AJ90" s="431">
        <v>26831</v>
      </c>
      <c r="AK90" s="431">
        <v>0</v>
      </c>
      <c r="AL90" s="431">
        <v>277129</v>
      </c>
      <c r="AM90" s="431">
        <v>504388</v>
      </c>
    </row>
    <row r="91" spans="1:39" s="155" customFormat="1" ht="12" x14ac:dyDescent="0.2">
      <c r="A91" s="168">
        <v>37</v>
      </c>
      <c r="B91" s="490">
        <v>16365</v>
      </c>
      <c r="C91" s="491" t="s">
        <v>2427</v>
      </c>
      <c r="D91" s="432">
        <f t="shared" si="12"/>
        <v>4545221</v>
      </c>
      <c r="E91" s="431">
        <v>2465122</v>
      </c>
      <c r="F91" s="431">
        <v>852773</v>
      </c>
      <c r="G91" s="431">
        <v>230926</v>
      </c>
      <c r="H91" s="431">
        <v>0</v>
      </c>
      <c r="I91" s="431">
        <v>1326609</v>
      </c>
      <c r="J91" s="431">
        <v>350000</v>
      </c>
      <c r="K91" s="431">
        <v>347970</v>
      </c>
      <c r="L91" s="431">
        <v>0</v>
      </c>
      <c r="M91" s="431">
        <v>9454</v>
      </c>
      <c r="N91" s="431">
        <v>0</v>
      </c>
      <c r="O91" s="431">
        <v>46066</v>
      </c>
      <c r="P91" s="432">
        <f t="shared" si="11"/>
        <v>4414441</v>
      </c>
      <c r="Q91" s="431">
        <v>1769233</v>
      </c>
      <c r="R91" s="431">
        <v>1207201</v>
      </c>
      <c r="S91" s="431">
        <v>0</v>
      </c>
      <c r="T91" s="431">
        <v>0</v>
      </c>
      <c r="U91" s="431">
        <v>0</v>
      </c>
      <c r="V91" s="431">
        <v>0</v>
      </c>
      <c r="W91" s="431">
        <v>0</v>
      </c>
      <c r="X91" s="431">
        <v>166108</v>
      </c>
      <c r="Y91" s="431">
        <v>133000</v>
      </c>
      <c r="Z91" s="431">
        <v>1146999</v>
      </c>
      <c r="AA91" s="431">
        <v>0</v>
      </c>
      <c r="AB91" s="431">
        <v>-8100</v>
      </c>
      <c r="AC91" s="431">
        <v>923958</v>
      </c>
      <c r="AD91" s="431">
        <v>85120</v>
      </c>
      <c r="AE91" s="431">
        <v>1131313</v>
      </c>
      <c r="AF91" s="431">
        <v>89967</v>
      </c>
      <c r="AG91" s="431">
        <v>133000</v>
      </c>
      <c r="AH91" s="431">
        <v>309803</v>
      </c>
      <c r="AI91" s="431">
        <v>333250</v>
      </c>
      <c r="AJ91" s="431">
        <v>129027</v>
      </c>
      <c r="AK91" s="431">
        <v>0</v>
      </c>
      <c r="AL91" s="431">
        <v>1279003</v>
      </c>
      <c r="AM91" s="431">
        <v>0</v>
      </c>
    </row>
    <row r="92" spans="1:39" s="155" customFormat="1" ht="12" x14ac:dyDescent="0.2">
      <c r="A92" s="168">
        <v>38</v>
      </c>
      <c r="B92" s="490">
        <v>16427</v>
      </c>
      <c r="C92" s="491" t="s">
        <v>2428</v>
      </c>
      <c r="D92" s="432">
        <f t="shared" si="12"/>
        <v>3404312</v>
      </c>
      <c r="E92" s="431">
        <v>1585898</v>
      </c>
      <c r="F92" s="431">
        <v>102175</v>
      </c>
      <c r="G92" s="431">
        <v>1244284</v>
      </c>
      <c r="H92" s="431">
        <v>0</v>
      </c>
      <c r="I92" s="431">
        <v>998695</v>
      </c>
      <c r="J92" s="431">
        <v>40000</v>
      </c>
      <c r="K92" s="431">
        <v>105980</v>
      </c>
      <c r="L92" s="431">
        <v>0</v>
      </c>
      <c r="M92" s="431">
        <v>161115</v>
      </c>
      <c r="N92" s="431">
        <v>509129</v>
      </c>
      <c r="O92" s="431">
        <v>3495</v>
      </c>
      <c r="P92" s="432">
        <f t="shared" si="11"/>
        <v>3395979</v>
      </c>
      <c r="Q92" s="431">
        <v>1470118</v>
      </c>
      <c r="R92" s="431">
        <v>591949</v>
      </c>
      <c r="S92" s="431">
        <v>7500</v>
      </c>
      <c r="T92" s="431">
        <v>0</v>
      </c>
      <c r="U92" s="431">
        <v>17601</v>
      </c>
      <c r="V92" s="431">
        <v>0</v>
      </c>
      <c r="W92" s="431">
        <v>494163</v>
      </c>
      <c r="X92" s="431">
        <v>118706</v>
      </c>
      <c r="Y92" s="431">
        <v>18000</v>
      </c>
      <c r="Z92" s="431">
        <v>428459</v>
      </c>
      <c r="AA92" s="431">
        <v>249483</v>
      </c>
      <c r="AB92" s="431">
        <v>0</v>
      </c>
      <c r="AC92" s="431">
        <v>1115522</v>
      </c>
      <c r="AD92" s="431">
        <v>85716</v>
      </c>
      <c r="AE92" s="431">
        <v>833894</v>
      </c>
      <c r="AF92" s="431">
        <v>0</v>
      </c>
      <c r="AG92" s="431">
        <v>17601</v>
      </c>
      <c r="AH92" s="431">
        <v>312465</v>
      </c>
      <c r="AI92" s="431">
        <v>579139</v>
      </c>
      <c r="AJ92" s="431">
        <v>283795</v>
      </c>
      <c r="AK92" s="431">
        <v>0</v>
      </c>
      <c r="AL92" s="431">
        <v>167847</v>
      </c>
      <c r="AM92" s="431">
        <v>0</v>
      </c>
    </row>
    <row r="93" spans="1:39" s="155" customFormat="1" ht="12" x14ac:dyDescent="0.2">
      <c r="A93" s="168">
        <v>39</v>
      </c>
      <c r="B93" s="490">
        <v>16454</v>
      </c>
      <c r="C93" s="491" t="s">
        <v>2429</v>
      </c>
      <c r="D93" s="432">
        <f t="shared" si="12"/>
        <v>8554531</v>
      </c>
      <c r="E93" s="431">
        <v>2298830</v>
      </c>
      <c r="F93" s="431">
        <v>579245</v>
      </c>
      <c r="G93" s="431">
        <v>828546</v>
      </c>
      <c r="H93" s="431">
        <v>0</v>
      </c>
      <c r="I93" s="431">
        <v>3130912</v>
      </c>
      <c r="J93" s="431">
        <v>0</v>
      </c>
      <c r="K93" s="431">
        <v>126610</v>
      </c>
      <c r="L93" s="431">
        <v>0</v>
      </c>
      <c r="M93" s="431">
        <v>2984829</v>
      </c>
      <c r="N93" s="431">
        <v>0</v>
      </c>
      <c r="O93" s="431">
        <v>13350</v>
      </c>
      <c r="P93" s="432">
        <f t="shared" si="11"/>
        <v>8562417</v>
      </c>
      <c r="Q93" s="431">
        <v>3420178</v>
      </c>
      <c r="R93" s="431">
        <v>1354932</v>
      </c>
      <c r="S93" s="431">
        <v>0</v>
      </c>
      <c r="T93" s="431">
        <v>0</v>
      </c>
      <c r="U93" s="431">
        <v>0</v>
      </c>
      <c r="V93" s="431">
        <v>0</v>
      </c>
      <c r="W93" s="431">
        <v>0</v>
      </c>
      <c r="X93" s="431">
        <v>158522</v>
      </c>
      <c r="Y93" s="431">
        <v>0</v>
      </c>
      <c r="Z93" s="431">
        <v>3628785</v>
      </c>
      <c r="AA93" s="431">
        <v>0</v>
      </c>
      <c r="AB93" s="431">
        <v>0</v>
      </c>
      <c r="AC93" s="431">
        <v>893154</v>
      </c>
      <c r="AD93" s="431">
        <v>167481</v>
      </c>
      <c r="AE93" s="431">
        <v>3097684</v>
      </c>
      <c r="AF93" s="431">
        <v>0</v>
      </c>
      <c r="AG93" s="431">
        <v>49181</v>
      </c>
      <c r="AH93" s="431">
        <v>158522</v>
      </c>
      <c r="AI93" s="431">
        <v>3094289</v>
      </c>
      <c r="AJ93" s="431">
        <v>831095</v>
      </c>
      <c r="AK93" s="431">
        <v>0</v>
      </c>
      <c r="AL93" s="431">
        <v>271011</v>
      </c>
      <c r="AM93" s="431">
        <v>0</v>
      </c>
    </row>
    <row r="94" spans="1:39" s="155" customFormat="1" ht="12" x14ac:dyDescent="0.2">
      <c r="A94" s="168">
        <v>40</v>
      </c>
      <c r="B94" s="490">
        <v>16472</v>
      </c>
      <c r="C94" s="491" t="s">
        <v>2430</v>
      </c>
      <c r="D94" s="432">
        <f t="shared" si="12"/>
        <v>4555210</v>
      </c>
      <c r="E94" s="431">
        <v>1938241</v>
      </c>
      <c r="F94" s="431">
        <v>360568</v>
      </c>
      <c r="G94" s="431">
        <v>1177765</v>
      </c>
      <c r="H94" s="431">
        <v>0</v>
      </c>
      <c r="I94" s="431">
        <v>2003323</v>
      </c>
      <c r="J94" s="431">
        <v>0</v>
      </c>
      <c r="K94" s="431">
        <v>297010</v>
      </c>
      <c r="L94" s="431">
        <v>0</v>
      </c>
      <c r="M94" s="431">
        <v>91371</v>
      </c>
      <c r="N94" s="431">
        <v>225265</v>
      </c>
      <c r="O94" s="431">
        <v>0</v>
      </c>
      <c r="P94" s="432">
        <f t="shared" si="11"/>
        <v>3352605</v>
      </c>
      <c r="Q94" s="431">
        <v>2321923</v>
      </c>
      <c r="R94" s="431">
        <v>413717</v>
      </c>
      <c r="S94" s="431">
        <v>0</v>
      </c>
      <c r="T94" s="431">
        <v>0</v>
      </c>
      <c r="U94" s="431">
        <v>0</v>
      </c>
      <c r="V94" s="431">
        <v>734</v>
      </c>
      <c r="W94" s="431">
        <v>300080</v>
      </c>
      <c r="X94" s="431">
        <v>276676</v>
      </c>
      <c r="Y94" s="431">
        <v>0</v>
      </c>
      <c r="Z94" s="431">
        <v>41040</v>
      </c>
      <c r="AA94" s="431">
        <v>0</v>
      </c>
      <c r="AB94" s="431">
        <v>-1565</v>
      </c>
      <c r="AC94" s="431">
        <v>612402</v>
      </c>
      <c r="AD94" s="431">
        <v>4032</v>
      </c>
      <c r="AE94" s="431">
        <v>1728772</v>
      </c>
      <c r="AF94" s="431">
        <v>8699</v>
      </c>
      <c r="AG94" s="431">
        <v>32131</v>
      </c>
      <c r="AH94" s="431">
        <v>452970</v>
      </c>
      <c r="AI94" s="431">
        <v>391241</v>
      </c>
      <c r="AJ94" s="431">
        <v>88259</v>
      </c>
      <c r="AK94" s="431">
        <v>0</v>
      </c>
      <c r="AL94" s="431">
        <v>0</v>
      </c>
      <c r="AM94" s="431">
        <v>34099</v>
      </c>
    </row>
    <row r="95" spans="1:39" s="155" customFormat="1" ht="12" x14ac:dyDescent="0.2">
      <c r="A95" s="168">
        <v>41</v>
      </c>
      <c r="B95" s="490">
        <v>16506</v>
      </c>
      <c r="C95" s="491" t="s">
        <v>2431</v>
      </c>
      <c r="D95" s="432">
        <f t="shared" si="12"/>
        <v>3285936</v>
      </c>
      <c r="E95" s="431">
        <v>1526030</v>
      </c>
      <c r="F95" s="431">
        <v>229963</v>
      </c>
      <c r="G95" s="431">
        <v>846549</v>
      </c>
      <c r="H95" s="431">
        <v>0</v>
      </c>
      <c r="I95" s="431">
        <v>1124000</v>
      </c>
      <c r="J95" s="431">
        <v>250000</v>
      </c>
      <c r="K95" s="431">
        <v>169780</v>
      </c>
      <c r="L95" s="431">
        <v>0</v>
      </c>
      <c r="M95" s="431">
        <v>214626</v>
      </c>
      <c r="N95" s="431">
        <v>0</v>
      </c>
      <c r="O95" s="431">
        <v>1500</v>
      </c>
      <c r="P95" s="432">
        <f t="shared" si="11"/>
        <v>3194349</v>
      </c>
      <c r="Q95" s="431">
        <v>1442374</v>
      </c>
      <c r="R95" s="431">
        <v>967503</v>
      </c>
      <c r="S95" s="431">
        <v>0</v>
      </c>
      <c r="T95" s="431">
        <v>0</v>
      </c>
      <c r="U95" s="431">
        <v>0</v>
      </c>
      <c r="V95" s="431">
        <v>0</v>
      </c>
      <c r="W95" s="431">
        <v>0</v>
      </c>
      <c r="X95" s="431">
        <v>121746</v>
      </c>
      <c r="Y95" s="431">
        <v>11220</v>
      </c>
      <c r="Z95" s="431">
        <v>715245</v>
      </c>
      <c r="AA95" s="431">
        <v>0</v>
      </c>
      <c r="AB95" s="431">
        <v>-63739</v>
      </c>
      <c r="AC95" s="431">
        <v>619671</v>
      </c>
      <c r="AD95" s="431">
        <v>8816</v>
      </c>
      <c r="AE95" s="431">
        <v>997000</v>
      </c>
      <c r="AF95" s="431">
        <v>0</v>
      </c>
      <c r="AG95" s="431">
        <v>43481</v>
      </c>
      <c r="AH95" s="431">
        <v>209095</v>
      </c>
      <c r="AI95" s="431">
        <v>573142</v>
      </c>
      <c r="AJ95" s="431">
        <v>268144</v>
      </c>
      <c r="AK95" s="431">
        <v>0</v>
      </c>
      <c r="AL95" s="431">
        <v>475000</v>
      </c>
      <c r="AM95" s="431">
        <v>0</v>
      </c>
    </row>
    <row r="96" spans="1:39" s="155" customFormat="1" ht="12" x14ac:dyDescent="0.2">
      <c r="A96" s="168">
        <v>42</v>
      </c>
      <c r="B96" s="490">
        <v>16551</v>
      </c>
      <c r="C96" s="491" t="s">
        <v>2432</v>
      </c>
      <c r="D96" s="432">
        <f t="shared" si="12"/>
        <v>5998180</v>
      </c>
      <c r="E96" s="431">
        <v>1873644</v>
      </c>
      <c r="F96" s="431">
        <v>143874</v>
      </c>
      <c r="G96" s="431">
        <v>1254601</v>
      </c>
      <c r="H96" s="431">
        <v>0</v>
      </c>
      <c r="I96" s="431">
        <v>1462837</v>
      </c>
      <c r="J96" s="431">
        <v>0</v>
      </c>
      <c r="K96" s="431">
        <v>522240</v>
      </c>
      <c r="L96" s="431">
        <v>0</v>
      </c>
      <c r="M96" s="431">
        <v>412267</v>
      </c>
      <c r="N96" s="431">
        <v>1305171</v>
      </c>
      <c r="O96" s="431">
        <v>422021</v>
      </c>
      <c r="P96" s="432">
        <f t="shared" si="11"/>
        <v>7622545</v>
      </c>
      <c r="Q96" s="431">
        <v>1763254</v>
      </c>
      <c r="R96" s="431">
        <v>801876</v>
      </c>
      <c r="S96" s="431">
        <v>0</v>
      </c>
      <c r="T96" s="431">
        <v>0</v>
      </c>
      <c r="U96" s="431">
        <v>0</v>
      </c>
      <c r="V96" s="431">
        <v>0</v>
      </c>
      <c r="W96" s="431">
        <v>4814217</v>
      </c>
      <c r="X96" s="431">
        <v>188286</v>
      </c>
      <c r="Y96" s="431">
        <v>12264</v>
      </c>
      <c r="Z96" s="431">
        <v>117961</v>
      </c>
      <c r="AA96" s="431">
        <v>0</v>
      </c>
      <c r="AB96" s="431">
        <v>-75313</v>
      </c>
      <c r="AC96" s="431">
        <v>779722</v>
      </c>
      <c r="AD96" s="431">
        <v>23286</v>
      </c>
      <c r="AE96" s="431">
        <v>1220759</v>
      </c>
      <c r="AF96" s="431">
        <v>0</v>
      </c>
      <c r="AG96" s="431">
        <v>84691</v>
      </c>
      <c r="AH96" s="431">
        <v>403556</v>
      </c>
      <c r="AI96" s="431">
        <v>184057</v>
      </c>
      <c r="AJ96" s="431">
        <v>359253</v>
      </c>
      <c r="AK96" s="431">
        <v>0</v>
      </c>
      <c r="AL96" s="431">
        <v>4557121</v>
      </c>
      <c r="AM96" s="431">
        <v>10100</v>
      </c>
    </row>
    <row r="97" spans="1:39" s="155" customFormat="1" ht="12" x14ac:dyDescent="0.2">
      <c r="A97" s="168">
        <v>43</v>
      </c>
      <c r="B97" s="490">
        <v>16613</v>
      </c>
      <c r="C97" s="491" t="s">
        <v>2433</v>
      </c>
      <c r="D97" s="432">
        <f t="shared" si="12"/>
        <v>4112049</v>
      </c>
      <c r="E97" s="431">
        <v>1694845</v>
      </c>
      <c r="F97" s="431">
        <v>115291</v>
      </c>
      <c r="G97" s="431">
        <v>1238058</v>
      </c>
      <c r="H97" s="431">
        <v>0</v>
      </c>
      <c r="I97" s="431">
        <v>1293489</v>
      </c>
      <c r="J97" s="431">
        <v>80000</v>
      </c>
      <c r="K97" s="431">
        <v>124630</v>
      </c>
      <c r="L97" s="431">
        <v>0</v>
      </c>
      <c r="M97" s="431">
        <v>208179</v>
      </c>
      <c r="N97" s="431">
        <v>660906</v>
      </c>
      <c r="O97" s="431">
        <v>50000</v>
      </c>
      <c r="P97" s="432">
        <f t="shared" si="11"/>
        <v>4242115</v>
      </c>
      <c r="Q97" s="431">
        <v>1718232</v>
      </c>
      <c r="R97" s="431">
        <v>445415</v>
      </c>
      <c r="S97" s="431">
        <v>2730</v>
      </c>
      <c r="T97" s="431">
        <v>0</v>
      </c>
      <c r="U97" s="431">
        <v>0</v>
      </c>
      <c r="V97" s="431">
        <v>0</v>
      </c>
      <c r="W97" s="431">
        <v>779950</v>
      </c>
      <c r="X97" s="431">
        <v>186852</v>
      </c>
      <c r="Y97" s="431">
        <v>73996</v>
      </c>
      <c r="Z97" s="431">
        <v>698634</v>
      </c>
      <c r="AA97" s="431">
        <v>343047</v>
      </c>
      <c r="AB97" s="431">
        <v>-6741</v>
      </c>
      <c r="AC97" s="431">
        <v>699646</v>
      </c>
      <c r="AD97" s="431">
        <v>112613</v>
      </c>
      <c r="AE97" s="431">
        <v>1481293</v>
      </c>
      <c r="AF97" s="431">
        <v>0</v>
      </c>
      <c r="AG97" s="431">
        <v>72259</v>
      </c>
      <c r="AH97" s="431">
        <v>393847</v>
      </c>
      <c r="AI97" s="431">
        <v>913823</v>
      </c>
      <c r="AJ97" s="431">
        <v>0</v>
      </c>
      <c r="AK97" s="431">
        <v>0</v>
      </c>
      <c r="AL97" s="431">
        <v>568634</v>
      </c>
      <c r="AM97" s="431">
        <v>0</v>
      </c>
    </row>
    <row r="98" spans="1:39" s="155" customFormat="1" ht="12" x14ac:dyDescent="0.2">
      <c r="A98" s="168">
        <v>44</v>
      </c>
      <c r="B98" s="490">
        <v>16659</v>
      </c>
      <c r="C98" s="491" t="s">
        <v>2434</v>
      </c>
      <c r="D98" s="432">
        <f t="shared" si="12"/>
        <v>4333935</v>
      </c>
      <c r="E98" s="431">
        <v>1780590</v>
      </c>
      <c r="F98" s="431">
        <v>128545</v>
      </c>
      <c r="G98" s="431">
        <v>1334972</v>
      </c>
      <c r="H98" s="431">
        <v>0</v>
      </c>
      <c r="I98" s="431">
        <v>2001620</v>
      </c>
      <c r="J98" s="431">
        <v>400000</v>
      </c>
      <c r="K98" s="431">
        <v>114950</v>
      </c>
      <c r="L98" s="431">
        <v>0</v>
      </c>
      <c r="M98" s="431">
        <v>33178</v>
      </c>
      <c r="N98" s="431">
        <v>0</v>
      </c>
      <c r="O98" s="431">
        <v>3597</v>
      </c>
      <c r="P98" s="432">
        <f t="shared" si="11"/>
        <v>3975773</v>
      </c>
      <c r="Q98" s="431">
        <v>2336810</v>
      </c>
      <c r="R98" s="431">
        <v>566962</v>
      </c>
      <c r="S98" s="431">
        <v>0</v>
      </c>
      <c r="T98" s="431">
        <v>0</v>
      </c>
      <c r="U98" s="431">
        <v>0</v>
      </c>
      <c r="V98" s="431">
        <v>0</v>
      </c>
      <c r="W98" s="431">
        <v>0</v>
      </c>
      <c r="X98" s="431">
        <v>159074</v>
      </c>
      <c r="Y98" s="431">
        <v>5000</v>
      </c>
      <c r="Z98" s="431">
        <v>916927</v>
      </c>
      <c r="AA98" s="431">
        <v>0</v>
      </c>
      <c r="AB98" s="431">
        <v>-9000</v>
      </c>
      <c r="AC98" s="431">
        <v>636390</v>
      </c>
      <c r="AD98" s="431">
        <v>11796</v>
      </c>
      <c r="AE98" s="431">
        <v>1660138</v>
      </c>
      <c r="AF98" s="431">
        <v>1186</v>
      </c>
      <c r="AG98" s="431">
        <v>65518</v>
      </c>
      <c r="AH98" s="431">
        <v>490828</v>
      </c>
      <c r="AI98" s="431">
        <v>96099</v>
      </c>
      <c r="AJ98" s="431">
        <v>57771</v>
      </c>
      <c r="AK98" s="431">
        <v>0</v>
      </c>
      <c r="AL98" s="431">
        <v>953257</v>
      </c>
      <c r="AM98" s="431">
        <v>2790</v>
      </c>
    </row>
    <row r="99" spans="1:39" s="155" customFormat="1" ht="12" x14ac:dyDescent="0.2">
      <c r="A99" s="168">
        <v>45</v>
      </c>
      <c r="B99" s="490">
        <v>16739</v>
      </c>
      <c r="C99" s="491" t="s">
        <v>2435</v>
      </c>
      <c r="D99" s="432">
        <f t="shared" si="12"/>
        <v>3548948</v>
      </c>
      <c r="E99" s="431">
        <v>1620860</v>
      </c>
      <c r="F99" s="431">
        <v>151275</v>
      </c>
      <c r="G99" s="431">
        <v>1039623</v>
      </c>
      <c r="H99" s="431">
        <v>0</v>
      </c>
      <c r="I99" s="431">
        <v>1129424</v>
      </c>
      <c r="J99" s="431">
        <v>50000</v>
      </c>
      <c r="K99" s="431">
        <v>61410</v>
      </c>
      <c r="L99" s="431">
        <v>0</v>
      </c>
      <c r="M99" s="431">
        <v>687254</v>
      </c>
      <c r="N99" s="431">
        <v>0</v>
      </c>
      <c r="O99" s="431">
        <v>0</v>
      </c>
      <c r="P99" s="432">
        <f t="shared" si="11"/>
        <v>3266543</v>
      </c>
      <c r="Q99" s="431">
        <v>1431235</v>
      </c>
      <c r="R99" s="431">
        <v>532201</v>
      </c>
      <c r="S99" s="431">
        <v>0</v>
      </c>
      <c r="T99" s="431">
        <v>0</v>
      </c>
      <c r="U99" s="431">
        <v>0</v>
      </c>
      <c r="V99" s="431">
        <v>0</v>
      </c>
      <c r="W99" s="431">
        <v>0</v>
      </c>
      <c r="X99" s="431">
        <v>189598</v>
      </c>
      <c r="Y99" s="431">
        <v>19885</v>
      </c>
      <c r="Z99" s="431">
        <v>1093624</v>
      </c>
      <c r="AA99" s="431">
        <v>0</v>
      </c>
      <c r="AB99" s="431">
        <v>0</v>
      </c>
      <c r="AC99" s="431">
        <v>566814</v>
      </c>
      <c r="AD99" s="431">
        <v>139131</v>
      </c>
      <c r="AE99" s="431">
        <v>983458</v>
      </c>
      <c r="AF99" s="431">
        <v>0</v>
      </c>
      <c r="AG99" s="431">
        <v>305575</v>
      </c>
      <c r="AH99" s="431">
        <v>319627</v>
      </c>
      <c r="AI99" s="431">
        <v>146184</v>
      </c>
      <c r="AJ99" s="431">
        <v>703261</v>
      </c>
      <c r="AK99" s="431">
        <v>0</v>
      </c>
      <c r="AL99" s="431">
        <v>101848</v>
      </c>
      <c r="AM99" s="431">
        <v>645</v>
      </c>
    </row>
    <row r="100" spans="1:39" s="155" customFormat="1" ht="12" x14ac:dyDescent="0.2">
      <c r="A100" s="168">
        <v>46</v>
      </c>
      <c r="B100" s="490">
        <v>16757</v>
      </c>
      <c r="C100" s="491" t="s">
        <v>2436</v>
      </c>
      <c r="D100" s="432">
        <f t="shared" si="12"/>
        <v>7408621</v>
      </c>
      <c r="E100" s="431">
        <v>3237177</v>
      </c>
      <c r="F100" s="431">
        <v>1016416</v>
      </c>
      <c r="G100" s="431">
        <v>683493</v>
      </c>
      <c r="H100" s="431">
        <v>0</v>
      </c>
      <c r="I100" s="431">
        <v>2588448</v>
      </c>
      <c r="J100" s="431">
        <v>200000</v>
      </c>
      <c r="K100" s="431">
        <v>1037210</v>
      </c>
      <c r="L100" s="431">
        <v>0</v>
      </c>
      <c r="M100" s="431">
        <v>98521</v>
      </c>
      <c r="N100" s="431">
        <v>243770</v>
      </c>
      <c r="O100" s="431">
        <v>3495</v>
      </c>
      <c r="P100" s="432">
        <f t="shared" si="11"/>
        <v>7404187</v>
      </c>
      <c r="Q100" s="431">
        <v>3172920</v>
      </c>
      <c r="R100" s="431">
        <v>1249462</v>
      </c>
      <c r="S100" s="431">
        <v>0</v>
      </c>
      <c r="T100" s="431">
        <v>0</v>
      </c>
      <c r="U100" s="431">
        <v>0</v>
      </c>
      <c r="V100" s="431">
        <v>0</v>
      </c>
      <c r="W100" s="431">
        <v>318184</v>
      </c>
      <c r="X100" s="431">
        <v>220982</v>
      </c>
      <c r="Y100" s="431">
        <v>46000</v>
      </c>
      <c r="Z100" s="431">
        <v>2405559</v>
      </c>
      <c r="AA100" s="431">
        <v>0</v>
      </c>
      <c r="AB100" s="431">
        <v>-8920</v>
      </c>
      <c r="AC100" s="431">
        <v>1120619</v>
      </c>
      <c r="AD100" s="431">
        <v>23135</v>
      </c>
      <c r="AE100" s="431">
        <v>2218775</v>
      </c>
      <c r="AF100" s="431">
        <v>0</v>
      </c>
      <c r="AG100" s="431">
        <v>106684</v>
      </c>
      <c r="AH100" s="431">
        <v>870169</v>
      </c>
      <c r="AI100" s="431">
        <v>917375</v>
      </c>
      <c r="AJ100" s="431">
        <v>925726</v>
      </c>
      <c r="AK100" s="431">
        <v>0</v>
      </c>
      <c r="AL100" s="431">
        <v>1000947</v>
      </c>
      <c r="AM100" s="431">
        <v>220757</v>
      </c>
    </row>
    <row r="101" spans="1:39" s="155" customFormat="1" ht="12" x14ac:dyDescent="0.2">
      <c r="A101" s="168">
        <v>47</v>
      </c>
      <c r="B101" s="490">
        <v>16908</v>
      </c>
      <c r="C101" s="491" t="s">
        <v>2437</v>
      </c>
      <c r="D101" s="432">
        <f t="shared" si="12"/>
        <v>7607211</v>
      </c>
      <c r="E101" s="431">
        <v>2588736</v>
      </c>
      <c r="F101" s="431">
        <v>846283</v>
      </c>
      <c r="G101" s="431">
        <v>660516</v>
      </c>
      <c r="H101" s="431">
        <v>0</v>
      </c>
      <c r="I101" s="431">
        <v>2475226</v>
      </c>
      <c r="J101" s="431">
        <v>244811</v>
      </c>
      <c r="K101" s="431">
        <v>991950</v>
      </c>
      <c r="L101" s="431">
        <v>0</v>
      </c>
      <c r="M101" s="431">
        <v>1231646</v>
      </c>
      <c r="N101" s="431">
        <v>39642</v>
      </c>
      <c r="O101" s="431">
        <v>35200</v>
      </c>
      <c r="P101" s="432">
        <f t="shared" si="11"/>
        <v>5314180</v>
      </c>
      <c r="Q101" s="431">
        <v>2716843</v>
      </c>
      <c r="R101" s="431">
        <v>1109196</v>
      </c>
      <c r="S101" s="431">
        <v>0</v>
      </c>
      <c r="T101" s="431">
        <v>0</v>
      </c>
      <c r="U101" s="431">
        <v>0</v>
      </c>
      <c r="V101" s="431">
        <v>0</v>
      </c>
      <c r="W101" s="431">
        <v>0</v>
      </c>
      <c r="X101" s="431">
        <v>247754</v>
      </c>
      <c r="Y101" s="431">
        <v>0</v>
      </c>
      <c r="Z101" s="431">
        <v>1241735</v>
      </c>
      <c r="AA101" s="431">
        <v>0</v>
      </c>
      <c r="AB101" s="431">
        <v>-1348</v>
      </c>
      <c r="AC101" s="431">
        <v>1017832</v>
      </c>
      <c r="AD101" s="431">
        <v>54284</v>
      </c>
      <c r="AE101" s="431">
        <v>2084237</v>
      </c>
      <c r="AF101" s="431">
        <v>0</v>
      </c>
      <c r="AG101" s="431">
        <v>70164</v>
      </c>
      <c r="AH101" s="431">
        <v>449108</v>
      </c>
      <c r="AI101" s="431">
        <v>391751</v>
      </c>
      <c r="AJ101" s="431">
        <v>1098431</v>
      </c>
      <c r="AK101" s="431">
        <v>0</v>
      </c>
      <c r="AL101" s="431">
        <v>148373</v>
      </c>
      <c r="AM101" s="431">
        <v>0</v>
      </c>
    </row>
    <row r="102" spans="1:39" s="155" customFormat="1" ht="12" x14ac:dyDescent="0.2">
      <c r="A102" s="168">
        <v>48</v>
      </c>
      <c r="B102" s="490">
        <v>16944</v>
      </c>
      <c r="C102" s="491" t="s">
        <v>2438</v>
      </c>
      <c r="D102" s="432">
        <f t="shared" si="12"/>
        <v>5266139</v>
      </c>
      <c r="E102" s="431">
        <v>1802763</v>
      </c>
      <c r="F102" s="431">
        <v>398301</v>
      </c>
      <c r="G102" s="431">
        <v>694167</v>
      </c>
      <c r="H102" s="431">
        <v>0</v>
      </c>
      <c r="I102" s="431">
        <v>1681746</v>
      </c>
      <c r="J102" s="431">
        <v>150000</v>
      </c>
      <c r="K102" s="431">
        <v>420120</v>
      </c>
      <c r="L102" s="431">
        <v>0</v>
      </c>
      <c r="M102" s="431">
        <v>553444</v>
      </c>
      <c r="N102" s="431">
        <v>400266</v>
      </c>
      <c r="O102" s="431">
        <v>257800</v>
      </c>
      <c r="P102" s="432">
        <f t="shared" si="11"/>
        <v>4849661</v>
      </c>
      <c r="Q102" s="431">
        <v>2076051</v>
      </c>
      <c r="R102" s="431">
        <v>1019783</v>
      </c>
      <c r="S102" s="431">
        <v>0</v>
      </c>
      <c r="T102" s="431">
        <v>0</v>
      </c>
      <c r="U102" s="431">
        <v>0</v>
      </c>
      <c r="V102" s="431">
        <v>0</v>
      </c>
      <c r="W102" s="431">
        <v>732856</v>
      </c>
      <c r="X102" s="431">
        <v>258164</v>
      </c>
      <c r="Y102" s="431">
        <v>18009</v>
      </c>
      <c r="Z102" s="431">
        <v>745528</v>
      </c>
      <c r="AA102" s="431">
        <v>0</v>
      </c>
      <c r="AB102" s="431">
        <v>-730</v>
      </c>
      <c r="AC102" s="431">
        <v>1109219</v>
      </c>
      <c r="AD102" s="431">
        <v>125517</v>
      </c>
      <c r="AE102" s="431">
        <v>1526882</v>
      </c>
      <c r="AF102" s="431">
        <v>17214</v>
      </c>
      <c r="AG102" s="431">
        <v>56644</v>
      </c>
      <c r="AH102" s="431">
        <v>311559</v>
      </c>
      <c r="AI102" s="431">
        <v>214100</v>
      </c>
      <c r="AJ102" s="431">
        <v>130183</v>
      </c>
      <c r="AK102" s="431">
        <v>0</v>
      </c>
      <c r="AL102" s="431">
        <v>1358343</v>
      </c>
      <c r="AM102" s="431">
        <v>0</v>
      </c>
    </row>
    <row r="103" spans="1:39" s="155" customFormat="1" ht="12" x14ac:dyDescent="0.2">
      <c r="A103" s="168">
        <v>49</v>
      </c>
      <c r="B103" s="490">
        <v>17049</v>
      </c>
      <c r="C103" s="491" t="s">
        <v>2439</v>
      </c>
      <c r="D103" s="432">
        <f t="shared" si="12"/>
        <v>6975129</v>
      </c>
      <c r="E103" s="431">
        <v>2153230</v>
      </c>
      <c r="F103" s="431">
        <v>196514</v>
      </c>
      <c r="G103" s="431">
        <v>1266060</v>
      </c>
      <c r="H103" s="431">
        <v>0</v>
      </c>
      <c r="I103" s="431">
        <v>3296961</v>
      </c>
      <c r="J103" s="431">
        <v>299548</v>
      </c>
      <c r="K103" s="431">
        <v>411980</v>
      </c>
      <c r="L103" s="431">
        <v>0</v>
      </c>
      <c r="M103" s="431">
        <v>194923</v>
      </c>
      <c r="N103" s="431">
        <v>363987</v>
      </c>
      <c r="O103" s="431">
        <v>254500</v>
      </c>
      <c r="P103" s="432">
        <f t="shared" si="11"/>
        <v>6931245</v>
      </c>
      <c r="Q103" s="431">
        <v>3619050</v>
      </c>
      <c r="R103" s="431">
        <v>965886</v>
      </c>
      <c r="S103" s="431">
        <v>0</v>
      </c>
      <c r="T103" s="431">
        <v>0</v>
      </c>
      <c r="U103" s="431">
        <v>0</v>
      </c>
      <c r="V103" s="431">
        <v>0</v>
      </c>
      <c r="W103" s="431">
        <v>565667</v>
      </c>
      <c r="X103" s="431">
        <v>524322</v>
      </c>
      <c r="Y103" s="431">
        <v>15000</v>
      </c>
      <c r="Z103" s="431">
        <v>1241320</v>
      </c>
      <c r="AA103" s="431">
        <v>0</v>
      </c>
      <c r="AB103" s="431">
        <v>0</v>
      </c>
      <c r="AC103" s="431">
        <v>1015619</v>
      </c>
      <c r="AD103" s="431">
        <v>0</v>
      </c>
      <c r="AE103" s="431">
        <v>3381511</v>
      </c>
      <c r="AF103" s="431">
        <v>0</v>
      </c>
      <c r="AG103" s="431">
        <v>220821</v>
      </c>
      <c r="AH103" s="431">
        <v>649226</v>
      </c>
      <c r="AI103" s="431">
        <v>554876</v>
      </c>
      <c r="AJ103" s="431">
        <v>82500</v>
      </c>
      <c r="AK103" s="431">
        <v>0</v>
      </c>
      <c r="AL103" s="431">
        <v>911569</v>
      </c>
      <c r="AM103" s="431">
        <v>115123</v>
      </c>
    </row>
    <row r="104" spans="1:39" s="155" customFormat="1" ht="12" x14ac:dyDescent="0.2">
      <c r="A104" s="168">
        <v>50</v>
      </c>
      <c r="B104" s="490">
        <v>13365</v>
      </c>
      <c r="C104" s="491" t="s">
        <v>2440</v>
      </c>
      <c r="D104" s="432">
        <f t="shared" si="12"/>
        <v>12896993</v>
      </c>
      <c r="E104" s="431">
        <v>7900892</v>
      </c>
      <c r="F104" s="431">
        <v>4708828</v>
      </c>
      <c r="G104" s="431">
        <v>277695</v>
      </c>
      <c r="H104" s="431">
        <v>0</v>
      </c>
      <c r="I104" s="431">
        <v>3886026</v>
      </c>
      <c r="J104" s="431">
        <v>0</v>
      </c>
      <c r="K104" s="431">
        <v>200060</v>
      </c>
      <c r="L104" s="431">
        <v>0</v>
      </c>
      <c r="M104" s="431">
        <v>195703</v>
      </c>
      <c r="N104" s="431">
        <v>633572</v>
      </c>
      <c r="O104" s="431">
        <v>80740</v>
      </c>
      <c r="P104" s="432">
        <f t="shared" si="11"/>
        <v>12983261</v>
      </c>
      <c r="Q104" s="431">
        <v>4685173</v>
      </c>
      <c r="R104" s="431">
        <v>3176707</v>
      </c>
      <c r="S104" s="431">
        <v>0</v>
      </c>
      <c r="T104" s="431">
        <v>104014</v>
      </c>
      <c r="U104" s="431">
        <v>0</v>
      </c>
      <c r="V104" s="431">
        <v>169067</v>
      </c>
      <c r="W104" s="431">
        <v>1588299</v>
      </c>
      <c r="X104" s="431">
        <v>315484</v>
      </c>
      <c r="Y104" s="431">
        <v>62500</v>
      </c>
      <c r="Z104" s="431">
        <v>2891985</v>
      </c>
      <c r="AA104" s="431">
        <v>0</v>
      </c>
      <c r="AB104" s="431">
        <v>-9968</v>
      </c>
      <c r="AC104" s="431">
        <v>1890927</v>
      </c>
      <c r="AD104" s="431">
        <v>396291</v>
      </c>
      <c r="AE104" s="431">
        <v>5330273</v>
      </c>
      <c r="AF104" s="431">
        <v>84903</v>
      </c>
      <c r="AG104" s="431">
        <v>1277804</v>
      </c>
      <c r="AH104" s="431">
        <v>860102</v>
      </c>
      <c r="AI104" s="431">
        <v>1445254</v>
      </c>
      <c r="AJ104" s="431">
        <v>827798</v>
      </c>
      <c r="AK104" s="431">
        <v>105214</v>
      </c>
      <c r="AL104" s="431">
        <v>764695</v>
      </c>
      <c r="AM104" s="431">
        <v>0</v>
      </c>
    </row>
    <row r="105" spans="1:39" s="155" customFormat="1" ht="12" x14ac:dyDescent="0.2">
      <c r="A105" s="168">
        <v>51</v>
      </c>
      <c r="B105" s="490">
        <v>17101</v>
      </c>
      <c r="C105" s="491" t="s">
        <v>2441</v>
      </c>
      <c r="D105" s="432">
        <f t="shared" si="12"/>
        <v>6581106</v>
      </c>
      <c r="E105" s="431">
        <v>2475726</v>
      </c>
      <c r="F105" s="431">
        <v>821892</v>
      </c>
      <c r="G105" s="431">
        <v>688001</v>
      </c>
      <c r="H105" s="431">
        <v>0</v>
      </c>
      <c r="I105" s="431">
        <v>2419347</v>
      </c>
      <c r="J105" s="431">
        <v>150000</v>
      </c>
      <c r="K105" s="431">
        <v>991030</v>
      </c>
      <c r="L105" s="431">
        <v>0</v>
      </c>
      <c r="M105" s="431">
        <v>165741</v>
      </c>
      <c r="N105" s="431">
        <v>337194</v>
      </c>
      <c r="O105" s="431">
        <v>42068</v>
      </c>
      <c r="P105" s="432">
        <f t="shared" si="11"/>
        <v>6674312</v>
      </c>
      <c r="Q105" s="431">
        <v>2740299</v>
      </c>
      <c r="R105" s="431">
        <v>1660093</v>
      </c>
      <c r="S105" s="431">
        <v>84378</v>
      </c>
      <c r="T105" s="431">
        <v>0</v>
      </c>
      <c r="U105" s="431">
        <v>0</v>
      </c>
      <c r="V105" s="431">
        <v>101000</v>
      </c>
      <c r="W105" s="431">
        <v>0</v>
      </c>
      <c r="X105" s="431">
        <v>239798</v>
      </c>
      <c r="Y105" s="431">
        <v>0</v>
      </c>
      <c r="Z105" s="431">
        <v>1863835</v>
      </c>
      <c r="AA105" s="431">
        <v>0</v>
      </c>
      <c r="AB105" s="431">
        <v>-15091</v>
      </c>
      <c r="AC105" s="431">
        <v>975403</v>
      </c>
      <c r="AD105" s="431">
        <v>83565</v>
      </c>
      <c r="AE105" s="431">
        <v>2171596</v>
      </c>
      <c r="AF105" s="431">
        <v>27678</v>
      </c>
      <c r="AG105" s="431">
        <v>51205</v>
      </c>
      <c r="AH105" s="431">
        <v>408618</v>
      </c>
      <c r="AI105" s="431">
        <v>2227137</v>
      </c>
      <c r="AJ105" s="431">
        <v>80698</v>
      </c>
      <c r="AK105" s="431">
        <v>0</v>
      </c>
      <c r="AL105" s="431">
        <v>607310</v>
      </c>
      <c r="AM105" s="431">
        <v>41102</v>
      </c>
    </row>
    <row r="106" spans="1:39" s="155" customFormat="1" ht="12" x14ac:dyDescent="0.2">
      <c r="A106" s="168">
        <v>52</v>
      </c>
      <c r="B106" s="490">
        <v>17209</v>
      </c>
      <c r="C106" s="491" t="s">
        <v>2442</v>
      </c>
      <c r="D106" s="432">
        <f t="shared" si="12"/>
        <v>9920762</v>
      </c>
      <c r="E106" s="431">
        <v>2549181</v>
      </c>
      <c r="F106" s="431">
        <v>1168959</v>
      </c>
      <c r="G106" s="431">
        <v>449787</v>
      </c>
      <c r="H106" s="431">
        <v>0</v>
      </c>
      <c r="I106" s="431">
        <v>3370806</v>
      </c>
      <c r="J106" s="431">
        <v>0</v>
      </c>
      <c r="K106" s="431">
        <v>950080</v>
      </c>
      <c r="L106" s="431">
        <v>0</v>
      </c>
      <c r="M106" s="431">
        <v>868202</v>
      </c>
      <c r="N106" s="431">
        <v>2131753</v>
      </c>
      <c r="O106" s="431">
        <v>50740</v>
      </c>
      <c r="P106" s="432">
        <f t="shared" si="11"/>
        <v>9892581</v>
      </c>
      <c r="Q106" s="431">
        <v>4033016</v>
      </c>
      <c r="R106" s="431">
        <v>1019827</v>
      </c>
      <c r="S106" s="431">
        <v>0</v>
      </c>
      <c r="T106" s="431">
        <v>0</v>
      </c>
      <c r="U106" s="431">
        <v>0</v>
      </c>
      <c r="V106" s="431">
        <v>0</v>
      </c>
      <c r="W106" s="431">
        <v>3853879</v>
      </c>
      <c r="X106" s="431">
        <v>202647</v>
      </c>
      <c r="Y106" s="431">
        <v>63933</v>
      </c>
      <c r="Z106" s="431">
        <v>719279</v>
      </c>
      <c r="AA106" s="431">
        <v>0</v>
      </c>
      <c r="AB106" s="431">
        <v>0</v>
      </c>
      <c r="AC106" s="431">
        <v>1082573</v>
      </c>
      <c r="AD106" s="431">
        <v>55564</v>
      </c>
      <c r="AE106" s="431">
        <v>6176547</v>
      </c>
      <c r="AF106" s="431">
        <v>0</v>
      </c>
      <c r="AG106" s="431">
        <v>542958</v>
      </c>
      <c r="AH106" s="431">
        <v>579959</v>
      </c>
      <c r="AI106" s="431">
        <v>385547</v>
      </c>
      <c r="AJ106" s="431">
        <v>91700</v>
      </c>
      <c r="AK106" s="431">
        <v>0</v>
      </c>
      <c r="AL106" s="431">
        <v>424140</v>
      </c>
      <c r="AM106" s="431">
        <v>553593</v>
      </c>
    </row>
    <row r="107" spans="1:39" s="155" customFormat="1" ht="12" x14ac:dyDescent="0.2">
      <c r="A107" s="168">
        <v>53</v>
      </c>
      <c r="B107" s="490">
        <v>17254</v>
      </c>
      <c r="C107" s="491" t="s">
        <v>1742</v>
      </c>
      <c r="D107" s="432">
        <f t="shared" si="12"/>
        <v>8683300</v>
      </c>
      <c r="E107" s="431">
        <v>2236748</v>
      </c>
      <c r="F107" s="431">
        <v>335164</v>
      </c>
      <c r="G107" s="431">
        <v>1080334</v>
      </c>
      <c r="H107" s="431">
        <v>0</v>
      </c>
      <c r="I107" s="431">
        <v>3404495</v>
      </c>
      <c r="J107" s="431">
        <v>4960</v>
      </c>
      <c r="K107" s="431">
        <v>741900</v>
      </c>
      <c r="L107" s="431">
        <v>0</v>
      </c>
      <c r="M107" s="431">
        <v>1678078</v>
      </c>
      <c r="N107" s="431">
        <v>607424</v>
      </c>
      <c r="O107" s="431">
        <v>9695</v>
      </c>
      <c r="P107" s="432">
        <f t="shared" si="11"/>
        <v>8330429</v>
      </c>
      <c r="Q107" s="431">
        <v>3571390</v>
      </c>
      <c r="R107" s="431">
        <v>1117381</v>
      </c>
      <c r="S107" s="431">
        <v>0</v>
      </c>
      <c r="T107" s="431">
        <v>0</v>
      </c>
      <c r="U107" s="431">
        <v>0</v>
      </c>
      <c r="V107" s="431">
        <v>2172</v>
      </c>
      <c r="W107" s="431">
        <v>849196</v>
      </c>
      <c r="X107" s="431">
        <v>379873</v>
      </c>
      <c r="Y107" s="431">
        <v>3000</v>
      </c>
      <c r="Z107" s="431">
        <v>2415968</v>
      </c>
      <c r="AA107" s="431">
        <v>0</v>
      </c>
      <c r="AB107" s="431">
        <v>-8551</v>
      </c>
      <c r="AC107" s="431">
        <v>733814</v>
      </c>
      <c r="AD107" s="431">
        <v>72430</v>
      </c>
      <c r="AE107" s="431">
        <v>3879644</v>
      </c>
      <c r="AF107" s="431">
        <v>15058</v>
      </c>
      <c r="AG107" s="431">
        <v>75916</v>
      </c>
      <c r="AH107" s="431">
        <v>756698</v>
      </c>
      <c r="AI107" s="431">
        <v>2457512</v>
      </c>
      <c r="AJ107" s="431">
        <v>188000</v>
      </c>
      <c r="AK107" s="431">
        <v>0</v>
      </c>
      <c r="AL107" s="431">
        <v>148332</v>
      </c>
      <c r="AM107" s="431">
        <v>3025</v>
      </c>
    </row>
    <row r="108" spans="1:39" s="155" customFormat="1" ht="12" x14ac:dyDescent="0.2">
      <c r="A108" s="168">
        <v>54</v>
      </c>
      <c r="B108" s="490">
        <v>17334</v>
      </c>
      <c r="C108" s="491" t="s">
        <v>2443</v>
      </c>
      <c r="D108" s="432">
        <f t="shared" si="12"/>
        <v>3187213</v>
      </c>
      <c r="E108" s="431">
        <v>1643673</v>
      </c>
      <c r="F108" s="431">
        <v>54496</v>
      </c>
      <c r="G108" s="431">
        <v>1172750</v>
      </c>
      <c r="H108" s="431">
        <v>0</v>
      </c>
      <c r="I108" s="431">
        <v>849524</v>
      </c>
      <c r="J108" s="431">
        <v>249411</v>
      </c>
      <c r="K108" s="431">
        <v>86670</v>
      </c>
      <c r="L108" s="431">
        <v>0</v>
      </c>
      <c r="M108" s="431">
        <v>95726</v>
      </c>
      <c r="N108" s="431">
        <v>262209</v>
      </c>
      <c r="O108" s="431">
        <v>0</v>
      </c>
      <c r="P108" s="432">
        <f t="shared" si="11"/>
        <v>2803895</v>
      </c>
      <c r="Q108" s="431">
        <v>1102154</v>
      </c>
      <c r="R108" s="431">
        <v>563770</v>
      </c>
      <c r="S108" s="431">
        <v>0</v>
      </c>
      <c r="T108" s="431">
        <v>0</v>
      </c>
      <c r="U108" s="431">
        <v>0</v>
      </c>
      <c r="V108" s="431">
        <v>0</v>
      </c>
      <c r="W108" s="431">
        <v>345468</v>
      </c>
      <c r="X108" s="431">
        <v>105116</v>
      </c>
      <c r="Y108" s="431">
        <v>0</v>
      </c>
      <c r="Z108" s="431">
        <v>718775</v>
      </c>
      <c r="AA108" s="431">
        <v>0</v>
      </c>
      <c r="AB108" s="431">
        <v>-31388</v>
      </c>
      <c r="AC108" s="431">
        <v>816633</v>
      </c>
      <c r="AD108" s="431">
        <v>3688</v>
      </c>
      <c r="AE108" s="431">
        <v>701267</v>
      </c>
      <c r="AF108" s="431">
        <v>0</v>
      </c>
      <c r="AG108" s="431">
        <v>65831</v>
      </c>
      <c r="AH108" s="431">
        <v>192510</v>
      </c>
      <c r="AI108" s="431">
        <v>98827</v>
      </c>
      <c r="AJ108" s="431">
        <v>49037</v>
      </c>
      <c r="AK108" s="431">
        <v>0</v>
      </c>
      <c r="AL108" s="431">
        <v>876102</v>
      </c>
      <c r="AM108" s="431">
        <v>0</v>
      </c>
    </row>
    <row r="109" spans="1:39" s="155" customFormat="1" ht="12" x14ac:dyDescent="0.2">
      <c r="A109" s="168">
        <v>55</v>
      </c>
      <c r="B109" s="490">
        <v>17398</v>
      </c>
      <c r="C109" s="491" t="s">
        <v>2444</v>
      </c>
      <c r="D109" s="432">
        <f t="shared" si="12"/>
        <v>4995821</v>
      </c>
      <c r="E109" s="431">
        <v>1730392</v>
      </c>
      <c r="F109" s="431">
        <v>256306</v>
      </c>
      <c r="G109" s="431">
        <v>1013110</v>
      </c>
      <c r="H109" s="431">
        <v>0</v>
      </c>
      <c r="I109" s="431">
        <v>1389937</v>
      </c>
      <c r="J109" s="431">
        <v>40000</v>
      </c>
      <c r="K109" s="431">
        <v>495060</v>
      </c>
      <c r="L109" s="431">
        <v>0</v>
      </c>
      <c r="M109" s="431">
        <v>112551</v>
      </c>
      <c r="N109" s="431">
        <v>322268</v>
      </c>
      <c r="O109" s="431">
        <v>905613</v>
      </c>
      <c r="P109" s="432">
        <f t="shared" si="11"/>
        <v>4764285</v>
      </c>
      <c r="Q109" s="431">
        <v>1733949</v>
      </c>
      <c r="R109" s="431">
        <v>818283</v>
      </c>
      <c r="S109" s="431">
        <v>0</v>
      </c>
      <c r="T109" s="431">
        <v>0</v>
      </c>
      <c r="U109" s="431">
        <v>0</v>
      </c>
      <c r="V109" s="431">
        <v>0</v>
      </c>
      <c r="W109" s="431">
        <v>743104</v>
      </c>
      <c r="X109" s="431">
        <v>76084</v>
      </c>
      <c r="Y109" s="431">
        <v>19969</v>
      </c>
      <c r="Z109" s="431">
        <v>1372896</v>
      </c>
      <c r="AA109" s="431">
        <v>0</v>
      </c>
      <c r="AB109" s="431">
        <v>0</v>
      </c>
      <c r="AC109" s="431">
        <v>648471</v>
      </c>
      <c r="AD109" s="431">
        <v>27827</v>
      </c>
      <c r="AE109" s="431">
        <v>1348544</v>
      </c>
      <c r="AF109" s="431">
        <v>0</v>
      </c>
      <c r="AG109" s="431">
        <v>676312</v>
      </c>
      <c r="AH109" s="431">
        <v>167132</v>
      </c>
      <c r="AI109" s="431">
        <v>910611</v>
      </c>
      <c r="AJ109" s="431">
        <v>707598</v>
      </c>
      <c r="AK109" s="431">
        <v>0</v>
      </c>
      <c r="AL109" s="431">
        <v>277790</v>
      </c>
      <c r="AM109" s="431">
        <v>0</v>
      </c>
    </row>
    <row r="110" spans="1:39" s="155" customFormat="1" ht="12" x14ac:dyDescent="0.2">
      <c r="A110" s="168">
        <v>56</v>
      </c>
      <c r="B110" s="490">
        <v>17423</v>
      </c>
      <c r="C110" s="491" t="s">
        <v>2445</v>
      </c>
      <c r="D110" s="432">
        <f t="shared" si="12"/>
        <v>3715547</v>
      </c>
      <c r="E110" s="431">
        <v>1750854</v>
      </c>
      <c r="F110" s="431">
        <v>192164</v>
      </c>
      <c r="G110" s="431">
        <v>931597</v>
      </c>
      <c r="H110" s="431">
        <v>0</v>
      </c>
      <c r="I110" s="431">
        <v>909781</v>
      </c>
      <c r="J110" s="431">
        <v>350000</v>
      </c>
      <c r="K110" s="431">
        <v>84780</v>
      </c>
      <c r="L110" s="431">
        <v>0</v>
      </c>
      <c r="M110" s="431">
        <v>217055</v>
      </c>
      <c r="N110" s="431">
        <v>403077</v>
      </c>
      <c r="O110" s="431">
        <v>0</v>
      </c>
      <c r="P110" s="432">
        <f t="shared" si="11"/>
        <v>3739624</v>
      </c>
      <c r="Q110" s="431">
        <v>1387746</v>
      </c>
      <c r="R110" s="431">
        <v>724437</v>
      </c>
      <c r="S110" s="431">
        <v>10000</v>
      </c>
      <c r="T110" s="431">
        <v>0</v>
      </c>
      <c r="U110" s="431">
        <v>0</v>
      </c>
      <c r="V110" s="431">
        <v>0</v>
      </c>
      <c r="W110" s="431">
        <v>488309</v>
      </c>
      <c r="X110" s="431">
        <v>96335</v>
      </c>
      <c r="Y110" s="431">
        <v>0</v>
      </c>
      <c r="Z110" s="431">
        <v>1009797</v>
      </c>
      <c r="AA110" s="431">
        <v>23000</v>
      </c>
      <c r="AB110" s="431">
        <v>0</v>
      </c>
      <c r="AC110" s="431">
        <v>830850</v>
      </c>
      <c r="AD110" s="431">
        <v>61604</v>
      </c>
      <c r="AE110" s="431">
        <v>772272</v>
      </c>
      <c r="AF110" s="431">
        <v>0</v>
      </c>
      <c r="AG110" s="431">
        <v>232983</v>
      </c>
      <c r="AH110" s="431">
        <v>240983</v>
      </c>
      <c r="AI110" s="431">
        <v>452434</v>
      </c>
      <c r="AJ110" s="431">
        <v>42566</v>
      </c>
      <c r="AK110" s="431">
        <v>0</v>
      </c>
      <c r="AL110" s="431">
        <v>1105932</v>
      </c>
      <c r="AM110" s="431">
        <v>0</v>
      </c>
    </row>
    <row r="111" spans="1:39" s="155" customFormat="1" ht="12" x14ac:dyDescent="0.2">
      <c r="A111" s="168">
        <v>57</v>
      </c>
      <c r="B111" s="490">
        <v>17496</v>
      </c>
      <c r="C111" s="491" t="s">
        <v>2446</v>
      </c>
      <c r="D111" s="432">
        <f t="shared" si="12"/>
        <v>7390353</v>
      </c>
      <c r="E111" s="431">
        <v>3873021</v>
      </c>
      <c r="F111" s="431">
        <v>1633197</v>
      </c>
      <c r="G111" s="431">
        <v>639008</v>
      </c>
      <c r="H111" s="431">
        <v>0</v>
      </c>
      <c r="I111" s="431">
        <v>1897300</v>
      </c>
      <c r="J111" s="431">
        <v>300000</v>
      </c>
      <c r="K111" s="431">
        <v>965990</v>
      </c>
      <c r="L111" s="431">
        <v>0</v>
      </c>
      <c r="M111" s="431">
        <v>42531</v>
      </c>
      <c r="N111" s="431">
        <v>0</v>
      </c>
      <c r="O111" s="431">
        <v>311511</v>
      </c>
      <c r="P111" s="432">
        <f t="shared" si="11"/>
        <v>5551530</v>
      </c>
      <c r="Q111" s="431">
        <v>2243070</v>
      </c>
      <c r="R111" s="431">
        <v>1379401</v>
      </c>
      <c r="S111" s="431">
        <v>1500</v>
      </c>
      <c r="T111" s="431">
        <v>0</v>
      </c>
      <c r="U111" s="431">
        <v>0</v>
      </c>
      <c r="V111" s="431">
        <v>0</v>
      </c>
      <c r="W111" s="431">
        <v>0</v>
      </c>
      <c r="X111" s="431">
        <v>242251</v>
      </c>
      <c r="Y111" s="431">
        <v>15690</v>
      </c>
      <c r="Z111" s="431">
        <v>1550288</v>
      </c>
      <c r="AA111" s="431">
        <v>120000</v>
      </c>
      <c r="AB111" s="431">
        <v>-670</v>
      </c>
      <c r="AC111" s="431">
        <v>1210807</v>
      </c>
      <c r="AD111" s="431">
        <v>0</v>
      </c>
      <c r="AE111" s="431">
        <v>1538383</v>
      </c>
      <c r="AF111" s="431">
        <v>0</v>
      </c>
      <c r="AG111" s="431">
        <v>38172</v>
      </c>
      <c r="AH111" s="431">
        <v>656760</v>
      </c>
      <c r="AI111" s="431">
        <v>606033</v>
      </c>
      <c r="AJ111" s="431">
        <v>0</v>
      </c>
      <c r="AK111" s="431">
        <v>0</v>
      </c>
      <c r="AL111" s="431">
        <v>1475056</v>
      </c>
      <c r="AM111" s="431">
        <v>26319</v>
      </c>
    </row>
    <row r="112" spans="1:39" s="155" customFormat="1" ht="12" x14ac:dyDescent="0.2">
      <c r="A112" s="168">
        <v>58</v>
      </c>
      <c r="B112" s="490">
        <v>17575</v>
      </c>
      <c r="C112" s="491" t="s">
        <v>2447</v>
      </c>
      <c r="D112" s="432">
        <f t="shared" si="12"/>
        <v>6725967</v>
      </c>
      <c r="E112" s="431">
        <v>1593717</v>
      </c>
      <c r="F112" s="431">
        <v>278990</v>
      </c>
      <c r="G112" s="431">
        <v>916017</v>
      </c>
      <c r="H112" s="431">
        <v>0</v>
      </c>
      <c r="I112" s="431">
        <v>4173000</v>
      </c>
      <c r="J112" s="431">
        <v>50000</v>
      </c>
      <c r="K112" s="431">
        <v>103070</v>
      </c>
      <c r="L112" s="431">
        <v>0</v>
      </c>
      <c r="M112" s="431">
        <v>285985</v>
      </c>
      <c r="N112" s="431">
        <v>516700</v>
      </c>
      <c r="O112" s="431">
        <v>3495</v>
      </c>
      <c r="P112" s="432">
        <f t="shared" si="11"/>
        <v>6661508</v>
      </c>
      <c r="Q112" s="431">
        <v>4454688</v>
      </c>
      <c r="R112" s="431">
        <v>993242</v>
      </c>
      <c r="S112" s="431">
        <v>0</v>
      </c>
      <c r="T112" s="431">
        <v>0</v>
      </c>
      <c r="U112" s="431">
        <v>0</v>
      </c>
      <c r="V112" s="431">
        <v>0</v>
      </c>
      <c r="W112" s="431">
        <v>617890</v>
      </c>
      <c r="X112" s="431">
        <v>139294</v>
      </c>
      <c r="Y112" s="431">
        <v>0</v>
      </c>
      <c r="Z112" s="431">
        <v>458142</v>
      </c>
      <c r="AA112" s="431">
        <v>0</v>
      </c>
      <c r="AB112" s="431">
        <v>-1748</v>
      </c>
      <c r="AC112" s="431">
        <v>705167</v>
      </c>
      <c r="AD112" s="431">
        <v>132615</v>
      </c>
      <c r="AE112" s="431">
        <v>3925589</v>
      </c>
      <c r="AF112" s="431">
        <v>15000</v>
      </c>
      <c r="AG112" s="431">
        <v>674759</v>
      </c>
      <c r="AH112" s="431">
        <v>523732</v>
      </c>
      <c r="AI112" s="431">
        <v>298498</v>
      </c>
      <c r="AJ112" s="431">
        <v>199200</v>
      </c>
      <c r="AK112" s="431">
        <v>0</v>
      </c>
      <c r="AL112" s="431">
        <v>90000</v>
      </c>
      <c r="AM112" s="431">
        <v>96948</v>
      </c>
    </row>
    <row r="113" spans="1:39" s="155" customFormat="1" ht="12" x14ac:dyDescent="0.2">
      <c r="A113" s="168">
        <v>59</v>
      </c>
      <c r="B113" s="490">
        <v>17619</v>
      </c>
      <c r="C113" s="491" t="s">
        <v>2448</v>
      </c>
      <c r="D113" s="432">
        <f t="shared" si="12"/>
        <v>5404282</v>
      </c>
      <c r="E113" s="431">
        <v>1951092</v>
      </c>
      <c r="F113" s="431">
        <v>290243</v>
      </c>
      <c r="G113" s="431">
        <v>1009238</v>
      </c>
      <c r="H113" s="431">
        <v>0</v>
      </c>
      <c r="I113" s="431">
        <v>2485981</v>
      </c>
      <c r="J113" s="431">
        <v>157402</v>
      </c>
      <c r="K113" s="431">
        <v>610430</v>
      </c>
      <c r="L113" s="431">
        <v>0</v>
      </c>
      <c r="M113" s="431">
        <v>72027</v>
      </c>
      <c r="N113" s="431">
        <v>65617</v>
      </c>
      <c r="O113" s="431">
        <v>61733</v>
      </c>
      <c r="P113" s="432">
        <f t="shared" si="11"/>
        <v>4986918</v>
      </c>
      <c r="Q113" s="431">
        <v>2932292</v>
      </c>
      <c r="R113" s="431">
        <v>1238129</v>
      </c>
      <c r="S113" s="431">
        <v>0</v>
      </c>
      <c r="T113" s="431">
        <v>0</v>
      </c>
      <c r="U113" s="431">
        <v>0</v>
      </c>
      <c r="V113" s="431">
        <v>0</v>
      </c>
      <c r="W113" s="431">
        <v>0</v>
      </c>
      <c r="X113" s="431">
        <v>321367</v>
      </c>
      <c r="Y113" s="431">
        <v>11000</v>
      </c>
      <c r="Z113" s="431">
        <v>486987</v>
      </c>
      <c r="AA113" s="431">
        <v>0</v>
      </c>
      <c r="AB113" s="431">
        <v>-2857</v>
      </c>
      <c r="AC113" s="431">
        <v>1221043</v>
      </c>
      <c r="AD113" s="431">
        <v>38181</v>
      </c>
      <c r="AE113" s="431">
        <v>2100714</v>
      </c>
      <c r="AF113" s="431">
        <v>0</v>
      </c>
      <c r="AG113" s="431">
        <v>536773</v>
      </c>
      <c r="AH113" s="431">
        <v>595786</v>
      </c>
      <c r="AI113" s="431">
        <v>262433</v>
      </c>
      <c r="AJ113" s="431">
        <v>0</v>
      </c>
      <c r="AK113" s="431">
        <v>0</v>
      </c>
      <c r="AL113" s="431">
        <v>171057</v>
      </c>
      <c r="AM113" s="431">
        <v>60931</v>
      </c>
    </row>
    <row r="114" spans="1:39" s="155" customFormat="1" ht="12" x14ac:dyDescent="0.2">
      <c r="A114" s="168">
        <v>60</v>
      </c>
      <c r="B114" s="490">
        <v>17726</v>
      </c>
      <c r="C114" s="491" t="s">
        <v>2449</v>
      </c>
      <c r="D114" s="432">
        <f t="shared" si="12"/>
        <v>3759362</v>
      </c>
      <c r="E114" s="431">
        <v>1683250</v>
      </c>
      <c r="F114" s="431">
        <v>98895</v>
      </c>
      <c r="G114" s="431">
        <v>1187993</v>
      </c>
      <c r="H114" s="431">
        <v>0</v>
      </c>
      <c r="I114" s="431">
        <v>1183850</v>
      </c>
      <c r="J114" s="431">
        <v>50000</v>
      </c>
      <c r="K114" s="431">
        <v>131490</v>
      </c>
      <c r="L114" s="431">
        <v>0</v>
      </c>
      <c r="M114" s="431">
        <v>241864</v>
      </c>
      <c r="N114" s="431">
        <v>468908</v>
      </c>
      <c r="O114" s="431">
        <v>0</v>
      </c>
      <c r="P114" s="432">
        <f t="shared" si="11"/>
        <v>3107002</v>
      </c>
      <c r="Q114" s="431">
        <v>1549325</v>
      </c>
      <c r="R114" s="431">
        <v>612718</v>
      </c>
      <c r="S114" s="431">
        <v>0</v>
      </c>
      <c r="T114" s="431">
        <v>0</v>
      </c>
      <c r="U114" s="431">
        <v>0</v>
      </c>
      <c r="V114" s="431">
        <v>0</v>
      </c>
      <c r="W114" s="431">
        <v>331400</v>
      </c>
      <c r="X114" s="431">
        <v>196988</v>
      </c>
      <c r="Y114" s="431">
        <v>5000</v>
      </c>
      <c r="Z114" s="431">
        <v>411571</v>
      </c>
      <c r="AA114" s="431">
        <v>0</v>
      </c>
      <c r="AB114" s="431">
        <v>0</v>
      </c>
      <c r="AC114" s="431">
        <v>689730</v>
      </c>
      <c r="AD114" s="431">
        <v>0</v>
      </c>
      <c r="AE114" s="431">
        <v>978850</v>
      </c>
      <c r="AF114" s="431">
        <v>324999</v>
      </c>
      <c r="AG114" s="431">
        <v>53342</v>
      </c>
      <c r="AH114" s="431">
        <v>337017</v>
      </c>
      <c r="AI114" s="431">
        <v>586086</v>
      </c>
      <c r="AJ114" s="431">
        <v>24338</v>
      </c>
      <c r="AK114" s="431">
        <v>0</v>
      </c>
      <c r="AL114" s="431">
        <v>69640</v>
      </c>
      <c r="AM114" s="431">
        <v>43000</v>
      </c>
    </row>
    <row r="115" spans="1:39" s="155" customFormat="1" ht="12" x14ac:dyDescent="0.2">
      <c r="A115" s="168">
        <v>61</v>
      </c>
      <c r="B115" s="490">
        <v>17771</v>
      </c>
      <c r="C115" s="491" t="s">
        <v>2450</v>
      </c>
      <c r="D115" s="432">
        <f t="shared" si="12"/>
        <v>3602605</v>
      </c>
      <c r="E115" s="431">
        <v>1794624</v>
      </c>
      <c r="F115" s="431">
        <v>303588</v>
      </c>
      <c r="G115" s="431">
        <v>775343</v>
      </c>
      <c r="H115" s="431">
        <v>0</v>
      </c>
      <c r="I115" s="431">
        <v>1302200</v>
      </c>
      <c r="J115" s="431">
        <v>249990</v>
      </c>
      <c r="K115" s="431">
        <v>189710</v>
      </c>
      <c r="L115" s="431">
        <v>0</v>
      </c>
      <c r="M115" s="431">
        <v>21081</v>
      </c>
      <c r="N115" s="431">
        <v>0</v>
      </c>
      <c r="O115" s="431">
        <v>45000</v>
      </c>
      <c r="P115" s="432">
        <f t="shared" si="11"/>
        <v>3527224</v>
      </c>
      <c r="Q115" s="431">
        <v>1575064</v>
      </c>
      <c r="R115" s="431">
        <v>756904</v>
      </c>
      <c r="S115" s="431">
        <v>0</v>
      </c>
      <c r="T115" s="431">
        <v>0</v>
      </c>
      <c r="U115" s="431">
        <v>0</v>
      </c>
      <c r="V115" s="431">
        <v>0</v>
      </c>
      <c r="W115" s="431">
        <v>0</v>
      </c>
      <c r="X115" s="431">
        <v>104054</v>
      </c>
      <c r="Y115" s="431">
        <v>18550</v>
      </c>
      <c r="Z115" s="431">
        <v>1085378</v>
      </c>
      <c r="AA115" s="431">
        <v>0</v>
      </c>
      <c r="AB115" s="431">
        <v>-12726</v>
      </c>
      <c r="AC115" s="431">
        <v>641517</v>
      </c>
      <c r="AD115" s="431">
        <v>32205</v>
      </c>
      <c r="AE115" s="431">
        <v>1311757</v>
      </c>
      <c r="AF115" s="431">
        <v>0</v>
      </c>
      <c r="AG115" s="431">
        <v>494496</v>
      </c>
      <c r="AH115" s="431">
        <v>133396</v>
      </c>
      <c r="AI115" s="431">
        <v>319269</v>
      </c>
      <c r="AJ115" s="431">
        <v>0</v>
      </c>
      <c r="AK115" s="431">
        <v>0</v>
      </c>
      <c r="AL115" s="431">
        <v>594584</v>
      </c>
      <c r="AM115" s="431">
        <v>0</v>
      </c>
    </row>
    <row r="116" spans="1:39" s="155" customFormat="1" ht="12" x14ac:dyDescent="0.2">
      <c r="A116" s="168">
        <v>62</v>
      </c>
      <c r="B116" s="490">
        <v>17824</v>
      </c>
      <c r="C116" s="491" t="s">
        <v>2451</v>
      </c>
      <c r="D116" s="432">
        <f t="shared" si="12"/>
        <v>7497006</v>
      </c>
      <c r="E116" s="431">
        <v>3276878</v>
      </c>
      <c r="F116" s="431">
        <v>1284301</v>
      </c>
      <c r="G116" s="431">
        <v>189797</v>
      </c>
      <c r="H116" s="431">
        <v>0</v>
      </c>
      <c r="I116" s="431">
        <v>2008702</v>
      </c>
      <c r="J116" s="431">
        <v>100000</v>
      </c>
      <c r="K116" s="431">
        <v>1047890</v>
      </c>
      <c r="L116" s="431">
        <v>0</v>
      </c>
      <c r="M116" s="431">
        <v>4260</v>
      </c>
      <c r="N116" s="431">
        <v>0</v>
      </c>
      <c r="O116" s="431">
        <v>1059276</v>
      </c>
      <c r="P116" s="432">
        <f t="shared" si="11"/>
        <v>5242211</v>
      </c>
      <c r="Q116" s="431">
        <v>2303146</v>
      </c>
      <c r="R116" s="431">
        <v>1176649</v>
      </c>
      <c r="S116" s="431">
        <v>0</v>
      </c>
      <c r="T116" s="431">
        <v>0</v>
      </c>
      <c r="U116" s="431">
        <v>0</v>
      </c>
      <c r="V116" s="431">
        <v>0</v>
      </c>
      <c r="W116" s="431">
        <v>0</v>
      </c>
      <c r="X116" s="431">
        <v>135133</v>
      </c>
      <c r="Y116" s="431">
        <v>89880</v>
      </c>
      <c r="Z116" s="431">
        <v>1537403</v>
      </c>
      <c r="AA116" s="431">
        <v>0</v>
      </c>
      <c r="AB116" s="431">
        <v>0</v>
      </c>
      <c r="AC116" s="431">
        <v>922952</v>
      </c>
      <c r="AD116" s="431">
        <v>218712</v>
      </c>
      <c r="AE116" s="431">
        <v>1799494</v>
      </c>
      <c r="AF116" s="431">
        <v>0</v>
      </c>
      <c r="AG116" s="431">
        <v>133802</v>
      </c>
      <c r="AH116" s="431">
        <v>311062</v>
      </c>
      <c r="AI116" s="431">
        <v>113448</v>
      </c>
      <c r="AJ116" s="431">
        <v>1612996</v>
      </c>
      <c r="AK116" s="431">
        <v>0</v>
      </c>
      <c r="AL116" s="431">
        <v>129745</v>
      </c>
      <c r="AM116" s="431">
        <v>0</v>
      </c>
    </row>
    <row r="117" spans="1:39" s="155" customFormat="1" ht="12" x14ac:dyDescent="0.2">
      <c r="A117" s="168">
        <v>63</v>
      </c>
      <c r="B117" s="490">
        <v>17851</v>
      </c>
      <c r="C117" s="491" t="s">
        <v>2452</v>
      </c>
      <c r="D117" s="432">
        <f t="shared" si="12"/>
        <v>6703969</v>
      </c>
      <c r="E117" s="431">
        <v>2132763</v>
      </c>
      <c r="F117" s="431">
        <v>745661</v>
      </c>
      <c r="G117" s="431">
        <v>555459</v>
      </c>
      <c r="H117" s="431">
        <v>0</v>
      </c>
      <c r="I117" s="431">
        <v>3551612</v>
      </c>
      <c r="J117" s="431">
        <v>100000</v>
      </c>
      <c r="K117" s="431">
        <v>842960</v>
      </c>
      <c r="L117" s="431">
        <v>0</v>
      </c>
      <c r="M117" s="431">
        <v>76634</v>
      </c>
      <c r="N117" s="431">
        <v>0</v>
      </c>
      <c r="O117" s="431">
        <v>0</v>
      </c>
      <c r="P117" s="432">
        <f t="shared" si="11"/>
        <v>6493690</v>
      </c>
      <c r="Q117" s="431">
        <v>4008893</v>
      </c>
      <c r="R117" s="431">
        <v>1316532</v>
      </c>
      <c r="S117" s="431">
        <v>0</v>
      </c>
      <c r="T117" s="431">
        <v>0</v>
      </c>
      <c r="U117" s="431">
        <v>0</v>
      </c>
      <c r="V117" s="431">
        <v>0</v>
      </c>
      <c r="W117" s="431">
        <v>0</v>
      </c>
      <c r="X117" s="431">
        <v>289249</v>
      </c>
      <c r="Y117" s="431">
        <v>5000</v>
      </c>
      <c r="Z117" s="431">
        <v>1009428</v>
      </c>
      <c r="AA117" s="431">
        <v>0</v>
      </c>
      <c r="AB117" s="431">
        <v>-135412</v>
      </c>
      <c r="AC117" s="431">
        <v>1218605</v>
      </c>
      <c r="AD117" s="431">
        <v>20000</v>
      </c>
      <c r="AE117" s="431">
        <v>3289826</v>
      </c>
      <c r="AF117" s="431">
        <v>0</v>
      </c>
      <c r="AG117" s="431">
        <v>39135</v>
      </c>
      <c r="AH117" s="431">
        <v>556935</v>
      </c>
      <c r="AI117" s="431">
        <v>653465</v>
      </c>
      <c r="AJ117" s="431">
        <v>0</v>
      </c>
      <c r="AK117" s="431">
        <v>0</v>
      </c>
      <c r="AL117" s="431">
        <v>715724</v>
      </c>
      <c r="AM117" s="431">
        <v>0</v>
      </c>
    </row>
    <row r="118" spans="1:39" s="155" customFormat="1" ht="12" x14ac:dyDescent="0.2">
      <c r="A118" s="168">
        <v>64</v>
      </c>
      <c r="B118" s="490">
        <v>18028</v>
      </c>
      <c r="C118" s="491" t="s">
        <v>2453</v>
      </c>
      <c r="D118" s="432">
        <f t="shared" si="12"/>
        <v>9039240</v>
      </c>
      <c r="E118" s="431">
        <v>4746487</v>
      </c>
      <c r="F118" s="431">
        <v>2856306</v>
      </c>
      <c r="G118" s="431">
        <v>330898</v>
      </c>
      <c r="H118" s="431">
        <v>0</v>
      </c>
      <c r="I118" s="431">
        <v>3754366</v>
      </c>
      <c r="J118" s="431">
        <v>0</v>
      </c>
      <c r="K118" s="431">
        <v>527110</v>
      </c>
      <c r="L118" s="431">
        <v>0</v>
      </c>
      <c r="M118" s="431">
        <v>11277</v>
      </c>
      <c r="N118" s="431">
        <v>0</v>
      </c>
      <c r="O118" s="431">
        <v>0</v>
      </c>
      <c r="P118" s="432">
        <f t="shared" si="11"/>
        <v>8827840</v>
      </c>
      <c r="Q118" s="431">
        <v>4769359</v>
      </c>
      <c r="R118" s="431">
        <v>2719490</v>
      </c>
      <c r="S118" s="431">
        <v>185480</v>
      </c>
      <c r="T118" s="431">
        <v>0</v>
      </c>
      <c r="U118" s="431">
        <v>0</v>
      </c>
      <c r="V118" s="431">
        <v>0</v>
      </c>
      <c r="W118" s="431">
        <v>0</v>
      </c>
      <c r="X118" s="431">
        <v>358905</v>
      </c>
      <c r="Y118" s="431">
        <v>149560</v>
      </c>
      <c r="Z118" s="431">
        <v>251638</v>
      </c>
      <c r="AA118" s="431">
        <v>393408</v>
      </c>
      <c r="AB118" s="431">
        <v>0</v>
      </c>
      <c r="AC118" s="431">
        <v>2064025</v>
      </c>
      <c r="AD118" s="431">
        <v>115306</v>
      </c>
      <c r="AE118" s="431">
        <v>3865064</v>
      </c>
      <c r="AF118" s="431">
        <v>0</v>
      </c>
      <c r="AG118" s="431">
        <v>420706</v>
      </c>
      <c r="AH118" s="431">
        <v>867380</v>
      </c>
      <c r="AI118" s="431">
        <v>592963</v>
      </c>
      <c r="AJ118" s="431">
        <v>0</v>
      </c>
      <c r="AK118" s="431">
        <v>0</v>
      </c>
      <c r="AL118" s="431">
        <v>902396</v>
      </c>
      <c r="AM118" s="431">
        <v>0</v>
      </c>
    </row>
    <row r="119" spans="1:39" s="155" customFormat="1" ht="12" x14ac:dyDescent="0.2">
      <c r="A119" s="168">
        <v>65</v>
      </c>
      <c r="B119" s="490">
        <v>17913</v>
      </c>
      <c r="C119" s="491" t="s">
        <v>2454</v>
      </c>
      <c r="D119" s="432">
        <f t="shared" ref="D119:D149" si="13">E119+SUM(H119:O119)</f>
        <v>2612718</v>
      </c>
      <c r="E119" s="431">
        <v>1625855</v>
      </c>
      <c r="F119" s="431">
        <v>55949</v>
      </c>
      <c r="G119" s="431">
        <v>1360422</v>
      </c>
      <c r="H119" s="431">
        <v>0</v>
      </c>
      <c r="I119" s="431">
        <v>769133</v>
      </c>
      <c r="J119" s="431">
        <v>150000</v>
      </c>
      <c r="K119" s="431">
        <v>60990</v>
      </c>
      <c r="L119" s="431">
        <v>0</v>
      </c>
      <c r="M119" s="431">
        <v>6740</v>
      </c>
      <c r="N119" s="431">
        <v>0</v>
      </c>
      <c r="O119" s="431">
        <v>0</v>
      </c>
      <c r="P119" s="432">
        <f t="shared" si="11"/>
        <v>2785900</v>
      </c>
      <c r="Q119" s="431">
        <v>1035629</v>
      </c>
      <c r="R119" s="431">
        <v>700024</v>
      </c>
      <c r="S119" s="431">
        <v>0</v>
      </c>
      <c r="T119" s="431">
        <v>0</v>
      </c>
      <c r="U119" s="431">
        <v>0</v>
      </c>
      <c r="V119" s="431">
        <v>0</v>
      </c>
      <c r="W119" s="431">
        <v>0</v>
      </c>
      <c r="X119" s="431">
        <v>48483</v>
      </c>
      <c r="Y119" s="431">
        <v>2000</v>
      </c>
      <c r="Z119" s="431">
        <v>999764</v>
      </c>
      <c r="AA119" s="431">
        <v>0</v>
      </c>
      <c r="AB119" s="431">
        <v>0</v>
      </c>
      <c r="AC119" s="431">
        <v>406438</v>
      </c>
      <c r="AD119" s="431">
        <v>1050</v>
      </c>
      <c r="AE119" s="431">
        <v>780420</v>
      </c>
      <c r="AF119" s="431">
        <v>0</v>
      </c>
      <c r="AG119" s="431">
        <v>39273</v>
      </c>
      <c r="AH119" s="431">
        <v>130641</v>
      </c>
      <c r="AI119" s="431">
        <v>125868</v>
      </c>
      <c r="AJ119" s="431">
        <v>0</v>
      </c>
      <c r="AK119" s="431">
        <v>0</v>
      </c>
      <c r="AL119" s="431">
        <v>1302210</v>
      </c>
      <c r="AM119" s="431">
        <v>0</v>
      </c>
    </row>
    <row r="120" spans="1:39" s="155" customFormat="1" ht="12" x14ac:dyDescent="0.2">
      <c r="A120" s="168">
        <v>66</v>
      </c>
      <c r="B120" s="490">
        <v>17968</v>
      </c>
      <c r="C120" s="491" t="s">
        <v>2455</v>
      </c>
      <c r="D120" s="432">
        <f t="shared" si="13"/>
        <v>4372623</v>
      </c>
      <c r="E120" s="431">
        <v>1887753</v>
      </c>
      <c r="F120" s="431">
        <v>157114</v>
      </c>
      <c r="G120" s="431">
        <v>1190177</v>
      </c>
      <c r="H120" s="431">
        <v>0</v>
      </c>
      <c r="I120" s="431">
        <v>1572563</v>
      </c>
      <c r="J120" s="431">
        <v>140000</v>
      </c>
      <c r="K120" s="431">
        <v>297950</v>
      </c>
      <c r="L120" s="431">
        <v>0</v>
      </c>
      <c r="M120" s="431">
        <v>141619</v>
      </c>
      <c r="N120" s="431">
        <v>309572</v>
      </c>
      <c r="O120" s="431">
        <v>23166</v>
      </c>
      <c r="P120" s="432">
        <f t="shared" si="11"/>
        <v>4483071</v>
      </c>
      <c r="Q120" s="431">
        <v>1914790</v>
      </c>
      <c r="R120" s="431">
        <v>974916</v>
      </c>
      <c r="S120" s="431">
        <v>0</v>
      </c>
      <c r="T120" s="431">
        <v>0</v>
      </c>
      <c r="U120" s="431">
        <v>0</v>
      </c>
      <c r="V120" s="431">
        <v>3068</v>
      </c>
      <c r="W120" s="431">
        <v>481055</v>
      </c>
      <c r="X120" s="431">
        <v>248475</v>
      </c>
      <c r="Y120" s="431">
        <v>28666</v>
      </c>
      <c r="Z120" s="431">
        <v>858631</v>
      </c>
      <c r="AA120" s="431">
        <v>0</v>
      </c>
      <c r="AB120" s="431">
        <v>-26530</v>
      </c>
      <c r="AC120" s="431">
        <v>1095508</v>
      </c>
      <c r="AD120" s="431">
        <v>26258</v>
      </c>
      <c r="AE120" s="431">
        <v>1286058</v>
      </c>
      <c r="AF120" s="431">
        <v>82066</v>
      </c>
      <c r="AG120" s="431">
        <v>681001</v>
      </c>
      <c r="AH120" s="431">
        <v>474862</v>
      </c>
      <c r="AI120" s="431">
        <v>357901</v>
      </c>
      <c r="AJ120" s="431">
        <v>0</v>
      </c>
      <c r="AK120" s="431">
        <v>0</v>
      </c>
      <c r="AL120" s="431">
        <v>479417</v>
      </c>
      <c r="AM120" s="431">
        <v>0</v>
      </c>
    </row>
    <row r="121" spans="1:39" s="155" customFormat="1" ht="12" x14ac:dyDescent="0.2">
      <c r="A121" s="168">
        <v>67</v>
      </c>
      <c r="B121" s="490">
        <v>18162</v>
      </c>
      <c r="C121" s="491" t="s">
        <v>2456</v>
      </c>
      <c r="D121" s="432">
        <f t="shared" si="13"/>
        <v>3394969</v>
      </c>
      <c r="E121" s="431">
        <v>1728854</v>
      </c>
      <c r="F121" s="431">
        <v>124026</v>
      </c>
      <c r="G121" s="431">
        <v>1298272</v>
      </c>
      <c r="H121" s="431">
        <v>0</v>
      </c>
      <c r="I121" s="431">
        <v>1010961</v>
      </c>
      <c r="J121" s="431">
        <v>200000</v>
      </c>
      <c r="K121" s="431">
        <v>111860</v>
      </c>
      <c r="L121" s="431">
        <v>0</v>
      </c>
      <c r="M121" s="431">
        <v>87858</v>
      </c>
      <c r="N121" s="431">
        <v>224542</v>
      </c>
      <c r="O121" s="431">
        <v>30894</v>
      </c>
      <c r="P121" s="432">
        <f t="shared" si="11"/>
        <v>2389479</v>
      </c>
      <c r="Q121" s="431">
        <v>1244244</v>
      </c>
      <c r="R121" s="431">
        <v>748308</v>
      </c>
      <c r="S121" s="431">
        <v>0</v>
      </c>
      <c r="T121" s="431">
        <v>0</v>
      </c>
      <c r="U121" s="431">
        <v>0</v>
      </c>
      <c r="V121" s="431">
        <v>0</v>
      </c>
      <c r="W121" s="431">
        <v>0</v>
      </c>
      <c r="X121" s="431">
        <v>189392</v>
      </c>
      <c r="Y121" s="431">
        <v>18993</v>
      </c>
      <c r="Z121" s="431">
        <v>189397</v>
      </c>
      <c r="AA121" s="431">
        <v>0</v>
      </c>
      <c r="AB121" s="431">
        <v>-855</v>
      </c>
      <c r="AC121" s="431">
        <v>648987</v>
      </c>
      <c r="AD121" s="431">
        <v>96990</v>
      </c>
      <c r="AE121" s="431">
        <v>807560</v>
      </c>
      <c r="AF121" s="431">
        <v>0</v>
      </c>
      <c r="AG121" s="431">
        <v>10000</v>
      </c>
      <c r="AH121" s="431">
        <v>402497</v>
      </c>
      <c r="AI121" s="431">
        <v>64988</v>
      </c>
      <c r="AJ121" s="431">
        <v>76185</v>
      </c>
      <c r="AK121" s="431">
        <v>0</v>
      </c>
      <c r="AL121" s="431">
        <v>276320</v>
      </c>
      <c r="AM121" s="431">
        <v>5952</v>
      </c>
    </row>
    <row r="122" spans="1:39" s="155" customFormat="1" ht="12" x14ac:dyDescent="0.2">
      <c r="A122" s="168">
        <v>68</v>
      </c>
      <c r="B122" s="490">
        <v>18242</v>
      </c>
      <c r="C122" s="491" t="s">
        <v>2457</v>
      </c>
      <c r="D122" s="432">
        <f t="shared" si="13"/>
        <v>4937973</v>
      </c>
      <c r="E122" s="431">
        <v>1859065</v>
      </c>
      <c r="F122" s="431">
        <v>285129</v>
      </c>
      <c r="G122" s="431">
        <v>1131304</v>
      </c>
      <c r="H122" s="431">
        <v>0</v>
      </c>
      <c r="I122" s="431">
        <v>2065000</v>
      </c>
      <c r="J122" s="431">
        <v>300000</v>
      </c>
      <c r="K122" s="431">
        <v>191700</v>
      </c>
      <c r="L122" s="431">
        <v>0</v>
      </c>
      <c r="M122" s="431">
        <v>212555</v>
      </c>
      <c r="N122" s="431">
        <v>291793</v>
      </c>
      <c r="O122" s="431">
        <v>17860</v>
      </c>
      <c r="P122" s="432">
        <f t="shared" si="11"/>
        <v>5095471</v>
      </c>
      <c r="Q122" s="431">
        <v>2491578</v>
      </c>
      <c r="R122" s="431">
        <v>788382</v>
      </c>
      <c r="S122" s="431">
        <v>0</v>
      </c>
      <c r="T122" s="431">
        <v>0</v>
      </c>
      <c r="U122" s="431">
        <v>0</v>
      </c>
      <c r="V122" s="431">
        <v>0</v>
      </c>
      <c r="W122" s="431">
        <v>871485</v>
      </c>
      <c r="X122" s="431">
        <v>244808</v>
      </c>
      <c r="Y122" s="431">
        <v>20000</v>
      </c>
      <c r="Z122" s="431">
        <v>679218</v>
      </c>
      <c r="AA122" s="431">
        <v>0</v>
      </c>
      <c r="AB122" s="431">
        <v>0</v>
      </c>
      <c r="AC122" s="431">
        <v>922448</v>
      </c>
      <c r="AD122" s="431">
        <v>44559</v>
      </c>
      <c r="AE122" s="431">
        <v>1652101</v>
      </c>
      <c r="AF122" s="431">
        <v>0</v>
      </c>
      <c r="AG122" s="431">
        <v>966933</v>
      </c>
      <c r="AH122" s="431">
        <v>589508</v>
      </c>
      <c r="AI122" s="431">
        <v>328559</v>
      </c>
      <c r="AJ122" s="431">
        <v>216845</v>
      </c>
      <c r="AK122" s="431">
        <v>0</v>
      </c>
      <c r="AL122" s="431">
        <v>374518</v>
      </c>
      <c r="AM122" s="431">
        <v>0</v>
      </c>
    </row>
    <row r="123" spans="1:39" s="155" customFormat="1" ht="12" x14ac:dyDescent="0.2">
      <c r="A123" s="168">
        <v>69</v>
      </c>
      <c r="B123" s="490">
        <v>18331</v>
      </c>
      <c r="C123" s="491" t="s">
        <v>2458</v>
      </c>
      <c r="D123" s="432">
        <f t="shared" si="13"/>
        <v>5300356</v>
      </c>
      <c r="E123" s="431">
        <v>1723593</v>
      </c>
      <c r="F123" s="431">
        <v>341071</v>
      </c>
      <c r="G123" s="431">
        <v>652393</v>
      </c>
      <c r="H123" s="431">
        <v>0</v>
      </c>
      <c r="I123" s="431">
        <v>1944646</v>
      </c>
      <c r="J123" s="431">
        <v>40000</v>
      </c>
      <c r="K123" s="431">
        <v>594910</v>
      </c>
      <c r="L123" s="431">
        <v>0</v>
      </c>
      <c r="M123" s="431">
        <v>997207</v>
      </c>
      <c r="N123" s="431">
        <v>0</v>
      </c>
      <c r="O123" s="431">
        <v>0</v>
      </c>
      <c r="P123" s="432">
        <f t="shared" si="11"/>
        <v>4940807</v>
      </c>
      <c r="Q123" s="431">
        <v>2465768</v>
      </c>
      <c r="R123" s="431">
        <v>776393</v>
      </c>
      <c r="S123" s="431">
        <v>0</v>
      </c>
      <c r="T123" s="431">
        <v>0</v>
      </c>
      <c r="U123" s="431">
        <v>0</v>
      </c>
      <c r="V123" s="431">
        <v>0</v>
      </c>
      <c r="W123" s="431">
        <v>0</v>
      </c>
      <c r="X123" s="431">
        <v>197343</v>
      </c>
      <c r="Y123" s="431">
        <v>218000</v>
      </c>
      <c r="Z123" s="431">
        <v>1283303</v>
      </c>
      <c r="AA123" s="431">
        <v>0</v>
      </c>
      <c r="AB123" s="431">
        <v>0</v>
      </c>
      <c r="AC123" s="431">
        <v>1035912</v>
      </c>
      <c r="AD123" s="431">
        <v>0</v>
      </c>
      <c r="AE123" s="431">
        <v>1708525</v>
      </c>
      <c r="AF123" s="431">
        <v>0</v>
      </c>
      <c r="AG123" s="431">
        <v>269676</v>
      </c>
      <c r="AH123" s="431">
        <v>420791</v>
      </c>
      <c r="AI123" s="431">
        <v>111678</v>
      </c>
      <c r="AJ123" s="431">
        <v>49809</v>
      </c>
      <c r="AK123" s="431">
        <v>0</v>
      </c>
      <c r="AL123" s="431">
        <v>1316208</v>
      </c>
      <c r="AM123" s="431">
        <v>28208</v>
      </c>
    </row>
    <row r="124" spans="1:39" s="155" customFormat="1" ht="12" x14ac:dyDescent="0.2">
      <c r="A124" s="168">
        <v>70</v>
      </c>
      <c r="B124" s="490">
        <v>18411</v>
      </c>
      <c r="C124" s="491" t="s">
        <v>2459</v>
      </c>
      <c r="D124" s="432">
        <f t="shared" si="13"/>
        <v>4308835</v>
      </c>
      <c r="E124" s="431">
        <v>1677318</v>
      </c>
      <c r="F124" s="431">
        <v>110084</v>
      </c>
      <c r="G124" s="431">
        <v>1036624</v>
      </c>
      <c r="H124" s="431">
        <v>0</v>
      </c>
      <c r="I124" s="431">
        <v>1678293</v>
      </c>
      <c r="J124" s="431">
        <v>300000</v>
      </c>
      <c r="K124" s="431">
        <v>178720</v>
      </c>
      <c r="L124" s="431">
        <v>0</v>
      </c>
      <c r="M124" s="431">
        <v>431876</v>
      </c>
      <c r="N124" s="431">
        <v>0</v>
      </c>
      <c r="O124" s="431">
        <v>42628</v>
      </c>
      <c r="P124" s="432">
        <f t="shared" si="11"/>
        <v>4248854</v>
      </c>
      <c r="Q124" s="431">
        <v>2005818</v>
      </c>
      <c r="R124" s="431">
        <v>1317806</v>
      </c>
      <c r="S124" s="431">
        <v>0</v>
      </c>
      <c r="T124" s="431">
        <v>0</v>
      </c>
      <c r="U124" s="431">
        <v>0</v>
      </c>
      <c r="V124" s="431">
        <v>0</v>
      </c>
      <c r="W124" s="431">
        <v>0</v>
      </c>
      <c r="X124" s="431">
        <v>235085</v>
      </c>
      <c r="Y124" s="431">
        <v>13000</v>
      </c>
      <c r="Z124" s="431">
        <v>944728</v>
      </c>
      <c r="AA124" s="431">
        <v>0</v>
      </c>
      <c r="AB124" s="431">
        <v>-267583</v>
      </c>
      <c r="AC124" s="431">
        <v>950580</v>
      </c>
      <c r="AD124" s="431">
        <v>35296</v>
      </c>
      <c r="AE124" s="431">
        <v>1318220</v>
      </c>
      <c r="AF124" s="431">
        <v>0</v>
      </c>
      <c r="AG124" s="431">
        <v>39999</v>
      </c>
      <c r="AH124" s="431">
        <v>370919</v>
      </c>
      <c r="AI124" s="431">
        <v>597235</v>
      </c>
      <c r="AJ124" s="431">
        <v>4900</v>
      </c>
      <c r="AK124" s="431">
        <v>0</v>
      </c>
      <c r="AL124" s="431">
        <v>901705</v>
      </c>
      <c r="AM124" s="431">
        <v>30000</v>
      </c>
    </row>
    <row r="125" spans="1:39" s="155" customFormat="1" ht="12" x14ac:dyDescent="0.2">
      <c r="A125" s="168">
        <v>71</v>
      </c>
      <c r="B125" s="490">
        <v>18475</v>
      </c>
      <c r="C125" s="491" t="s">
        <v>2460</v>
      </c>
      <c r="D125" s="432">
        <f t="shared" si="13"/>
        <v>6963027</v>
      </c>
      <c r="E125" s="431">
        <v>1969713</v>
      </c>
      <c r="F125" s="431">
        <v>229197</v>
      </c>
      <c r="G125" s="431">
        <v>919354</v>
      </c>
      <c r="H125" s="431">
        <v>0</v>
      </c>
      <c r="I125" s="431">
        <v>1600672</v>
      </c>
      <c r="J125" s="431">
        <v>150000</v>
      </c>
      <c r="K125" s="431">
        <v>599780</v>
      </c>
      <c r="L125" s="431">
        <v>0</v>
      </c>
      <c r="M125" s="431">
        <v>2336941</v>
      </c>
      <c r="N125" s="431">
        <v>305921</v>
      </c>
      <c r="O125" s="431">
        <v>0</v>
      </c>
      <c r="P125" s="432">
        <f t="shared" si="11"/>
        <v>6489749</v>
      </c>
      <c r="Q125" s="431">
        <v>1830796</v>
      </c>
      <c r="R125" s="431">
        <v>998634</v>
      </c>
      <c r="S125" s="431">
        <v>0</v>
      </c>
      <c r="T125" s="431">
        <v>0</v>
      </c>
      <c r="U125" s="431">
        <v>0</v>
      </c>
      <c r="V125" s="431">
        <v>0</v>
      </c>
      <c r="W125" s="431">
        <v>432501</v>
      </c>
      <c r="X125" s="431">
        <v>239016</v>
      </c>
      <c r="Y125" s="431">
        <v>24907</v>
      </c>
      <c r="Z125" s="431">
        <v>2963895</v>
      </c>
      <c r="AA125" s="431">
        <v>0</v>
      </c>
      <c r="AB125" s="431">
        <v>0</v>
      </c>
      <c r="AC125" s="431">
        <v>551411</v>
      </c>
      <c r="AD125" s="431">
        <v>121203</v>
      </c>
      <c r="AE125" s="431">
        <v>1418284</v>
      </c>
      <c r="AF125" s="431">
        <v>83494</v>
      </c>
      <c r="AG125" s="431">
        <v>581735</v>
      </c>
      <c r="AH125" s="431">
        <v>469328</v>
      </c>
      <c r="AI125" s="431">
        <v>345781</v>
      </c>
      <c r="AJ125" s="431">
        <v>281963</v>
      </c>
      <c r="AK125" s="431">
        <v>0</v>
      </c>
      <c r="AL125" s="431">
        <v>2636550</v>
      </c>
      <c r="AM125" s="431">
        <v>0</v>
      </c>
    </row>
    <row r="126" spans="1:39" s="155" customFormat="1" ht="12" x14ac:dyDescent="0.2">
      <c r="A126" s="168">
        <v>72</v>
      </c>
      <c r="B126" s="490">
        <v>18527</v>
      </c>
      <c r="C126" s="491" t="s">
        <v>2461</v>
      </c>
      <c r="D126" s="432">
        <f t="shared" si="13"/>
        <v>12651616</v>
      </c>
      <c r="E126" s="431">
        <v>3259030</v>
      </c>
      <c r="F126" s="431">
        <v>903542</v>
      </c>
      <c r="G126" s="431">
        <v>527507</v>
      </c>
      <c r="H126" s="431">
        <v>0</v>
      </c>
      <c r="I126" s="431">
        <v>5210301</v>
      </c>
      <c r="J126" s="431">
        <v>350000</v>
      </c>
      <c r="K126" s="431">
        <v>838440</v>
      </c>
      <c r="L126" s="431">
        <v>0</v>
      </c>
      <c r="M126" s="431">
        <v>2374796</v>
      </c>
      <c r="N126" s="431">
        <v>528459</v>
      </c>
      <c r="O126" s="431">
        <v>90590</v>
      </c>
      <c r="P126" s="432">
        <f t="shared" si="11"/>
        <v>11974101</v>
      </c>
      <c r="Q126" s="431">
        <v>5841954</v>
      </c>
      <c r="R126" s="431">
        <v>2255318</v>
      </c>
      <c r="S126" s="431">
        <v>0</v>
      </c>
      <c r="T126" s="431">
        <v>0</v>
      </c>
      <c r="U126" s="431">
        <v>0</v>
      </c>
      <c r="V126" s="431">
        <v>0</v>
      </c>
      <c r="W126" s="431">
        <v>600384</v>
      </c>
      <c r="X126" s="431">
        <v>308029</v>
      </c>
      <c r="Y126" s="431">
        <v>55000</v>
      </c>
      <c r="Z126" s="431">
        <v>2914431</v>
      </c>
      <c r="AA126" s="431">
        <v>0</v>
      </c>
      <c r="AB126" s="431">
        <v>-1015</v>
      </c>
      <c r="AC126" s="431">
        <v>1517715</v>
      </c>
      <c r="AD126" s="431">
        <v>0</v>
      </c>
      <c r="AE126" s="431">
        <v>5664668</v>
      </c>
      <c r="AF126" s="431">
        <v>0</v>
      </c>
      <c r="AG126" s="431">
        <v>186697</v>
      </c>
      <c r="AH126" s="431">
        <v>982098</v>
      </c>
      <c r="AI126" s="431">
        <v>2105795</v>
      </c>
      <c r="AJ126" s="431">
        <v>329448</v>
      </c>
      <c r="AK126" s="431">
        <v>0</v>
      </c>
      <c r="AL126" s="431">
        <v>991877</v>
      </c>
      <c r="AM126" s="431">
        <v>195803</v>
      </c>
    </row>
    <row r="127" spans="1:39" s="155" customFormat="1" ht="12" x14ac:dyDescent="0.2">
      <c r="A127" s="168">
        <v>73</v>
      </c>
      <c r="B127" s="490">
        <v>18554</v>
      </c>
      <c r="C127" s="491" t="s">
        <v>2462</v>
      </c>
      <c r="D127" s="432">
        <f t="shared" si="13"/>
        <v>9136607</v>
      </c>
      <c r="E127" s="431">
        <v>2538603</v>
      </c>
      <c r="F127" s="431">
        <v>900986</v>
      </c>
      <c r="G127" s="431">
        <v>1157439</v>
      </c>
      <c r="H127" s="431">
        <v>0</v>
      </c>
      <c r="I127" s="431">
        <v>1660147</v>
      </c>
      <c r="J127" s="431">
        <v>200000</v>
      </c>
      <c r="K127" s="431">
        <v>123300</v>
      </c>
      <c r="L127" s="431">
        <v>0</v>
      </c>
      <c r="M127" s="431">
        <v>4541119</v>
      </c>
      <c r="N127" s="431">
        <v>73438</v>
      </c>
      <c r="O127" s="431">
        <v>0</v>
      </c>
      <c r="P127" s="432">
        <f t="shared" si="11"/>
        <v>10951001</v>
      </c>
      <c r="Q127" s="431">
        <v>1898671</v>
      </c>
      <c r="R127" s="431">
        <v>712939</v>
      </c>
      <c r="S127" s="431">
        <v>0</v>
      </c>
      <c r="T127" s="431">
        <v>0</v>
      </c>
      <c r="U127" s="431">
        <v>0</v>
      </c>
      <c r="V127" s="431">
        <v>0</v>
      </c>
      <c r="W127" s="431">
        <v>2258075</v>
      </c>
      <c r="X127" s="431">
        <v>247975</v>
      </c>
      <c r="Y127" s="431">
        <v>45000</v>
      </c>
      <c r="Z127" s="431">
        <v>5816783</v>
      </c>
      <c r="AA127" s="431">
        <v>0</v>
      </c>
      <c r="AB127" s="431">
        <v>-28442</v>
      </c>
      <c r="AC127" s="431">
        <v>1234218</v>
      </c>
      <c r="AD127" s="431">
        <v>45256</v>
      </c>
      <c r="AE127" s="431">
        <v>1427678</v>
      </c>
      <c r="AF127" s="431">
        <v>0</v>
      </c>
      <c r="AG127" s="431">
        <v>919232</v>
      </c>
      <c r="AH127" s="431">
        <v>345531</v>
      </c>
      <c r="AI127" s="431">
        <v>4636403</v>
      </c>
      <c r="AJ127" s="431">
        <v>38848</v>
      </c>
      <c r="AK127" s="431">
        <v>0</v>
      </c>
      <c r="AL127" s="431">
        <v>2303835</v>
      </c>
      <c r="AM127" s="431">
        <v>0</v>
      </c>
    </row>
    <row r="128" spans="1:39" s="155" customFormat="1" ht="12" x14ac:dyDescent="0.2">
      <c r="A128" s="168">
        <v>74</v>
      </c>
      <c r="B128" s="490">
        <v>18581</v>
      </c>
      <c r="C128" s="491" t="s">
        <v>2463</v>
      </c>
      <c r="D128" s="432">
        <f t="shared" si="13"/>
        <v>3632821</v>
      </c>
      <c r="E128" s="431">
        <v>1405227</v>
      </c>
      <c r="F128" s="431">
        <v>165915</v>
      </c>
      <c r="G128" s="431">
        <v>672143</v>
      </c>
      <c r="H128" s="431">
        <v>0</v>
      </c>
      <c r="I128" s="431">
        <v>769279</v>
      </c>
      <c r="J128" s="431">
        <v>350000</v>
      </c>
      <c r="K128" s="431">
        <v>600690</v>
      </c>
      <c r="L128" s="431">
        <v>0</v>
      </c>
      <c r="M128" s="431">
        <v>88660</v>
      </c>
      <c r="N128" s="431">
        <v>222765</v>
      </c>
      <c r="O128" s="431">
        <v>196200</v>
      </c>
      <c r="P128" s="432">
        <f t="shared" si="11"/>
        <v>2703901</v>
      </c>
      <c r="Q128" s="431">
        <v>1175658</v>
      </c>
      <c r="R128" s="431">
        <v>583286</v>
      </c>
      <c r="S128" s="431">
        <v>0</v>
      </c>
      <c r="T128" s="431">
        <v>0</v>
      </c>
      <c r="U128" s="431">
        <v>0</v>
      </c>
      <c r="V128" s="431">
        <v>0</v>
      </c>
      <c r="W128" s="431">
        <v>285204</v>
      </c>
      <c r="X128" s="431">
        <v>151267</v>
      </c>
      <c r="Y128" s="431">
        <v>0</v>
      </c>
      <c r="Z128" s="431">
        <v>667085</v>
      </c>
      <c r="AA128" s="431">
        <v>0</v>
      </c>
      <c r="AB128" s="431">
        <v>-158599</v>
      </c>
      <c r="AC128" s="431">
        <v>693971</v>
      </c>
      <c r="AD128" s="431">
        <v>20758</v>
      </c>
      <c r="AE128" s="431">
        <v>672850</v>
      </c>
      <c r="AF128" s="431">
        <v>95361</v>
      </c>
      <c r="AG128" s="431">
        <v>23999</v>
      </c>
      <c r="AH128" s="431">
        <v>188716</v>
      </c>
      <c r="AI128" s="431">
        <v>72754</v>
      </c>
      <c r="AJ128" s="431">
        <v>57641</v>
      </c>
      <c r="AK128" s="431">
        <v>0</v>
      </c>
      <c r="AL128" s="431">
        <v>806954</v>
      </c>
      <c r="AM128" s="431">
        <v>70897</v>
      </c>
    </row>
    <row r="129" spans="1:39" s="155" customFormat="1" ht="12" x14ac:dyDescent="0.2">
      <c r="A129" s="168">
        <v>75</v>
      </c>
      <c r="B129" s="490">
        <v>18670</v>
      </c>
      <c r="C129" s="491" t="s">
        <v>2464</v>
      </c>
      <c r="D129" s="432">
        <f t="shared" si="13"/>
        <v>5202206</v>
      </c>
      <c r="E129" s="431">
        <v>2212723</v>
      </c>
      <c r="F129" s="431">
        <v>679132</v>
      </c>
      <c r="G129" s="431">
        <v>695309</v>
      </c>
      <c r="H129" s="431">
        <v>0</v>
      </c>
      <c r="I129" s="431">
        <v>2360347</v>
      </c>
      <c r="J129" s="431">
        <v>0</v>
      </c>
      <c r="K129" s="431">
        <v>601490</v>
      </c>
      <c r="L129" s="431">
        <v>0</v>
      </c>
      <c r="M129" s="431">
        <v>24156</v>
      </c>
      <c r="N129" s="431">
        <v>0</v>
      </c>
      <c r="O129" s="431">
        <v>3490</v>
      </c>
      <c r="P129" s="432">
        <f t="shared" si="11"/>
        <v>4863058</v>
      </c>
      <c r="Q129" s="431">
        <v>2714936</v>
      </c>
      <c r="R129" s="431">
        <v>717958</v>
      </c>
      <c r="S129" s="431">
        <v>0</v>
      </c>
      <c r="T129" s="431">
        <v>0</v>
      </c>
      <c r="U129" s="431">
        <v>0</v>
      </c>
      <c r="V129" s="431">
        <v>0</v>
      </c>
      <c r="W129" s="431">
        <v>0</v>
      </c>
      <c r="X129" s="431">
        <v>332627</v>
      </c>
      <c r="Y129" s="431">
        <v>19955</v>
      </c>
      <c r="Z129" s="431">
        <v>1087236</v>
      </c>
      <c r="AA129" s="431">
        <v>0</v>
      </c>
      <c r="AB129" s="431">
        <v>-9654</v>
      </c>
      <c r="AC129" s="431">
        <v>915941</v>
      </c>
      <c r="AD129" s="431">
        <v>79958</v>
      </c>
      <c r="AE129" s="431">
        <v>1957681</v>
      </c>
      <c r="AF129" s="431">
        <v>2245</v>
      </c>
      <c r="AG129" s="431">
        <v>103707</v>
      </c>
      <c r="AH129" s="431">
        <v>568051</v>
      </c>
      <c r="AI129" s="431">
        <v>181124</v>
      </c>
      <c r="AJ129" s="431">
        <v>172270</v>
      </c>
      <c r="AK129" s="431">
        <v>0</v>
      </c>
      <c r="AL129" s="431">
        <v>876581</v>
      </c>
      <c r="AM129" s="431">
        <v>5500</v>
      </c>
    </row>
    <row r="130" spans="1:39" s="155" customFormat="1" ht="12" x14ac:dyDescent="0.2">
      <c r="A130" s="168">
        <v>76</v>
      </c>
      <c r="B130" s="490">
        <v>18741</v>
      </c>
      <c r="C130" s="491" t="s">
        <v>2465</v>
      </c>
      <c r="D130" s="432">
        <f t="shared" si="13"/>
        <v>6217163</v>
      </c>
      <c r="E130" s="431">
        <v>1949814</v>
      </c>
      <c r="F130" s="431">
        <v>504621</v>
      </c>
      <c r="G130" s="431">
        <v>404487</v>
      </c>
      <c r="H130" s="431">
        <v>0</v>
      </c>
      <c r="I130" s="431">
        <v>3166082</v>
      </c>
      <c r="J130" s="431">
        <v>230000</v>
      </c>
      <c r="K130" s="431">
        <v>432660</v>
      </c>
      <c r="L130" s="431">
        <v>0</v>
      </c>
      <c r="M130" s="431">
        <v>119917</v>
      </c>
      <c r="N130" s="431">
        <v>318690</v>
      </c>
      <c r="O130" s="431">
        <v>0</v>
      </c>
      <c r="P130" s="432">
        <f t="shared" si="11"/>
        <v>6056820</v>
      </c>
      <c r="Q130" s="431">
        <v>3653892</v>
      </c>
      <c r="R130" s="431">
        <v>1218417</v>
      </c>
      <c r="S130" s="431">
        <v>0</v>
      </c>
      <c r="T130" s="431">
        <v>0</v>
      </c>
      <c r="U130" s="431">
        <v>0</v>
      </c>
      <c r="V130" s="431">
        <v>0</v>
      </c>
      <c r="W130" s="431">
        <v>425852</v>
      </c>
      <c r="X130" s="431">
        <v>213126</v>
      </c>
      <c r="Y130" s="431">
        <v>0</v>
      </c>
      <c r="Z130" s="431">
        <v>554232</v>
      </c>
      <c r="AA130" s="431">
        <v>0</v>
      </c>
      <c r="AB130" s="431">
        <v>-8699</v>
      </c>
      <c r="AC130" s="431">
        <v>873189</v>
      </c>
      <c r="AD130" s="431">
        <v>152000</v>
      </c>
      <c r="AE130" s="431">
        <v>2738123</v>
      </c>
      <c r="AF130" s="431">
        <v>0</v>
      </c>
      <c r="AG130" s="431">
        <v>770617</v>
      </c>
      <c r="AH130" s="431">
        <v>667403</v>
      </c>
      <c r="AI130" s="431">
        <v>366189</v>
      </c>
      <c r="AJ130" s="431">
        <v>-7805</v>
      </c>
      <c r="AK130" s="431">
        <v>0</v>
      </c>
      <c r="AL130" s="431">
        <v>374335</v>
      </c>
      <c r="AM130" s="431">
        <v>122769</v>
      </c>
    </row>
    <row r="131" spans="1:39" s="155" customFormat="1" ht="12" x14ac:dyDescent="0.2">
      <c r="A131" s="168">
        <v>77</v>
      </c>
      <c r="B131" s="490">
        <v>18778</v>
      </c>
      <c r="C131" s="491" t="s">
        <v>2466</v>
      </c>
      <c r="D131" s="432">
        <f t="shared" si="13"/>
        <v>11534299</v>
      </c>
      <c r="E131" s="431">
        <v>2090906</v>
      </c>
      <c r="F131" s="431">
        <v>480594</v>
      </c>
      <c r="G131" s="431">
        <v>1173108</v>
      </c>
      <c r="H131" s="431">
        <v>0</v>
      </c>
      <c r="I131" s="431">
        <v>4697837</v>
      </c>
      <c r="J131" s="431">
        <v>327400</v>
      </c>
      <c r="K131" s="431">
        <v>694810</v>
      </c>
      <c r="L131" s="431">
        <v>0</v>
      </c>
      <c r="M131" s="431">
        <v>2527170</v>
      </c>
      <c r="N131" s="431">
        <v>1179576</v>
      </c>
      <c r="O131" s="431">
        <v>16600</v>
      </c>
      <c r="P131" s="432">
        <f t="shared" si="11"/>
        <v>11073297</v>
      </c>
      <c r="Q131" s="431">
        <v>4830042</v>
      </c>
      <c r="R131" s="431">
        <v>839106</v>
      </c>
      <c r="S131" s="431">
        <v>0</v>
      </c>
      <c r="T131" s="431">
        <v>0</v>
      </c>
      <c r="U131" s="431">
        <v>0</v>
      </c>
      <c r="V131" s="431">
        <v>0</v>
      </c>
      <c r="W131" s="431">
        <v>1714467</v>
      </c>
      <c r="X131" s="431">
        <v>191183</v>
      </c>
      <c r="Y131" s="431">
        <v>120922</v>
      </c>
      <c r="Z131" s="431">
        <v>3380583</v>
      </c>
      <c r="AA131" s="431">
        <v>0</v>
      </c>
      <c r="AB131" s="431">
        <v>-3006</v>
      </c>
      <c r="AC131" s="431">
        <v>637682</v>
      </c>
      <c r="AD131" s="431">
        <v>657</v>
      </c>
      <c r="AE131" s="431">
        <v>5594566</v>
      </c>
      <c r="AF131" s="431">
        <v>0</v>
      </c>
      <c r="AG131" s="431">
        <v>703806</v>
      </c>
      <c r="AH131" s="431">
        <v>451649</v>
      </c>
      <c r="AI131" s="431">
        <v>270927</v>
      </c>
      <c r="AJ131" s="431">
        <v>2511692</v>
      </c>
      <c r="AK131" s="431">
        <v>0</v>
      </c>
      <c r="AL131" s="431">
        <v>902318</v>
      </c>
      <c r="AM131" s="431">
        <v>0</v>
      </c>
    </row>
    <row r="132" spans="1:39" s="155" customFormat="1" ht="12" x14ac:dyDescent="0.2">
      <c r="A132" s="168">
        <v>78</v>
      </c>
      <c r="B132" s="490">
        <v>18858</v>
      </c>
      <c r="C132" s="491" t="s">
        <v>1771</v>
      </c>
      <c r="D132" s="432">
        <f t="shared" si="13"/>
        <v>6010982</v>
      </c>
      <c r="E132" s="431">
        <v>2285509</v>
      </c>
      <c r="F132" s="431">
        <v>295589</v>
      </c>
      <c r="G132" s="431">
        <v>1304637</v>
      </c>
      <c r="H132" s="431">
        <v>0</v>
      </c>
      <c r="I132" s="431">
        <v>3081572</v>
      </c>
      <c r="J132" s="431">
        <v>5588</v>
      </c>
      <c r="K132" s="431">
        <v>651120</v>
      </c>
      <c r="L132" s="431">
        <v>0</v>
      </c>
      <c r="M132" s="431">
        <v>-12807</v>
      </c>
      <c r="N132" s="431">
        <v>0</v>
      </c>
      <c r="O132" s="431">
        <v>0</v>
      </c>
      <c r="P132" s="432">
        <f t="shared" si="11"/>
        <v>4650629</v>
      </c>
      <c r="Q132" s="431">
        <v>3406092</v>
      </c>
      <c r="R132" s="431">
        <v>825933</v>
      </c>
      <c r="S132" s="431">
        <v>0</v>
      </c>
      <c r="T132" s="431">
        <v>0</v>
      </c>
      <c r="U132" s="431">
        <v>0</v>
      </c>
      <c r="V132" s="431">
        <v>3084</v>
      </c>
      <c r="W132" s="431">
        <v>0</v>
      </c>
      <c r="X132" s="431">
        <v>314590</v>
      </c>
      <c r="Y132" s="431">
        <v>0</v>
      </c>
      <c r="Z132" s="431">
        <v>126202</v>
      </c>
      <c r="AA132" s="431">
        <v>0</v>
      </c>
      <c r="AB132" s="431">
        <v>-25272</v>
      </c>
      <c r="AC132" s="431">
        <v>592750</v>
      </c>
      <c r="AD132" s="431">
        <v>103963</v>
      </c>
      <c r="AE132" s="431">
        <v>2607744</v>
      </c>
      <c r="AF132" s="431">
        <v>0</v>
      </c>
      <c r="AG132" s="431">
        <v>163947</v>
      </c>
      <c r="AH132" s="431">
        <v>716903</v>
      </c>
      <c r="AI132" s="431">
        <v>297644</v>
      </c>
      <c r="AJ132" s="431">
        <v>109251</v>
      </c>
      <c r="AK132" s="431">
        <v>0</v>
      </c>
      <c r="AL132" s="431">
        <v>58427</v>
      </c>
      <c r="AM132" s="431">
        <v>0</v>
      </c>
    </row>
    <row r="133" spans="1:39" s="155" customFormat="1" ht="12" x14ac:dyDescent="0.2">
      <c r="A133" s="168">
        <v>79</v>
      </c>
      <c r="B133" s="490">
        <v>18938</v>
      </c>
      <c r="C133" s="491" t="s">
        <v>2467</v>
      </c>
      <c r="D133" s="432">
        <f t="shared" si="13"/>
        <v>7439768</v>
      </c>
      <c r="E133" s="431">
        <v>2008709</v>
      </c>
      <c r="F133" s="431">
        <v>225162</v>
      </c>
      <c r="G133" s="431">
        <v>1091416</v>
      </c>
      <c r="H133" s="431">
        <v>0</v>
      </c>
      <c r="I133" s="431">
        <v>1713614</v>
      </c>
      <c r="J133" s="431">
        <v>140000</v>
      </c>
      <c r="K133" s="431">
        <v>765950</v>
      </c>
      <c r="L133" s="431">
        <v>0</v>
      </c>
      <c r="M133" s="431">
        <v>344915</v>
      </c>
      <c r="N133" s="431">
        <v>2466580</v>
      </c>
      <c r="O133" s="431">
        <v>0</v>
      </c>
      <c r="P133" s="432">
        <f t="shared" si="11"/>
        <v>5803510</v>
      </c>
      <c r="Q133" s="431">
        <v>1930220</v>
      </c>
      <c r="R133" s="431">
        <v>1355620</v>
      </c>
      <c r="S133" s="431">
        <v>5799</v>
      </c>
      <c r="T133" s="431">
        <v>0</v>
      </c>
      <c r="U133" s="431">
        <v>0</v>
      </c>
      <c r="V133" s="431">
        <v>0</v>
      </c>
      <c r="W133" s="431">
        <v>1318254</v>
      </c>
      <c r="X133" s="431">
        <v>450970</v>
      </c>
      <c r="Y133" s="431">
        <v>46000</v>
      </c>
      <c r="Z133" s="431">
        <v>688644</v>
      </c>
      <c r="AA133" s="431">
        <v>13041</v>
      </c>
      <c r="AB133" s="431">
        <v>-5038</v>
      </c>
      <c r="AC133" s="431">
        <v>908349</v>
      </c>
      <c r="AD133" s="431">
        <v>323023</v>
      </c>
      <c r="AE133" s="431">
        <v>1748115</v>
      </c>
      <c r="AF133" s="431">
        <v>0</v>
      </c>
      <c r="AG133" s="431">
        <v>889618</v>
      </c>
      <c r="AH133" s="431">
        <v>654737</v>
      </c>
      <c r="AI133" s="431">
        <v>781192</v>
      </c>
      <c r="AJ133" s="431">
        <v>103602</v>
      </c>
      <c r="AK133" s="431">
        <v>0</v>
      </c>
      <c r="AL133" s="431">
        <v>394874</v>
      </c>
      <c r="AM133" s="431">
        <v>0</v>
      </c>
    </row>
    <row r="134" spans="1:39" s="155" customFormat="1" ht="12" x14ac:dyDescent="0.2">
      <c r="A134" s="168">
        <v>80</v>
      </c>
      <c r="B134" s="490">
        <v>19007</v>
      </c>
      <c r="C134" s="491" t="s">
        <v>2468</v>
      </c>
      <c r="D134" s="432">
        <f t="shared" si="13"/>
        <v>5720540</v>
      </c>
      <c r="E134" s="431">
        <v>1959862</v>
      </c>
      <c r="F134" s="431">
        <v>198342</v>
      </c>
      <c r="G134" s="431">
        <v>994611</v>
      </c>
      <c r="H134" s="431">
        <v>0</v>
      </c>
      <c r="I134" s="431">
        <v>1668553</v>
      </c>
      <c r="J134" s="431">
        <v>130000</v>
      </c>
      <c r="K134" s="431">
        <v>811230</v>
      </c>
      <c r="L134" s="431">
        <v>0</v>
      </c>
      <c r="M134" s="431">
        <v>520113</v>
      </c>
      <c r="N134" s="431">
        <v>599516</v>
      </c>
      <c r="O134" s="431">
        <v>31266</v>
      </c>
      <c r="P134" s="432">
        <f t="shared" si="11"/>
        <v>5351583</v>
      </c>
      <c r="Q134" s="431">
        <v>2019573</v>
      </c>
      <c r="R134" s="431">
        <v>1197568</v>
      </c>
      <c r="S134" s="431">
        <v>0</v>
      </c>
      <c r="T134" s="431">
        <v>0</v>
      </c>
      <c r="U134" s="431">
        <v>0</v>
      </c>
      <c r="V134" s="431">
        <v>0</v>
      </c>
      <c r="W134" s="431">
        <v>1404169</v>
      </c>
      <c r="X134" s="431">
        <v>154002</v>
      </c>
      <c r="Y134" s="431">
        <v>22980</v>
      </c>
      <c r="Z134" s="431">
        <v>680274</v>
      </c>
      <c r="AA134" s="431">
        <v>0</v>
      </c>
      <c r="AB134" s="431">
        <v>-126983</v>
      </c>
      <c r="AC134" s="431">
        <v>1066602</v>
      </c>
      <c r="AD134" s="431">
        <v>20948</v>
      </c>
      <c r="AE134" s="431">
        <v>3076324</v>
      </c>
      <c r="AF134" s="431">
        <v>0</v>
      </c>
      <c r="AG134" s="431">
        <v>71122</v>
      </c>
      <c r="AH134" s="431">
        <v>284508</v>
      </c>
      <c r="AI134" s="431">
        <v>499082</v>
      </c>
      <c r="AJ134" s="431">
        <v>0</v>
      </c>
      <c r="AK134" s="431">
        <v>0</v>
      </c>
      <c r="AL134" s="431">
        <v>282751</v>
      </c>
      <c r="AM134" s="431">
        <v>50246</v>
      </c>
    </row>
    <row r="135" spans="1:39" s="155" customFormat="1" ht="12" x14ac:dyDescent="0.2">
      <c r="A135" s="168">
        <v>81</v>
      </c>
      <c r="B135" s="490">
        <v>19114</v>
      </c>
      <c r="C135" s="491" t="s">
        <v>1777</v>
      </c>
      <c r="D135" s="432">
        <f t="shared" si="13"/>
        <v>5695230</v>
      </c>
      <c r="E135" s="431">
        <v>1668986</v>
      </c>
      <c r="F135" s="431">
        <v>359597</v>
      </c>
      <c r="G135" s="431">
        <v>697007</v>
      </c>
      <c r="H135" s="431">
        <v>0</v>
      </c>
      <c r="I135" s="431">
        <v>1556352</v>
      </c>
      <c r="J135" s="431">
        <v>80000</v>
      </c>
      <c r="K135" s="431">
        <v>356310</v>
      </c>
      <c r="L135" s="431">
        <v>0</v>
      </c>
      <c r="M135" s="431">
        <v>1993093</v>
      </c>
      <c r="N135" s="431">
        <v>9389</v>
      </c>
      <c r="O135" s="431">
        <v>31100</v>
      </c>
      <c r="P135" s="432">
        <f t="shared" si="11"/>
        <v>7352892</v>
      </c>
      <c r="Q135" s="431">
        <v>1855628</v>
      </c>
      <c r="R135" s="431">
        <v>984854</v>
      </c>
      <c r="S135" s="431">
        <v>0</v>
      </c>
      <c r="T135" s="431">
        <v>0</v>
      </c>
      <c r="U135" s="431">
        <v>0</v>
      </c>
      <c r="V135" s="431">
        <v>0</v>
      </c>
      <c r="W135" s="431">
        <v>281315</v>
      </c>
      <c r="X135" s="431">
        <v>168059</v>
      </c>
      <c r="Y135" s="431">
        <v>0</v>
      </c>
      <c r="Z135" s="431">
        <v>4064328</v>
      </c>
      <c r="AA135" s="431">
        <v>0</v>
      </c>
      <c r="AB135" s="431">
        <v>-1292</v>
      </c>
      <c r="AC135" s="431">
        <v>845187</v>
      </c>
      <c r="AD135" s="431">
        <v>19531</v>
      </c>
      <c r="AE135" s="431">
        <v>1376591</v>
      </c>
      <c r="AF135" s="431">
        <v>0</v>
      </c>
      <c r="AG135" s="431">
        <v>359807</v>
      </c>
      <c r="AH135" s="431">
        <v>315006</v>
      </c>
      <c r="AI135" s="431">
        <v>186752</v>
      </c>
      <c r="AJ135" s="431">
        <v>3588295</v>
      </c>
      <c r="AK135" s="431">
        <v>0</v>
      </c>
      <c r="AL135" s="431">
        <v>661723</v>
      </c>
      <c r="AM135" s="431">
        <v>0</v>
      </c>
    </row>
    <row r="136" spans="1:39" s="155" customFormat="1" ht="12" x14ac:dyDescent="0.2">
      <c r="A136" s="168">
        <v>82</v>
      </c>
      <c r="B136" s="490">
        <v>19141</v>
      </c>
      <c r="C136" s="491" t="s">
        <v>2469</v>
      </c>
      <c r="D136" s="432">
        <f t="shared" si="13"/>
        <v>4483223</v>
      </c>
      <c r="E136" s="431">
        <v>1987959</v>
      </c>
      <c r="F136" s="431">
        <v>335627</v>
      </c>
      <c r="G136" s="431">
        <v>1116111</v>
      </c>
      <c r="H136" s="431">
        <v>0</v>
      </c>
      <c r="I136" s="431">
        <v>1747640</v>
      </c>
      <c r="J136" s="431">
        <v>50000</v>
      </c>
      <c r="K136" s="431">
        <v>317790</v>
      </c>
      <c r="L136" s="431">
        <v>0</v>
      </c>
      <c r="M136" s="431">
        <v>131947</v>
      </c>
      <c r="N136" s="431">
        <v>243437</v>
      </c>
      <c r="O136" s="431">
        <v>4450</v>
      </c>
      <c r="P136" s="432">
        <f t="shared" si="11"/>
        <v>4525974</v>
      </c>
      <c r="Q136" s="431">
        <v>2129765</v>
      </c>
      <c r="R136" s="431">
        <v>886656</v>
      </c>
      <c r="S136" s="431">
        <v>0</v>
      </c>
      <c r="T136" s="431">
        <v>0</v>
      </c>
      <c r="U136" s="431">
        <v>0</v>
      </c>
      <c r="V136" s="431">
        <v>0</v>
      </c>
      <c r="W136" s="431">
        <v>321341</v>
      </c>
      <c r="X136" s="431">
        <v>139996</v>
      </c>
      <c r="Y136" s="431">
        <v>0</v>
      </c>
      <c r="Z136" s="431">
        <v>1048216</v>
      </c>
      <c r="AA136" s="431">
        <v>0</v>
      </c>
      <c r="AB136" s="431">
        <v>0</v>
      </c>
      <c r="AC136" s="431">
        <v>1476581</v>
      </c>
      <c r="AD136" s="431">
        <v>69620</v>
      </c>
      <c r="AE136" s="431">
        <v>1711797</v>
      </c>
      <c r="AF136" s="431">
        <v>0</v>
      </c>
      <c r="AG136" s="431">
        <v>343056</v>
      </c>
      <c r="AH136" s="431">
        <v>326168</v>
      </c>
      <c r="AI136" s="431">
        <v>228053</v>
      </c>
      <c r="AJ136" s="431">
        <v>249699</v>
      </c>
      <c r="AK136" s="431">
        <v>0</v>
      </c>
      <c r="AL136" s="431">
        <v>110000</v>
      </c>
      <c r="AM136" s="431">
        <v>11000</v>
      </c>
    </row>
    <row r="137" spans="1:39" s="155" customFormat="1" ht="12" x14ac:dyDescent="0.2">
      <c r="A137" s="168">
        <v>83</v>
      </c>
      <c r="B137" s="490">
        <v>19212</v>
      </c>
      <c r="C137" s="491" t="s">
        <v>2470</v>
      </c>
      <c r="D137" s="432">
        <f t="shared" si="13"/>
        <v>3312038</v>
      </c>
      <c r="E137" s="431">
        <v>1570749</v>
      </c>
      <c r="F137" s="431">
        <v>66719</v>
      </c>
      <c r="G137" s="431">
        <v>1162285</v>
      </c>
      <c r="H137" s="431">
        <v>0</v>
      </c>
      <c r="I137" s="431">
        <v>931481</v>
      </c>
      <c r="J137" s="431">
        <v>447896</v>
      </c>
      <c r="K137" s="431">
        <v>53770</v>
      </c>
      <c r="L137" s="431">
        <v>0</v>
      </c>
      <c r="M137" s="431">
        <v>74397</v>
      </c>
      <c r="N137" s="431">
        <v>207093</v>
      </c>
      <c r="O137" s="431">
        <v>26652</v>
      </c>
      <c r="P137" s="432">
        <f t="shared" si="11"/>
        <v>3135341</v>
      </c>
      <c r="Q137" s="431">
        <v>1257161</v>
      </c>
      <c r="R137" s="431">
        <v>683743</v>
      </c>
      <c r="S137" s="431">
        <v>0</v>
      </c>
      <c r="T137" s="431">
        <v>0</v>
      </c>
      <c r="U137" s="431">
        <v>0</v>
      </c>
      <c r="V137" s="431">
        <v>0</v>
      </c>
      <c r="W137" s="431">
        <v>273178</v>
      </c>
      <c r="X137" s="431">
        <v>85411</v>
      </c>
      <c r="Y137" s="431">
        <v>4860</v>
      </c>
      <c r="Z137" s="431">
        <v>861084</v>
      </c>
      <c r="AA137" s="431">
        <v>0</v>
      </c>
      <c r="AB137" s="431">
        <v>-30096</v>
      </c>
      <c r="AC137" s="431">
        <v>1088438</v>
      </c>
      <c r="AD137" s="431">
        <v>35999</v>
      </c>
      <c r="AE137" s="431">
        <v>743311</v>
      </c>
      <c r="AF137" s="431">
        <v>0</v>
      </c>
      <c r="AG137" s="431">
        <v>17972</v>
      </c>
      <c r="AH137" s="431">
        <v>268932</v>
      </c>
      <c r="AI137" s="431">
        <v>74779</v>
      </c>
      <c r="AJ137" s="431">
        <v>0</v>
      </c>
      <c r="AK137" s="431">
        <v>0</v>
      </c>
      <c r="AL137" s="431">
        <v>905910</v>
      </c>
      <c r="AM137" s="431">
        <v>0</v>
      </c>
    </row>
    <row r="138" spans="1:39" s="155" customFormat="1" ht="12" x14ac:dyDescent="0.2">
      <c r="A138" s="168">
        <v>84</v>
      </c>
      <c r="B138" s="490">
        <v>19249</v>
      </c>
      <c r="C138" s="491" t="s">
        <v>2471</v>
      </c>
      <c r="D138" s="432">
        <f t="shared" si="13"/>
        <v>10254906</v>
      </c>
      <c r="E138" s="431">
        <v>1815249</v>
      </c>
      <c r="F138" s="431">
        <v>369323</v>
      </c>
      <c r="G138" s="431">
        <v>912830</v>
      </c>
      <c r="H138" s="431">
        <v>0</v>
      </c>
      <c r="I138" s="431">
        <v>3751350</v>
      </c>
      <c r="J138" s="431">
        <v>270000</v>
      </c>
      <c r="K138" s="431">
        <v>164180</v>
      </c>
      <c r="L138" s="431">
        <v>0</v>
      </c>
      <c r="M138" s="431">
        <v>2492966</v>
      </c>
      <c r="N138" s="431">
        <v>1761161</v>
      </c>
      <c r="O138" s="431">
        <v>0</v>
      </c>
      <c r="P138" s="432">
        <f t="shared" si="11"/>
        <v>8420148</v>
      </c>
      <c r="Q138" s="431">
        <v>4148650</v>
      </c>
      <c r="R138" s="431">
        <v>1302543</v>
      </c>
      <c r="S138" s="431">
        <v>0</v>
      </c>
      <c r="T138" s="431">
        <v>0</v>
      </c>
      <c r="U138" s="431">
        <v>0</v>
      </c>
      <c r="V138" s="431">
        <v>0</v>
      </c>
      <c r="W138" s="431">
        <v>164551</v>
      </c>
      <c r="X138" s="431">
        <v>229178</v>
      </c>
      <c r="Y138" s="431">
        <v>0</v>
      </c>
      <c r="Z138" s="431">
        <v>2619030</v>
      </c>
      <c r="AA138" s="431">
        <v>0</v>
      </c>
      <c r="AB138" s="431">
        <v>-43804</v>
      </c>
      <c r="AC138" s="431">
        <v>1002367</v>
      </c>
      <c r="AD138" s="431">
        <v>5000</v>
      </c>
      <c r="AE138" s="431">
        <v>3500600</v>
      </c>
      <c r="AF138" s="431">
        <v>0</v>
      </c>
      <c r="AG138" s="431">
        <v>198394</v>
      </c>
      <c r="AH138" s="431">
        <v>389286</v>
      </c>
      <c r="AI138" s="431">
        <v>2676400</v>
      </c>
      <c r="AJ138" s="431">
        <v>182068</v>
      </c>
      <c r="AK138" s="431">
        <v>0</v>
      </c>
      <c r="AL138" s="431">
        <v>466033</v>
      </c>
      <c r="AM138" s="431">
        <v>0</v>
      </c>
    </row>
    <row r="139" spans="1:39" s="155" customFormat="1" ht="12" x14ac:dyDescent="0.2">
      <c r="A139" s="168">
        <v>85</v>
      </c>
      <c r="B139" s="490">
        <v>19338</v>
      </c>
      <c r="C139" s="491" t="s">
        <v>2472</v>
      </c>
      <c r="D139" s="432">
        <f t="shared" si="13"/>
        <v>8443530</v>
      </c>
      <c r="E139" s="431">
        <v>4355944</v>
      </c>
      <c r="F139" s="431">
        <v>1795394</v>
      </c>
      <c r="G139" s="431">
        <v>653168</v>
      </c>
      <c r="H139" s="431">
        <v>0</v>
      </c>
      <c r="I139" s="431">
        <v>2725349</v>
      </c>
      <c r="J139" s="431">
        <v>300000</v>
      </c>
      <c r="K139" s="431">
        <v>985510</v>
      </c>
      <c r="L139" s="431">
        <v>0</v>
      </c>
      <c r="M139" s="431">
        <v>43030</v>
      </c>
      <c r="N139" s="431">
        <v>0</v>
      </c>
      <c r="O139" s="431">
        <v>33697</v>
      </c>
      <c r="P139" s="432">
        <f t="shared" si="11"/>
        <v>6193787</v>
      </c>
      <c r="Q139" s="431">
        <v>2996588</v>
      </c>
      <c r="R139" s="431">
        <v>698059</v>
      </c>
      <c r="S139" s="431">
        <v>0</v>
      </c>
      <c r="T139" s="431">
        <v>0</v>
      </c>
      <c r="U139" s="431">
        <v>0</v>
      </c>
      <c r="V139" s="431">
        <v>0</v>
      </c>
      <c r="W139" s="431">
        <v>0</v>
      </c>
      <c r="X139" s="431">
        <v>280268</v>
      </c>
      <c r="Y139" s="431">
        <v>58930</v>
      </c>
      <c r="Z139" s="431">
        <v>2159942</v>
      </c>
      <c r="AA139" s="431">
        <v>0</v>
      </c>
      <c r="AB139" s="431">
        <v>0</v>
      </c>
      <c r="AC139" s="431">
        <v>875793</v>
      </c>
      <c r="AD139" s="431">
        <v>400</v>
      </c>
      <c r="AE139" s="431">
        <v>2442365</v>
      </c>
      <c r="AF139" s="431">
        <v>15023</v>
      </c>
      <c r="AG139" s="431">
        <v>99047</v>
      </c>
      <c r="AH139" s="431">
        <v>459695</v>
      </c>
      <c r="AI139" s="431">
        <v>52618</v>
      </c>
      <c r="AJ139" s="431">
        <v>712024</v>
      </c>
      <c r="AK139" s="431">
        <v>0</v>
      </c>
      <c r="AL139" s="431">
        <v>1536822</v>
      </c>
      <c r="AM139" s="431">
        <v>0</v>
      </c>
    </row>
    <row r="140" spans="1:39" s="155" customFormat="1" ht="12" x14ac:dyDescent="0.2">
      <c r="A140" s="168">
        <v>86</v>
      </c>
      <c r="B140" s="490">
        <v>19392</v>
      </c>
      <c r="C140" s="491" t="s">
        <v>2473</v>
      </c>
      <c r="D140" s="432">
        <f t="shared" si="13"/>
        <v>3776164</v>
      </c>
      <c r="E140" s="431">
        <v>1709159</v>
      </c>
      <c r="F140" s="431">
        <v>70567</v>
      </c>
      <c r="G140" s="431">
        <v>1346521</v>
      </c>
      <c r="H140" s="431">
        <v>0</v>
      </c>
      <c r="I140" s="431">
        <v>1164778</v>
      </c>
      <c r="J140" s="431">
        <v>600000</v>
      </c>
      <c r="K140" s="431">
        <v>292290</v>
      </c>
      <c r="L140" s="431">
        <v>0</v>
      </c>
      <c r="M140" s="431">
        <v>9937</v>
      </c>
      <c r="N140" s="431">
        <v>0</v>
      </c>
      <c r="O140" s="431">
        <v>0</v>
      </c>
      <c r="P140" s="432">
        <f t="shared" si="11"/>
        <v>2524545</v>
      </c>
      <c r="Q140" s="431">
        <v>1407788</v>
      </c>
      <c r="R140" s="431">
        <v>323624</v>
      </c>
      <c r="S140" s="431">
        <v>0</v>
      </c>
      <c r="T140" s="431">
        <v>0</v>
      </c>
      <c r="U140" s="431">
        <v>0</v>
      </c>
      <c r="V140" s="431">
        <v>0</v>
      </c>
      <c r="W140" s="431">
        <v>0</v>
      </c>
      <c r="X140" s="431">
        <v>180960</v>
      </c>
      <c r="Y140" s="431">
        <v>19950</v>
      </c>
      <c r="Z140" s="431">
        <v>607686</v>
      </c>
      <c r="AA140" s="431">
        <v>0</v>
      </c>
      <c r="AB140" s="431">
        <v>-15463</v>
      </c>
      <c r="AC140" s="431">
        <v>519574</v>
      </c>
      <c r="AD140" s="431">
        <v>0</v>
      </c>
      <c r="AE140" s="431">
        <v>1005581</v>
      </c>
      <c r="AF140" s="431">
        <v>0</v>
      </c>
      <c r="AG140" s="431">
        <v>33297</v>
      </c>
      <c r="AH140" s="431">
        <v>302080</v>
      </c>
      <c r="AI140" s="431">
        <v>342373</v>
      </c>
      <c r="AJ140" s="431">
        <v>0</v>
      </c>
      <c r="AK140" s="431">
        <v>0</v>
      </c>
      <c r="AL140" s="431">
        <v>321640</v>
      </c>
      <c r="AM140" s="431">
        <v>0</v>
      </c>
    </row>
    <row r="141" spans="1:39" s="155" customFormat="1" ht="12" x14ac:dyDescent="0.2">
      <c r="A141" s="168">
        <v>87</v>
      </c>
      <c r="B141" s="490">
        <v>19560</v>
      </c>
      <c r="C141" s="491" t="s">
        <v>2474</v>
      </c>
      <c r="D141" s="432">
        <f t="shared" si="13"/>
        <v>5480878</v>
      </c>
      <c r="E141" s="431">
        <v>1686220</v>
      </c>
      <c r="F141" s="431">
        <v>197976</v>
      </c>
      <c r="G141" s="431">
        <v>984016</v>
      </c>
      <c r="H141" s="431">
        <v>0</v>
      </c>
      <c r="I141" s="431">
        <v>1185754</v>
      </c>
      <c r="J141" s="431">
        <v>50000</v>
      </c>
      <c r="K141" s="431">
        <v>366720</v>
      </c>
      <c r="L141" s="431">
        <v>0</v>
      </c>
      <c r="M141" s="431">
        <v>1692671</v>
      </c>
      <c r="N141" s="431">
        <v>161947</v>
      </c>
      <c r="O141" s="431">
        <v>337566</v>
      </c>
      <c r="P141" s="432">
        <f t="shared" si="11"/>
        <v>4836890</v>
      </c>
      <c r="Q141" s="431">
        <v>1571803</v>
      </c>
      <c r="R141" s="431">
        <v>1042032</v>
      </c>
      <c r="S141" s="431">
        <v>0</v>
      </c>
      <c r="T141" s="431">
        <v>0</v>
      </c>
      <c r="U141" s="431">
        <v>0</v>
      </c>
      <c r="V141" s="431">
        <v>0</v>
      </c>
      <c r="W141" s="431">
        <v>493984</v>
      </c>
      <c r="X141" s="431">
        <v>211107</v>
      </c>
      <c r="Y141" s="431">
        <v>27980</v>
      </c>
      <c r="Z141" s="431">
        <v>1489984</v>
      </c>
      <c r="AA141" s="431">
        <v>0</v>
      </c>
      <c r="AB141" s="431">
        <v>0</v>
      </c>
      <c r="AC141" s="431">
        <v>925756</v>
      </c>
      <c r="AD141" s="431">
        <v>37509</v>
      </c>
      <c r="AE141" s="431">
        <v>953355</v>
      </c>
      <c r="AF141" s="431">
        <v>0</v>
      </c>
      <c r="AG141" s="431">
        <v>230225</v>
      </c>
      <c r="AH141" s="431">
        <v>389651</v>
      </c>
      <c r="AI141" s="431">
        <v>1732579</v>
      </c>
      <c r="AJ141" s="431">
        <v>32229</v>
      </c>
      <c r="AK141" s="431">
        <v>0</v>
      </c>
      <c r="AL141" s="431">
        <v>196775</v>
      </c>
      <c r="AM141" s="431">
        <v>338811</v>
      </c>
    </row>
    <row r="142" spans="1:39" s="155" customFormat="1" ht="12" x14ac:dyDescent="0.2">
      <c r="A142" s="168">
        <v>88</v>
      </c>
      <c r="B142" s="490">
        <v>19631</v>
      </c>
      <c r="C142" s="491" t="s">
        <v>2475</v>
      </c>
      <c r="D142" s="432">
        <f t="shared" si="13"/>
        <v>6341991</v>
      </c>
      <c r="E142" s="431">
        <v>1290763</v>
      </c>
      <c r="F142" s="431">
        <v>144877</v>
      </c>
      <c r="G142" s="431">
        <v>775959</v>
      </c>
      <c r="H142" s="431">
        <v>0</v>
      </c>
      <c r="I142" s="431">
        <v>1533227</v>
      </c>
      <c r="J142" s="431">
        <v>260000</v>
      </c>
      <c r="K142" s="431">
        <v>420210</v>
      </c>
      <c r="L142" s="431">
        <v>0</v>
      </c>
      <c r="M142" s="431">
        <v>2579318</v>
      </c>
      <c r="N142" s="431">
        <v>58473</v>
      </c>
      <c r="O142" s="431">
        <v>200000</v>
      </c>
      <c r="P142" s="432">
        <f t="shared" si="11"/>
        <v>6105085</v>
      </c>
      <c r="Q142" s="431">
        <v>1976277</v>
      </c>
      <c r="R142" s="431">
        <v>967330</v>
      </c>
      <c r="S142" s="431">
        <v>69998</v>
      </c>
      <c r="T142" s="431">
        <v>0</v>
      </c>
      <c r="U142" s="431">
        <v>0</v>
      </c>
      <c r="V142" s="431">
        <v>5000</v>
      </c>
      <c r="W142" s="431">
        <v>553583</v>
      </c>
      <c r="X142" s="431">
        <v>120475</v>
      </c>
      <c r="Y142" s="431">
        <v>14800</v>
      </c>
      <c r="Z142" s="431">
        <v>2181253</v>
      </c>
      <c r="AA142" s="431">
        <v>290977</v>
      </c>
      <c r="AB142" s="431">
        <v>-74608</v>
      </c>
      <c r="AC142" s="431">
        <v>842495</v>
      </c>
      <c r="AD142" s="431">
        <v>24930</v>
      </c>
      <c r="AE142" s="431">
        <v>2182467</v>
      </c>
      <c r="AF142" s="431">
        <v>0</v>
      </c>
      <c r="AG142" s="431">
        <v>152329</v>
      </c>
      <c r="AH142" s="431">
        <v>229496</v>
      </c>
      <c r="AI142" s="431">
        <v>1138595</v>
      </c>
      <c r="AJ142" s="431">
        <v>984285</v>
      </c>
      <c r="AK142" s="431">
        <v>0</v>
      </c>
      <c r="AL142" s="431">
        <v>511177</v>
      </c>
      <c r="AM142" s="431">
        <v>39311</v>
      </c>
    </row>
    <row r="143" spans="1:39" s="155" customFormat="1" ht="12" x14ac:dyDescent="0.2">
      <c r="A143" s="168">
        <v>89</v>
      </c>
      <c r="B143" s="490">
        <v>19695</v>
      </c>
      <c r="C143" s="491" t="s">
        <v>2476</v>
      </c>
      <c r="D143" s="432">
        <f t="shared" si="13"/>
        <v>5343715</v>
      </c>
      <c r="E143" s="431">
        <v>3087659</v>
      </c>
      <c r="F143" s="431">
        <v>1683826</v>
      </c>
      <c r="G143" s="431">
        <v>236030</v>
      </c>
      <c r="H143" s="431">
        <v>0</v>
      </c>
      <c r="I143" s="431">
        <v>1141857</v>
      </c>
      <c r="J143" s="431">
        <v>150000</v>
      </c>
      <c r="K143" s="431">
        <v>235200</v>
      </c>
      <c r="L143" s="431">
        <v>0</v>
      </c>
      <c r="M143" s="431">
        <v>161324</v>
      </c>
      <c r="N143" s="431">
        <v>550180</v>
      </c>
      <c r="O143" s="431">
        <v>17495</v>
      </c>
      <c r="P143" s="432">
        <f t="shared" ref="P143:P149" si="14">IF(SUM(Q143:AB143)=SUM(AC143:AM143),SUM(Q143:AB143),"  EROARE ART/CAP")</f>
        <v>5109528</v>
      </c>
      <c r="Q143" s="431">
        <v>1716365</v>
      </c>
      <c r="R143" s="431">
        <v>1260343</v>
      </c>
      <c r="S143" s="431">
        <v>35885</v>
      </c>
      <c r="T143" s="431">
        <v>0</v>
      </c>
      <c r="U143" s="431">
        <v>19786</v>
      </c>
      <c r="V143" s="431">
        <v>0</v>
      </c>
      <c r="W143" s="431">
        <v>311828</v>
      </c>
      <c r="X143" s="431">
        <v>216199</v>
      </c>
      <c r="Y143" s="431">
        <v>31000</v>
      </c>
      <c r="Z143" s="431">
        <v>1518122</v>
      </c>
      <c r="AA143" s="431">
        <v>0</v>
      </c>
      <c r="AB143" s="431">
        <v>0</v>
      </c>
      <c r="AC143" s="431">
        <v>1474905</v>
      </c>
      <c r="AD143" s="431">
        <v>38725</v>
      </c>
      <c r="AE143" s="431">
        <v>1119560</v>
      </c>
      <c r="AF143" s="431">
        <v>0</v>
      </c>
      <c r="AG143" s="431">
        <v>196284</v>
      </c>
      <c r="AH143" s="431">
        <v>343921</v>
      </c>
      <c r="AI143" s="431">
        <v>764339</v>
      </c>
      <c r="AJ143" s="431">
        <v>128407</v>
      </c>
      <c r="AK143" s="431">
        <v>0</v>
      </c>
      <c r="AL143" s="431">
        <v>1043387</v>
      </c>
      <c r="AM143" s="431">
        <v>0</v>
      </c>
    </row>
    <row r="144" spans="1:39" s="155" customFormat="1" ht="12" x14ac:dyDescent="0.2">
      <c r="A144" s="168">
        <v>90</v>
      </c>
      <c r="B144" s="490">
        <v>13524</v>
      </c>
      <c r="C144" s="492" t="s">
        <v>2477</v>
      </c>
      <c r="D144" s="308">
        <f t="shared" si="13"/>
        <v>8422786</v>
      </c>
      <c r="E144" s="309">
        <v>5062044</v>
      </c>
      <c r="F144" s="309">
        <v>1421028</v>
      </c>
      <c r="G144" s="309">
        <v>229317</v>
      </c>
      <c r="H144" s="309">
        <v>0</v>
      </c>
      <c r="I144" s="309">
        <v>2692655</v>
      </c>
      <c r="J144" s="309">
        <v>40000</v>
      </c>
      <c r="K144" s="309">
        <v>312170</v>
      </c>
      <c r="L144" s="309">
        <v>0</v>
      </c>
      <c r="M144" s="309">
        <v>100444</v>
      </c>
      <c r="N144" s="309">
        <v>215473</v>
      </c>
      <c r="O144" s="309">
        <v>0</v>
      </c>
      <c r="P144" s="272">
        <f t="shared" si="14"/>
        <v>6186819</v>
      </c>
      <c r="Q144" s="309">
        <v>3002609</v>
      </c>
      <c r="R144" s="309">
        <v>1522526</v>
      </c>
      <c r="S144" s="309">
        <v>0</v>
      </c>
      <c r="T144" s="309">
        <v>0</v>
      </c>
      <c r="U144" s="309">
        <v>0</v>
      </c>
      <c r="V144" s="309">
        <v>0</v>
      </c>
      <c r="W144" s="309">
        <v>0</v>
      </c>
      <c r="X144" s="309">
        <v>432827</v>
      </c>
      <c r="Y144" s="309">
        <v>66623</v>
      </c>
      <c r="Z144" s="309">
        <v>1162234</v>
      </c>
      <c r="AA144" s="309">
        <v>0</v>
      </c>
      <c r="AB144" s="309">
        <v>0</v>
      </c>
      <c r="AC144" s="309">
        <v>964816</v>
      </c>
      <c r="AD144" s="309">
        <v>0</v>
      </c>
      <c r="AE144" s="309">
        <v>2750608</v>
      </c>
      <c r="AF144" s="309">
        <v>15534</v>
      </c>
      <c r="AG144" s="309">
        <v>146184</v>
      </c>
      <c r="AH144" s="309">
        <v>568329</v>
      </c>
      <c r="AI144" s="309">
        <v>464435</v>
      </c>
      <c r="AJ144" s="309">
        <v>123296</v>
      </c>
      <c r="AK144" s="309">
        <v>0</v>
      </c>
      <c r="AL144" s="309">
        <v>1141495</v>
      </c>
      <c r="AM144" s="314">
        <v>12122</v>
      </c>
    </row>
    <row r="145" spans="1:39" s="155" customFormat="1" ht="12" x14ac:dyDescent="0.2">
      <c r="A145" s="168">
        <v>91</v>
      </c>
      <c r="B145" s="490">
        <v>19793</v>
      </c>
      <c r="C145" s="492" t="s">
        <v>2478</v>
      </c>
      <c r="D145" s="306">
        <f t="shared" si="13"/>
        <v>11299592</v>
      </c>
      <c r="E145" s="307">
        <v>2490220</v>
      </c>
      <c r="F145" s="307">
        <v>763788</v>
      </c>
      <c r="G145" s="307">
        <v>564157</v>
      </c>
      <c r="H145" s="307">
        <v>0</v>
      </c>
      <c r="I145" s="307">
        <v>3464694</v>
      </c>
      <c r="J145" s="307">
        <v>350000</v>
      </c>
      <c r="K145" s="307">
        <v>846750</v>
      </c>
      <c r="L145" s="307">
        <v>0</v>
      </c>
      <c r="M145" s="307">
        <v>4068708</v>
      </c>
      <c r="N145" s="307">
        <v>72720</v>
      </c>
      <c r="O145" s="307">
        <v>6500</v>
      </c>
      <c r="P145" s="198">
        <f t="shared" si="14"/>
        <v>11329362</v>
      </c>
      <c r="Q145" s="307">
        <v>3848493</v>
      </c>
      <c r="R145" s="307">
        <v>1483460</v>
      </c>
      <c r="S145" s="307">
        <v>24178</v>
      </c>
      <c r="T145" s="307">
        <v>0</v>
      </c>
      <c r="U145" s="307">
        <v>0</v>
      </c>
      <c r="V145" s="307">
        <v>0</v>
      </c>
      <c r="W145" s="307">
        <v>74204</v>
      </c>
      <c r="X145" s="307">
        <v>127825</v>
      </c>
      <c r="Y145" s="307">
        <v>15000</v>
      </c>
      <c r="Z145" s="307">
        <v>5756202</v>
      </c>
      <c r="AA145" s="307">
        <v>0</v>
      </c>
      <c r="AB145" s="307">
        <v>0</v>
      </c>
      <c r="AC145" s="307">
        <v>2173538</v>
      </c>
      <c r="AD145" s="307">
        <v>0</v>
      </c>
      <c r="AE145" s="307">
        <v>3586475</v>
      </c>
      <c r="AF145" s="307">
        <v>0</v>
      </c>
      <c r="AG145" s="307">
        <v>46004</v>
      </c>
      <c r="AH145" s="307">
        <v>177978</v>
      </c>
      <c r="AI145" s="307">
        <v>601824</v>
      </c>
      <c r="AJ145" s="307">
        <v>138797</v>
      </c>
      <c r="AK145" s="307">
        <v>0</v>
      </c>
      <c r="AL145" s="307">
        <v>4569228</v>
      </c>
      <c r="AM145" s="313">
        <v>35518</v>
      </c>
    </row>
    <row r="146" spans="1:39" s="155" customFormat="1" ht="12" x14ac:dyDescent="0.2">
      <c r="A146" s="168">
        <v>92</v>
      </c>
      <c r="B146" s="490">
        <v>19999</v>
      </c>
      <c r="C146" s="492" t="s">
        <v>2479</v>
      </c>
      <c r="D146" s="306">
        <f t="shared" si="13"/>
        <v>6022878</v>
      </c>
      <c r="E146" s="307">
        <v>1782982</v>
      </c>
      <c r="F146" s="307">
        <v>125340</v>
      </c>
      <c r="G146" s="307">
        <v>1114562</v>
      </c>
      <c r="H146" s="307">
        <v>0</v>
      </c>
      <c r="I146" s="307">
        <v>1913130</v>
      </c>
      <c r="J146" s="307">
        <v>300000</v>
      </c>
      <c r="K146" s="307">
        <v>204000</v>
      </c>
      <c r="L146" s="307">
        <v>0</v>
      </c>
      <c r="M146" s="307">
        <v>1822766</v>
      </c>
      <c r="N146" s="307">
        <v>0</v>
      </c>
      <c r="O146" s="307">
        <v>0</v>
      </c>
      <c r="P146" s="198">
        <f t="shared" si="14"/>
        <v>5886381</v>
      </c>
      <c r="Q146" s="307">
        <v>2351589</v>
      </c>
      <c r="R146" s="307">
        <v>836145</v>
      </c>
      <c r="S146" s="307">
        <v>0</v>
      </c>
      <c r="T146" s="307">
        <v>0</v>
      </c>
      <c r="U146" s="307">
        <v>0</v>
      </c>
      <c r="V146" s="307">
        <v>1036</v>
      </c>
      <c r="W146" s="307">
        <v>0</v>
      </c>
      <c r="X146" s="307">
        <v>138124</v>
      </c>
      <c r="Y146" s="307">
        <v>8600</v>
      </c>
      <c r="Z146" s="307">
        <v>2551923</v>
      </c>
      <c r="AA146" s="307">
        <v>0</v>
      </c>
      <c r="AB146" s="307">
        <v>-1036</v>
      </c>
      <c r="AC146" s="307">
        <v>741226</v>
      </c>
      <c r="AD146" s="307">
        <v>0</v>
      </c>
      <c r="AE146" s="307">
        <v>1706865</v>
      </c>
      <c r="AF146" s="307">
        <v>0</v>
      </c>
      <c r="AG146" s="307">
        <v>91548</v>
      </c>
      <c r="AH146" s="307">
        <v>388333</v>
      </c>
      <c r="AI146" s="307">
        <v>2041254</v>
      </c>
      <c r="AJ146" s="307">
        <v>0</v>
      </c>
      <c r="AK146" s="307">
        <v>0</v>
      </c>
      <c r="AL146" s="307">
        <v>872435</v>
      </c>
      <c r="AM146" s="313">
        <v>44720</v>
      </c>
    </row>
    <row r="147" spans="1:39" s="155" customFormat="1" ht="12" x14ac:dyDescent="0.2">
      <c r="A147" s="168">
        <v>93</v>
      </c>
      <c r="B147" s="490">
        <v>20048</v>
      </c>
      <c r="C147" s="492" t="s">
        <v>2480</v>
      </c>
      <c r="D147" s="306">
        <f t="shared" si="13"/>
        <v>2721086</v>
      </c>
      <c r="E147" s="307">
        <v>1621678</v>
      </c>
      <c r="F147" s="307">
        <v>53336</v>
      </c>
      <c r="G147" s="307">
        <v>1290894</v>
      </c>
      <c r="H147" s="307">
        <v>0</v>
      </c>
      <c r="I147" s="307">
        <v>811541</v>
      </c>
      <c r="J147" s="307">
        <v>50000</v>
      </c>
      <c r="K147" s="307">
        <v>167410</v>
      </c>
      <c r="L147" s="307">
        <v>0</v>
      </c>
      <c r="M147" s="307">
        <v>37523</v>
      </c>
      <c r="N147" s="307">
        <v>0</v>
      </c>
      <c r="O147" s="307">
        <v>32934</v>
      </c>
      <c r="P147" s="198">
        <f t="shared" si="14"/>
        <v>2819188</v>
      </c>
      <c r="Q147" s="307">
        <v>1120041</v>
      </c>
      <c r="R147" s="307">
        <v>775620</v>
      </c>
      <c r="S147" s="307">
        <v>0</v>
      </c>
      <c r="T147" s="307">
        <v>0</v>
      </c>
      <c r="U147" s="307">
        <v>0</v>
      </c>
      <c r="V147" s="307">
        <v>0</v>
      </c>
      <c r="W147" s="307">
        <v>0</v>
      </c>
      <c r="X147" s="307">
        <v>156621</v>
      </c>
      <c r="Y147" s="307">
        <v>0</v>
      </c>
      <c r="Z147" s="307">
        <v>768257</v>
      </c>
      <c r="AA147" s="307">
        <v>0</v>
      </c>
      <c r="AB147" s="307">
        <v>-1351</v>
      </c>
      <c r="AC147" s="307">
        <v>865119</v>
      </c>
      <c r="AD147" s="307">
        <v>92520</v>
      </c>
      <c r="AE147" s="307">
        <v>654006</v>
      </c>
      <c r="AF147" s="307">
        <v>0</v>
      </c>
      <c r="AG147" s="307">
        <v>16962</v>
      </c>
      <c r="AH147" s="307">
        <v>289295</v>
      </c>
      <c r="AI147" s="307">
        <v>631012</v>
      </c>
      <c r="AJ147" s="307">
        <v>0</v>
      </c>
      <c r="AK147" s="307">
        <v>0</v>
      </c>
      <c r="AL147" s="307">
        <v>245751</v>
      </c>
      <c r="AM147" s="313">
        <v>24523</v>
      </c>
    </row>
    <row r="148" spans="1:39" s="155" customFormat="1" ht="12" x14ac:dyDescent="0.2">
      <c r="A148" s="168">
        <v>94</v>
      </c>
      <c r="B148" s="490">
        <v>20055</v>
      </c>
      <c r="C148" s="492" t="s">
        <v>1797</v>
      </c>
      <c r="D148" s="306">
        <f t="shared" si="13"/>
        <v>6028950</v>
      </c>
      <c r="E148" s="307">
        <v>1632100</v>
      </c>
      <c r="F148" s="307">
        <v>138259</v>
      </c>
      <c r="G148" s="307">
        <v>1115049</v>
      </c>
      <c r="H148" s="307">
        <v>0</v>
      </c>
      <c r="I148" s="307">
        <v>2161803</v>
      </c>
      <c r="J148" s="307">
        <v>180000</v>
      </c>
      <c r="K148" s="307">
        <v>218940</v>
      </c>
      <c r="L148" s="307">
        <v>0</v>
      </c>
      <c r="M148" s="307">
        <v>1611607</v>
      </c>
      <c r="N148" s="307">
        <v>195256</v>
      </c>
      <c r="O148" s="307">
        <v>29244</v>
      </c>
      <c r="P148" s="198">
        <f t="shared" si="14"/>
        <v>5830110</v>
      </c>
      <c r="Q148" s="307">
        <v>2553012</v>
      </c>
      <c r="R148" s="307">
        <v>548866</v>
      </c>
      <c r="S148" s="307">
        <v>0</v>
      </c>
      <c r="T148" s="307">
        <v>0</v>
      </c>
      <c r="U148" s="307">
        <v>0</v>
      </c>
      <c r="V148" s="307">
        <v>0</v>
      </c>
      <c r="W148" s="307">
        <v>718039</v>
      </c>
      <c r="X148" s="307">
        <v>177475</v>
      </c>
      <c r="Y148" s="307">
        <v>0</v>
      </c>
      <c r="Z148" s="307">
        <v>1834637</v>
      </c>
      <c r="AA148" s="307">
        <v>0</v>
      </c>
      <c r="AB148" s="307">
        <v>-1919</v>
      </c>
      <c r="AC148" s="307">
        <v>842550</v>
      </c>
      <c r="AD148" s="307">
        <v>1604</v>
      </c>
      <c r="AE148" s="307">
        <v>2246915</v>
      </c>
      <c r="AF148" s="307">
        <v>0</v>
      </c>
      <c r="AG148" s="307">
        <v>39121</v>
      </c>
      <c r="AH148" s="307">
        <v>619058</v>
      </c>
      <c r="AI148" s="307">
        <v>80665</v>
      </c>
      <c r="AJ148" s="307">
        <v>1337517</v>
      </c>
      <c r="AK148" s="307">
        <v>0</v>
      </c>
      <c r="AL148" s="307">
        <v>662680</v>
      </c>
      <c r="AM148" s="313">
        <v>0</v>
      </c>
    </row>
    <row r="149" spans="1:39" s="155" customFormat="1" thickBot="1" x14ac:dyDescent="0.25">
      <c r="A149" s="168">
        <v>95</v>
      </c>
      <c r="B149" s="493">
        <v>20063</v>
      </c>
      <c r="C149" s="494" t="s">
        <v>2481</v>
      </c>
      <c r="D149" s="311">
        <f t="shared" si="13"/>
        <v>4191093</v>
      </c>
      <c r="E149" s="312">
        <v>1834033</v>
      </c>
      <c r="F149" s="312">
        <v>119644</v>
      </c>
      <c r="G149" s="312">
        <v>1396894</v>
      </c>
      <c r="H149" s="312">
        <v>0</v>
      </c>
      <c r="I149" s="312">
        <v>1303694</v>
      </c>
      <c r="J149" s="312">
        <v>280000</v>
      </c>
      <c r="K149" s="312">
        <v>154160</v>
      </c>
      <c r="L149" s="312">
        <v>0</v>
      </c>
      <c r="M149" s="312">
        <v>165376</v>
      </c>
      <c r="N149" s="312">
        <v>434096</v>
      </c>
      <c r="O149" s="312">
        <v>19734</v>
      </c>
      <c r="P149" s="198">
        <f t="shared" si="14"/>
        <v>3253813</v>
      </c>
      <c r="Q149" s="312">
        <v>1724178</v>
      </c>
      <c r="R149" s="312">
        <v>540297</v>
      </c>
      <c r="S149" s="312">
        <v>0</v>
      </c>
      <c r="T149" s="312">
        <v>0</v>
      </c>
      <c r="U149" s="312">
        <v>0</v>
      </c>
      <c r="V149" s="312">
        <v>0</v>
      </c>
      <c r="W149" s="312">
        <v>566540</v>
      </c>
      <c r="X149" s="312">
        <v>218523</v>
      </c>
      <c r="Y149" s="312">
        <v>0</v>
      </c>
      <c r="Z149" s="312">
        <v>236262</v>
      </c>
      <c r="AA149" s="312">
        <v>0</v>
      </c>
      <c r="AB149" s="312">
        <v>-31987</v>
      </c>
      <c r="AC149" s="312">
        <v>667803</v>
      </c>
      <c r="AD149" s="312">
        <v>7209</v>
      </c>
      <c r="AE149" s="312">
        <v>1059782</v>
      </c>
      <c r="AF149" s="312">
        <v>15766</v>
      </c>
      <c r="AG149" s="312">
        <v>44196</v>
      </c>
      <c r="AH149" s="312">
        <v>370482</v>
      </c>
      <c r="AI149" s="312">
        <v>202431</v>
      </c>
      <c r="AJ149" s="312">
        <v>88452</v>
      </c>
      <c r="AK149" s="312">
        <v>0</v>
      </c>
      <c r="AL149" s="312">
        <v>231152</v>
      </c>
      <c r="AM149" s="315">
        <v>566540</v>
      </c>
    </row>
    <row r="150" spans="1:39" s="155" customFormat="1" ht="11.25" x14ac:dyDescent="0.2"/>
    <row r="151" spans="1:39" s="155" customFormat="1" ht="11.25" x14ac:dyDescent="0.2"/>
    <row r="152" spans="1:39" s="155" customFormat="1" ht="11.25" x14ac:dyDescent="0.2"/>
    <row r="153" spans="1:39" s="155" customFormat="1" ht="11.25" x14ac:dyDescent="0.2"/>
    <row r="154" spans="1:39" s="155" customFormat="1" ht="11.25" x14ac:dyDescent="0.2"/>
    <row r="155" spans="1:39" s="155" customFormat="1" ht="11.25" x14ac:dyDescent="0.2"/>
    <row r="156" spans="1:39" s="155" customFormat="1" ht="11.25" x14ac:dyDescent="0.2"/>
    <row r="157" spans="1:39" s="155" customFormat="1" ht="11.25" x14ac:dyDescent="0.2"/>
    <row r="158" spans="1:39" s="155" customFormat="1" ht="11.25" x14ac:dyDescent="0.2"/>
    <row r="159" spans="1:39" s="155" customFormat="1" ht="11.25" x14ac:dyDescent="0.2"/>
    <row r="160" spans="1:39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2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948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1543215676</v>
      </c>
      <c r="E14" s="432">
        <f>SUM(E15,E16,E33,E54)</f>
        <v>491187174</v>
      </c>
      <c r="F14" s="432">
        <f t="shared" ref="F14:O14" si="0">SUM(F15,F16,F33,F54)</f>
        <v>212119132</v>
      </c>
      <c r="G14" s="432">
        <f t="shared" si="0"/>
        <v>74295097</v>
      </c>
      <c r="H14" s="432">
        <f t="shared" si="0"/>
        <v>77844748</v>
      </c>
      <c r="I14" s="432">
        <f t="shared" si="0"/>
        <v>427331412</v>
      </c>
      <c r="J14" s="432">
        <f t="shared" si="0"/>
        <v>21041276</v>
      </c>
      <c r="K14" s="432">
        <f t="shared" si="0"/>
        <v>114487990</v>
      </c>
      <c r="L14" s="432">
        <f t="shared" si="0"/>
        <v>0</v>
      </c>
      <c r="M14" s="432">
        <f t="shared" si="0"/>
        <v>245438973</v>
      </c>
      <c r="N14" s="432">
        <f t="shared" si="0"/>
        <v>149736972</v>
      </c>
      <c r="O14" s="432">
        <f t="shared" si="0"/>
        <v>16147131</v>
      </c>
      <c r="P14" s="432">
        <f>IF(SUM(Q14:AB14)=SUM(AC14:AM14),SUM(Q14:AB14),"  EROARE ART/CAP")</f>
        <v>1509276382</v>
      </c>
      <c r="Q14" s="432">
        <f t="shared" ref="Q14:AM14" si="1">Q15+Q16+Q33+Q54</f>
        <v>528215217</v>
      </c>
      <c r="R14" s="432">
        <f t="shared" si="1"/>
        <v>285332056</v>
      </c>
      <c r="S14" s="432">
        <f t="shared" si="1"/>
        <v>9193795</v>
      </c>
      <c r="T14" s="432">
        <f t="shared" si="1"/>
        <v>12026161</v>
      </c>
      <c r="U14" s="432">
        <f t="shared" si="1"/>
        <v>50869777</v>
      </c>
      <c r="V14" s="432">
        <f t="shared" si="1"/>
        <v>8080177</v>
      </c>
      <c r="W14" s="432">
        <f t="shared" si="1"/>
        <v>252069483</v>
      </c>
      <c r="X14" s="432">
        <f t="shared" si="1"/>
        <v>121068129</v>
      </c>
      <c r="Y14" s="432">
        <f t="shared" si="1"/>
        <v>26439252</v>
      </c>
      <c r="Z14" s="432">
        <f t="shared" si="1"/>
        <v>170294154</v>
      </c>
      <c r="AA14" s="432">
        <f t="shared" si="1"/>
        <v>48182534</v>
      </c>
      <c r="AB14" s="432">
        <f t="shared" si="1"/>
        <v>-2494353</v>
      </c>
      <c r="AC14" s="432">
        <f t="shared" si="1"/>
        <v>183751271</v>
      </c>
      <c r="AD14" s="432">
        <f t="shared" si="1"/>
        <v>19738530</v>
      </c>
      <c r="AE14" s="432">
        <f t="shared" si="1"/>
        <v>458551685</v>
      </c>
      <c r="AF14" s="432">
        <f t="shared" si="1"/>
        <v>33512357</v>
      </c>
      <c r="AG14" s="432">
        <f t="shared" si="1"/>
        <v>81466510</v>
      </c>
      <c r="AH14" s="432">
        <f t="shared" si="1"/>
        <v>216722126</v>
      </c>
      <c r="AI14" s="432">
        <f t="shared" si="1"/>
        <v>99142543</v>
      </c>
      <c r="AJ14" s="432">
        <f t="shared" si="1"/>
        <v>55163848</v>
      </c>
      <c r="AK14" s="432">
        <f t="shared" si="1"/>
        <v>102571416</v>
      </c>
      <c r="AL14" s="432">
        <f t="shared" si="1"/>
        <v>238044161</v>
      </c>
      <c r="AM14" s="432">
        <f t="shared" si="1"/>
        <v>20611935</v>
      </c>
    </row>
    <row r="15" spans="1:39" s="155" customFormat="1" ht="12.75" customHeight="1" x14ac:dyDescent="0.2">
      <c r="A15" s="156" t="s">
        <v>71</v>
      </c>
      <c r="B15" s="157"/>
      <c r="C15" s="158"/>
      <c r="D15" s="451">
        <f>E15+SUM(H15:O15)</f>
        <v>276155028</v>
      </c>
      <c r="E15" s="474">
        <v>76972388</v>
      </c>
      <c r="F15" s="474">
        <v>45026177</v>
      </c>
      <c r="G15" s="474">
        <v>28309000</v>
      </c>
      <c r="H15" s="474">
        <v>77844748</v>
      </c>
      <c r="I15" s="474">
        <v>0</v>
      </c>
      <c r="J15" s="474">
        <v>10559000</v>
      </c>
      <c r="K15" s="474">
        <v>22189000</v>
      </c>
      <c r="L15" s="474">
        <v>0</v>
      </c>
      <c r="M15" s="474">
        <v>74734136</v>
      </c>
      <c r="N15" s="474">
        <v>9393688</v>
      </c>
      <c r="O15" s="474">
        <v>4462068</v>
      </c>
      <c r="P15" s="451">
        <f t="shared" ref="P15" si="2">IF(SUM(Q15:AB15)=SUM(AC15:AM15),SUM(Q15:AB15),"  EROARE ART/CAP")</f>
        <v>281827710</v>
      </c>
      <c r="Q15" s="474">
        <v>62508268</v>
      </c>
      <c r="R15" s="474">
        <v>48091002</v>
      </c>
      <c r="S15" s="474">
        <v>1464870</v>
      </c>
      <c r="T15" s="474">
        <v>0</v>
      </c>
      <c r="U15" s="474">
        <v>23660271</v>
      </c>
      <c r="V15" s="474">
        <v>4846612</v>
      </c>
      <c r="W15" s="474">
        <v>17197229</v>
      </c>
      <c r="X15" s="474">
        <v>79072978</v>
      </c>
      <c r="Y15" s="474">
        <v>9088126</v>
      </c>
      <c r="Z15" s="474">
        <v>7230461</v>
      </c>
      <c r="AA15" s="474">
        <v>28667893</v>
      </c>
      <c r="AB15" s="474">
        <v>0</v>
      </c>
      <c r="AC15" s="474">
        <v>45885646</v>
      </c>
      <c r="AD15" s="474">
        <v>986702</v>
      </c>
      <c r="AE15" s="474">
        <v>28265527</v>
      </c>
      <c r="AF15" s="474">
        <v>10611052</v>
      </c>
      <c r="AG15" s="474">
        <v>18934554</v>
      </c>
      <c r="AH15" s="474">
        <v>126246439</v>
      </c>
      <c r="AI15" s="474">
        <v>174860</v>
      </c>
      <c r="AJ15" s="474">
        <v>17858084</v>
      </c>
      <c r="AK15" s="474">
        <v>0</v>
      </c>
      <c r="AL15" s="474">
        <v>28714896</v>
      </c>
      <c r="AM15" s="474">
        <v>4149950</v>
      </c>
    </row>
    <row r="16" spans="1:39" s="155" customFormat="1" ht="12" x14ac:dyDescent="0.2">
      <c r="A16" s="185" t="s">
        <v>72</v>
      </c>
      <c r="B16" s="159"/>
      <c r="C16" s="159"/>
      <c r="D16" s="432">
        <f>E16+SUM(H16:O16)</f>
        <v>521222347</v>
      </c>
      <c r="E16" s="433">
        <f>SUM(E18:E32)</f>
        <v>237043885</v>
      </c>
      <c r="F16" s="433">
        <f t="shared" ref="F16:O16" si="3">SUM(F18:F32)</f>
        <v>120145205</v>
      </c>
      <c r="G16" s="433">
        <f t="shared" si="3"/>
        <v>1267181</v>
      </c>
      <c r="H16" s="433">
        <f t="shared" si="3"/>
        <v>0</v>
      </c>
      <c r="I16" s="433">
        <f t="shared" si="3"/>
        <v>190997547</v>
      </c>
      <c r="J16" s="433">
        <f t="shared" si="3"/>
        <v>0</v>
      </c>
      <c r="K16" s="433">
        <f t="shared" si="3"/>
        <v>3506000</v>
      </c>
      <c r="L16" s="433">
        <f t="shared" si="3"/>
        <v>0</v>
      </c>
      <c r="M16" s="433">
        <f t="shared" si="3"/>
        <v>51988250</v>
      </c>
      <c r="N16" s="433">
        <f t="shared" si="3"/>
        <v>34276159</v>
      </c>
      <c r="O16" s="433">
        <f t="shared" si="3"/>
        <v>3410506</v>
      </c>
      <c r="P16" s="432">
        <f t="shared" ref="P16:P54" si="4">IF(SUM(Q16:AB16)=SUM(AC16:AM16),SUM(Q16:AB16),"  EROARE ART/CAP")</f>
        <v>522748666</v>
      </c>
      <c r="Q16" s="432">
        <f>SUM(Q18:Q32)</f>
        <v>198665530</v>
      </c>
      <c r="R16" s="432">
        <f t="shared" ref="R16:AM16" si="5">SUM(R18:R32)</f>
        <v>116454817</v>
      </c>
      <c r="S16" s="432">
        <f t="shared" si="5"/>
        <v>6547900</v>
      </c>
      <c r="T16" s="432">
        <f t="shared" si="5"/>
        <v>11966851</v>
      </c>
      <c r="U16" s="432">
        <f t="shared" si="5"/>
        <v>21739009</v>
      </c>
      <c r="V16" s="432">
        <f t="shared" si="5"/>
        <v>2364236</v>
      </c>
      <c r="W16" s="432">
        <f t="shared" si="5"/>
        <v>101546451</v>
      </c>
      <c r="X16" s="432">
        <f t="shared" si="5"/>
        <v>15910938</v>
      </c>
      <c r="Y16" s="432">
        <f t="shared" si="5"/>
        <v>12434285</v>
      </c>
      <c r="Z16" s="432">
        <f t="shared" si="5"/>
        <v>23743059</v>
      </c>
      <c r="AA16" s="432">
        <f t="shared" si="5"/>
        <v>12898743</v>
      </c>
      <c r="AB16" s="432">
        <f t="shared" si="5"/>
        <v>-1523153</v>
      </c>
      <c r="AC16" s="432">
        <f t="shared" si="5"/>
        <v>39786124</v>
      </c>
      <c r="AD16" s="432">
        <f t="shared" si="5"/>
        <v>9625915</v>
      </c>
      <c r="AE16" s="432">
        <f t="shared" si="5"/>
        <v>185211567</v>
      </c>
      <c r="AF16" s="432">
        <f t="shared" si="5"/>
        <v>7743174</v>
      </c>
      <c r="AG16" s="432">
        <f t="shared" si="5"/>
        <v>41906218</v>
      </c>
      <c r="AH16" s="432">
        <f t="shared" si="5"/>
        <v>44141698</v>
      </c>
      <c r="AI16" s="432">
        <f t="shared" si="5"/>
        <v>34107959</v>
      </c>
      <c r="AJ16" s="432">
        <f t="shared" si="5"/>
        <v>21834546</v>
      </c>
      <c r="AK16" s="432">
        <f t="shared" si="5"/>
        <v>102571416</v>
      </c>
      <c r="AL16" s="432">
        <f t="shared" si="5"/>
        <v>35722783</v>
      </c>
      <c r="AM16" s="432">
        <f t="shared" si="5"/>
        <v>97266</v>
      </c>
    </row>
    <row r="17" spans="1:39" s="155" customFormat="1" ht="22.5" x14ac:dyDescent="0.2">
      <c r="A17" s="234" t="s">
        <v>2306</v>
      </c>
      <c r="B17" s="281" t="s">
        <v>74</v>
      </c>
      <c r="C17" s="260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146">
        <v>1</v>
      </c>
      <c r="B18" s="282">
        <v>20297</v>
      </c>
      <c r="C18" s="268" t="s">
        <v>1055</v>
      </c>
      <c r="D18" s="451">
        <f t="shared" ref="D18:D20" si="6">E18+SUM(H18:O18)</f>
        <v>392878325</v>
      </c>
      <c r="E18" s="474">
        <v>178422499</v>
      </c>
      <c r="F18" s="474">
        <v>94285280</v>
      </c>
      <c r="G18" s="474">
        <v>54672</v>
      </c>
      <c r="H18" s="474">
        <v>0</v>
      </c>
      <c r="I18" s="474">
        <v>131604394</v>
      </c>
      <c r="J18" s="474">
        <v>0</v>
      </c>
      <c r="K18" s="474">
        <v>1987000</v>
      </c>
      <c r="L18" s="474">
        <v>0</v>
      </c>
      <c r="M18" s="474">
        <v>49161511</v>
      </c>
      <c r="N18" s="474">
        <v>31555611</v>
      </c>
      <c r="O18" s="474">
        <v>147310</v>
      </c>
      <c r="P18" s="451">
        <f t="shared" ref="P18:P20" si="7">IF(SUM(Q18:AB18)=SUM(AC18:AM18),SUM(Q18:AB18),"  EROARE ART/CAP")</f>
        <v>392854564</v>
      </c>
      <c r="Q18" s="474">
        <v>131045518</v>
      </c>
      <c r="R18" s="474">
        <v>81606908</v>
      </c>
      <c r="S18" s="474">
        <v>4790725</v>
      </c>
      <c r="T18" s="474">
        <v>11927612</v>
      </c>
      <c r="U18" s="474">
        <v>19015774</v>
      </c>
      <c r="V18" s="474">
        <v>2364236</v>
      </c>
      <c r="W18" s="474">
        <v>95727254</v>
      </c>
      <c r="X18" s="474">
        <v>12395411</v>
      </c>
      <c r="Y18" s="474">
        <v>11594465</v>
      </c>
      <c r="Z18" s="474">
        <v>14527539</v>
      </c>
      <c r="AA18" s="474">
        <v>9257021</v>
      </c>
      <c r="AB18" s="474">
        <v>-1397899</v>
      </c>
      <c r="AC18" s="474">
        <v>25350153</v>
      </c>
      <c r="AD18" s="474">
        <v>8790045</v>
      </c>
      <c r="AE18" s="474">
        <v>126898819</v>
      </c>
      <c r="AF18" s="474">
        <v>3786230</v>
      </c>
      <c r="AG18" s="474">
        <v>35135625</v>
      </c>
      <c r="AH18" s="474">
        <v>30491728</v>
      </c>
      <c r="AI18" s="474">
        <v>9314278</v>
      </c>
      <c r="AJ18" s="474">
        <v>20508956</v>
      </c>
      <c r="AK18" s="474">
        <v>102571416</v>
      </c>
      <c r="AL18" s="474">
        <v>30007314</v>
      </c>
      <c r="AM18" s="474">
        <v>0</v>
      </c>
    </row>
    <row r="19" spans="1:39" s="155" customFormat="1" ht="12" x14ac:dyDescent="0.2">
      <c r="A19" s="146">
        <v>2</v>
      </c>
      <c r="B19" s="282">
        <v>20563</v>
      </c>
      <c r="C19" s="268" t="s">
        <v>1056</v>
      </c>
      <c r="D19" s="451">
        <f t="shared" si="6"/>
        <v>82053639</v>
      </c>
      <c r="E19" s="474">
        <v>37642944</v>
      </c>
      <c r="F19" s="474">
        <v>16941489</v>
      </c>
      <c r="G19" s="474">
        <v>11689</v>
      </c>
      <c r="H19" s="474">
        <v>0</v>
      </c>
      <c r="I19" s="474">
        <v>40308059</v>
      </c>
      <c r="J19" s="474">
        <v>0</v>
      </c>
      <c r="K19" s="474">
        <v>318000</v>
      </c>
      <c r="L19" s="474">
        <v>0</v>
      </c>
      <c r="M19" s="474">
        <v>950344</v>
      </c>
      <c r="N19" s="474">
        <v>1925215</v>
      </c>
      <c r="O19" s="474">
        <v>909077</v>
      </c>
      <c r="P19" s="451">
        <f t="shared" si="7"/>
        <v>83632082</v>
      </c>
      <c r="Q19" s="474">
        <v>44184110</v>
      </c>
      <c r="R19" s="474">
        <v>26029100</v>
      </c>
      <c r="S19" s="474">
        <v>1357175</v>
      </c>
      <c r="T19" s="474">
        <v>39239</v>
      </c>
      <c r="U19" s="474">
        <v>830000</v>
      </c>
      <c r="V19" s="474">
        <v>0</v>
      </c>
      <c r="W19" s="474">
        <v>4597696</v>
      </c>
      <c r="X19" s="474">
        <v>1752366</v>
      </c>
      <c r="Y19" s="474">
        <v>148835</v>
      </c>
      <c r="Z19" s="474">
        <v>2270856</v>
      </c>
      <c r="AA19" s="474">
        <v>2501722</v>
      </c>
      <c r="AB19" s="474">
        <v>-79017</v>
      </c>
      <c r="AC19" s="474">
        <v>9105929</v>
      </c>
      <c r="AD19" s="474">
        <v>103229</v>
      </c>
      <c r="AE19" s="474">
        <v>40839582</v>
      </c>
      <c r="AF19" s="474">
        <v>2248403</v>
      </c>
      <c r="AG19" s="474">
        <v>3171356</v>
      </c>
      <c r="AH19" s="474">
        <v>7592160</v>
      </c>
      <c r="AI19" s="474">
        <v>19149584</v>
      </c>
      <c r="AJ19" s="474">
        <v>0</v>
      </c>
      <c r="AK19" s="474">
        <v>0</v>
      </c>
      <c r="AL19" s="474">
        <v>1421839</v>
      </c>
      <c r="AM19" s="474">
        <v>0</v>
      </c>
    </row>
    <row r="20" spans="1:39" s="155" customFormat="1" ht="12" x14ac:dyDescent="0.2">
      <c r="A20" s="146">
        <v>3</v>
      </c>
      <c r="B20" s="282">
        <v>20876</v>
      </c>
      <c r="C20" s="268" t="s">
        <v>1057</v>
      </c>
      <c r="D20" s="451">
        <f t="shared" si="6"/>
        <v>46290383</v>
      </c>
      <c r="E20" s="474">
        <v>20978442</v>
      </c>
      <c r="F20" s="474">
        <v>8918436</v>
      </c>
      <c r="G20" s="474">
        <v>1200820</v>
      </c>
      <c r="H20" s="474">
        <v>0</v>
      </c>
      <c r="I20" s="474">
        <v>19085094</v>
      </c>
      <c r="J20" s="474">
        <v>0</v>
      </c>
      <c r="K20" s="474">
        <v>1201000</v>
      </c>
      <c r="L20" s="474">
        <v>0</v>
      </c>
      <c r="M20" s="474">
        <v>1876395</v>
      </c>
      <c r="N20" s="474">
        <v>795333</v>
      </c>
      <c r="O20" s="474">
        <v>2354119</v>
      </c>
      <c r="P20" s="451">
        <f t="shared" si="7"/>
        <v>46262020</v>
      </c>
      <c r="Q20" s="474">
        <v>23435902</v>
      </c>
      <c r="R20" s="474">
        <v>8818809</v>
      </c>
      <c r="S20" s="474">
        <v>400000</v>
      </c>
      <c r="T20" s="474">
        <v>0</v>
      </c>
      <c r="U20" s="474">
        <v>1893235</v>
      </c>
      <c r="V20" s="474">
        <v>0</v>
      </c>
      <c r="W20" s="474">
        <v>1221501</v>
      </c>
      <c r="X20" s="474">
        <v>1763161</v>
      </c>
      <c r="Y20" s="474">
        <v>690985</v>
      </c>
      <c r="Z20" s="474">
        <v>6944664</v>
      </c>
      <c r="AA20" s="474">
        <v>1140000</v>
      </c>
      <c r="AB20" s="474">
        <v>-46237</v>
      </c>
      <c r="AC20" s="474">
        <v>5330042</v>
      </c>
      <c r="AD20" s="474">
        <v>732641</v>
      </c>
      <c r="AE20" s="474">
        <v>17473166</v>
      </c>
      <c r="AF20" s="474">
        <v>1708541</v>
      </c>
      <c r="AG20" s="474">
        <v>3599237</v>
      </c>
      <c r="AH20" s="474">
        <v>6057810</v>
      </c>
      <c r="AI20" s="474">
        <v>5644097</v>
      </c>
      <c r="AJ20" s="474">
        <v>1325590</v>
      </c>
      <c r="AK20" s="474">
        <v>0</v>
      </c>
      <c r="AL20" s="474">
        <v>4293630</v>
      </c>
      <c r="AM20" s="474">
        <v>97266</v>
      </c>
    </row>
    <row r="21" spans="1:39" s="155" customFormat="1" ht="12" hidden="1" x14ac:dyDescent="0.2">
      <c r="A21" s="146">
        <v>4</v>
      </c>
      <c r="B21" s="161"/>
      <c r="C21" s="206"/>
      <c r="D21" s="432">
        <f t="shared" ref="D21:D41" si="8">E21+SUM(H21:O21)</f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4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146">
        <v>5</v>
      </c>
      <c r="B22" s="161"/>
      <c r="C22" s="206"/>
      <c r="D22" s="432">
        <f t="shared" si="8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4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161"/>
      <c r="C23" s="206"/>
      <c r="D23" s="432">
        <f t="shared" si="8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4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61"/>
      <c r="C24" s="206"/>
      <c r="D24" s="432">
        <f t="shared" si="8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4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61"/>
      <c r="C25" s="206"/>
      <c r="D25" s="432">
        <f t="shared" si="8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4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61"/>
      <c r="C26" s="206"/>
      <c r="D26" s="432">
        <f t="shared" si="8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4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61"/>
      <c r="C27" s="206"/>
      <c r="D27" s="432">
        <f t="shared" si="8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4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61"/>
      <c r="C28" s="206"/>
      <c r="D28" s="432">
        <f t="shared" si="8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4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61"/>
      <c r="C29" s="206"/>
      <c r="D29" s="432">
        <f t="shared" si="8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4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61"/>
      <c r="C30" s="206"/>
      <c r="D30" s="432">
        <f t="shared" si="8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4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61"/>
      <c r="C31" s="206"/>
      <c r="D31" s="432">
        <f t="shared" si="8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4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61"/>
      <c r="C32" s="207"/>
      <c r="D32" s="432">
        <f t="shared" si="8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4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5"/>
      <c r="C33" s="208"/>
      <c r="D33" s="432">
        <f t="shared" si="8"/>
        <v>164563485</v>
      </c>
      <c r="E33" s="432">
        <f>SUM(E34:E53)</f>
        <v>42241145</v>
      </c>
      <c r="F33" s="432">
        <f t="shared" ref="F33:O33" si="9">SUM(F34:F53)</f>
        <v>16408927</v>
      </c>
      <c r="G33" s="432">
        <f t="shared" si="9"/>
        <v>3595641</v>
      </c>
      <c r="H33" s="432">
        <f t="shared" si="9"/>
        <v>0</v>
      </c>
      <c r="I33" s="432">
        <f t="shared" si="9"/>
        <v>45822946</v>
      </c>
      <c r="J33" s="432">
        <f t="shared" si="9"/>
        <v>0</v>
      </c>
      <c r="K33" s="432">
        <f t="shared" si="9"/>
        <v>8035320</v>
      </c>
      <c r="L33" s="432">
        <f t="shared" si="9"/>
        <v>0</v>
      </c>
      <c r="M33" s="432">
        <f t="shared" si="9"/>
        <v>21244424</v>
      </c>
      <c r="N33" s="432">
        <f t="shared" si="9"/>
        <v>44540879</v>
      </c>
      <c r="O33" s="432">
        <f t="shared" si="9"/>
        <v>2678771</v>
      </c>
      <c r="P33" s="432">
        <f t="shared" si="4"/>
        <v>168908969</v>
      </c>
      <c r="Q33" s="432">
        <f>SUM(Q34:Q53)</f>
        <v>51493037</v>
      </c>
      <c r="R33" s="432">
        <f t="shared" ref="R33:AM33" si="10">SUM(R34:R53)</f>
        <v>23192736</v>
      </c>
      <c r="S33" s="432">
        <f t="shared" si="10"/>
        <v>736496</v>
      </c>
      <c r="T33" s="432">
        <f t="shared" si="10"/>
        <v>59310</v>
      </c>
      <c r="U33" s="432">
        <f t="shared" si="10"/>
        <v>1924437</v>
      </c>
      <c r="V33" s="432">
        <f t="shared" si="10"/>
        <v>765308</v>
      </c>
      <c r="W33" s="432">
        <f t="shared" si="10"/>
        <v>75169895</v>
      </c>
      <c r="X33" s="432">
        <f t="shared" si="10"/>
        <v>3809276</v>
      </c>
      <c r="Y33" s="432">
        <f t="shared" si="10"/>
        <v>620554</v>
      </c>
      <c r="Z33" s="432">
        <f t="shared" si="10"/>
        <v>9653042</v>
      </c>
      <c r="AA33" s="432">
        <f t="shared" si="10"/>
        <v>1582336</v>
      </c>
      <c r="AB33" s="432">
        <f t="shared" si="10"/>
        <v>-97458</v>
      </c>
      <c r="AC33" s="432">
        <f t="shared" si="10"/>
        <v>13359586</v>
      </c>
      <c r="AD33" s="432">
        <f t="shared" si="10"/>
        <v>2278990</v>
      </c>
      <c r="AE33" s="432">
        <f t="shared" si="10"/>
        <v>43065778</v>
      </c>
      <c r="AF33" s="432">
        <f t="shared" si="10"/>
        <v>14475279</v>
      </c>
      <c r="AG33" s="432">
        <f t="shared" si="10"/>
        <v>4628546</v>
      </c>
      <c r="AH33" s="432">
        <f t="shared" si="10"/>
        <v>7049193</v>
      </c>
      <c r="AI33" s="432">
        <f t="shared" si="10"/>
        <v>14926400</v>
      </c>
      <c r="AJ33" s="432">
        <f t="shared" si="10"/>
        <v>5795842</v>
      </c>
      <c r="AK33" s="432">
        <f t="shared" si="10"/>
        <v>0</v>
      </c>
      <c r="AL33" s="432">
        <f t="shared" si="10"/>
        <v>49308654</v>
      </c>
      <c r="AM33" s="432">
        <f t="shared" si="10"/>
        <v>14020701</v>
      </c>
    </row>
    <row r="34" spans="1:39" s="155" customFormat="1" ht="12" x14ac:dyDescent="0.2">
      <c r="A34" s="146">
        <v>1</v>
      </c>
      <c r="B34" s="282">
        <v>20778</v>
      </c>
      <c r="C34" s="268" t="s">
        <v>1058</v>
      </c>
      <c r="D34" s="451">
        <f t="shared" ref="D34:D38" si="11">E34+SUM(H34:O34)</f>
        <v>28723928</v>
      </c>
      <c r="E34" s="474">
        <v>8922516</v>
      </c>
      <c r="F34" s="474">
        <v>3824612</v>
      </c>
      <c r="G34" s="474">
        <v>34113</v>
      </c>
      <c r="H34" s="474">
        <v>0</v>
      </c>
      <c r="I34" s="474">
        <v>10703759</v>
      </c>
      <c r="J34" s="474">
        <v>0</v>
      </c>
      <c r="K34" s="474">
        <v>3462320</v>
      </c>
      <c r="L34" s="474">
        <v>0</v>
      </c>
      <c r="M34" s="474">
        <v>2115799</v>
      </c>
      <c r="N34" s="474">
        <v>2812630</v>
      </c>
      <c r="O34" s="474">
        <v>706904</v>
      </c>
      <c r="P34" s="451">
        <f t="shared" ref="P34:P38" si="12">IF(SUM(Q34:AB34)=SUM(AC34:AM34),SUM(Q34:AB34),"  EROARE ART/CAP")</f>
        <v>28974390</v>
      </c>
      <c r="Q34" s="474">
        <v>12541534</v>
      </c>
      <c r="R34" s="474">
        <v>5583079</v>
      </c>
      <c r="S34" s="474">
        <v>0</v>
      </c>
      <c r="T34" s="474">
        <v>0</v>
      </c>
      <c r="U34" s="474">
        <v>1376320</v>
      </c>
      <c r="V34" s="474">
        <v>0</v>
      </c>
      <c r="W34" s="474">
        <v>6346604</v>
      </c>
      <c r="X34" s="474">
        <v>838176</v>
      </c>
      <c r="Y34" s="474">
        <v>108998</v>
      </c>
      <c r="Z34" s="474">
        <v>2179679</v>
      </c>
      <c r="AA34" s="474">
        <v>0</v>
      </c>
      <c r="AB34" s="474">
        <v>0</v>
      </c>
      <c r="AC34" s="474">
        <v>2552045</v>
      </c>
      <c r="AD34" s="474">
        <v>655026</v>
      </c>
      <c r="AE34" s="474">
        <v>9759059</v>
      </c>
      <c r="AF34" s="474">
        <v>1370410</v>
      </c>
      <c r="AG34" s="474">
        <v>594107</v>
      </c>
      <c r="AH34" s="474">
        <v>1587055</v>
      </c>
      <c r="AI34" s="474">
        <v>10453125</v>
      </c>
      <c r="AJ34" s="474">
        <v>1093963</v>
      </c>
      <c r="AK34" s="474">
        <v>0</v>
      </c>
      <c r="AL34" s="474">
        <v>688010</v>
      </c>
      <c r="AM34" s="474">
        <v>221590</v>
      </c>
    </row>
    <row r="35" spans="1:39" s="155" customFormat="1" ht="12" x14ac:dyDescent="0.2">
      <c r="A35" s="146">
        <v>2</v>
      </c>
      <c r="B35" s="282">
        <v>20821</v>
      </c>
      <c r="C35" s="268" t="s">
        <v>1059</v>
      </c>
      <c r="D35" s="451">
        <f t="shared" si="11"/>
        <v>89111450</v>
      </c>
      <c r="E35" s="474">
        <v>13888815</v>
      </c>
      <c r="F35" s="474">
        <v>6090747</v>
      </c>
      <c r="G35" s="474">
        <v>23786</v>
      </c>
      <c r="H35" s="474">
        <v>0</v>
      </c>
      <c r="I35" s="474">
        <v>16182556</v>
      </c>
      <c r="J35" s="474">
        <v>0</v>
      </c>
      <c r="K35" s="474">
        <v>1254000</v>
      </c>
      <c r="L35" s="474">
        <v>0</v>
      </c>
      <c r="M35" s="474">
        <v>17054746</v>
      </c>
      <c r="N35" s="474">
        <v>40639216</v>
      </c>
      <c r="O35" s="474">
        <v>92117</v>
      </c>
      <c r="P35" s="451">
        <f t="shared" si="12"/>
        <v>93374588</v>
      </c>
      <c r="Q35" s="474">
        <v>17963889</v>
      </c>
      <c r="R35" s="474">
        <v>5149654</v>
      </c>
      <c r="S35" s="474">
        <v>69000</v>
      </c>
      <c r="T35" s="474">
        <v>0</v>
      </c>
      <c r="U35" s="474">
        <v>0</v>
      </c>
      <c r="V35" s="474">
        <v>83769</v>
      </c>
      <c r="W35" s="474">
        <v>67112432</v>
      </c>
      <c r="X35" s="474">
        <v>1309708</v>
      </c>
      <c r="Y35" s="474">
        <v>201056</v>
      </c>
      <c r="Z35" s="474">
        <v>1389628</v>
      </c>
      <c r="AA35" s="474">
        <v>150000</v>
      </c>
      <c r="AB35" s="474">
        <v>-54548</v>
      </c>
      <c r="AC35" s="474">
        <v>2627124</v>
      </c>
      <c r="AD35" s="474">
        <v>773805</v>
      </c>
      <c r="AE35" s="474">
        <v>14628608</v>
      </c>
      <c r="AF35" s="474">
        <v>12837914</v>
      </c>
      <c r="AG35" s="474">
        <v>803474</v>
      </c>
      <c r="AH35" s="474">
        <v>2721997</v>
      </c>
      <c r="AI35" s="474">
        <v>1078775</v>
      </c>
      <c r="AJ35" s="474">
        <v>1435234</v>
      </c>
      <c r="AK35" s="474">
        <v>0</v>
      </c>
      <c r="AL35" s="474">
        <v>43019727</v>
      </c>
      <c r="AM35" s="474">
        <v>13447930</v>
      </c>
    </row>
    <row r="36" spans="1:39" s="155" customFormat="1" ht="12" x14ac:dyDescent="0.2">
      <c r="A36" s="146">
        <v>3</v>
      </c>
      <c r="B36" s="282">
        <v>22166</v>
      </c>
      <c r="C36" s="268" t="s">
        <v>1060</v>
      </c>
      <c r="D36" s="451">
        <f t="shared" si="11"/>
        <v>17904698</v>
      </c>
      <c r="E36" s="474">
        <v>5645640</v>
      </c>
      <c r="F36" s="474">
        <v>1307567</v>
      </c>
      <c r="G36" s="474">
        <v>1449032</v>
      </c>
      <c r="H36" s="474">
        <v>0</v>
      </c>
      <c r="I36" s="474">
        <v>7451476</v>
      </c>
      <c r="J36" s="474">
        <v>0</v>
      </c>
      <c r="K36" s="474">
        <v>1567000</v>
      </c>
      <c r="L36" s="474">
        <v>0</v>
      </c>
      <c r="M36" s="474">
        <v>1793153</v>
      </c>
      <c r="N36" s="474">
        <v>987821</v>
      </c>
      <c r="O36" s="474">
        <v>459608</v>
      </c>
      <c r="P36" s="451">
        <f t="shared" si="12"/>
        <v>17644209</v>
      </c>
      <c r="Q36" s="474">
        <v>8057952</v>
      </c>
      <c r="R36" s="474">
        <v>3314188</v>
      </c>
      <c r="S36" s="474">
        <v>24150</v>
      </c>
      <c r="T36" s="474">
        <v>0</v>
      </c>
      <c r="U36" s="474">
        <v>185000</v>
      </c>
      <c r="V36" s="474">
        <v>681539</v>
      </c>
      <c r="W36" s="474">
        <v>1461936</v>
      </c>
      <c r="X36" s="474">
        <v>970184</v>
      </c>
      <c r="Y36" s="474">
        <v>269000</v>
      </c>
      <c r="Z36" s="474">
        <v>2684947</v>
      </c>
      <c r="AA36" s="474">
        <v>0</v>
      </c>
      <c r="AB36" s="474">
        <v>-4687</v>
      </c>
      <c r="AC36" s="474">
        <v>1963989</v>
      </c>
      <c r="AD36" s="474">
        <v>291853</v>
      </c>
      <c r="AE36" s="474">
        <v>8062020</v>
      </c>
      <c r="AF36" s="474">
        <v>81387</v>
      </c>
      <c r="AG36" s="474">
        <v>998059</v>
      </c>
      <c r="AH36" s="474">
        <v>1397956</v>
      </c>
      <c r="AI36" s="474">
        <v>1424774</v>
      </c>
      <c r="AJ36" s="474">
        <v>1559799</v>
      </c>
      <c r="AK36" s="474">
        <v>0</v>
      </c>
      <c r="AL36" s="474">
        <v>1844372</v>
      </c>
      <c r="AM36" s="474">
        <v>20000</v>
      </c>
    </row>
    <row r="37" spans="1:39" s="155" customFormat="1" ht="12" x14ac:dyDescent="0.2">
      <c r="A37" s="146">
        <v>4</v>
      </c>
      <c r="B37" s="282">
        <v>20910</v>
      </c>
      <c r="C37" s="268" t="s">
        <v>1061</v>
      </c>
      <c r="D37" s="451">
        <f t="shared" si="11"/>
        <v>9704200</v>
      </c>
      <c r="E37" s="474">
        <v>5443442</v>
      </c>
      <c r="F37" s="474">
        <v>493173</v>
      </c>
      <c r="G37" s="474">
        <v>2083217</v>
      </c>
      <c r="H37" s="474">
        <v>0</v>
      </c>
      <c r="I37" s="474">
        <v>2265742</v>
      </c>
      <c r="J37" s="474">
        <v>0</v>
      </c>
      <c r="K37" s="474">
        <v>1420000</v>
      </c>
      <c r="L37" s="474">
        <v>0</v>
      </c>
      <c r="M37" s="474">
        <v>134759</v>
      </c>
      <c r="N37" s="474">
        <v>0</v>
      </c>
      <c r="O37" s="474">
        <v>440257</v>
      </c>
      <c r="P37" s="451">
        <f t="shared" si="12"/>
        <v>9682874</v>
      </c>
      <c r="Q37" s="474">
        <v>3152972</v>
      </c>
      <c r="R37" s="474">
        <v>4067310</v>
      </c>
      <c r="S37" s="474">
        <v>368318</v>
      </c>
      <c r="T37" s="474">
        <v>59310</v>
      </c>
      <c r="U37" s="474">
        <v>130517</v>
      </c>
      <c r="V37" s="474">
        <v>0</v>
      </c>
      <c r="W37" s="474">
        <v>0</v>
      </c>
      <c r="X37" s="474">
        <v>174626</v>
      </c>
      <c r="Y37" s="474">
        <v>11500</v>
      </c>
      <c r="Z37" s="474">
        <v>1190321</v>
      </c>
      <c r="AA37" s="474">
        <v>528000</v>
      </c>
      <c r="AB37" s="474">
        <v>0</v>
      </c>
      <c r="AC37" s="474">
        <v>2618419</v>
      </c>
      <c r="AD37" s="474">
        <v>296571</v>
      </c>
      <c r="AE37" s="474">
        <v>1885722</v>
      </c>
      <c r="AF37" s="474">
        <v>0</v>
      </c>
      <c r="AG37" s="474">
        <v>816686</v>
      </c>
      <c r="AH37" s="474">
        <v>599398</v>
      </c>
      <c r="AI37" s="474">
        <v>642381</v>
      </c>
      <c r="AJ37" s="474">
        <v>1262122</v>
      </c>
      <c r="AK37" s="474">
        <v>0</v>
      </c>
      <c r="AL37" s="474">
        <v>1552027</v>
      </c>
      <c r="AM37" s="474">
        <v>9548</v>
      </c>
    </row>
    <row r="38" spans="1:39" s="155" customFormat="1" ht="12" x14ac:dyDescent="0.2">
      <c r="A38" s="146">
        <v>5</v>
      </c>
      <c r="B38" s="282">
        <v>20965</v>
      </c>
      <c r="C38" s="268" t="s">
        <v>1062</v>
      </c>
      <c r="D38" s="451">
        <f t="shared" si="11"/>
        <v>19119209</v>
      </c>
      <c r="E38" s="474">
        <v>8340732</v>
      </c>
      <c r="F38" s="474">
        <v>4692828</v>
      </c>
      <c r="G38" s="474">
        <v>5493</v>
      </c>
      <c r="H38" s="474">
        <v>0</v>
      </c>
      <c r="I38" s="474">
        <v>9219413</v>
      </c>
      <c r="J38" s="474">
        <v>0</v>
      </c>
      <c r="K38" s="474">
        <v>332000</v>
      </c>
      <c r="L38" s="474">
        <v>0</v>
      </c>
      <c r="M38" s="474">
        <v>145967</v>
      </c>
      <c r="N38" s="474">
        <v>101212</v>
      </c>
      <c r="O38" s="474">
        <v>979885</v>
      </c>
      <c r="P38" s="451">
        <f t="shared" si="12"/>
        <v>19232908</v>
      </c>
      <c r="Q38" s="474">
        <v>9776690</v>
      </c>
      <c r="R38" s="474">
        <v>5078505</v>
      </c>
      <c r="S38" s="474">
        <v>275028</v>
      </c>
      <c r="T38" s="474">
        <v>0</v>
      </c>
      <c r="U38" s="474">
        <v>232600</v>
      </c>
      <c r="V38" s="474">
        <v>0</v>
      </c>
      <c r="W38" s="474">
        <v>248923</v>
      </c>
      <c r="X38" s="474">
        <v>516582</v>
      </c>
      <c r="Y38" s="474">
        <v>30000</v>
      </c>
      <c r="Z38" s="474">
        <v>2208467</v>
      </c>
      <c r="AA38" s="474">
        <v>904336</v>
      </c>
      <c r="AB38" s="474">
        <v>-38223</v>
      </c>
      <c r="AC38" s="474">
        <v>3598009</v>
      </c>
      <c r="AD38" s="474">
        <v>261735</v>
      </c>
      <c r="AE38" s="474">
        <v>8730369</v>
      </c>
      <c r="AF38" s="474">
        <v>185568</v>
      </c>
      <c r="AG38" s="474">
        <v>1416220</v>
      </c>
      <c r="AH38" s="474">
        <v>742787</v>
      </c>
      <c r="AI38" s="474">
        <v>1327345</v>
      </c>
      <c r="AJ38" s="474">
        <v>444724</v>
      </c>
      <c r="AK38" s="474">
        <v>0</v>
      </c>
      <c r="AL38" s="474">
        <v>2204518</v>
      </c>
      <c r="AM38" s="474">
        <v>321633</v>
      </c>
    </row>
    <row r="39" spans="1:39" s="155" customFormat="1" ht="12" hidden="1" x14ac:dyDescent="0.2">
      <c r="A39" s="146">
        <v>6</v>
      </c>
      <c r="B39" s="161"/>
      <c r="C39" s="172"/>
      <c r="D39" s="432">
        <f t="shared" si="8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4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</row>
    <row r="40" spans="1:39" s="155" customFormat="1" ht="12" hidden="1" x14ac:dyDescent="0.2">
      <c r="A40" s="146">
        <v>7</v>
      </c>
      <c r="B40" s="161"/>
      <c r="C40" s="182"/>
      <c r="D40" s="432">
        <f t="shared" si="8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4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155" customFormat="1" ht="12" hidden="1" x14ac:dyDescent="0.2">
      <c r="A41" s="146">
        <v>8</v>
      </c>
      <c r="B41" s="161"/>
      <c r="C41" s="173"/>
      <c r="D41" s="432">
        <f t="shared" si="8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4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146">
        <v>9</v>
      </c>
      <c r="B42" s="161"/>
      <c r="C42" s="206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4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161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4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61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4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61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4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61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4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61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4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61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4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61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4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61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4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61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4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61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4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61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4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5"/>
      <c r="C54" s="208"/>
      <c r="D54" s="432">
        <f t="shared" ref="D54" si="13">E54+SUM(H54:O54)</f>
        <v>581274816</v>
      </c>
      <c r="E54" s="432">
        <f>SUM(E55:E143)</f>
        <v>134929756</v>
      </c>
      <c r="F54" s="432">
        <f t="shared" ref="F54:O54" si="14">SUM(F55:F143)</f>
        <v>30538823</v>
      </c>
      <c r="G54" s="432">
        <f t="shared" si="14"/>
        <v>41123275</v>
      </c>
      <c r="H54" s="432">
        <f t="shared" si="14"/>
        <v>0</v>
      </c>
      <c r="I54" s="432">
        <f t="shared" si="14"/>
        <v>190510919</v>
      </c>
      <c r="J54" s="432">
        <f t="shared" si="14"/>
        <v>10482276</v>
      </c>
      <c r="K54" s="432">
        <f t="shared" si="14"/>
        <v>80757670</v>
      </c>
      <c r="L54" s="432">
        <f t="shared" si="14"/>
        <v>0</v>
      </c>
      <c r="M54" s="432">
        <f t="shared" si="14"/>
        <v>97472163</v>
      </c>
      <c r="N54" s="432">
        <f t="shared" si="14"/>
        <v>61526246</v>
      </c>
      <c r="O54" s="432">
        <f t="shared" si="14"/>
        <v>5595786</v>
      </c>
      <c r="P54" s="432">
        <f t="shared" si="4"/>
        <v>535791037</v>
      </c>
      <c r="Q54" s="432">
        <f>SUM(Q55:Q143)</f>
        <v>215548382</v>
      </c>
      <c r="R54" s="432">
        <f t="shared" ref="R54:AM54" si="15">SUM(R55:R143)</f>
        <v>97593501</v>
      </c>
      <c r="S54" s="432">
        <f t="shared" si="15"/>
        <v>444529</v>
      </c>
      <c r="T54" s="432">
        <f t="shared" si="15"/>
        <v>0</v>
      </c>
      <c r="U54" s="432">
        <f t="shared" si="15"/>
        <v>3546060</v>
      </c>
      <c r="V54" s="432">
        <f t="shared" si="15"/>
        <v>104021</v>
      </c>
      <c r="W54" s="432">
        <f t="shared" si="15"/>
        <v>58155908</v>
      </c>
      <c r="X54" s="432">
        <f t="shared" si="15"/>
        <v>22274937</v>
      </c>
      <c r="Y54" s="432">
        <f t="shared" si="15"/>
        <v>4296287</v>
      </c>
      <c r="Z54" s="432">
        <f t="shared" si="15"/>
        <v>129667592</v>
      </c>
      <c r="AA54" s="432">
        <f t="shared" si="15"/>
        <v>5033562</v>
      </c>
      <c r="AB54" s="432">
        <f t="shared" si="15"/>
        <v>-873742</v>
      </c>
      <c r="AC54" s="432">
        <f t="shared" si="15"/>
        <v>84719915</v>
      </c>
      <c r="AD54" s="432">
        <f t="shared" si="15"/>
        <v>6846923</v>
      </c>
      <c r="AE54" s="432">
        <f t="shared" si="15"/>
        <v>202008813</v>
      </c>
      <c r="AF54" s="432">
        <f t="shared" si="15"/>
        <v>682852</v>
      </c>
      <c r="AG54" s="432">
        <f t="shared" si="15"/>
        <v>15997192</v>
      </c>
      <c r="AH54" s="432">
        <f t="shared" si="15"/>
        <v>39284796</v>
      </c>
      <c r="AI54" s="432">
        <f t="shared" si="15"/>
        <v>49933324</v>
      </c>
      <c r="AJ54" s="432">
        <f t="shared" si="15"/>
        <v>9675376</v>
      </c>
      <c r="AK54" s="432">
        <f t="shared" si="15"/>
        <v>0</v>
      </c>
      <c r="AL54" s="432">
        <f>SUM(AL55:AL143)</f>
        <v>124297828</v>
      </c>
      <c r="AM54" s="432">
        <f t="shared" si="15"/>
        <v>2344018</v>
      </c>
    </row>
    <row r="55" spans="1:39" s="155" customFormat="1" ht="12" x14ac:dyDescent="0.2">
      <c r="A55" s="168">
        <v>1</v>
      </c>
      <c r="B55" s="282">
        <v>21007</v>
      </c>
      <c r="C55" s="268" t="s">
        <v>1063</v>
      </c>
      <c r="D55" s="451">
        <f t="shared" ref="D55:D118" si="16">E55+SUM(H55:O55)</f>
        <v>9863825</v>
      </c>
      <c r="E55" s="474">
        <v>1527896</v>
      </c>
      <c r="F55" s="474">
        <v>336946</v>
      </c>
      <c r="G55" s="474">
        <v>302297</v>
      </c>
      <c r="H55" s="474">
        <v>0</v>
      </c>
      <c r="I55" s="474">
        <v>3153320</v>
      </c>
      <c r="J55" s="474">
        <v>160500</v>
      </c>
      <c r="K55" s="474">
        <v>1319000</v>
      </c>
      <c r="L55" s="474">
        <v>0</v>
      </c>
      <c r="M55" s="474">
        <v>2551405</v>
      </c>
      <c r="N55" s="474">
        <v>1025496</v>
      </c>
      <c r="O55" s="474">
        <v>126208</v>
      </c>
      <c r="P55" s="451">
        <f t="shared" ref="P55:P118" si="17">IF(SUM(Q55:AB55)=SUM(AC55:AM55),SUM(Q55:AB55),"  EROARE ART/CAP")</f>
        <v>9978620</v>
      </c>
      <c r="Q55" s="474">
        <v>3260942</v>
      </c>
      <c r="R55" s="474">
        <v>1142055</v>
      </c>
      <c r="S55" s="474">
        <v>0</v>
      </c>
      <c r="T55" s="474">
        <v>0</v>
      </c>
      <c r="U55" s="474">
        <v>37387</v>
      </c>
      <c r="V55" s="474">
        <v>0</v>
      </c>
      <c r="W55" s="474">
        <v>789073</v>
      </c>
      <c r="X55" s="474">
        <v>443371</v>
      </c>
      <c r="Y55" s="474">
        <v>0</v>
      </c>
      <c r="Z55" s="474">
        <v>3905792</v>
      </c>
      <c r="AA55" s="474">
        <v>400000</v>
      </c>
      <c r="AB55" s="474">
        <v>0</v>
      </c>
      <c r="AC55" s="474">
        <v>1030716</v>
      </c>
      <c r="AD55" s="474">
        <v>46799</v>
      </c>
      <c r="AE55" s="474">
        <v>2806651</v>
      </c>
      <c r="AF55" s="474">
        <v>0</v>
      </c>
      <c r="AG55" s="474">
        <v>77566</v>
      </c>
      <c r="AH55" s="474">
        <v>515614</v>
      </c>
      <c r="AI55" s="474">
        <v>199006</v>
      </c>
      <c r="AJ55" s="474">
        <v>166091</v>
      </c>
      <c r="AK55" s="474">
        <v>0</v>
      </c>
      <c r="AL55" s="474">
        <v>4732079</v>
      </c>
      <c r="AM55" s="474">
        <v>404098</v>
      </c>
    </row>
    <row r="56" spans="1:39" s="155" customFormat="1" ht="12" x14ac:dyDescent="0.2">
      <c r="A56" s="168">
        <v>2</v>
      </c>
      <c r="B56" s="282">
        <v>21098</v>
      </c>
      <c r="C56" s="268" t="s">
        <v>1064</v>
      </c>
      <c r="D56" s="451">
        <f t="shared" si="16"/>
        <v>2858620</v>
      </c>
      <c r="E56" s="474">
        <v>1189643</v>
      </c>
      <c r="F56" s="474">
        <v>256019</v>
      </c>
      <c r="G56" s="474">
        <v>513681</v>
      </c>
      <c r="H56" s="474">
        <v>0</v>
      </c>
      <c r="I56" s="474">
        <v>1088954</v>
      </c>
      <c r="J56" s="474">
        <v>93500</v>
      </c>
      <c r="K56" s="474">
        <v>455000</v>
      </c>
      <c r="L56" s="474">
        <v>0</v>
      </c>
      <c r="M56" s="474">
        <v>14450</v>
      </c>
      <c r="N56" s="474">
        <v>0</v>
      </c>
      <c r="O56" s="474">
        <v>17073</v>
      </c>
      <c r="P56" s="451">
        <f t="shared" si="17"/>
        <v>2468723</v>
      </c>
      <c r="Q56" s="474">
        <v>1362560</v>
      </c>
      <c r="R56" s="474">
        <v>610329</v>
      </c>
      <c r="S56" s="474">
        <v>0</v>
      </c>
      <c r="T56" s="474">
        <v>0</v>
      </c>
      <c r="U56" s="474">
        <v>81778</v>
      </c>
      <c r="V56" s="474">
        <v>0</v>
      </c>
      <c r="W56" s="474">
        <v>0</v>
      </c>
      <c r="X56" s="474">
        <v>165438</v>
      </c>
      <c r="Y56" s="474">
        <v>25130</v>
      </c>
      <c r="Z56" s="474">
        <v>229827</v>
      </c>
      <c r="AA56" s="474">
        <v>0</v>
      </c>
      <c r="AB56" s="474">
        <v>-6339</v>
      </c>
      <c r="AC56" s="474">
        <v>808124</v>
      </c>
      <c r="AD56" s="474">
        <v>40077</v>
      </c>
      <c r="AE56" s="474">
        <v>920729</v>
      </c>
      <c r="AF56" s="474">
        <v>0</v>
      </c>
      <c r="AG56" s="474">
        <v>25763</v>
      </c>
      <c r="AH56" s="474">
        <v>212625</v>
      </c>
      <c r="AI56" s="474">
        <v>180606</v>
      </c>
      <c r="AJ56" s="474">
        <v>49104</v>
      </c>
      <c r="AK56" s="474">
        <v>0</v>
      </c>
      <c r="AL56" s="474">
        <v>231695</v>
      </c>
      <c r="AM56" s="474">
        <v>0</v>
      </c>
    </row>
    <row r="57" spans="1:39" s="155" customFormat="1" ht="12" x14ac:dyDescent="0.2">
      <c r="A57" s="168">
        <v>3</v>
      </c>
      <c r="B57" s="282">
        <v>21123</v>
      </c>
      <c r="C57" s="268" t="s">
        <v>1065</v>
      </c>
      <c r="D57" s="451">
        <f t="shared" si="16"/>
        <v>11325946</v>
      </c>
      <c r="E57" s="474">
        <v>2011752</v>
      </c>
      <c r="F57" s="474">
        <v>530261</v>
      </c>
      <c r="G57" s="474">
        <v>229118</v>
      </c>
      <c r="H57" s="474">
        <v>0</v>
      </c>
      <c r="I57" s="474">
        <v>3087901</v>
      </c>
      <c r="J57" s="474">
        <v>143000</v>
      </c>
      <c r="K57" s="474">
        <v>1413000</v>
      </c>
      <c r="L57" s="474">
        <v>0</v>
      </c>
      <c r="M57" s="474">
        <v>3372861</v>
      </c>
      <c r="N57" s="474">
        <v>1173389</v>
      </c>
      <c r="O57" s="474">
        <v>124043</v>
      </c>
      <c r="P57" s="451">
        <f t="shared" si="17"/>
        <v>11008485</v>
      </c>
      <c r="Q57" s="474">
        <v>3872481</v>
      </c>
      <c r="R57" s="474">
        <v>1918970</v>
      </c>
      <c r="S57" s="474">
        <v>0</v>
      </c>
      <c r="T57" s="474">
        <v>0</v>
      </c>
      <c r="U57" s="474">
        <v>75584</v>
      </c>
      <c r="V57" s="474">
        <v>0</v>
      </c>
      <c r="W57" s="474">
        <v>1811463</v>
      </c>
      <c r="X57" s="474">
        <v>180399</v>
      </c>
      <c r="Y57" s="474">
        <v>69981</v>
      </c>
      <c r="Z57" s="474">
        <v>3084868</v>
      </c>
      <c r="AA57" s="474">
        <v>0</v>
      </c>
      <c r="AB57" s="474">
        <v>-5261</v>
      </c>
      <c r="AC57" s="474">
        <v>1177392</v>
      </c>
      <c r="AD57" s="474">
        <v>222952</v>
      </c>
      <c r="AE57" s="474">
        <v>3143365</v>
      </c>
      <c r="AF57" s="474">
        <v>0</v>
      </c>
      <c r="AG57" s="474">
        <v>105430</v>
      </c>
      <c r="AH57" s="474">
        <v>660159</v>
      </c>
      <c r="AI57" s="474">
        <v>1270444</v>
      </c>
      <c r="AJ57" s="474">
        <v>219800</v>
      </c>
      <c r="AK57" s="474">
        <v>0</v>
      </c>
      <c r="AL57" s="474">
        <v>4208943</v>
      </c>
      <c r="AM57" s="474">
        <v>0</v>
      </c>
    </row>
    <row r="58" spans="1:39" s="155" customFormat="1" ht="12" x14ac:dyDescent="0.2">
      <c r="A58" s="168">
        <v>4</v>
      </c>
      <c r="B58" s="282">
        <v>21196</v>
      </c>
      <c r="C58" s="268" t="s">
        <v>1066</v>
      </c>
      <c r="D58" s="451">
        <f t="shared" si="16"/>
        <v>9412837</v>
      </c>
      <c r="E58" s="474">
        <v>1569588</v>
      </c>
      <c r="F58" s="474">
        <v>270704</v>
      </c>
      <c r="G58" s="474">
        <v>402458</v>
      </c>
      <c r="H58" s="474">
        <v>0</v>
      </c>
      <c r="I58" s="474">
        <v>3623102</v>
      </c>
      <c r="J58" s="474">
        <v>117000</v>
      </c>
      <c r="K58" s="474">
        <v>1474000</v>
      </c>
      <c r="L58" s="474">
        <v>0</v>
      </c>
      <c r="M58" s="474">
        <v>1988471</v>
      </c>
      <c r="N58" s="474">
        <v>561448</v>
      </c>
      <c r="O58" s="474">
        <v>79228</v>
      </c>
      <c r="P58" s="451">
        <f t="shared" si="17"/>
        <v>8999074</v>
      </c>
      <c r="Q58" s="474">
        <v>4013037</v>
      </c>
      <c r="R58" s="474">
        <v>1777394</v>
      </c>
      <c r="S58" s="474">
        <v>10806</v>
      </c>
      <c r="T58" s="474">
        <v>0</v>
      </c>
      <c r="U58" s="474">
        <v>53867</v>
      </c>
      <c r="V58" s="474">
        <v>0</v>
      </c>
      <c r="W58" s="474">
        <v>447811</v>
      </c>
      <c r="X58" s="474">
        <v>345117</v>
      </c>
      <c r="Y58" s="474">
        <v>73469</v>
      </c>
      <c r="Z58" s="474">
        <v>1916511</v>
      </c>
      <c r="AA58" s="474">
        <v>361062</v>
      </c>
      <c r="AB58" s="474">
        <v>0</v>
      </c>
      <c r="AC58" s="474">
        <v>1153001</v>
      </c>
      <c r="AD58" s="474">
        <v>153105</v>
      </c>
      <c r="AE58" s="474">
        <v>3230474</v>
      </c>
      <c r="AF58" s="474">
        <v>6483</v>
      </c>
      <c r="AG58" s="474">
        <v>230696</v>
      </c>
      <c r="AH58" s="474">
        <v>738923</v>
      </c>
      <c r="AI58" s="474">
        <v>131078</v>
      </c>
      <c r="AJ58" s="474">
        <v>158878</v>
      </c>
      <c r="AK58" s="474">
        <v>0</v>
      </c>
      <c r="AL58" s="474">
        <v>3185111</v>
      </c>
      <c r="AM58" s="474">
        <v>11325</v>
      </c>
    </row>
    <row r="59" spans="1:39" s="155" customFormat="1" ht="12" x14ac:dyDescent="0.2">
      <c r="A59" s="168">
        <v>5</v>
      </c>
      <c r="B59" s="282">
        <v>21249</v>
      </c>
      <c r="C59" s="268" t="s">
        <v>1067</v>
      </c>
      <c r="D59" s="451">
        <f t="shared" si="16"/>
        <v>5146571</v>
      </c>
      <c r="E59" s="474">
        <v>1411416</v>
      </c>
      <c r="F59" s="474">
        <v>223892</v>
      </c>
      <c r="G59" s="474">
        <v>556420</v>
      </c>
      <c r="H59" s="474">
        <v>0</v>
      </c>
      <c r="I59" s="474">
        <v>929467</v>
      </c>
      <c r="J59" s="474">
        <v>111500</v>
      </c>
      <c r="K59" s="474">
        <v>402000</v>
      </c>
      <c r="L59" s="474">
        <v>0</v>
      </c>
      <c r="M59" s="474">
        <v>2182253</v>
      </c>
      <c r="N59" s="474">
        <v>71521</v>
      </c>
      <c r="O59" s="474">
        <v>38414</v>
      </c>
      <c r="P59" s="451">
        <f t="shared" si="17"/>
        <v>4561690</v>
      </c>
      <c r="Q59" s="474">
        <v>1173403</v>
      </c>
      <c r="R59" s="474">
        <v>680823</v>
      </c>
      <c r="S59" s="474">
        <v>19429</v>
      </c>
      <c r="T59" s="474">
        <v>0</v>
      </c>
      <c r="U59" s="474">
        <v>847</v>
      </c>
      <c r="V59" s="474">
        <v>0</v>
      </c>
      <c r="W59" s="474">
        <v>0</v>
      </c>
      <c r="X59" s="474">
        <v>130386</v>
      </c>
      <c r="Y59" s="474">
        <v>22463</v>
      </c>
      <c r="Z59" s="474">
        <v>1843633</v>
      </c>
      <c r="AA59" s="474">
        <v>690706</v>
      </c>
      <c r="AB59" s="474">
        <v>0</v>
      </c>
      <c r="AC59" s="474">
        <v>682659</v>
      </c>
      <c r="AD59" s="474">
        <v>0</v>
      </c>
      <c r="AE59" s="474">
        <v>881791</v>
      </c>
      <c r="AF59" s="474">
        <v>0</v>
      </c>
      <c r="AG59" s="474">
        <v>43094</v>
      </c>
      <c r="AH59" s="474">
        <v>130386</v>
      </c>
      <c r="AI59" s="474">
        <v>160037</v>
      </c>
      <c r="AJ59" s="474">
        <v>277643</v>
      </c>
      <c r="AK59" s="474">
        <v>0</v>
      </c>
      <c r="AL59" s="474">
        <v>2386080</v>
      </c>
      <c r="AM59" s="474">
        <v>0</v>
      </c>
    </row>
    <row r="60" spans="1:39" s="155" customFormat="1" ht="12" x14ac:dyDescent="0.2">
      <c r="A60" s="168">
        <v>6</v>
      </c>
      <c r="B60" s="282">
        <v>21338</v>
      </c>
      <c r="C60" s="268" t="s">
        <v>1068</v>
      </c>
      <c r="D60" s="451">
        <f t="shared" si="16"/>
        <v>11060554</v>
      </c>
      <c r="E60" s="474">
        <v>1499451</v>
      </c>
      <c r="F60" s="474">
        <v>304811</v>
      </c>
      <c r="G60" s="474">
        <v>209146</v>
      </c>
      <c r="H60" s="474">
        <v>0</v>
      </c>
      <c r="I60" s="474">
        <v>3710812</v>
      </c>
      <c r="J60" s="474">
        <v>123500</v>
      </c>
      <c r="K60" s="474">
        <v>1777000</v>
      </c>
      <c r="L60" s="474">
        <v>0</v>
      </c>
      <c r="M60" s="474">
        <v>3022064</v>
      </c>
      <c r="N60" s="474">
        <v>860678</v>
      </c>
      <c r="O60" s="474">
        <v>67049</v>
      </c>
      <c r="P60" s="451">
        <f t="shared" si="17"/>
        <v>11242680</v>
      </c>
      <c r="Q60" s="474">
        <v>4112978</v>
      </c>
      <c r="R60" s="474">
        <v>1519576</v>
      </c>
      <c r="S60" s="474">
        <v>0</v>
      </c>
      <c r="T60" s="474">
        <v>0</v>
      </c>
      <c r="U60" s="474">
        <v>24000</v>
      </c>
      <c r="V60" s="474">
        <v>0</v>
      </c>
      <c r="W60" s="474">
        <v>1625913</v>
      </c>
      <c r="X60" s="474">
        <v>323610</v>
      </c>
      <c r="Y60" s="474">
        <v>0</v>
      </c>
      <c r="Z60" s="474">
        <v>3639652</v>
      </c>
      <c r="AA60" s="474">
        <v>0</v>
      </c>
      <c r="AB60" s="474">
        <v>-3049</v>
      </c>
      <c r="AC60" s="474">
        <v>1167192</v>
      </c>
      <c r="AD60" s="474">
        <v>127973</v>
      </c>
      <c r="AE60" s="474">
        <v>3612308</v>
      </c>
      <c r="AF60" s="474">
        <v>0</v>
      </c>
      <c r="AG60" s="474">
        <v>416682</v>
      </c>
      <c r="AH60" s="474">
        <v>602207</v>
      </c>
      <c r="AI60" s="474">
        <v>1693971</v>
      </c>
      <c r="AJ60" s="474">
        <v>163681</v>
      </c>
      <c r="AK60" s="474">
        <v>0</v>
      </c>
      <c r="AL60" s="474">
        <v>3458666</v>
      </c>
      <c r="AM60" s="474">
        <v>0</v>
      </c>
    </row>
    <row r="61" spans="1:39" s="155" customFormat="1" ht="12" x14ac:dyDescent="0.2">
      <c r="A61" s="168">
        <v>7</v>
      </c>
      <c r="B61" s="282">
        <v>21418</v>
      </c>
      <c r="C61" s="268" t="s">
        <v>1069</v>
      </c>
      <c r="D61" s="451">
        <f t="shared" si="16"/>
        <v>5010857</v>
      </c>
      <c r="E61" s="474">
        <v>1259696</v>
      </c>
      <c r="F61" s="474">
        <v>165803</v>
      </c>
      <c r="G61" s="474">
        <v>657341</v>
      </c>
      <c r="H61" s="474">
        <v>0</v>
      </c>
      <c r="I61" s="474">
        <v>2099509</v>
      </c>
      <c r="J61" s="474">
        <v>67000</v>
      </c>
      <c r="K61" s="474">
        <v>1061000</v>
      </c>
      <c r="L61" s="474">
        <v>0</v>
      </c>
      <c r="M61" s="474">
        <v>514806</v>
      </c>
      <c r="N61" s="474">
        <v>0</v>
      </c>
      <c r="O61" s="474">
        <v>8846</v>
      </c>
      <c r="P61" s="451">
        <f t="shared" si="17"/>
        <v>4980763</v>
      </c>
      <c r="Q61" s="474">
        <v>2236009</v>
      </c>
      <c r="R61" s="474">
        <v>1415350</v>
      </c>
      <c r="S61" s="474">
        <v>0</v>
      </c>
      <c r="T61" s="474">
        <v>0</v>
      </c>
      <c r="U61" s="474">
        <v>82000</v>
      </c>
      <c r="V61" s="474">
        <v>0</v>
      </c>
      <c r="W61" s="474">
        <v>0</v>
      </c>
      <c r="X61" s="474">
        <v>526845</v>
      </c>
      <c r="Y61" s="474">
        <v>112023</v>
      </c>
      <c r="Z61" s="474">
        <v>608536</v>
      </c>
      <c r="AA61" s="474">
        <v>0</v>
      </c>
      <c r="AB61" s="474">
        <v>0</v>
      </c>
      <c r="AC61" s="474">
        <v>989320</v>
      </c>
      <c r="AD61" s="474">
        <v>139416</v>
      </c>
      <c r="AE61" s="474">
        <v>1819304</v>
      </c>
      <c r="AF61" s="474">
        <v>24749</v>
      </c>
      <c r="AG61" s="474">
        <v>161409</v>
      </c>
      <c r="AH61" s="474">
        <v>614487</v>
      </c>
      <c r="AI61" s="474">
        <v>305131</v>
      </c>
      <c r="AJ61" s="474">
        <v>80142</v>
      </c>
      <c r="AK61" s="474">
        <v>0</v>
      </c>
      <c r="AL61" s="474">
        <v>846805</v>
      </c>
      <c r="AM61" s="474">
        <v>0</v>
      </c>
    </row>
    <row r="62" spans="1:39" s="155" customFormat="1" ht="12" x14ac:dyDescent="0.2">
      <c r="A62" s="168">
        <v>8</v>
      </c>
      <c r="B62" s="282">
        <v>21454</v>
      </c>
      <c r="C62" s="268" t="s">
        <v>1070</v>
      </c>
      <c r="D62" s="451">
        <f t="shared" si="16"/>
        <v>4663239</v>
      </c>
      <c r="E62" s="474">
        <v>1352523</v>
      </c>
      <c r="F62" s="474">
        <v>166577</v>
      </c>
      <c r="G62" s="474">
        <v>671522</v>
      </c>
      <c r="H62" s="474">
        <v>0</v>
      </c>
      <c r="I62" s="474">
        <v>1943416</v>
      </c>
      <c r="J62" s="474">
        <v>153500</v>
      </c>
      <c r="K62" s="474">
        <v>696000</v>
      </c>
      <c r="L62" s="474">
        <v>0</v>
      </c>
      <c r="M62" s="474">
        <v>133417</v>
      </c>
      <c r="N62" s="474">
        <v>341224</v>
      </c>
      <c r="O62" s="474">
        <v>43159</v>
      </c>
      <c r="P62" s="451">
        <f t="shared" si="17"/>
        <v>3940450</v>
      </c>
      <c r="Q62" s="474">
        <v>2156978</v>
      </c>
      <c r="R62" s="474">
        <v>807730</v>
      </c>
      <c r="S62" s="474">
        <v>0</v>
      </c>
      <c r="T62" s="474">
        <v>0</v>
      </c>
      <c r="U62" s="474">
        <v>44000</v>
      </c>
      <c r="V62" s="474">
        <v>0</v>
      </c>
      <c r="W62" s="474">
        <v>415224</v>
      </c>
      <c r="X62" s="474">
        <v>271133</v>
      </c>
      <c r="Y62" s="474">
        <v>0</v>
      </c>
      <c r="Z62" s="474">
        <v>247795</v>
      </c>
      <c r="AA62" s="474">
        <v>0</v>
      </c>
      <c r="AB62" s="474">
        <v>-2410</v>
      </c>
      <c r="AC62" s="474">
        <v>761053</v>
      </c>
      <c r="AD62" s="474">
        <v>69524</v>
      </c>
      <c r="AE62" s="474">
        <v>1923182</v>
      </c>
      <c r="AF62" s="474">
        <v>22718</v>
      </c>
      <c r="AG62" s="474">
        <v>0</v>
      </c>
      <c r="AH62" s="474">
        <v>352259</v>
      </c>
      <c r="AI62" s="474">
        <v>120513</v>
      </c>
      <c r="AJ62" s="474">
        <v>0</v>
      </c>
      <c r="AK62" s="474">
        <v>0</v>
      </c>
      <c r="AL62" s="474">
        <v>691201</v>
      </c>
      <c r="AM62" s="474">
        <v>0</v>
      </c>
    </row>
    <row r="63" spans="1:39" s="155" customFormat="1" ht="12" x14ac:dyDescent="0.2">
      <c r="A63" s="168">
        <v>9</v>
      </c>
      <c r="B63" s="282">
        <v>21506</v>
      </c>
      <c r="C63" s="268" t="s">
        <v>1071</v>
      </c>
      <c r="D63" s="451">
        <f t="shared" si="16"/>
        <v>11806714</v>
      </c>
      <c r="E63" s="474">
        <v>2046110</v>
      </c>
      <c r="F63" s="474">
        <v>1050895</v>
      </c>
      <c r="G63" s="474">
        <v>481533</v>
      </c>
      <c r="H63" s="474">
        <v>0</v>
      </c>
      <c r="I63" s="474">
        <v>3651065</v>
      </c>
      <c r="J63" s="474">
        <v>86000</v>
      </c>
      <c r="K63" s="474">
        <v>1536000</v>
      </c>
      <c r="L63" s="474">
        <v>0</v>
      </c>
      <c r="M63" s="474">
        <v>2656524</v>
      </c>
      <c r="N63" s="474">
        <v>1817431</v>
      </c>
      <c r="O63" s="474">
        <v>13584</v>
      </c>
      <c r="P63" s="451">
        <f t="shared" si="17"/>
        <v>11620272</v>
      </c>
      <c r="Q63" s="474">
        <v>4029853</v>
      </c>
      <c r="R63" s="474">
        <v>2800258</v>
      </c>
      <c r="S63" s="474">
        <v>0</v>
      </c>
      <c r="T63" s="474">
        <v>0</v>
      </c>
      <c r="U63" s="474">
        <v>0</v>
      </c>
      <c r="V63" s="474">
        <v>0</v>
      </c>
      <c r="W63" s="474">
        <v>2544019</v>
      </c>
      <c r="X63" s="474">
        <v>380273</v>
      </c>
      <c r="Y63" s="474">
        <v>0</v>
      </c>
      <c r="Z63" s="474">
        <v>1892437</v>
      </c>
      <c r="AA63" s="474">
        <v>0</v>
      </c>
      <c r="AB63" s="474">
        <v>-26568</v>
      </c>
      <c r="AC63" s="474">
        <v>5114992</v>
      </c>
      <c r="AD63" s="474">
        <v>158121</v>
      </c>
      <c r="AE63" s="474">
        <v>3098085</v>
      </c>
      <c r="AF63" s="474">
        <v>26278</v>
      </c>
      <c r="AG63" s="474">
        <v>250261</v>
      </c>
      <c r="AH63" s="474">
        <v>701693</v>
      </c>
      <c r="AI63" s="474">
        <v>98039</v>
      </c>
      <c r="AJ63" s="474">
        <v>143493</v>
      </c>
      <c r="AK63" s="474">
        <v>0</v>
      </c>
      <c r="AL63" s="474">
        <v>2029310</v>
      </c>
      <c r="AM63" s="474">
        <v>0</v>
      </c>
    </row>
    <row r="64" spans="1:39" s="155" customFormat="1" ht="12" x14ac:dyDescent="0.2">
      <c r="A64" s="168">
        <v>10</v>
      </c>
      <c r="B64" s="282">
        <v>21560</v>
      </c>
      <c r="C64" s="268" t="s">
        <v>1072</v>
      </c>
      <c r="D64" s="451">
        <f t="shared" si="16"/>
        <v>4099151</v>
      </c>
      <c r="E64" s="474">
        <v>1691294</v>
      </c>
      <c r="F64" s="474">
        <v>558911</v>
      </c>
      <c r="G64" s="474">
        <v>477500</v>
      </c>
      <c r="H64" s="474">
        <v>0</v>
      </c>
      <c r="I64" s="474">
        <v>1009192</v>
      </c>
      <c r="J64" s="474">
        <v>70500</v>
      </c>
      <c r="K64" s="474">
        <v>421000</v>
      </c>
      <c r="L64" s="474">
        <v>0</v>
      </c>
      <c r="M64" s="474">
        <v>874485</v>
      </c>
      <c r="N64" s="474">
        <v>0</v>
      </c>
      <c r="O64" s="474">
        <v>32680</v>
      </c>
      <c r="P64" s="451">
        <f t="shared" si="17"/>
        <v>3426748</v>
      </c>
      <c r="Q64" s="474">
        <v>1249962</v>
      </c>
      <c r="R64" s="474">
        <v>787606</v>
      </c>
      <c r="S64" s="474">
        <v>0</v>
      </c>
      <c r="T64" s="474">
        <v>0</v>
      </c>
      <c r="U64" s="474">
        <v>110752</v>
      </c>
      <c r="V64" s="474">
        <v>0</v>
      </c>
      <c r="W64" s="474">
        <v>0</v>
      </c>
      <c r="X64" s="474">
        <v>215365</v>
      </c>
      <c r="Y64" s="474">
        <v>20000</v>
      </c>
      <c r="Z64" s="474">
        <v>1043730</v>
      </c>
      <c r="AA64" s="474">
        <v>0</v>
      </c>
      <c r="AB64" s="474">
        <v>-667</v>
      </c>
      <c r="AC64" s="474">
        <v>659169</v>
      </c>
      <c r="AD64" s="474">
        <v>8511</v>
      </c>
      <c r="AE64" s="474">
        <v>1040397</v>
      </c>
      <c r="AF64" s="474">
        <v>0</v>
      </c>
      <c r="AG64" s="474">
        <v>61120</v>
      </c>
      <c r="AH64" s="474">
        <v>243198</v>
      </c>
      <c r="AI64" s="474">
        <v>159030</v>
      </c>
      <c r="AJ64" s="474">
        <v>0</v>
      </c>
      <c r="AK64" s="474">
        <v>0</v>
      </c>
      <c r="AL64" s="474">
        <v>1247011</v>
      </c>
      <c r="AM64" s="474">
        <v>8312</v>
      </c>
    </row>
    <row r="65" spans="1:39" s="155" customFormat="1" ht="12" x14ac:dyDescent="0.2">
      <c r="A65" s="168">
        <v>11</v>
      </c>
      <c r="B65" s="282">
        <v>21597</v>
      </c>
      <c r="C65" s="268" t="s">
        <v>1073</v>
      </c>
      <c r="D65" s="451">
        <f t="shared" si="16"/>
        <v>4237049</v>
      </c>
      <c r="E65" s="474">
        <v>1120363</v>
      </c>
      <c r="F65" s="474">
        <v>137725</v>
      </c>
      <c r="G65" s="474">
        <v>629478</v>
      </c>
      <c r="H65" s="474">
        <v>0</v>
      </c>
      <c r="I65" s="474">
        <v>1707141</v>
      </c>
      <c r="J65" s="474">
        <v>94000</v>
      </c>
      <c r="K65" s="474">
        <v>564000</v>
      </c>
      <c r="L65" s="474">
        <v>0</v>
      </c>
      <c r="M65" s="474">
        <v>234923</v>
      </c>
      <c r="N65" s="474">
        <v>450706</v>
      </c>
      <c r="O65" s="474">
        <v>65916</v>
      </c>
      <c r="P65" s="451">
        <f t="shared" si="17"/>
        <v>3842860</v>
      </c>
      <c r="Q65" s="474">
        <v>2005577</v>
      </c>
      <c r="R65" s="474">
        <v>671988</v>
      </c>
      <c r="S65" s="474">
        <v>3067</v>
      </c>
      <c r="T65" s="474">
        <v>0</v>
      </c>
      <c r="U65" s="474">
        <v>70589</v>
      </c>
      <c r="V65" s="474">
        <v>0</v>
      </c>
      <c r="W65" s="474">
        <v>0</v>
      </c>
      <c r="X65" s="474">
        <v>349736</v>
      </c>
      <c r="Y65" s="474">
        <v>0</v>
      </c>
      <c r="Z65" s="474">
        <v>267476</v>
      </c>
      <c r="AA65" s="474">
        <v>474427</v>
      </c>
      <c r="AB65" s="474">
        <v>0</v>
      </c>
      <c r="AC65" s="474">
        <v>982348</v>
      </c>
      <c r="AD65" s="474">
        <v>672406</v>
      </c>
      <c r="AE65" s="474">
        <v>1545188</v>
      </c>
      <c r="AF65" s="474">
        <v>0</v>
      </c>
      <c r="AG65" s="474">
        <v>34133</v>
      </c>
      <c r="AH65" s="474">
        <v>494264</v>
      </c>
      <c r="AI65" s="474">
        <v>28372</v>
      </c>
      <c r="AJ65" s="474">
        <v>1334</v>
      </c>
      <c r="AK65" s="474">
        <v>0</v>
      </c>
      <c r="AL65" s="474">
        <v>84815</v>
      </c>
      <c r="AM65" s="474">
        <v>0</v>
      </c>
    </row>
    <row r="66" spans="1:39" s="155" customFormat="1" ht="12" x14ac:dyDescent="0.2">
      <c r="A66" s="168">
        <v>12</v>
      </c>
      <c r="B66" s="282">
        <v>21668</v>
      </c>
      <c r="C66" s="268" t="s">
        <v>1074</v>
      </c>
      <c r="D66" s="451">
        <f t="shared" si="16"/>
        <v>5053832</v>
      </c>
      <c r="E66" s="474">
        <v>1402666</v>
      </c>
      <c r="F66" s="474">
        <v>218289</v>
      </c>
      <c r="G66" s="474">
        <v>579810</v>
      </c>
      <c r="H66" s="474">
        <v>0</v>
      </c>
      <c r="I66" s="474">
        <v>2489040</v>
      </c>
      <c r="J66" s="474">
        <v>118500</v>
      </c>
      <c r="K66" s="474">
        <v>792000</v>
      </c>
      <c r="L66" s="474">
        <v>0</v>
      </c>
      <c r="M66" s="474">
        <v>220119</v>
      </c>
      <c r="N66" s="474">
        <v>0</v>
      </c>
      <c r="O66" s="474">
        <v>31507</v>
      </c>
      <c r="P66" s="451">
        <f t="shared" si="17"/>
        <v>4470627</v>
      </c>
      <c r="Q66" s="474">
        <v>2804359</v>
      </c>
      <c r="R66" s="474">
        <v>759887</v>
      </c>
      <c r="S66" s="474">
        <v>0</v>
      </c>
      <c r="T66" s="474">
        <v>0</v>
      </c>
      <c r="U66" s="474">
        <v>40000</v>
      </c>
      <c r="V66" s="474">
        <v>0</v>
      </c>
      <c r="W66" s="474">
        <v>76102</v>
      </c>
      <c r="X66" s="474">
        <v>332303</v>
      </c>
      <c r="Y66" s="474">
        <v>0</v>
      </c>
      <c r="Z66" s="474">
        <v>457976</v>
      </c>
      <c r="AA66" s="474">
        <v>0</v>
      </c>
      <c r="AB66" s="474">
        <v>0</v>
      </c>
      <c r="AC66" s="474">
        <v>680608</v>
      </c>
      <c r="AD66" s="474">
        <v>4023</v>
      </c>
      <c r="AE66" s="474">
        <v>2412712</v>
      </c>
      <c r="AF66" s="474">
        <v>0</v>
      </c>
      <c r="AG66" s="474">
        <v>0</v>
      </c>
      <c r="AH66" s="474">
        <v>556456</v>
      </c>
      <c r="AI66" s="474">
        <v>135603</v>
      </c>
      <c r="AJ66" s="474">
        <v>204843</v>
      </c>
      <c r="AK66" s="474">
        <v>0</v>
      </c>
      <c r="AL66" s="474">
        <v>476382</v>
      </c>
      <c r="AM66" s="474">
        <v>0</v>
      </c>
    </row>
    <row r="67" spans="1:39" s="155" customFormat="1" ht="12" x14ac:dyDescent="0.2">
      <c r="A67" s="168">
        <v>13</v>
      </c>
      <c r="B67" s="282">
        <v>21720</v>
      </c>
      <c r="C67" s="268" t="s">
        <v>1075</v>
      </c>
      <c r="D67" s="451">
        <f t="shared" si="16"/>
        <v>6491851</v>
      </c>
      <c r="E67" s="474">
        <v>1635350</v>
      </c>
      <c r="F67" s="474">
        <v>414551</v>
      </c>
      <c r="G67" s="474">
        <v>540696</v>
      </c>
      <c r="H67" s="474">
        <v>0</v>
      </c>
      <c r="I67" s="474">
        <v>1035090</v>
      </c>
      <c r="J67" s="474">
        <v>90500</v>
      </c>
      <c r="K67" s="474">
        <v>812000</v>
      </c>
      <c r="L67" s="474">
        <v>0</v>
      </c>
      <c r="M67" s="474">
        <v>2375128</v>
      </c>
      <c r="N67" s="474">
        <v>521333</v>
      </c>
      <c r="O67" s="474">
        <v>22450</v>
      </c>
      <c r="P67" s="451">
        <f t="shared" si="17"/>
        <v>6378244</v>
      </c>
      <c r="Q67" s="474">
        <v>1410722</v>
      </c>
      <c r="R67" s="474">
        <v>1056145</v>
      </c>
      <c r="S67" s="474">
        <v>5384</v>
      </c>
      <c r="T67" s="474">
        <v>0</v>
      </c>
      <c r="U67" s="474">
        <v>40000</v>
      </c>
      <c r="V67" s="474">
        <v>0</v>
      </c>
      <c r="W67" s="474">
        <v>528160</v>
      </c>
      <c r="X67" s="474">
        <v>259798</v>
      </c>
      <c r="Y67" s="474">
        <v>0</v>
      </c>
      <c r="Z67" s="474">
        <v>2898535</v>
      </c>
      <c r="AA67" s="474">
        <v>179500</v>
      </c>
      <c r="AB67" s="474">
        <v>0</v>
      </c>
      <c r="AC67" s="474">
        <v>1002343</v>
      </c>
      <c r="AD67" s="474">
        <v>7330</v>
      </c>
      <c r="AE67" s="474">
        <v>917214</v>
      </c>
      <c r="AF67" s="474">
        <v>0</v>
      </c>
      <c r="AG67" s="474">
        <v>293610</v>
      </c>
      <c r="AH67" s="474">
        <v>254798</v>
      </c>
      <c r="AI67" s="474">
        <v>876026</v>
      </c>
      <c r="AJ67" s="474">
        <v>113902</v>
      </c>
      <c r="AK67" s="474">
        <v>0</v>
      </c>
      <c r="AL67" s="474">
        <v>2913021</v>
      </c>
      <c r="AM67" s="474">
        <v>0</v>
      </c>
    </row>
    <row r="68" spans="1:39" s="155" customFormat="1" ht="12" x14ac:dyDescent="0.2">
      <c r="A68" s="168">
        <v>14</v>
      </c>
      <c r="B68" s="282">
        <v>21757</v>
      </c>
      <c r="C68" s="268" t="s">
        <v>1076</v>
      </c>
      <c r="D68" s="451">
        <f t="shared" si="16"/>
        <v>5804177</v>
      </c>
      <c r="E68" s="474">
        <v>1458969</v>
      </c>
      <c r="F68" s="474">
        <v>372283</v>
      </c>
      <c r="G68" s="474">
        <v>257025</v>
      </c>
      <c r="H68" s="474">
        <v>0</v>
      </c>
      <c r="I68" s="474">
        <v>2251440</v>
      </c>
      <c r="J68" s="474">
        <v>123000</v>
      </c>
      <c r="K68" s="474">
        <v>1163000</v>
      </c>
      <c r="L68" s="474">
        <v>0</v>
      </c>
      <c r="M68" s="474">
        <v>332533</v>
      </c>
      <c r="N68" s="474">
        <v>462031</v>
      </c>
      <c r="O68" s="474">
        <v>13204</v>
      </c>
      <c r="P68" s="451">
        <f t="shared" si="17"/>
        <v>5398338</v>
      </c>
      <c r="Q68" s="474">
        <v>2509207</v>
      </c>
      <c r="R68" s="474">
        <v>1276783</v>
      </c>
      <c r="S68" s="474">
        <v>0</v>
      </c>
      <c r="T68" s="474">
        <v>0</v>
      </c>
      <c r="U68" s="474">
        <v>30873</v>
      </c>
      <c r="V68" s="474">
        <v>0</v>
      </c>
      <c r="W68" s="474">
        <v>67870</v>
      </c>
      <c r="X68" s="474">
        <v>290945</v>
      </c>
      <c r="Y68" s="474">
        <v>161273</v>
      </c>
      <c r="Z68" s="474">
        <v>1080889</v>
      </c>
      <c r="AA68" s="474">
        <v>0</v>
      </c>
      <c r="AB68" s="474">
        <v>-19502</v>
      </c>
      <c r="AC68" s="474">
        <v>999551</v>
      </c>
      <c r="AD68" s="474">
        <v>78343</v>
      </c>
      <c r="AE68" s="474">
        <v>1995397</v>
      </c>
      <c r="AF68" s="474">
        <v>50000</v>
      </c>
      <c r="AG68" s="474">
        <v>388589</v>
      </c>
      <c r="AH68" s="474">
        <v>389994</v>
      </c>
      <c r="AI68" s="474">
        <v>284167</v>
      </c>
      <c r="AJ68" s="474">
        <v>79467</v>
      </c>
      <c r="AK68" s="474">
        <v>0</v>
      </c>
      <c r="AL68" s="474">
        <v>1066806</v>
      </c>
      <c r="AM68" s="474">
        <v>66024</v>
      </c>
    </row>
    <row r="69" spans="1:39" s="155" customFormat="1" ht="12" x14ac:dyDescent="0.2">
      <c r="A69" s="168">
        <v>15</v>
      </c>
      <c r="B69" s="282">
        <v>21855</v>
      </c>
      <c r="C69" s="268" t="s">
        <v>1077</v>
      </c>
      <c r="D69" s="451">
        <f t="shared" si="16"/>
        <v>6370729</v>
      </c>
      <c r="E69" s="474">
        <v>1493331</v>
      </c>
      <c r="F69" s="474">
        <v>237880</v>
      </c>
      <c r="G69" s="474">
        <v>517384</v>
      </c>
      <c r="H69" s="474">
        <v>0</v>
      </c>
      <c r="I69" s="474">
        <v>3307629</v>
      </c>
      <c r="J69" s="474">
        <v>84000</v>
      </c>
      <c r="K69" s="474">
        <v>1320000</v>
      </c>
      <c r="L69" s="474">
        <v>0</v>
      </c>
      <c r="M69" s="474">
        <v>131868</v>
      </c>
      <c r="N69" s="474">
        <v>0</v>
      </c>
      <c r="O69" s="474">
        <v>33901</v>
      </c>
      <c r="P69" s="451">
        <f t="shared" si="17"/>
        <v>7664610</v>
      </c>
      <c r="Q69" s="474">
        <v>3192263</v>
      </c>
      <c r="R69" s="474">
        <v>1260187</v>
      </c>
      <c r="S69" s="474">
        <v>15800</v>
      </c>
      <c r="T69" s="474">
        <v>0</v>
      </c>
      <c r="U69" s="474">
        <v>7512</v>
      </c>
      <c r="V69" s="474">
        <v>0</v>
      </c>
      <c r="W69" s="474">
        <v>0</v>
      </c>
      <c r="X69" s="474">
        <v>568992</v>
      </c>
      <c r="Y69" s="474">
        <v>81306</v>
      </c>
      <c r="Z69" s="474">
        <v>2461630</v>
      </c>
      <c r="AA69" s="474">
        <v>76920</v>
      </c>
      <c r="AB69" s="474">
        <v>0</v>
      </c>
      <c r="AC69" s="474">
        <v>768078</v>
      </c>
      <c r="AD69" s="474">
        <v>61213</v>
      </c>
      <c r="AE69" s="474">
        <v>2972311</v>
      </c>
      <c r="AF69" s="474">
        <v>0</v>
      </c>
      <c r="AG69" s="474">
        <v>118552</v>
      </c>
      <c r="AH69" s="474">
        <v>667648</v>
      </c>
      <c r="AI69" s="474">
        <v>1271555</v>
      </c>
      <c r="AJ69" s="474">
        <v>188788</v>
      </c>
      <c r="AK69" s="474">
        <v>0</v>
      </c>
      <c r="AL69" s="474">
        <v>1616465</v>
      </c>
      <c r="AM69" s="474">
        <v>0</v>
      </c>
    </row>
    <row r="70" spans="1:39" s="155" customFormat="1" ht="12" x14ac:dyDescent="0.2">
      <c r="A70" s="168">
        <v>16</v>
      </c>
      <c r="B70" s="282">
        <v>21891</v>
      </c>
      <c r="C70" s="268" t="s">
        <v>1078</v>
      </c>
      <c r="D70" s="451">
        <f t="shared" si="16"/>
        <v>4419567</v>
      </c>
      <c r="E70" s="474">
        <v>1109897</v>
      </c>
      <c r="F70" s="474">
        <v>95160</v>
      </c>
      <c r="G70" s="474">
        <v>772635</v>
      </c>
      <c r="H70" s="474">
        <v>0</v>
      </c>
      <c r="I70" s="474">
        <v>1833713</v>
      </c>
      <c r="J70" s="474">
        <v>151000</v>
      </c>
      <c r="K70" s="474">
        <v>822000</v>
      </c>
      <c r="L70" s="474">
        <v>0</v>
      </c>
      <c r="M70" s="474">
        <v>392715</v>
      </c>
      <c r="N70" s="474">
        <v>35814</v>
      </c>
      <c r="O70" s="474">
        <v>74428</v>
      </c>
      <c r="P70" s="451">
        <f t="shared" si="17"/>
        <v>3730917</v>
      </c>
      <c r="Q70" s="474">
        <v>2037464</v>
      </c>
      <c r="R70" s="474">
        <v>803122</v>
      </c>
      <c r="S70" s="474">
        <v>0</v>
      </c>
      <c r="T70" s="474">
        <v>0</v>
      </c>
      <c r="U70" s="474">
        <v>29905</v>
      </c>
      <c r="V70" s="474">
        <v>0</v>
      </c>
      <c r="W70" s="474">
        <v>0</v>
      </c>
      <c r="X70" s="474">
        <v>164813</v>
      </c>
      <c r="Y70" s="474">
        <v>105520</v>
      </c>
      <c r="Z70" s="474">
        <v>702231</v>
      </c>
      <c r="AA70" s="474">
        <v>0</v>
      </c>
      <c r="AB70" s="474">
        <v>-112138</v>
      </c>
      <c r="AC70" s="474">
        <v>783159</v>
      </c>
      <c r="AD70" s="474">
        <v>9641</v>
      </c>
      <c r="AE70" s="474">
        <v>1687543</v>
      </c>
      <c r="AF70" s="474">
        <v>85204</v>
      </c>
      <c r="AG70" s="474">
        <v>90858</v>
      </c>
      <c r="AH70" s="474">
        <v>374437</v>
      </c>
      <c r="AI70" s="474">
        <v>263153</v>
      </c>
      <c r="AJ70" s="474">
        <v>19499</v>
      </c>
      <c r="AK70" s="474">
        <v>0</v>
      </c>
      <c r="AL70" s="474">
        <v>417423</v>
      </c>
      <c r="AM70" s="474">
        <v>0</v>
      </c>
    </row>
    <row r="71" spans="1:39" s="155" customFormat="1" ht="12" x14ac:dyDescent="0.2">
      <c r="A71" s="168">
        <v>17</v>
      </c>
      <c r="B71" s="282">
        <v>21971</v>
      </c>
      <c r="C71" s="268" t="s">
        <v>1079</v>
      </c>
      <c r="D71" s="451">
        <f t="shared" si="16"/>
        <v>7368951</v>
      </c>
      <c r="E71" s="474">
        <v>1356956</v>
      </c>
      <c r="F71" s="474">
        <v>189684</v>
      </c>
      <c r="G71" s="474">
        <v>589871</v>
      </c>
      <c r="H71" s="474">
        <v>0</v>
      </c>
      <c r="I71" s="474">
        <v>3207811</v>
      </c>
      <c r="J71" s="474">
        <v>164000</v>
      </c>
      <c r="K71" s="474">
        <v>721000</v>
      </c>
      <c r="L71" s="474">
        <v>0</v>
      </c>
      <c r="M71" s="474">
        <v>186884</v>
      </c>
      <c r="N71" s="474">
        <v>1661854</v>
      </c>
      <c r="O71" s="474">
        <v>70446</v>
      </c>
      <c r="P71" s="451">
        <f t="shared" si="17"/>
        <v>5474428</v>
      </c>
      <c r="Q71" s="474">
        <v>3181900</v>
      </c>
      <c r="R71" s="474">
        <v>1042042</v>
      </c>
      <c r="S71" s="474">
        <v>0</v>
      </c>
      <c r="T71" s="474">
        <v>0</v>
      </c>
      <c r="U71" s="474">
        <v>70000</v>
      </c>
      <c r="V71" s="474">
        <v>0</v>
      </c>
      <c r="W71" s="474">
        <v>0</v>
      </c>
      <c r="X71" s="474">
        <v>307699</v>
      </c>
      <c r="Y71" s="474">
        <v>2000</v>
      </c>
      <c r="Z71" s="474">
        <v>878817</v>
      </c>
      <c r="AA71" s="474">
        <v>0</v>
      </c>
      <c r="AB71" s="474">
        <v>-8030</v>
      </c>
      <c r="AC71" s="474">
        <v>954950</v>
      </c>
      <c r="AD71" s="474">
        <v>2250</v>
      </c>
      <c r="AE71" s="474">
        <v>3096395</v>
      </c>
      <c r="AF71" s="474">
        <v>40000</v>
      </c>
      <c r="AG71" s="474">
        <v>34836</v>
      </c>
      <c r="AH71" s="474">
        <v>470311</v>
      </c>
      <c r="AI71" s="474">
        <v>166370</v>
      </c>
      <c r="AJ71" s="474">
        <v>39397</v>
      </c>
      <c r="AK71" s="474">
        <v>0</v>
      </c>
      <c r="AL71" s="474">
        <v>669919</v>
      </c>
      <c r="AM71" s="474">
        <v>0</v>
      </c>
    </row>
    <row r="72" spans="1:39" s="155" customFormat="1" ht="12" x14ac:dyDescent="0.2">
      <c r="A72" s="168">
        <v>18</v>
      </c>
      <c r="B72" s="282">
        <v>22059</v>
      </c>
      <c r="C72" s="268" t="s">
        <v>1080</v>
      </c>
      <c r="D72" s="451">
        <f t="shared" si="16"/>
        <v>5933158</v>
      </c>
      <c r="E72" s="474">
        <v>1278211</v>
      </c>
      <c r="F72" s="474">
        <v>134010</v>
      </c>
      <c r="G72" s="474">
        <v>641394</v>
      </c>
      <c r="H72" s="474">
        <v>0</v>
      </c>
      <c r="I72" s="474">
        <v>1967089</v>
      </c>
      <c r="J72" s="474">
        <v>82000</v>
      </c>
      <c r="K72" s="474">
        <v>749000</v>
      </c>
      <c r="L72" s="474">
        <v>0</v>
      </c>
      <c r="M72" s="474">
        <v>956666</v>
      </c>
      <c r="N72" s="474">
        <v>860376</v>
      </c>
      <c r="O72" s="474">
        <v>39816</v>
      </c>
      <c r="P72" s="451">
        <f t="shared" si="17"/>
        <v>5726381</v>
      </c>
      <c r="Q72" s="474">
        <v>2312716</v>
      </c>
      <c r="R72" s="474">
        <v>834375</v>
      </c>
      <c r="S72" s="474">
        <v>3200</v>
      </c>
      <c r="T72" s="474">
        <v>0</v>
      </c>
      <c r="U72" s="474">
        <v>84000</v>
      </c>
      <c r="V72" s="474">
        <v>0</v>
      </c>
      <c r="W72" s="474">
        <v>643111</v>
      </c>
      <c r="X72" s="474">
        <v>301719</v>
      </c>
      <c r="Y72" s="474">
        <v>0</v>
      </c>
      <c r="Z72" s="474">
        <v>1448580</v>
      </c>
      <c r="AA72" s="474">
        <v>98680</v>
      </c>
      <c r="AB72" s="474">
        <v>0</v>
      </c>
      <c r="AC72" s="474">
        <v>1105519</v>
      </c>
      <c r="AD72" s="474">
        <v>98304</v>
      </c>
      <c r="AE72" s="474">
        <v>2296557</v>
      </c>
      <c r="AF72" s="474">
        <v>0</v>
      </c>
      <c r="AG72" s="474">
        <v>264210</v>
      </c>
      <c r="AH72" s="474">
        <v>301719</v>
      </c>
      <c r="AI72" s="474">
        <v>269951</v>
      </c>
      <c r="AJ72" s="474">
        <v>0</v>
      </c>
      <c r="AK72" s="474">
        <v>0</v>
      </c>
      <c r="AL72" s="474">
        <v>1390121</v>
      </c>
      <c r="AM72" s="474">
        <v>0</v>
      </c>
    </row>
    <row r="73" spans="1:39" s="155" customFormat="1" ht="12" x14ac:dyDescent="0.2">
      <c r="A73" s="168">
        <v>19</v>
      </c>
      <c r="B73" s="282">
        <v>22111</v>
      </c>
      <c r="C73" s="268" t="s">
        <v>1081</v>
      </c>
      <c r="D73" s="451">
        <f t="shared" si="16"/>
        <v>4530751</v>
      </c>
      <c r="E73" s="474">
        <v>1081475</v>
      </c>
      <c r="F73" s="474">
        <v>99938</v>
      </c>
      <c r="G73" s="474">
        <v>696265</v>
      </c>
      <c r="H73" s="474">
        <v>0</v>
      </c>
      <c r="I73" s="474">
        <v>1098313</v>
      </c>
      <c r="J73" s="474">
        <v>90000</v>
      </c>
      <c r="K73" s="474">
        <v>687000</v>
      </c>
      <c r="L73" s="474">
        <v>0</v>
      </c>
      <c r="M73" s="474">
        <v>1113127</v>
      </c>
      <c r="N73" s="474">
        <v>335941</v>
      </c>
      <c r="O73" s="474">
        <v>124895</v>
      </c>
      <c r="P73" s="451">
        <f t="shared" si="17"/>
        <v>4513006</v>
      </c>
      <c r="Q73" s="474">
        <v>1428120</v>
      </c>
      <c r="R73" s="474">
        <v>685171</v>
      </c>
      <c r="S73" s="474">
        <v>22500</v>
      </c>
      <c r="T73" s="474">
        <v>0</v>
      </c>
      <c r="U73" s="474">
        <v>21234</v>
      </c>
      <c r="V73" s="474">
        <v>4145</v>
      </c>
      <c r="W73" s="474">
        <v>692817</v>
      </c>
      <c r="X73" s="474">
        <v>118714</v>
      </c>
      <c r="Y73" s="474">
        <v>91890</v>
      </c>
      <c r="Z73" s="474">
        <v>1450451</v>
      </c>
      <c r="AA73" s="474">
        <v>34000</v>
      </c>
      <c r="AB73" s="474">
        <v>-36036</v>
      </c>
      <c r="AC73" s="474">
        <v>776833</v>
      </c>
      <c r="AD73" s="474">
        <v>43135</v>
      </c>
      <c r="AE73" s="474">
        <v>1230721</v>
      </c>
      <c r="AF73" s="474">
        <v>0</v>
      </c>
      <c r="AG73" s="474">
        <v>88186</v>
      </c>
      <c r="AH73" s="474">
        <v>995483</v>
      </c>
      <c r="AI73" s="474">
        <v>133176</v>
      </c>
      <c r="AJ73" s="474">
        <v>23791</v>
      </c>
      <c r="AK73" s="474">
        <v>0</v>
      </c>
      <c r="AL73" s="474">
        <v>1221681</v>
      </c>
      <c r="AM73" s="474">
        <v>0</v>
      </c>
    </row>
    <row r="74" spans="1:39" s="155" customFormat="1" ht="12" x14ac:dyDescent="0.2">
      <c r="A74" s="168">
        <v>20</v>
      </c>
      <c r="B74" s="282">
        <v>22237</v>
      </c>
      <c r="C74" s="268" t="s">
        <v>1082</v>
      </c>
      <c r="D74" s="451">
        <f t="shared" si="16"/>
        <v>5476499</v>
      </c>
      <c r="E74" s="474">
        <v>1214797</v>
      </c>
      <c r="F74" s="474">
        <v>143051</v>
      </c>
      <c r="G74" s="474">
        <v>702413</v>
      </c>
      <c r="H74" s="474">
        <v>0</v>
      </c>
      <c r="I74" s="474">
        <v>1344749</v>
      </c>
      <c r="J74" s="474">
        <v>208000</v>
      </c>
      <c r="K74" s="474">
        <v>647000</v>
      </c>
      <c r="L74" s="474">
        <v>0</v>
      </c>
      <c r="M74" s="474">
        <v>1816264</v>
      </c>
      <c r="N74" s="474">
        <v>194995</v>
      </c>
      <c r="O74" s="474">
        <v>50694</v>
      </c>
      <c r="P74" s="451">
        <f t="shared" si="17"/>
        <v>5049618</v>
      </c>
      <c r="Q74" s="474">
        <v>1566382</v>
      </c>
      <c r="R74" s="474">
        <v>883185</v>
      </c>
      <c r="S74" s="474">
        <v>0</v>
      </c>
      <c r="T74" s="474">
        <v>0</v>
      </c>
      <c r="U74" s="474">
        <v>47504</v>
      </c>
      <c r="V74" s="474">
        <v>0</v>
      </c>
      <c r="W74" s="474">
        <v>0</v>
      </c>
      <c r="X74" s="474">
        <v>85834</v>
      </c>
      <c r="Y74" s="474">
        <v>210000</v>
      </c>
      <c r="Z74" s="474">
        <v>2266116</v>
      </c>
      <c r="AA74" s="474">
        <v>0</v>
      </c>
      <c r="AB74" s="474">
        <v>-9403</v>
      </c>
      <c r="AC74" s="474">
        <v>746530</v>
      </c>
      <c r="AD74" s="474">
        <v>48762</v>
      </c>
      <c r="AE74" s="474">
        <v>1150392</v>
      </c>
      <c r="AF74" s="474">
        <v>0</v>
      </c>
      <c r="AG74" s="474">
        <v>628897</v>
      </c>
      <c r="AH74" s="474">
        <v>301714</v>
      </c>
      <c r="AI74" s="474">
        <v>146764</v>
      </c>
      <c r="AJ74" s="474">
        <v>0</v>
      </c>
      <c r="AK74" s="474">
        <v>0</v>
      </c>
      <c r="AL74" s="474">
        <v>2026559</v>
      </c>
      <c r="AM74" s="474">
        <v>0</v>
      </c>
    </row>
    <row r="75" spans="1:39" s="155" customFormat="1" ht="12" x14ac:dyDescent="0.2">
      <c r="A75" s="168">
        <v>21</v>
      </c>
      <c r="B75" s="282">
        <v>22380</v>
      </c>
      <c r="C75" s="268" t="s">
        <v>1083</v>
      </c>
      <c r="D75" s="451">
        <f t="shared" si="16"/>
        <v>14351185</v>
      </c>
      <c r="E75" s="474">
        <v>2483377</v>
      </c>
      <c r="F75" s="474">
        <v>778827</v>
      </c>
      <c r="G75" s="474">
        <v>34297</v>
      </c>
      <c r="H75" s="474">
        <v>0</v>
      </c>
      <c r="I75" s="474">
        <v>5719641</v>
      </c>
      <c r="J75" s="474">
        <v>98500</v>
      </c>
      <c r="K75" s="474">
        <v>2624000</v>
      </c>
      <c r="L75" s="474">
        <v>0</v>
      </c>
      <c r="M75" s="474">
        <v>2112546</v>
      </c>
      <c r="N75" s="474">
        <v>1167316</v>
      </c>
      <c r="O75" s="474">
        <v>145805</v>
      </c>
      <c r="P75" s="451">
        <f t="shared" si="17"/>
        <v>12337787</v>
      </c>
      <c r="Q75" s="474">
        <v>5931734</v>
      </c>
      <c r="R75" s="474">
        <v>2772526</v>
      </c>
      <c r="S75" s="474">
        <v>0</v>
      </c>
      <c r="T75" s="474">
        <v>0</v>
      </c>
      <c r="U75" s="474">
        <v>60000</v>
      </c>
      <c r="V75" s="474">
        <v>0</v>
      </c>
      <c r="W75" s="474">
        <v>547100</v>
      </c>
      <c r="X75" s="474">
        <v>872838</v>
      </c>
      <c r="Y75" s="474">
        <v>250751</v>
      </c>
      <c r="Z75" s="474">
        <v>1927167</v>
      </c>
      <c r="AA75" s="474">
        <v>0</v>
      </c>
      <c r="AB75" s="474">
        <v>-24329</v>
      </c>
      <c r="AC75" s="474">
        <v>1798419</v>
      </c>
      <c r="AD75" s="474">
        <v>215597</v>
      </c>
      <c r="AE75" s="474">
        <v>5035804</v>
      </c>
      <c r="AF75" s="474">
        <v>0</v>
      </c>
      <c r="AG75" s="474">
        <v>497547</v>
      </c>
      <c r="AH75" s="474">
        <v>1083685</v>
      </c>
      <c r="AI75" s="474">
        <v>419902</v>
      </c>
      <c r="AJ75" s="474">
        <v>371482</v>
      </c>
      <c r="AK75" s="474">
        <v>0</v>
      </c>
      <c r="AL75" s="474">
        <v>2900742</v>
      </c>
      <c r="AM75" s="474">
        <v>14609</v>
      </c>
    </row>
    <row r="76" spans="1:39" s="155" customFormat="1" ht="12" x14ac:dyDescent="0.2">
      <c r="A76" s="168">
        <v>22</v>
      </c>
      <c r="B76" s="282">
        <v>22460</v>
      </c>
      <c r="C76" s="268" t="s">
        <v>1084</v>
      </c>
      <c r="D76" s="451">
        <f t="shared" si="16"/>
        <v>5399792</v>
      </c>
      <c r="E76" s="474">
        <v>1274622</v>
      </c>
      <c r="F76" s="474">
        <v>202207</v>
      </c>
      <c r="G76" s="474">
        <v>379277</v>
      </c>
      <c r="H76" s="474">
        <v>0</v>
      </c>
      <c r="I76" s="474">
        <v>2259439</v>
      </c>
      <c r="J76" s="474">
        <v>78743</v>
      </c>
      <c r="K76" s="474">
        <v>1044000</v>
      </c>
      <c r="L76" s="474">
        <v>0</v>
      </c>
      <c r="M76" s="474">
        <v>384766</v>
      </c>
      <c r="N76" s="474">
        <v>0</v>
      </c>
      <c r="O76" s="474">
        <v>358222</v>
      </c>
      <c r="P76" s="451">
        <f t="shared" si="17"/>
        <v>5232932</v>
      </c>
      <c r="Q76" s="474">
        <v>2649305</v>
      </c>
      <c r="R76" s="474">
        <v>1123470</v>
      </c>
      <c r="S76" s="474">
        <v>25570</v>
      </c>
      <c r="T76" s="474">
        <v>0</v>
      </c>
      <c r="U76" s="474">
        <v>33600</v>
      </c>
      <c r="V76" s="474">
        <v>0</v>
      </c>
      <c r="W76" s="474">
        <v>0</v>
      </c>
      <c r="X76" s="474">
        <v>208692</v>
      </c>
      <c r="Y76" s="474">
        <v>10000</v>
      </c>
      <c r="Z76" s="474">
        <v>1101929</v>
      </c>
      <c r="AA76" s="474">
        <v>84507</v>
      </c>
      <c r="AB76" s="474">
        <v>-4141</v>
      </c>
      <c r="AC76" s="474">
        <v>714271</v>
      </c>
      <c r="AD76" s="474">
        <v>89968</v>
      </c>
      <c r="AE76" s="474">
        <v>1925418</v>
      </c>
      <c r="AF76" s="474">
        <v>0</v>
      </c>
      <c r="AG76" s="474">
        <v>51023</v>
      </c>
      <c r="AH76" s="474">
        <v>647360</v>
      </c>
      <c r="AI76" s="474">
        <v>272115</v>
      </c>
      <c r="AJ76" s="474">
        <v>913738</v>
      </c>
      <c r="AK76" s="474">
        <v>0</v>
      </c>
      <c r="AL76" s="474">
        <v>593175</v>
      </c>
      <c r="AM76" s="474">
        <v>25864</v>
      </c>
    </row>
    <row r="77" spans="1:39" s="155" customFormat="1" ht="12" x14ac:dyDescent="0.2">
      <c r="A77" s="168">
        <v>23</v>
      </c>
      <c r="B77" s="282">
        <v>22488</v>
      </c>
      <c r="C77" s="268" t="s">
        <v>1085</v>
      </c>
      <c r="D77" s="451">
        <f t="shared" si="16"/>
        <v>3747842</v>
      </c>
      <c r="E77" s="474">
        <v>1079045</v>
      </c>
      <c r="F77" s="474">
        <v>108630</v>
      </c>
      <c r="G77" s="474">
        <v>730374</v>
      </c>
      <c r="H77" s="474">
        <v>0</v>
      </c>
      <c r="I77" s="474">
        <v>1694921</v>
      </c>
      <c r="J77" s="474">
        <v>104500</v>
      </c>
      <c r="K77" s="474">
        <v>613000</v>
      </c>
      <c r="L77" s="474">
        <v>0</v>
      </c>
      <c r="M77" s="474">
        <v>81616</v>
      </c>
      <c r="N77" s="474">
        <v>121080</v>
      </c>
      <c r="O77" s="474">
        <v>53680</v>
      </c>
      <c r="P77" s="451">
        <f t="shared" si="17"/>
        <v>3259403</v>
      </c>
      <c r="Q77" s="474">
        <v>1955906</v>
      </c>
      <c r="R77" s="474">
        <v>729918</v>
      </c>
      <c r="S77" s="474">
        <v>0</v>
      </c>
      <c r="T77" s="474">
        <v>0</v>
      </c>
      <c r="U77" s="474">
        <v>17211</v>
      </c>
      <c r="V77" s="474">
        <v>0</v>
      </c>
      <c r="W77" s="474">
        <v>181134</v>
      </c>
      <c r="X77" s="474">
        <v>268075</v>
      </c>
      <c r="Y77" s="474">
        <v>0</v>
      </c>
      <c r="Z77" s="474">
        <v>107159</v>
      </c>
      <c r="AA77" s="474">
        <v>0</v>
      </c>
      <c r="AB77" s="474">
        <v>0</v>
      </c>
      <c r="AC77" s="474">
        <v>847784</v>
      </c>
      <c r="AD77" s="474">
        <v>19355</v>
      </c>
      <c r="AE77" s="474">
        <v>1652055</v>
      </c>
      <c r="AF77" s="474">
        <v>0</v>
      </c>
      <c r="AG77" s="474">
        <v>61044</v>
      </c>
      <c r="AH77" s="474">
        <v>382744</v>
      </c>
      <c r="AI77" s="474">
        <v>53457</v>
      </c>
      <c r="AJ77" s="474">
        <v>0</v>
      </c>
      <c r="AK77" s="474">
        <v>0</v>
      </c>
      <c r="AL77" s="474">
        <v>242964</v>
      </c>
      <c r="AM77" s="474">
        <v>0</v>
      </c>
    </row>
    <row r="78" spans="1:39" s="155" customFormat="1" ht="12" x14ac:dyDescent="0.2">
      <c r="A78" s="168">
        <v>24</v>
      </c>
      <c r="B78" s="282">
        <v>22576</v>
      </c>
      <c r="C78" s="268" t="s">
        <v>1086</v>
      </c>
      <c r="D78" s="451">
        <f t="shared" si="16"/>
        <v>6058654</v>
      </c>
      <c r="E78" s="474">
        <v>1803496</v>
      </c>
      <c r="F78" s="474">
        <v>722779</v>
      </c>
      <c r="G78" s="474">
        <v>14550</v>
      </c>
      <c r="H78" s="474">
        <v>0</v>
      </c>
      <c r="I78" s="474">
        <v>2047115</v>
      </c>
      <c r="J78" s="474">
        <v>143500</v>
      </c>
      <c r="K78" s="474">
        <v>1102000</v>
      </c>
      <c r="L78" s="474">
        <v>0</v>
      </c>
      <c r="M78" s="474">
        <v>906565</v>
      </c>
      <c r="N78" s="474">
        <v>0</v>
      </c>
      <c r="O78" s="474">
        <v>55978</v>
      </c>
      <c r="P78" s="451">
        <f t="shared" si="17"/>
        <v>5557610</v>
      </c>
      <c r="Q78" s="474">
        <v>2408023</v>
      </c>
      <c r="R78" s="474">
        <v>1357854</v>
      </c>
      <c r="S78" s="474">
        <v>0</v>
      </c>
      <c r="T78" s="474">
        <v>0</v>
      </c>
      <c r="U78" s="474">
        <v>96714</v>
      </c>
      <c r="V78" s="474">
        <v>1496</v>
      </c>
      <c r="W78" s="474">
        <v>0</v>
      </c>
      <c r="X78" s="474">
        <v>229436</v>
      </c>
      <c r="Y78" s="474">
        <v>70971</v>
      </c>
      <c r="Z78" s="474">
        <v>1394612</v>
      </c>
      <c r="AA78" s="474">
        <v>0</v>
      </c>
      <c r="AB78" s="474">
        <v>-1496</v>
      </c>
      <c r="AC78" s="474">
        <v>845043</v>
      </c>
      <c r="AD78" s="474">
        <v>60621</v>
      </c>
      <c r="AE78" s="474">
        <v>1874161</v>
      </c>
      <c r="AF78" s="474">
        <v>10000</v>
      </c>
      <c r="AG78" s="474">
        <v>254829</v>
      </c>
      <c r="AH78" s="474">
        <v>508846</v>
      </c>
      <c r="AI78" s="474">
        <v>609667</v>
      </c>
      <c r="AJ78" s="474">
        <v>231627</v>
      </c>
      <c r="AK78" s="474">
        <v>0</v>
      </c>
      <c r="AL78" s="474">
        <v>1150505</v>
      </c>
      <c r="AM78" s="474">
        <v>12311</v>
      </c>
    </row>
    <row r="79" spans="1:39" s="155" customFormat="1" ht="12" x14ac:dyDescent="0.2">
      <c r="A79" s="168">
        <v>25</v>
      </c>
      <c r="B79" s="282">
        <v>22665</v>
      </c>
      <c r="C79" s="268" t="s">
        <v>1087</v>
      </c>
      <c r="D79" s="451">
        <f t="shared" si="16"/>
        <v>6595342</v>
      </c>
      <c r="E79" s="474">
        <v>1216642</v>
      </c>
      <c r="F79" s="474">
        <v>111752</v>
      </c>
      <c r="G79" s="474">
        <v>689430</v>
      </c>
      <c r="H79" s="474">
        <v>0</v>
      </c>
      <c r="I79" s="474">
        <v>1751911</v>
      </c>
      <c r="J79" s="474">
        <v>169500</v>
      </c>
      <c r="K79" s="474">
        <v>654000</v>
      </c>
      <c r="L79" s="474">
        <v>0</v>
      </c>
      <c r="M79" s="474">
        <v>2208927</v>
      </c>
      <c r="N79" s="474">
        <v>586138</v>
      </c>
      <c r="O79" s="474">
        <v>8224</v>
      </c>
      <c r="P79" s="451">
        <f t="shared" si="17"/>
        <v>5856082</v>
      </c>
      <c r="Q79" s="474">
        <v>1966663</v>
      </c>
      <c r="R79" s="474">
        <v>700889</v>
      </c>
      <c r="S79" s="474">
        <v>0</v>
      </c>
      <c r="T79" s="474">
        <v>0</v>
      </c>
      <c r="U79" s="474">
        <v>7512</v>
      </c>
      <c r="V79" s="474">
        <v>0</v>
      </c>
      <c r="W79" s="474">
        <v>483896</v>
      </c>
      <c r="X79" s="474">
        <v>190441</v>
      </c>
      <c r="Y79" s="474">
        <v>67600</v>
      </c>
      <c r="Z79" s="474">
        <v>2455693</v>
      </c>
      <c r="AA79" s="474">
        <v>0</v>
      </c>
      <c r="AB79" s="474">
        <v>-16612</v>
      </c>
      <c r="AC79" s="474">
        <v>683321</v>
      </c>
      <c r="AD79" s="474">
        <v>129913</v>
      </c>
      <c r="AE79" s="474">
        <v>2104725</v>
      </c>
      <c r="AF79" s="474">
        <v>3853</v>
      </c>
      <c r="AG79" s="474">
        <v>47231</v>
      </c>
      <c r="AH79" s="474">
        <v>313488</v>
      </c>
      <c r="AI79" s="474">
        <v>158882</v>
      </c>
      <c r="AJ79" s="474">
        <v>54483</v>
      </c>
      <c r="AK79" s="474">
        <v>0</v>
      </c>
      <c r="AL79" s="474">
        <v>2360186</v>
      </c>
      <c r="AM79" s="474">
        <v>0</v>
      </c>
    </row>
    <row r="80" spans="1:39" s="155" customFormat="1" ht="12" x14ac:dyDescent="0.2">
      <c r="A80" s="168">
        <v>26</v>
      </c>
      <c r="B80" s="282">
        <v>22718</v>
      </c>
      <c r="C80" s="268" t="s">
        <v>1088</v>
      </c>
      <c r="D80" s="451">
        <f t="shared" si="16"/>
        <v>9477957</v>
      </c>
      <c r="E80" s="474">
        <v>1474659</v>
      </c>
      <c r="F80" s="474">
        <v>383267</v>
      </c>
      <c r="G80" s="474">
        <v>13961</v>
      </c>
      <c r="H80" s="474">
        <v>0</v>
      </c>
      <c r="I80" s="474">
        <v>4249105</v>
      </c>
      <c r="J80" s="474">
        <v>134000</v>
      </c>
      <c r="K80" s="474">
        <v>1099000</v>
      </c>
      <c r="L80" s="474">
        <v>0</v>
      </c>
      <c r="M80" s="474">
        <v>1657232</v>
      </c>
      <c r="N80" s="474">
        <v>764306</v>
      </c>
      <c r="O80" s="474">
        <v>99655</v>
      </c>
      <c r="P80" s="451">
        <f t="shared" si="17"/>
        <v>7647100</v>
      </c>
      <c r="Q80" s="474">
        <v>4432562</v>
      </c>
      <c r="R80" s="474">
        <v>1126781</v>
      </c>
      <c r="S80" s="474">
        <v>0</v>
      </c>
      <c r="T80" s="474">
        <v>0</v>
      </c>
      <c r="U80" s="474">
        <v>9283</v>
      </c>
      <c r="V80" s="474">
        <v>0</v>
      </c>
      <c r="W80" s="474">
        <v>294592</v>
      </c>
      <c r="X80" s="474">
        <v>112134</v>
      </c>
      <c r="Y80" s="474">
        <v>20000</v>
      </c>
      <c r="Z80" s="474">
        <v>1651748</v>
      </c>
      <c r="AA80" s="474">
        <v>0</v>
      </c>
      <c r="AB80" s="474">
        <v>0</v>
      </c>
      <c r="AC80" s="474">
        <v>1058910</v>
      </c>
      <c r="AD80" s="474">
        <v>0</v>
      </c>
      <c r="AE80" s="474">
        <v>3955739</v>
      </c>
      <c r="AF80" s="474">
        <v>0</v>
      </c>
      <c r="AG80" s="474">
        <v>170707</v>
      </c>
      <c r="AH80" s="474">
        <v>384077</v>
      </c>
      <c r="AI80" s="474">
        <v>173650</v>
      </c>
      <c r="AJ80" s="474">
        <v>69002</v>
      </c>
      <c r="AK80" s="474">
        <v>0</v>
      </c>
      <c r="AL80" s="474">
        <v>1835015</v>
      </c>
      <c r="AM80" s="474">
        <v>0</v>
      </c>
    </row>
    <row r="81" spans="1:39" s="155" customFormat="1" ht="12" x14ac:dyDescent="0.2">
      <c r="A81" s="168">
        <v>27</v>
      </c>
      <c r="B81" s="282">
        <v>22781</v>
      </c>
      <c r="C81" s="268" t="s">
        <v>1089</v>
      </c>
      <c r="D81" s="451">
        <f t="shared" si="16"/>
        <v>6421647</v>
      </c>
      <c r="E81" s="474">
        <v>1580182</v>
      </c>
      <c r="F81" s="474">
        <v>492882</v>
      </c>
      <c r="G81" s="474">
        <v>367374</v>
      </c>
      <c r="H81" s="474">
        <v>0</v>
      </c>
      <c r="I81" s="474">
        <v>3532000</v>
      </c>
      <c r="J81" s="474">
        <v>80500</v>
      </c>
      <c r="K81" s="474">
        <v>1202000</v>
      </c>
      <c r="L81" s="474">
        <v>0</v>
      </c>
      <c r="M81" s="474">
        <v>26965</v>
      </c>
      <c r="N81" s="474">
        <v>0</v>
      </c>
      <c r="O81" s="474">
        <v>0</v>
      </c>
      <c r="P81" s="451">
        <f t="shared" si="17"/>
        <v>6532281</v>
      </c>
      <c r="Q81" s="474">
        <v>3956031</v>
      </c>
      <c r="R81" s="474">
        <v>2280067</v>
      </c>
      <c r="S81" s="474">
        <v>0</v>
      </c>
      <c r="T81" s="474">
        <v>0</v>
      </c>
      <c r="U81" s="474">
        <v>0</v>
      </c>
      <c r="V81" s="474">
        <v>0</v>
      </c>
      <c r="W81" s="474">
        <v>0</v>
      </c>
      <c r="X81" s="474">
        <v>20515</v>
      </c>
      <c r="Y81" s="474">
        <v>59432</v>
      </c>
      <c r="Z81" s="474">
        <v>218450</v>
      </c>
      <c r="AA81" s="474">
        <v>0</v>
      </c>
      <c r="AB81" s="474">
        <v>-2214</v>
      </c>
      <c r="AC81" s="474">
        <v>1060640</v>
      </c>
      <c r="AD81" s="474">
        <v>93591</v>
      </c>
      <c r="AE81" s="474">
        <v>2753429</v>
      </c>
      <c r="AF81" s="474">
        <v>0</v>
      </c>
      <c r="AG81" s="474">
        <v>110066</v>
      </c>
      <c r="AH81" s="474">
        <v>860515</v>
      </c>
      <c r="AI81" s="474">
        <v>187999</v>
      </c>
      <c r="AJ81" s="474">
        <v>587161</v>
      </c>
      <c r="AK81" s="474">
        <v>0</v>
      </c>
      <c r="AL81" s="474">
        <v>878880</v>
      </c>
      <c r="AM81" s="474">
        <v>0</v>
      </c>
    </row>
    <row r="82" spans="1:39" s="155" customFormat="1" ht="12" x14ac:dyDescent="0.2">
      <c r="A82" s="168">
        <v>28</v>
      </c>
      <c r="B82" s="282">
        <v>22834</v>
      </c>
      <c r="C82" s="268" t="s">
        <v>1090</v>
      </c>
      <c r="D82" s="451">
        <f t="shared" si="16"/>
        <v>9722231</v>
      </c>
      <c r="E82" s="474">
        <v>1211318</v>
      </c>
      <c r="F82" s="474">
        <v>123240</v>
      </c>
      <c r="G82" s="474">
        <v>613587</v>
      </c>
      <c r="H82" s="474">
        <v>0</v>
      </c>
      <c r="I82" s="474">
        <v>1945921</v>
      </c>
      <c r="J82" s="474">
        <v>186000</v>
      </c>
      <c r="K82" s="474">
        <v>618000</v>
      </c>
      <c r="L82" s="474">
        <v>0</v>
      </c>
      <c r="M82" s="474">
        <v>1733776</v>
      </c>
      <c r="N82" s="474">
        <v>3986360</v>
      </c>
      <c r="O82" s="474">
        <v>40856</v>
      </c>
      <c r="P82" s="451">
        <f t="shared" si="17"/>
        <v>5576085</v>
      </c>
      <c r="Q82" s="474">
        <v>2386980</v>
      </c>
      <c r="R82" s="474">
        <v>842503</v>
      </c>
      <c r="S82" s="474">
        <v>0</v>
      </c>
      <c r="T82" s="474">
        <v>0</v>
      </c>
      <c r="U82" s="474">
        <v>15478</v>
      </c>
      <c r="V82" s="474">
        <v>0</v>
      </c>
      <c r="W82" s="474">
        <v>0</v>
      </c>
      <c r="X82" s="474">
        <v>90352</v>
      </c>
      <c r="Y82" s="474">
        <v>113750</v>
      </c>
      <c r="Z82" s="474">
        <v>2132348</v>
      </c>
      <c r="AA82" s="474">
        <v>0</v>
      </c>
      <c r="AB82" s="474">
        <v>-5326</v>
      </c>
      <c r="AC82" s="474">
        <v>751459</v>
      </c>
      <c r="AD82" s="474">
        <v>92737</v>
      </c>
      <c r="AE82" s="474">
        <v>1864366</v>
      </c>
      <c r="AF82" s="474">
        <v>21745</v>
      </c>
      <c r="AG82" s="474">
        <v>97827</v>
      </c>
      <c r="AH82" s="474">
        <v>396677</v>
      </c>
      <c r="AI82" s="474">
        <v>255752</v>
      </c>
      <c r="AJ82" s="474">
        <v>75769</v>
      </c>
      <c r="AK82" s="474">
        <v>0</v>
      </c>
      <c r="AL82" s="474">
        <v>2019753</v>
      </c>
      <c r="AM82" s="474">
        <v>0</v>
      </c>
    </row>
    <row r="83" spans="1:39" s="155" customFormat="1" ht="12" x14ac:dyDescent="0.2">
      <c r="A83" s="168">
        <v>29</v>
      </c>
      <c r="B83" s="282">
        <v>20607</v>
      </c>
      <c r="C83" s="268" t="s">
        <v>1091</v>
      </c>
      <c r="D83" s="451">
        <f t="shared" si="16"/>
        <v>7542482</v>
      </c>
      <c r="E83" s="474">
        <v>1336484</v>
      </c>
      <c r="F83" s="474">
        <v>198758</v>
      </c>
      <c r="G83" s="474">
        <v>652953</v>
      </c>
      <c r="H83" s="474">
        <v>0</v>
      </c>
      <c r="I83" s="474">
        <v>2419879</v>
      </c>
      <c r="J83" s="474">
        <v>89000</v>
      </c>
      <c r="K83" s="474">
        <v>993000</v>
      </c>
      <c r="L83" s="474">
        <v>0</v>
      </c>
      <c r="M83" s="474">
        <v>2355455</v>
      </c>
      <c r="N83" s="474">
        <v>278869</v>
      </c>
      <c r="O83" s="474">
        <v>69795</v>
      </c>
      <c r="P83" s="451">
        <f t="shared" si="17"/>
        <v>7509818</v>
      </c>
      <c r="Q83" s="474">
        <v>2719476</v>
      </c>
      <c r="R83" s="474">
        <v>1332075</v>
      </c>
      <c r="S83" s="474">
        <v>0</v>
      </c>
      <c r="T83" s="474">
        <v>0</v>
      </c>
      <c r="U83" s="474">
        <v>0</v>
      </c>
      <c r="V83" s="474">
        <v>0</v>
      </c>
      <c r="W83" s="474">
        <v>266695</v>
      </c>
      <c r="X83" s="474">
        <v>423653</v>
      </c>
      <c r="Y83" s="474">
        <v>0</v>
      </c>
      <c r="Z83" s="474">
        <v>2772982</v>
      </c>
      <c r="AA83" s="474">
        <v>0</v>
      </c>
      <c r="AB83" s="474">
        <v>-5063</v>
      </c>
      <c r="AC83" s="474">
        <v>1259418</v>
      </c>
      <c r="AD83" s="474">
        <v>105351</v>
      </c>
      <c r="AE83" s="474">
        <v>2206258</v>
      </c>
      <c r="AF83" s="474">
        <v>35330</v>
      </c>
      <c r="AG83" s="474">
        <v>97575</v>
      </c>
      <c r="AH83" s="474">
        <v>435026</v>
      </c>
      <c r="AI83" s="474">
        <v>2627772</v>
      </c>
      <c r="AJ83" s="474">
        <v>0</v>
      </c>
      <c r="AK83" s="474">
        <v>0</v>
      </c>
      <c r="AL83" s="474">
        <v>743088</v>
      </c>
      <c r="AM83" s="474">
        <v>0</v>
      </c>
    </row>
    <row r="84" spans="1:39" s="155" customFormat="1" ht="12" x14ac:dyDescent="0.2">
      <c r="A84" s="168">
        <v>30</v>
      </c>
      <c r="B84" s="282">
        <v>22898</v>
      </c>
      <c r="C84" s="268" t="s">
        <v>1092</v>
      </c>
      <c r="D84" s="451">
        <f t="shared" si="16"/>
        <v>7793098</v>
      </c>
      <c r="E84" s="474">
        <v>1627864</v>
      </c>
      <c r="F84" s="474">
        <v>238941</v>
      </c>
      <c r="G84" s="474">
        <v>539195</v>
      </c>
      <c r="H84" s="474">
        <v>0</v>
      </c>
      <c r="I84" s="474">
        <v>3221557</v>
      </c>
      <c r="J84" s="474">
        <v>144000</v>
      </c>
      <c r="K84" s="474">
        <v>1209000</v>
      </c>
      <c r="L84" s="474">
        <v>0</v>
      </c>
      <c r="M84" s="474">
        <v>915030</v>
      </c>
      <c r="N84" s="474">
        <v>627524</v>
      </c>
      <c r="O84" s="474">
        <v>48123</v>
      </c>
      <c r="P84" s="451">
        <f t="shared" si="17"/>
        <v>8174585</v>
      </c>
      <c r="Q84" s="474">
        <v>3532287</v>
      </c>
      <c r="R84" s="474">
        <v>987106</v>
      </c>
      <c r="S84" s="474">
        <v>0</v>
      </c>
      <c r="T84" s="474">
        <v>0</v>
      </c>
      <c r="U84" s="474">
        <v>43675</v>
      </c>
      <c r="V84" s="474">
        <v>0</v>
      </c>
      <c r="W84" s="474">
        <v>1887574</v>
      </c>
      <c r="X84" s="474">
        <v>390720</v>
      </c>
      <c r="Y84" s="474">
        <v>10000</v>
      </c>
      <c r="Z84" s="474">
        <v>1323223</v>
      </c>
      <c r="AA84" s="474">
        <v>0</v>
      </c>
      <c r="AB84" s="474">
        <v>0</v>
      </c>
      <c r="AC84" s="474">
        <v>905167</v>
      </c>
      <c r="AD84" s="474">
        <v>396871</v>
      </c>
      <c r="AE84" s="474">
        <v>2790628</v>
      </c>
      <c r="AF84" s="474">
        <v>0</v>
      </c>
      <c r="AG84" s="474">
        <v>1161268</v>
      </c>
      <c r="AH84" s="474">
        <v>564583</v>
      </c>
      <c r="AI84" s="474">
        <v>238208</v>
      </c>
      <c r="AJ84" s="474">
        <v>123553</v>
      </c>
      <c r="AK84" s="474">
        <v>0</v>
      </c>
      <c r="AL84" s="474">
        <v>1991205</v>
      </c>
      <c r="AM84" s="474">
        <v>3102</v>
      </c>
    </row>
    <row r="85" spans="1:39" s="155" customFormat="1" ht="12" x14ac:dyDescent="0.2">
      <c r="A85" s="168">
        <v>31</v>
      </c>
      <c r="B85" s="282">
        <v>20313</v>
      </c>
      <c r="C85" s="268" t="s">
        <v>1093</v>
      </c>
      <c r="D85" s="451">
        <f t="shared" si="16"/>
        <v>7192787</v>
      </c>
      <c r="E85" s="474">
        <v>4335925</v>
      </c>
      <c r="F85" s="474">
        <v>2052176</v>
      </c>
      <c r="G85" s="474">
        <v>22229</v>
      </c>
      <c r="H85" s="474">
        <v>0</v>
      </c>
      <c r="I85" s="474">
        <v>2450224</v>
      </c>
      <c r="J85" s="474">
        <v>74500</v>
      </c>
      <c r="K85" s="474">
        <v>270000</v>
      </c>
      <c r="L85" s="474">
        <v>0</v>
      </c>
      <c r="M85" s="474">
        <v>45368</v>
      </c>
      <c r="N85" s="474">
        <v>0</v>
      </c>
      <c r="O85" s="474">
        <v>16770</v>
      </c>
      <c r="P85" s="451">
        <f t="shared" si="17"/>
        <v>5936271</v>
      </c>
      <c r="Q85" s="474">
        <v>2917522</v>
      </c>
      <c r="R85" s="474">
        <v>1190074</v>
      </c>
      <c r="S85" s="474">
        <v>0</v>
      </c>
      <c r="T85" s="474">
        <v>0</v>
      </c>
      <c r="U85" s="474">
        <v>54228</v>
      </c>
      <c r="V85" s="474">
        <v>0</v>
      </c>
      <c r="W85" s="474">
        <v>0</v>
      </c>
      <c r="X85" s="474">
        <v>175937</v>
      </c>
      <c r="Y85" s="474">
        <v>79322</v>
      </c>
      <c r="Z85" s="474">
        <v>1521565</v>
      </c>
      <c r="AA85" s="474">
        <v>0</v>
      </c>
      <c r="AB85" s="474">
        <v>-2377</v>
      </c>
      <c r="AC85" s="474">
        <v>926223</v>
      </c>
      <c r="AD85" s="474">
        <v>112667</v>
      </c>
      <c r="AE85" s="474">
        <v>2366824</v>
      </c>
      <c r="AF85" s="474">
        <v>0</v>
      </c>
      <c r="AG85" s="474">
        <v>189752</v>
      </c>
      <c r="AH85" s="474">
        <v>339752</v>
      </c>
      <c r="AI85" s="474">
        <v>1126052</v>
      </c>
      <c r="AJ85" s="474">
        <v>387665</v>
      </c>
      <c r="AK85" s="474">
        <v>0</v>
      </c>
      <c r="AL85" s="474">
        <v>485352</v>
      </c>
      <c r="AM85" s="474">
        <v>1984</v>
      </c>
    </row>
    <row r="86" spans="1:39" s="155" customFormat="1" ht="12" x14ac:dyDescent="0.2">
      <c r="A86" s="168">
        <v>32</v>
      </c>
      <c r="B86" s="282">
        <v>22941</v>
      </c>
      <c r="C86" s="268" t="s">
        <v>1094</v>
      </c>
      <c r="D86" s="451">
        <f t="shared" si="16"/>
        <v>5207887</v>
      </c>
      <c r="E86" s="474">
        <v>1253914</v>
      </c>
      <c r="F86" s="474">
        <v>145582</v>
      </c>
      <c r="G86" s="474">
        <v>658958</v>
      </c>
      <c r="H86" s="474">
        <v>0</v>
      </c>
      <c r="I86" s="474">
        <v>2935071</v>
      </c>
      <c r="J86" s="474">
        <v>118500</v>
      </c>
      <c r="K86" s="474">
        <v>652000</v>
      </c>
      <c r="L86" s="474">
        <v>0</v>
      </c>
      <c r="M86" s="474">
        <v>46844</v>
      </c>
      <c r="N86" s="474">
        <v>157530</v>
      </c>
      <c r="O86" s="474">
        <v>44028</v>
      </c>
      <c r="P86" s="451">
        <f t="shared" si="17"/>
        <v>4787335</v>
      </c>
      <c r="Q86" s="474">
        <v>2758305</v>
      </c>
      <c r="R86" s="474">
        <v>1183816</v>
      </c>
      <c r="S86" s="474">
        <v>0</v>
      </c>
      <c r="T86" s="474">
        <v>0</v>
      </c>
      <c r="U86" s="474">
        <v>46300</v>
      </c>
      <c r="V86" s="474">
        <v>0</v>
      </c>
      <c r="W86" s="474">
        <v>186926</v>
      </c>
      <c r="X86" s="474">
        <v>402875</v>
      </c>
      <c r="Y86" s="474">
        <v>109000</v>
      </c>
      <c r="Z86" s="474">
        <v>100113</v>
      </c>
      <c r="AA86" s="474">
        <v>0</v>
      </c>
      <c r="AB86" s="474">
        <v>0</v>
      </c>
      <c r="AC86" s="474">
        <v>833499</v>
      </c>
      <c r="AD86" s="474">
        <v>6790</v>
      </c>
      <c r="AE86" s="474">
        <v>2810498</v>
      </c>
      <c r="AF86" s="474">
        <v>0</v>
      </c>
      <c r="AG86" s="474">
        <v>110850</v>
      </c>
      <c r="AH86" s="474">
        <v>411323</v>
      </c>
      <c r="AI86" s="474">
        <v>282223</v>
      </c>
      <c r="AJ86" s="474">
        <v>76083</v>
      </c>
      <c r="AK86" s="474">
        <v>0</v>
      </c>
      <c r="AL86" s="474">
        <v>256069</v>
      </c>
      <c r="AM86" s="474">
        <v>0</v>
      </c>
    </row>
    <row r="87" spans="1:39" s="155" customFormat="1" ht="12" x14ac:dyDescent="0.2">
      <c r="A87" s="168">
        <v>33</v>
      </c>
      <c r="B87" s="282">
        <v>23047</v>
      </c>
      <c r="C87" s="268" t="s">
        <v>1095</v>
      </c>
      <c r="D87" s="451">
        <f t="shared" si="16"/>
        <v>3736153</v>
      </c>
      <c r="E87" s="474">
        <v>1042513</v>
      </c>
      <c r="F87" s="474">
        <v>140931</v>
      </c>
      <c r="G87" s="474">
        <v>653617</v>
      </c>
      <c r="H87" s="474">
        <v>0</v>
      </c>
      <c r="I87" s="474">
        <v>969278</v>
      </c>
      <c r="J87" s="474">
        <v>156000</v>
      </c>
      <c r="K87" s="474">
        <v>549000</v>
      </c>
      <c r="L87" s="474">
        <v>0</v>
      </c>
      <c r="M87" s="474">
        <v>986136</v>
      </c>
      <c r="N87" s="474">
        <v>0</v>
      </c>
      <c r="O87" s="474">
        <v>33226</v>
      </c>
      <c r="P87" s="451">
        <f t="shared" si="17"/>
        <v>3308680</v>
      </c>
      <c r="Q87" s="474">
        <v>1042793</v>
      </c>
      <c r="R87" s="474">
        <v>595460</v>
      </c>
      <c r="S87" s="474">
        <v>0</v>
      </c>
      <c r="T87" s="474">
        <v>0</v>
      </c>
      <c r="U87" s="474">
        <v>0</v>
      </c>
      <c r="V87" s="474">
        <v>0</v>
      </c>
      <c r="W87" s="474">
        <v>0</v>
      </c>
      <c r="X87" s="474">
        <v>152971</v>
      </c>
      <c r="Y87" s="474">
        <v>84357</v>
      </c>
      <c r="Z87" s="474">
        <v>1433099</v>
      </c>
      <c r="AA87" s="474">
        <v>0</v>
      </c>
      <c r="AB87" s="474">
        <v>0</v>
      </c>
      <c r="AC87" s="474">
        <v>468438</v>
      </c>
      <c r="AD87" s="474">
        <v>21371</v>
      </c>
      <c r="AE87" s="474">
        <v>1074847</v>
      </c>
      <c r="AF87" s="474">
        <v>0</v>
      </c>
      <c r="AG87" s="474">
        <v>61750</v>
      </c>
      <c r="AH87" s="474">
        <v>183719</v>
      </c>
      <c r="AI87" s="474">
        <v>113870</v>
      </c>
      <c r="AJ87" s="474">
        <v>1770</v>
      </c>
      <c r="AK87" s="474">
        <v>0</v>
      </c>
      <c r="AL87" s="474">
        <v>1382915</v>
      </c>
      <c r="AM87" s="474">
        <v>0</v>
      </c>
    </row>
    <row r="88" spans="1:39" s="155" customFormat="1" ht="12" x14ac:dyDescent="0.2">
      <c r="A88" s="168">
        <v>34</v>
      </c>
      <c r="B88" s="282">
        <v>23127</v>
      </c>
      <c r="C88" s="268" t="s">
        <v>1096</v>
      </c>
      <c r="D88" s="451">
        <f t="shared" si="16"/>
        <v>3056508</v>
      </c>
      <c r="E88" s="474">
        <v>1114638</v>
      </c>
      <c r="F88" s="474">
        <v>77540</v>
      </c>
      <c r="G88" s="474">
        <v>763253</v>
      </c>
      <c r="H88" s="474">
        <v>0</v>
      </c>
      <c r="I88" s="474">
        <v>991701</v>
      </c>
      <c r="J88" s="474">
        <v>156500</v>
      </c>
      <c r="K88" s="474">
        <v>701000</v>
      </c>
      <c r="L88" s="474">
        <v>0</v>
      </c>
      <c r="M88" s="474">
        <v>23451</v>
      </c>
      <c r="N88" s="474">
        <v>34156</v>
      </c>
      <c r="O88" s="474">
        <v>35062</v>
      </c>
      <c r="P88" s="451">
        <f t="shared" si="17"/>
        <v>2585565</v>
      </c>
      <c r="Q88" s="474">
        <v>1302461</v>
      </c>
      <c r="R88" s="474">
        <v>540129</v>
      </c>
      <c r="S88" s="474">
        <v>0</v>
      </c>
      <c r="T88" s="474">
        <v>0</v>
      </c>
      <c r="U88" s="474">
        <v>11000</v>
      </c>
      <c r="V88" s="474">
        <v>0</v>
      </c>
      <c r="W88" s="474">
        <v>22658</v>
      </c>
      <c r="X88" s="474">
        <v>109621</v>
      </c>
      <c r="Y88" s="474">
        <v>20000</v>
      </c>
      <c r="Z88" s="474">
        <v>579696</v>
      </c>
      <c r="AA88" s="474">
        <v>0</v>
      </c>
      <c r="AB88" s="474">
        <v>0</v>
      </c>
      <c r="AC88" s="474">
        <v>642533</v>
      </c>
      <c r="AD88" s="474">
        <v>5606</v>
      </c>
      <c r="AE88" s="474">
        <v>959770</v>
      </c>
      <c r="AF88" s="474">
        <v>4031</v>
      </c>
      <c r="AG88" s="474">
        <v>572880</v>
      </c>
      <c r="AH88" s="474">
        <v>109621</v>
      </c>
      <c r="AI88" s="474">
        <v>181540</v>
      </c>
      <c r="AJ88" s="474">
        <v>744</v>
      </c>
      <c r="AK88" s="474">
        <v>0</v>
      </c>
      <c r="AL88" s="474">
        <v>108840</v>
      </c>
      <c r="AM88" s="474">
        <v>0</v>
      </c>
    </row>
    <row r="89" spans="1:39" s="155" customFormat="1" ht="12" x14ac:dyDescent="0.2">
      <c r="A89" s="168">
        <v>35</v>
      </c>
      <c r="B89" s="282">
        <v>20359</v>
      </c>
      <c r="C89" s="268" t="s">
        <v>1097</v>
      </c>
      <c r="D89" s="451">
        <f t="shared" si="16"/>
        <v>7108436</v>
      </c>
      <c r="E89" s="474">
        <v>2635936</v>
      </c>
      <c r="F89" s="474">
        <v>890179</v>
      </c>
      <c r="G89" s="474">
        <v>20759</v>
      </c>
      <c r="H89" s="474">
        <v>0</v>
      </c>
      <c r="I89" s="474">
        <v>1828799</v>
      </c>
      <c r="J89" s="474">
        <v>112000</v>
      </c>
      <c r="K89" s="474">
        <v>1637000</v>
      </c>
      <c r="L89" s="474">
        <v>0</v>
      </c>
      <c r="M89" s="474">
        <v>853039</v>
      </c>
      <c r="N89" s="474">
        <v>0</v>
      </c>
      <c r="O89" s="474">
        <v>41662</v>
      </c>
      <c r="P89" s="451">
        <f t="shared" si="17"/>
        <v>7138167</v>
      </c>
      <c r="Q89" s="474">
        <v>2431141</v>
      </c>
      <c r="R89" s="474">
        <v>2235412</v>
      </c>
      <c r="S89" s="474">
        <v>89644</v>
      </c>
      <c r="T89" s="474">
        <v>0</v>
      </c>
      <c r="U89" s="474">
        <v>30000</v>
      </c>
      <c r="V89" s="474">
        <v>0</v>
      </c>
      <c r="W89" s="474">
        <v>0</v>
      </c>
      <c r="X89" s="474">
        <v>191346</v>
      </c>
      <c r="Y89" s="474">
        <v>35000</v>
      </c>
      <c r="Z89" s="474">
        <v>1997036</v>
      </c>
      <c r="AA89" s="474">
        <v>128588</v>
      </c>
      <c r="AB89" s="474">
        <v>0</v>
      </c>
      <c r="AC89" s="474">
        <v>1799737</v>
      </c>
      <c r="AD89" s="474">
        <v>172161</v>
      </c>
      <c r="AE89" s="474">
        <v>1598544</v>
      </c>
      <c r="AF89" s="474">
        <v>0</v>
      </c>
      <c r="AG89" s="474">
        <v>92268</v>
      </c>
      <c r="AH89" s="474">
        <v>548462</v>
      </c>
      <c r="AI89" s="474">
        <v>780834</v>
      </c>
      <c r="AJ89" s="474">
        <v>330739</v>
      </c>
      <c r="AK89" s="474">
        <v>0</v>
      </c>
      <c r="AL89" s="474">
        <v>1815422</v>
      </c>
      <c r="AM89" s="474">
        <v>0</v>
      </c>
    </row>
    <row r="90" spans="1:39" s="155" customFormat="1" ht="12" x14ac:dyDescent="0.2">
      <c r="A90" s="168">
        <v>36</v>
      </c>
      <c r="B90" s="282">
        <v>23207</v>
      </c>
      <c r="C90" s="268" t="s">
        <v>1098</v>
      </c>
      <c r="D90" s="451">
        <f t="shared" si="16"/>
        <v>6065817</v>
      </c>
      <c r="E90" s="474">
        <v>1111643</v>
      </c>
      <c r="F90" s="474">
        <v>116241</v>
      </c>
      <c r="G90" s="474">
        <v>744504</v>
      </c>
      <c r="H90" s="474">
        <v>0</v>
      </c>
      <c r="I90" s="474">
        <v>1961113</v>
      </c>
      <c r="J90" s="474">
        <v>104000</v>
      </c>
      <c r="K90" s="474">
        <v>815000</v>
      </c>
      <c r="L90" s="474">
        <v>0</v>
      </c>
      <c r="M90" s="474">
        <v>1521203</v>
      </c>
      <c r="N90" s="474">
        <v>511872</v>
      </c>
      <c r="O90" s="474">
        <v>40986</v>
      </c>
      <c r="P90" s="451">
        <f t="shared" si="17"/>
        <v>6033165</v>
      </c>
      <c r="Q90" s="474">
        <v>2384409</v>
      </c>
      <c r="R90" s="474">
        <v>707987</v>
      </c>
      <c r="S90" s="474">
        <v>0</v>
      </c>
      <c r="T90" s="474">
        <v>0</v>
      </c>
      <c r="U90" s="474">
        <v>24828</v>
      </c>
      <c r="V90" s="474">
        <v>6880</v>
      </c>
      <c r="W90" s="474">
        <v>700549</v>
      </c>
      <c r="X90" s="474">
        <v>177949</v>
      </c>
      <c r="Y90" s="474">
        <v>52000</v>
      </c>
      <c r="Z90" s="474">
        <v>1992010</v>
      </c>
      <c r="AA90" s="474">
        <v>0</v>
      </c>
      <c r="AB90" s="474">
        <v>-13447</v>
      </c>
      <c r="AC90" s="474">
        <v>804816</v>
      </c>
      <c r="AD90" s="474">
        <v>75328</v>
      </c>
      <c r="AE90" s="474">
        <v>2620307</v>
      </c>
      <c r="AF90" s="474">
        <v>26721</v>
      </c>
      <c r="AG90" s="474">
        <v>114914</v>
      </c>
      <c r="AH90" s="474">
        <v>550683</v>
      </c>
      <c r="AI90" s="474">
        <v>38529</v>
      </c>
      <c r="AJ90" s="474">
        <v>26953</v>
      </c>
      <c r="AK90" s="474">
        <v>0</v>
      </c>
      <c r="AL90" s="474">
        <v>1774914</v>
      </c>
      <c r="AM90" s="474">
        <v>0</v>
      </c>
    </row>
    <row r="91" spans="1:39" s="155" customFormat="1" ht="12" x14ac:dyDescent="0.2">
      <c r="A91" s="168">
        <v>37</v>
      </c>
      <c r="B91" s="282">
        <v>23289</v>
      </c>
      <c r="C91" s="268" t="s">
        <v>1099</v>
      </c>
      <c r="D91" s="451">
        <f t="shared" si="16"/>
        <v>5292882</v>
      </c>
      <c r="E91" s="474">
        <v>1259170</v>
      </c>
      <c r="F91" s="474">
        <v>268890</v>
      </c>
      <c r="G91" s="474">
        <v>477297</v>
      </c>
      <c r="H91" s="474">
        <v>0</v>
      </c>
      <c r="I91" s="474">
        <v>2539309</v>
      </c>
      <c r="J91" s="474">
        <v>120000</v>
      </c>
      <c r="K91" s="474">
        <v>924000</v>
      </c>
      <c r="L91" s="474">
        <v>0</v>
      </c>
      <c r="M91" s="474">
        <v>415059</v>
      </c>
      <c r="N91" s="474">
        <v>0</v>
      </c>
      <c r="O91" s="474">
        <v>35344</v>
      </c>
      <c r="P91" s="451">
        <f t="shared" si="17"/>
        <v>5035171</v>
      </c>
      <c r="Q91" s="474">
        <v>2927770</v>
      </c>
      <c r="R91" s="474">
        <v>1198268</v>
      </c>
      <c r="S91" s="474">
        <v>0</v>
      </c>
      <c r="T91" s="474">
        <v>0</v>
      </c>
      <c r="U91" s="474">
        <v>45000</v>
      </c>
      <c r="V91" s="474">
        <v>0</v>
      </c>
      <c r="W91" s="474">
        <v>0</v>
      </c>
      <c r="X91" s="474">
        <v>503853</v>
      </c>
      <c r="Y91" s="474">
        <v>0</v>
      </c>
      <c r="Z91" s="474">
        <v>360280</v>
      </c>
      <c r="AA91" s="474">
        <v>0</v>
      </c>
      <c r="AB91" s="474">
        <v>0</v>
      </c>
      <c r="AC91" s="474">
        <v>1233675</v>
      </c>
      <c r="AD91" s="474">
        <v>178527</v>
      </c>
      <c r="AE91" s="474">
        <v>2240821</v>
      </c>
      <c r="AF91" s="474">
        <v>0</v>
      </c>
      <c r="AG91" s="474">
        <v>89618</v>
      </c>
      <c r="AH91" s="474">
        <v>503853</v>
      </c>
      <c r="AI91" s="474">
        <v>336694</v>
      </c>
      <c r="AJ91" s="474">
        <v>51150</v>
      </c>
      <c r="AK91" s="474">
        <v>0</v>
      </c>
      <c r="AL91" s="474">
        <v>371317</v>
      </c>
      <c r="AM91" s="474">
        <v>29516</v>
      </c>
    </row>
    <row r="92" spans="1:39" s="155" customFormat="1" ht="12" x14ac:dyDescent="0.2">
      <c r="A92" s="168">
        <v>38</v>
      </c>
      <c r="B92" s="282">
        <v>23350</v>
      </c>
      <c r="C92" s="268" t="s">
        <v>1100</v>
      </c>
      <c r="D92" s="451">
        <f t="shared" si="16"/>
        <v>5228233</v>
      </c>
      <c r="E92" s="474">
        <v>1397031</v>
      </c>
      <c r="F92" s="474">
        <v>148884</v>
      </c>
      <c r="G92" s="474">
        <v>552995</v>
      </c>
      <c r="H92" s="474">
        <v>0</v>
      </c>
      <c r="I92" s="474">
        <v>1869381</v>
      </c>
      <c r="J92" s="474">
        <v>68000</v>
      </c>
      <c r="K92" s="474">
        <v>822000</v>
      </c>
      <c r="L92" s="474">
        <v>0</v>
      </c>
      <c r="M92" s="474">
        <v>1047722</v>
      </c>
      <c r="N92" s="474">
        <v>0</v>
      </c>
      <c r="O92" s="474">
        <v>24099</v>
      </c>
      <c r="P92" s="451">
        <f t="shared" si="17"/>
        <v>5030064</v>
      </c>
      <c r="Q92" s="474">
        <v>1981266</v>
      </c>
      <c r="R92" s="474">
        <v>1094075</v>
      </c>
      <c r="S92" s="474">
        <v>0</v>
      </c>
      <c r="T92" s="474">
        <v>0</v>
      </c>
      <c r="U92" s="474">
        <v>60000</v>
      </c>
      <c r="V92" s="474">
        <v>0</v>
      </c>
      <c r="W92" s="474">
        <v>0</v>
      </c>
      <c r="X92" s="474">
        <v>335135</v>
      </c>
      <c r="Y92" s="474">
        <v>55000</v>
      </c>
      <c r="Z92" s="474">
        <v>1505807</v>
      </c>
      <c r="AA92" s="474">
        <v>0</v>
      </c>
      <c r="AB92" s="474">
        <v>-1219</v>
      </c>
      <c r="AC92" s="474">
        <v>1046789</v>
      </c>
      <c r="AD92" s="474">
        <v>30012</v>
      </c>
      <c r="AE92" s="474">
        <v>1658138</v>
      </c>
      <c r="AF92" s="474">
        <v>0</v>
      </c>
      <c r="AG92" s="474">
        <v>60190</v>
      </c>
      <c r="AH92" s="474">
        <v>335135</v>
      </c>
      <c r="AI92" s="474">
        <v>379832</v>
      </c>
      <c r="AJ92" s="474">
        <v>129414</v>
      </c>
      <c r="AK92" s="474">
        <v>0</v>
      </c>
      <c r="AL92" s="474">
        <v>1390554</v>
      </c>
      <c r="AM92" s="474">
        <v>0</v>
      </c>
    </row>
    <row r="93" spans="1:39" s="155" customFormat="1" ht="12" x14ac:dyDescent="0.2">
      <c r="A93" s="168">
        <v>39</v>
      </c>
      <c r="B93" s="282">
        <v>23387</v>
      </c>
      <c r="C93" s="268" t="s">
        <v>1101</v>
      </c>
      <c r="D93" s="451">
        <f t="shared" si="16"/>
        <v>5417370</v>
      </c>
      <c r="E93" s="474">
        <v>1622833</v>
      </c>
      <c r="F93" s="474">
        <v>177327</v>
      </c>
      <c r="G93" s="474">
        <v>391153</v>
      </c>
      <c r="H93" s="474">
        <v>0</v>
      </c>
      <c r="I93" s="474">
        <v>1607157</v>
      </c>
      <c r="J93" s="474">
        <v>94500</v>
      </c>
      <c r="K93" s="474">
        <v>1167000</v>
      </c>
      <c r="L93" s="474">
        <v>0</v>
      </c>
      <c r="M93" s="474">
        <v>905442</v>
      </c>
      <c r="N93" s="474">
        <v>0</v>
      </c>
      <c r="O93" s="474">
        <v>20438</v>
      </c>
      <c r="P93" s="451">
        <f t="shared" si="17"/>
        <v>6687200</v>
      </c>
      <c r="Q93" s="474">
        <v>2404450</v>
      </c>
      <c r="R93" s="474">
        <v>1158157</v>
      </c>
      <c r="S93" s="474">
        <v>0</v>
      </c>
      <c r="T93" s="474">
        <v>0</v>
      </c>
      <c r="U93" s="474">
        <v>88000</v>
      </c>
      <c r="V93" s="474">
        <v>0</v>
      </c>
      <c r="W93" s="474">
        <v>0</v>
      </c>
      <c r="X93" s="474">
        <v>83259</v>
      </c>
      <c r="Y93" s="474">
        <v>43000</v>
      </c>
      <c r="Z93" s="474">
        <v>2910334</v>
      </c>
      <c r="AA93" s="474">
        <v>0</v>
      </c>
      <c r="AB93" s="474">
        <v>0</v>
      </c>
      <c r="AC93" s="474">
        <v>1210829</v>
      </c>
      <c r="AD93" s="474">
        <v>0</v>
      </c>
      <c r="AE93" s="474">
        <v>1446506</v>
      </c>
      <c r="AF93" s="474">
        <v>0</v>
      </c>
      <c r="AG93" s="474">
        <v>62908</v>
      </c>
      <c r="AH93" s="474">
        <v>723296</v>
      </c>
      <c r="AI93" s="474">
        <v>72587</v>
      </c>
      <c r="AJ93" s="474">
        <v>134288</v>
      </c>
      <c r="AK93" s="474">
        <v>0</v>
      </c>
      <c r="AL93" s="474">
        <v>3036786</v>
      </c>
      <c r="AM93" s="474">
        <v>0</v>
      </c>
    </row>
    <row r="94" spans="1:39" s="155" customFormat="1" ht="12" x14ac:dyDescent="0.2">
      <c r="A94" s="168">
        <v>40</v>
      </c>
      <c r="B94" s="282">
        <v>20411</v>
      </c>
      <c r="C94" s="268" t="s">
        <v>1102</v>
      </c>
      <c r="D94" s="451">
        <f t="shared" si="16"/>
        <v>5196246</v>
      </c>
      <c r="E94" s="474">
        <v>1995852</v>
      </c>
      <c r="F94" s="474">
        <v>711768</v>
      </c>
      <c r="G94" s="474">
        <v>108220</v>
      </c>
      <c r="H94" s="474">
        <v>0</v>
      </c>
      <c r="I94" s="474">
        <v>1641015</v>
      </c>
      <c r="J94" s="474">
        <v>81000</v>
      </c>
      <c r="K94" s="474">
        <v>1454000</v>
      </c>
      <c r="L94" s="474">
        <v>0</v>
      </c>
      <c r="M94" s="474">
        <v>5904</v>
      </c>
      <c r="N94" s="474">
        <v>0</v>
      </c>
      <c r="O94" s="474">
        <v>18475</v>
      </c>
      <c r="P94" s="451">
        <f t="shared" si="17"/>
        <v>3983484</v>
      </c>
      <c r="Q94" s="474">
        <v>1840510</v>
      </c>
      <c r="R94" s="474">
        <v>848382</v>
      </c>
      <c r="S94" s="474">
        <v>0</v>
      </c>
      <c r="T94" s="474">
        <v>0</v>
      </c>
      <c r="U94" s="474">
        <v>27324</v>
      </c>
      <c r="V94" s="474">
        <v>0</v>
      </c>
      <c r="W94" s="474">
        <v>0</v>
      </c>
      <c r="X94" s="474">
        <v>277296</v>
      </c>
      <c r="Y94" s="474">
        <v>50000</v>
      </c>
      <c r="Z94" s="474">
        <v>939972</v>
      </c>
      <c r="AA94" s="474">
        <v>0</v>
      </c>
      <c r="AB94" s="474">
        <v>0</v>
      </c>
      <c r="AC94" s="474">
        <v>739389</v>
      </c>
      <c r="AD94" s="474">
        <v>26445</v>
      </c>
      <c r="AE94" s="474">
        <v>1369239</v>
      </c>
      <c r="AF94" s="474">
        <v>0</v>
      </c>
      <c r="AG94" s="474">
        <v>141047</v>
      </c>
      <c r="AH94" s="474">
        <v>350153</v>
      </c>
      <c r="AI94" s="474">
        <v>408189</v>
      </c>
      <c r="AJ94" s="474">
        <v>167525</v>
      </c>
      <c r="AK94" s="474">
        <v>0</v>
      </c>
      <c r="AL94" s="474">
        <v>781497</v>
      </c>
      <c r="AM94" s="474">
        <v>0</v>
      </c>
    </row>
    <row r="95" spans="1:39" s="155" customFormat="1" ht="12" x14ac:dyDescent="0.2">
      <c r="A95" s="168">
        <v>41</v>
      </c>
      <c r="B95" s="282">
        <v>20466</v>
      </c>
      <c r="C95" s="268" t="s">
        <v>1103</v>
      </c>
      <c r="D95" s="451">
        <f t="shared" si="16"/>
        <v>20055987</v>
      </c>
      <c r="E95" s="474">
        <v>3577982</v>
      </c>
      <c r="F95" s="474">
        <v>806981</v>
      </c>
      <c r="G95" s="474">
        <v>28867</v>
      </c>
      <c r="H95" s="474">
        <v>0</v>
      </c>
      <c r="I95" s="474">
        <v>3283998</v>
      </c>
      <c r="J95" s="474">
        <v>131000</v>
      </c>
      <c r="K95" s="474">
        <v>1088000</v>
      </c>
      <c r="L95" s="474">
        <v>0</v>
      </c>
      <c r="M95" s="474">
        <v>4759426</v>
      </c>
      <c r="N95" s="474">
        <v>7212393</v>
      </c>
      <c r="O95" s="474">
        <v>3188</v>
      </c>
      <c r="P95" s="451">
        <f t="shared" si="17"/>
        <v>19225372</v>
      </c>
      <c r="Q95" s="474">
        <v>3791456</v>
      </c>
      <c r="R95" s="474">
        <v>1295992</v>
      </c>
      <c r="S95" s="474">
        <v>0</v>
      </c>
      <c r="T95" s="474">
        <v>0</v>
      </c>
      <c r="U95" s="474">
        <v>3188</v>
      </c>
      <c r="V95" s="474">
        <v>0</v>
      </c>
      <c r="W95" s="474">
        <v>12043845</v>
      </c>
      <c r="X95" s="474">
        <v>275978</v>
      </c>
      <c r="Y95" s="474">
        <v>10000</v>
      </c>
      <c r="Z95" s="474">
        <v>1847513</v>
      </c>
      <c r="AA95" s="474">
        <v>0</v>
      </c>
      <c r="AB95" s="474">
        <v>-42600</v>
      </c>
      <c r="AC95" s="474">
        <v>1397511</v>
      </c>
      <c r="AD95" s="474">
        <v>0</v>
      </c>
      <c r="AE95" s="474">
        <v>2700671</v>
      </c>
      <c r="AF95" s="474">
        <v>0</v>
      </c>
      <c r="AG95" s="474">
        <v>10686</v>
      </c>
      <c r="AH95" s="474">
        <v>737684</v>
      </c>
      <c r="AI95" s="474">
        <v>12163187</v>
      </c>
      <c r="AJ95" s="474">
        <v>385009</v>
      </c>
      <c r="AK95" s="474">
        <v>0</v>
      </c>
      <c r="AL95" s="474">
        <v>1817582</v>
      </c>
      <c r="AM95" s="474">
        <v>13042</v>
      </c>
    </row>
    <row r="96" spans="1:39" s="155" customFormat="1" ht="12" x14ac:dyDescent="0.2">
      <c r="A96" s="168">
        <v>42</v>
      </c>
      <c r="B96" s="282">
        <v>23449</v>
      </c>
      <c r="C96" s="268" t="s">
        <v>1104</v>
      </c>
      <c r="D96" s="451">
        <f t="shared" si="16"/>
        <v>5604754</v>
      </c>
      <c r="E96" s="474">
        <v>1192097</v>
      </c>
      <c r="F96" s="474">
        <v>317437</v>
      </c>
      <c r="G96" s="474">
        <v>510908</v>
      </c>
      <c r="H96" s="474">
        <v>0</v>
      </c>
      <c r="I96" s="474">
        <v>2360787</v>
      </c>
      <c r="J96" s="474">
        <v>88000</v>
      </c>
      <c r="K96" s="474">
        <v>868000</v>
      </c>
      <c r="L96" s="474">
        <v>0</v>
      </c>
      <c r="M96" s="474">
        <v>585645</v>
      </c>
      <c r="N96" s="474">
        <v>395431</v>
      </c>
      <c r="O96" s="474">
        <v>114794</v>
      </c>
      <c r="P96" s="451">
        <f t="shared" si="17"/>
        <v>5505290</v>
      </c>
      <c r="Q96" s="474">
        <v>2365902</v>
      </c>
      <c r="R96" s="474">
        <v>1084786</v>
      </c>
      <c r="S96" s="474">
        <v>0</v>
      </c>
      <c r="T96" s="474">
        <v>0</v>
      </c>
      <c r="U96" s="474">
        <v>60500</v>
      </c>
      <c r="V96" s="474">
        <v>0</v>
      </c>
      <c r="W96" s="474">
        <v>0</v>
      </c>
      <c r="X96" s="474">
        <v>381586</v>
      </c>
      <c r="Y96" s="474">
        <v>15000</v>
      </c>
      <c r="Z96" s="474">
        <v>1631157</v>
      </c>
      <c r="AA96" s="474">
        <v>0</v>
      </c>
      <c r="AB96" s="474">
        <v>-33641</v>
      </c>
      <c r="AC96" s="474">
        <v>766311</v>
      </c>
      <c r="AD96" s="474">
        <v>95057</v>
      </c>
      <c r="AE96" s="474">
        <v>2190189</v>
      </c>
      <c r="AF96" s="474">
        <v>0</v>
      </c>
      <c r="AG96" s="474">
        <v>48484</v>
      </c>
      <c r="AH96" s="474">
        <v>476446</v>
      </c>
      <c r="AI96" s="474">
        <v>243727</v>
      </c>
      <c r="AJ96" s="474">
        <v>105496</v>
      </c>
      <c r="AK96" s="474">
        <v>0</v>
      </c>
      <c r="AL96" s="474">
        <v>1579580</v>
      </c>
      <c r="AM96" s="474">
        <v>0</v>
      </c>
    </row>
    <row r="97" spans="1:39" s="155" customFormat="1" ht="12" x14ac:dyDescent="0.2">
      <c r="A97" s="168">
        <v>43</v>
      </c>
      <c r="B97" s="282">
        <v>23494</v>
      </c>
      <c r="C97" s="268" t="s">
        <v>1105</v>
      </c>
      <c r="D97" s="451">
        <f t="shared" si="16"/>
        <v>5693263</v>
      </c>
      <c r="E97" s="474">
        <v>1357477</v>
      </c>
      <c r="F97" s="474">
        <v>279258</v>
      </c>
      <c r="G97" s="474">
        <v>528763</v>
      </c>
      <c r="H97" s="474">
        <v>0</v>
      </c>
      <c r="I97" s="474">
        <v>2116015</v>
      </c>
      <c r="J97" s="474">
        <v>224500</v>
      </c>
      <c r="K97" s="474">
        <v>729000</v>
      </c>
      <c r="L97" s="474">
        <v>0</v>
      </c>
      <c r="M97" s="474">
        <v>779670</v>
      </c>
      <c r="N97" s="474">
        <v>413470</v>
      </c>
      <c r="O97" s="474">
        <v>73131</v>
      </c>
      <c r="P97" s="451">
        <f t="shared" si="17"/>
        <v>5387363</v>
      </c>
      <c r="Q97" s="474">
        <v>2506235</v>
      </c>
      <c r="R97" s="474">
        <v>971585</v>
      </c>
      <c r="S97" s="474">
        <v>0</v>
      </c>
      <c r="T97" s="474">
        <v>0</v>
      </c>
      <c r="U97" s="474">
        <v>19000</v>
      </c>
      <c r="V97" s="474">
        <v>0</v>
      </c>
      <c r="W97" s="474">
        <v>843200</v>
      </c>
      <c r="X97" s="474">
        <v>223522</v>
      </c>
      <c r="Y97" s="474">
        <v>80492</v>
      </c>
      <c r="Z97" s="474">
        <v>743329</v>
      </c>
      <c r="AA97" s="474">
        <v>0</v>
      </c>
      <c r="AB97" s="474">
        <v>0</v>
      </c>
      <c r="AC97" s="474">
        <v>1596623</v>
      </c>
      <c r="AD97" s="474">
        <v>2613</v>
      </c>
      <c r="AE97" s="474">
        <v>1793015</v>
      </c>
      <c r="AF97" s="474">
        <v>29117</v>
      </c>
      <c r="AG97" s="474">
        <v>41777</v>
      </c>
      <c r="AH97" s="474">
        <v>607836</v>
      </c>
      <c r="AI97" s="474">
        <v>273986</v>
      </c>
      <c r="AJ97" s="474">
        <v>0</v>
      </c>
      <c r="AK97" s="474">
        <v>0</v>
      </c>
      <c r="AL97" s="474">
        <v>956811</v>
      </c>
      <c r="AM97" s="474">
        <v>85585</v>
      </c>
    </row>
    <row r="98" spans="1:39" s="155" customFormat="1" ht="12" x14ac:dyDescent="0.2">
      <c r="A98" s="168">
        <v>44</v>
      </c>
      <c r="B98" s="282">
        <v>23644</v>
      </c>
      <c r="C98" s="268" t="s">
        <v>1106</v>
      </c>
      <c r="D98" s="451">
        <f t="shared" si="16"/>
        <v>3921821</v>
      </c>
      <c r="E98" s="474">
        <v>1307529</v>
      </c>
      <c r="F98" s="474">
        <v>126862</v>
      </c>
      <c r="G98" s="474">
        <v>672869</v>
      </c>
      <c r="H98" s="474">
        <v>0</v>
      </c>
      <c r="I98" s="474">
        <v>1394845</v>
      </c>
      <c r="J98" s="474">
        <v>126850</v>
      </c>
      <c r="K98" s="474">
        <v>724000</v>
      </c>
      <c r="L98" s="474">
        <v>0</v>
      </c>
      <c r="M98" s="474">
        <v>338760</v>
      </c>
      <c r="N98" s="474">
        <v>20</v>
      </c>
      <c r="O98" s="474">
        <v>29817</v>
      </c>
      <c r="P98" s="451">
        <f t="shared" si="17"/>
        <v>3732795</v>
      </c>
      <c r="Q98" s="474">
        <v>1985627</v>
      </c>
      <c r="R98" s="474">
        <v>913578</v>
      </c>
      <c r="S98" s="474">
        <v>14965</v>
      </c>
      <c r="T98" s="474">
        <v>0</v>
      </c>
      <c r="U98" s="474">
        <v>23000</v>
      </c>
      <c r="V98" s="474">
        <v>0</v>
      </c>
      <c r="W98" s="474">
        <v>0</v>
      </c>
      <c r="X98" s="474">
        <v>15608</v>
      </c>
      <c r="Y98" s="474">
        <v>0</v>
      </c>
      <c r="Z98" s="474">
        <v>720442</v>
      </c>
      <c r="AA98" s="474">
        <v>59575</v>
      </c>
      <c r="AB98" s="474">
        <v>0</v>
      </c>
      <c r="AC98" s="474">
        <v>986456</v>
      </c>
      <c r="AD98" s="474">
        <v>0</v>
      </c>
      <c r="AE98" s="474">
        <v>1272844</v>
      </c>
      <c r="AF98" s="474">
        <v>0</v>
      </c>
      <c r="AG98" s="474">
        <v>84248</v>
      </c>
      <c r="AH98" s="474">
        <v>311765</v>
      </c>
      <c r="AI98" s="474">
        <v>169998</v>
      </c>
      <c r="AJ98" s="474">
        <v>97787</v>
      </c>
      <c r="AK98" s="474">
        <v>0</v>
      </c>
      <c r="AL98" s="474">
        <v>809697</v>
      </c>
      <c r="AM98" s="474">
        <v>0</v>
      </c>
    </row>
    <row r="99" spans="1:39" s="155" customFormat="1" ht="12" x14ac:dyDescent="0.2">
      <c r="A99" s="168">
        <v>45</v>
      </c>
      <c r="B99" s="282">
        <v>23715</v>
      </c>
      <c r="C99" s="268" t="s">
        <v>1107</v>
      </c>
      <c r="D99" s="451">
        <f t="shared" si="16"/>
        <v>12393223</v>
      </c>
      <c r="E99" s="474">
        <v>5529566</v>
      </c>
      <c r="F99" s="474">
        <v>1362139</v>
      </c>
      <c r="G99" s="474">
        <v>19054</v>
      </c>
      <c r="H99" s="474">
        <v>0</v>
      </c>
      <c r="I99" s="474">
        <v>4469739</v>
      </c>
      <c r="J99" s="474">
        <v>118000</v>
      </c>
      <c r="K99" s="474">
        <v>1471000</v>
      </c>
      <c r="L99" s="474">
        <v>0</v>
      </c>
      <c r="M99" s="474">
        <v>767266</v>
      </c>
      <c r="N99" s="474">
        <v>0</v>
      </c>
      <c r="O99" s="474">
        <v>37652</v>
      </c>
      <c r="P99" s="451">
        <f t="shared" si="17"/>
        <v>10331263</v>
      </c>
      <c r="Q99" s="474">
        <v>5135076</v>
      </c>
      <c r="R99" s="474">
        <v>1649083</v>
      </c>
      <c r="S99" s="474">
        <v>64180</v>
      </c>
      <c r="T99" s="474">
        <v>0</v>
      </c>
      <c r="U99" s="474">
        <v>18542</v>
      </c>
      <c r="V99" s="474">
        <v>11500</v>
      </c>
      <c r="W99" s="474">
        <v>0</v>
      </c>
      <c r="X99" s="474">
        <v>115277</v>
      </c>
      <c r="Y99" s="474">
        <v>182815</v>
      </c>
      <c r="Z99" s="474">
        <v>2990313</v>
      </c>
      <c r="AA99" s="474">
        <v>180000</v>
      </c>
      <c r="AB99" s="474">
        <v>-15523</v>
      </c>
      <c r="AC99" s="474">
        <v>1247883</v>
      </c>
      <c r="AD99" s="474">
        <v>70926</v>
      </c>
      <c r="AE99" s="474">
        <v>4008469</v>
      </c>
      <c r="AF99" s="474">
        <v>14634</v>
      </c>
      <c r="AG99" s="474">
        <v>262714</v>
      </c>
      <c r="AH99" s="474">
        <v>764371</v>
      </c>
      <c r="AI99" s="474">
        <v>1028367</v>
      </c>
      <c r="AJ99" s="474">
        <v>321615</v>
      </c>
      <c r="AK99" s="474">
        <v>0</v>
      </c>
      <c r="AL99" s="474">
        <v>2609684</v>
      </c>
      <c r="AM99" s="474">
        <v>2600</v>
      </c>
    </row>
    <row r="100" spans="1:39" s="155" customFormat="1" ht="12" x14ac:dyDescent="0.2">
      <c r="A100" s="168">
        <v>46</v>
      </c>
      <c r="B100" s="282">
        <v>23797</v>
      </c>
      <c r="C100" s="268" t="s">
        <v>1108</v>
      </c>
      <c r="D100" s="451">
        <f t="shared" si="16"/>
        <v>8743817</v>
      </c>
      <c r="E100" s="474">
        <v>3184554</v>
      </c>
      <c r="F100" s="474">
        <v>952999</v>
      </c>
      <c r="G100" s="474">
        <v>33138</v>
      </c>
      <c r="H100" s="474">
        <v>0</v>
      </c>
      <c r="I100" s="474">
        <v>4120160</v>
      </c>
      <c r="J100" s="474">
        <v>87400</v>
      </c>
      <c r="K100" s="474">
        <v>1307000</v>
      </c>
      <c r="L100" s="474">
        <v>0</v>
      </c>
      <c r="M100" s="474">
        <v>29018</v>
      </c>
      <c r="N100" s="474">
        <v>0</v>
      </c>
      <c r="O100" s="474">
        <v>15685</v>
      </c>
      <c r="P100" s="451">
        <f t="shared" si="17"/>
        <v>7084192</v>
      </c>
      <c r="Q100" s="474">
        <v>4560630</v>
      </c>
      <c r="R100" s="474">
        <v>1912993</v>
      </c>
      <c r="S100" s="474">
        <v>0</v>
      </c>
      <c r="T100" s="474">
        <v>0</v>
      </c>
      <c r="U100" s="474">
        <v>34320</v>
      </c>
      <c r="V100" s="474">
        <v>80000</v>
      </c>
      <c r="W100" s="474">
        <v>0</v>
      </c>
      <c r="X100" s="474">
        <v>547805</v>
      </c>
      <c r="Y100" s="474">
        <v>0</v>
      </c>
      <c r="Z100" s="474">
        <v>266797</v>
      </c>
      <c r="AA100" s="474">
        <v>0</v>
      </c>
      <c r="AB100" s="474">
        <v>-318353</v>
      </c>
      <c r="AC100" s="474">
        <v>1251169</v>
      </c>
      <c r="AD100" s="474">
        <v>150645</v>
      </c>
      <c r="AE100" s="474">
        <v>4026032</v>
      </c>
      <c r="AF100" s="474">
        <v>0</v>
      </c>
      <c r="AG100" s="474">
        <v>286674</v>
      </c>
      <c r="AH100" s="474">
        <v>693213</v>
      </c>
      <c r="AI100" s="474">
        <v>239016</v>
      </c>
      <c r="AJ100" s="474">
        <v>33260</v>
      </c>
      <c r="AK100" s="474">
        <v>0</v>
      </c>
      <c r="AL100" s="474">
        <v>425654</v>
      </c>
      <c r="AM100" s="474">
        <v>-21471</v>
      </c>
    </row>
    <row r="101" spans="1:39" s="155" customFormat="1" ht="12" x14ac:dyDescent="0.2">
      <c r="A101" s="168">
        <v>47</v>
      </c>
      <c r="B101" s="282">
        <v>23868</v>
      </c>
      <c r="C101" s="268" t="s">
        <v>1109</v>
      </c>
      <c r="D101" s="451">
        <f t="shared" si="16"/>
        <v>3265486</v>
      </c>
      <c r="E101" s="474">
        <v>1077831</v>
      </c>
      <c r="F101" s="474">
        <v>77213</v>
      </c>
      <c r="G101" s="474">
        <v>779277</v>
      </c>
      <c r="H101" s="474">
        <v>0</v>
      </c>
      <c r="I101" s="474">
        <v>1007305</v>
      </c>
      <c r="J101" s="474">
        <v>144500</v>
      </c>
      <c r="K101" s="474">
        <v>716000</v>
      </c>
      <c r="L101" s="474">
        <v>0</v>
      </c>
      <c r="M101" s="474">
        <v>92057</v>
      </c>
      <c r="N101" s="474">
        <v>199275</v>
      </c>
      <c r="O101" s="474">
        <v>28518</v>
      </c>
      <c r="P101" s="451">
        <f t="shared" si="17"/>
        <v>3190569</v>
      </c>
      <c r="Q101" s="474">
        <v>1492557</v>
      </c>
      <c r="R101" s="474">
        <v>1016417</v>
      </c>
      <c r="S101" s="474">
        <v>3815</v>
      </c>
      <c r="T101" s="474">
        <v>0</v>
      </c>
      <c r="U101" s="474">
        <v>34000</v>
      </c>
      <c r="V101" s="474">
        <v>0</v>
      </c>
      <c r="W101" s="474">
        <v>258906</v>
      </c>
      <c r="X101" s="474">
        <v>74754</v>
      </c>
      <c r="Y101" s="474">
        <v>0</v>
      </c>
      <c r="Z101" s="474">
        <v>281322</v>
      </c>
      <c r="AA101" s="474">
        <v>28798</v>
      </c>
      <c r="AB101" s="474">
        <v>0</v>
      </c>
      <c r="AC101" s="474">
        <v>895099</v>
      </c>
      <c r="AD101" s="474">
        <v>92673</v>
      </c>
      <c r="AE101" s="474">
        <v>945376</v>
      </c>
      <c r="AF101" s="474">
        <v>0</v>
      </c>
      <c r="AG101" s="474">
        <v>74578</v>
      </c>
      <c r="AH101" s="474">
        <v>211196</v>
      </c>
      <c r="AI101" s="474">
        <v>624642</v>
      </c>
      <c r="AJ101" s="474">
        <v>0</v>
      </c>
      <c r="AK101" s="474">
        <v>0</v>
      </c>
      <c r="AL101" s="474">
        <v>347005</v>
      </c>
      <c r="AM101" s="474">
        <v>0</v>
      </c>
    </row>
    <row r="102" spans="1:39" s="155" customFormat="1" ht="12" x14ac:dyDescent="0.2">
      <c r="A102" s="168">
        <v>48</v>
      </c>
      <c r="B102" s="282">
        <v>23948</v>
      </c>
      <c r="C102" s="268" t="s">
        <v>1110</v>
      </c>
      <c r="D102" s="451">
        <f t="shared" si="16"/>
        <v>11364158</v>
      </c>
      <c r="E102" s="474">
        <v>1189778</v>
      </c>
      <c r="F102" s="474">
        <v>202959</v>
      </c>
      <c r="G102" s="474">
        <v>558600</v>
      </c>
      <c r="H102" s="474">
        <v>0</v>
      </c>
      <c r="I102" s="474">
        <v>2095211</v>
      </c>
      <c r="J102" s="474">
        <v>109000</v>
      </c>
      <c r="K102" s="474">
        <v>796000</v>
      </c>
      <c r="L102" s="474">
        <v>0</v>
      </c>
      <c r="M102" s="474">
        <v>5056884</v>
      </c>
      <c r="N102" s="474">
        <v>2081956</v>
      </c>
      <c r="O102" s="474">
        <v>35329</v>
      </c>
      <c r="P102" s="451">
        <f t="shared" si="17"/>
        <v>11200641</v>
      </c>
      <c r="Q102" s="474">
        <v>2254380</v>
      </c>
      <c r="R102" s="474">
        <v>626706</v>
      </c>
      <c r="S102" s="474">
        <v>0</v>
      </c>
      <c r="T102" s="474">
        <v>0</v>
      </c>
      <c r="U102" s="474">
        <v>14964</v>
      </c>
      <c r="V102" s="474">
        <v>0</v>
      </c>
      <c r="W102" s="474">
        <v>2666649</v>
      </c>
      <c r="X102" s="474">
        <v>246506</v>
      </c>
      <c r="Y102" s="474">
        <v>50000</v>
      </c>
      <c r="Z102" s="474">
        <v>5341436</v>
      </c>
      <c r="AA102" s="474">
        <v>0</v>
      </c>
      <c r="AB102" s="474">
        <v>0</v>
      </c>
      <c r="AC102" s="474">
        <v>608381</v>
      </c>
      <c r="AD102" s="474">
        <v>16971</v>
      </c>
      <c r="AE102" s="474">
        <v>2963973</v>
      </c>
      <c r="AF102" s="474">
        <v>0</v>
      </c>
      <c r="AG102" s="474">
        <v>73222</v>
      </c>
      <c r="AH102" s="474">
        <v>530993</v>
      </c>
      <c r="AI102" s="474">
        <v>141968</v>
      </c>
      <c r="AJ102" s="474">
        <v>26799</v>
      </c>
      <c r="AK102" s="474">
        <v>0</v>
      </c>
      <c r="AL102" s="474">
        <v>6838334</v>
      </c>
      <c r="AM102" s="474">
        <v>0</v>
      </c>
    </row>
    <row r="103" spans="1:39" s="155" customFormat="1" ht="12" x14ac:dyDescent="0.2">
      <c r="A103" s="168">
        <v>49</v>
      </c>
      <c r="B103" s="282">
        <v>23975</v>
      </c>
      <c r="C103" s="268" t="s">
        <v>1111</v>
      </c>
      <c r="D103" s="451">
        <f t="shared" si="16"/>
        <v>11587904</v>
      </c>
      <c r="E103" s="474">
        <v>1156035</v>
      </c>
      <c r="F103" s="474">
        <v>179067</v>
      </c>
      <c r="G103" s="474">
        <v>572547</v>
      </c>
      <c r="H103" s="474">
        <v>0</v>
      </c>
      <c r="I103" s="474">
        <v>2101186</v>
      </c>
      <c r="J103" s="474">
        <v>132500</v>
      </c>
      <c r="K103" s="474">
        <v>793000</v>
      </c>
      <c r="L103" s="474">
        <v>0</v>
      </c>
      <c r="M103" s="474">
        <v>3225746</v>
      </c>
      <c r="N103" s="474">
        <v>4123662</v>
      </c>
      <c r="O103" s="474">
        <v>55775</v>
      </c>
      <c r="P103" s="451">
        <f t="shared" si="17"/>
        <v>7109064</v>
      </c>
      <c r="Q103" s="474">
        <v>2528281</v>
      </c>
      <c r="R103" s="474">
        <v>836230</v>
      </c>
      <c r="S103" s="474">
        <v>0</v>
      </c>
      <c r="T103" s="474">
        <v>0</v>
      </c>
      <c r="U103" s="474">
        <v>29311</v>
      </c>
      <c r="V103" s="474">
        <v>0</v>
      </c>
      <c r="W103" s="474">
        <v>569978</v>
      </c>
      <c r="X103" s="474">
        <v>219259</v>
      </c>
      <c r="Y103" s="474">
        <v>35000</v>
      </c>
      <c r="Z103" s="474">
        <v>2891005</v>
      </c>
      <c r="AA103" s="474">
        <v>0</v>
      </c>
      <c r="AB103" s="474">
        <v>0</v>
      </c>
      <c r="AC103" s="474">
        <v>762075</v>
      </c>
      <c r="AD103" s="474">
        <v>51622</v>
      </c>
      <c r="AE103" s="474">
        <v>1842220</v>
      </c>
      <c r="AF103" s="474">
        <v>0</v>
      </c>
      <c r="AG103" s="474">
        <v>97917</v>
      </c>
      <c r="AH103" s="474">
        <v>476483</v>
      </c>
      <c r="AI103" s="474">
        <v>789964</v>
      </c>
      <c r="AJ103" s="474">
        <v>49723</v>
      </c>
      <c r="AK103" s="474">
        <v>0</v>
      </c>
      <c r="AL103" s="474">
        <v>2973282</v>
      </c>
      <c r="AM103" s="474">
        <v>65778</v>
      </c>
    </row>
    <row r="104" spans="1:39" s="155" customFormat="1" ht="12" x14ac:dyDescent="0.2">
      <c r="A104" s="168">
        <v>50</v>
      </c>
      <c r="B104" s="282">
        <v>24034</v>
      </c>
      <c r="C104" s="268" t="s">
        <v>1112</v>
      </c>
      <c r="D104" s="451">
        <f t="shared" si="16"/>
        <v>3848229</v>
      </c>
      <c r="E104" s="474">
        <v>1281422</v>
      </c>
      <c r="F104" s="474">
        <v>102305</v>
      </c>
      <c r="G104" s="474">
        <v>654670</v>
      </c>
      <c r="H104" s="474">
        <v>0</v>
      </c>
      <c r="I104" s="474">
        <v>1583801</v>
      </c>
      <c r="J104" s="474">
        <v>86500</v>
      </c>
      <c r="K104" s="474">
        <v>559000</v>
      </c>
      <c r="L104" s="474">
        <v>0</v>
      </c>
      <c r="M104" s="474">
        <v>85095</v>
      </c>
      <c r="N104" s="474">
        <v>251880</v>
      </c>
      <c r="O104" s="474">
        <v>531</v>
      </c>
      <c r="P104" s="451">
        <f t="shared" si="17"/>
        <v>2913690</v>
      </c>
      <c r="Q104" s="474">
        <v>1652749</v>
      </c>
      <c r="R104" s="474">
        <v>796887</v>
      </c>
      <c r="S104" s="474">
        <v>0</v>
      </c>
      <c r="T104" s="474">
        <v>0</v>
      </c>
      <c r="U104" s="474">
        <v>5471</v>
      </c>
      <c r="V104" s="474">
        <v>0</v>
      </c>
      <c r="W104" s="474">
        <v>0</v>
      </c>
      <c r="X104" s="474">
        <v>308833</v>
      </c>
      <c r="Y104" s="474">
        <v>10000</v>
      </c>
      <c r="Z104" s="474">
        <v>144482</v>
      </c>
      <c r="AA104" s="474">
        <v>0</v>
      </c>
      <c r="AB104" s="474">
        <v>-4732</v>
      </c>
      <c r="AC104" s="474">
        <v>559237</v>
      </c>
      <c r="AD104" s="474">
        <v>24459</v>
      </c>
      <c r="AE104" s="474">
        <v>1428141</v>
      </c>
      <c r="AF104" s="474">
        <v>0</v>
      </c>
      <c r="AG104" s="474">
        <v>142358</v>
      </c>
      <c r="AH104" s="474">
        <v>308833</v>
      </c>
      <c r="AI104" s="474">
        <v>175821</v>
      </c>
      <c r="AJ104" s="474">
        <v>50915</v>
      </c>
      <c r="AK104" s="474">
        <v>0</v>
      </c>
      <c r="AL104" s="474">
        <v>223926</v>
      </c>
      <c r="AM104" s="474">
        <v>0</v>
      </c>
    </row>
    <row r="105" spans="1:39" s="155" customFormat="1" ht="12" x14ac:dyDescent="0.2">
      <c r="A105" s="168">
        <v>51</v>
      </c>
      <c r="B105" s="282">
        <v>24089</v>
      </c>
      <c r="C105" s="268" t="s">
        <v>1113</v>
      </c>
      <c r="D105" s="451">
        <f t="shared" si="16"/>
        <v>5224211</v>
      </c>
      <c r="E105" s="474">
        <v>1271619</v>
      </c>
      <c r="F105" s="474">
        <v>212258</v>
      </c>
      <c r="G105" s="474">
        <v>596904</v>
      </c>
      <c r="H105" s="474">
        <v>0</v>
      </c>
      <c r="I105" s="474">
        <v>2706174</v>
      </c>
      <c r="J105" s="474">
        <v>161000</v>
      </c>
      <c r="K105" s="474">
        <v>789000</v>
      </c>
      <c r="L105" s="474">
        <v>0</v>
      </c>
      <c r="M105" s="474">
        <v>138556</v>
      </c>
      <c r="N105" s="474">
        <v>157862</v>
      </c>
      <c r="O105" s="474">
        <v>0</v>
      </c>
      <c r="P105" s="451">
        <f t="shared" si="17"/>
        <v>4351267</v>
      </c>
      <c r="Q105" s="474">
        <v>3043345</v>
      </c>
      <c r="R105" s="474">
        <v>943312</v>
      </c>
      <c r="S105" s="474">
        <v>0</v>
      </c>
      <c r="T105" s="474">
        <v>0</v>
      </c>
      <c r="U105" s="474">
        <v>51492</v>
      </c>
      <c r="V105" s="474">
        <v>0</v>
      </c>
      <c r="W105" s="474">
        <v>8680</v>
      </c>
      <c r="X105" s="474">
        <v>185136</v>
      </c>
      <c r="Y105" s="474">
        <v>0</v>
      </c>
      <c r="Z105" s="474">
        <v>119302</v>
      </c>
      <c r="AA105" s="474">
        <v>0</v>
      </c>
      <c r="AB105" s="474">
        <v>0</v>
      </c>
      <c r="AC105" s="474">
        <v>755409</v>
      </c>
      <c r="AD105" s="474">
        <v>29114</v>
      </c>
      <c r="AE105" s="474">
        <v>2594062</v>
      </c>
      <c r="AF105" s="474">
        <v>0</v>
      </c>
      <c r="AG105" s="474">
        <v>120261</v>
      </c>
      <c r="AH105" s="474">
        <v>474778</v>
      </c>
      <c r="AI105" s="474">
        <v>147065</v>
      </c>
      <c r="AJ105" s="474">
        <v>125</v>
      </c>
      <c r="AK105" s="474">
        <v>0</v>
      </c>
      <c r="AL105" s="474">
        <v>221773</v>
      </c>
      <c r="AM105" s="474">
        <v>8680</v>
      </c>
    </row>
    <row r="106" spans="1:39" s="155" customFormat="1" ht="12" x14ac:dyDescent="0.2">
      <c r="A106" s="168">
        <v>52</v>
      </c>
      <c r="B106" s="282">
        <v>24187</v>
      </c>
      <c r="C106" s="268" t="s">
        <v>1114</v>
      </c>
      <c r="D106" s="451">
        <f t="shared" si="16"/>
        <v>7284532</v>
      </c>
      <c r="E106" s="474">
        <v>1182091</v>
      </c>
      <c r="F106" s="474">
        <v>153011</v>
      </c>
      <c r="G106" s="474">
        <v>580752</v>
      </c>
      <c r="H106" s="474">
        <v>0</v>
      </c>
      <c r="I106" s="474">
        <v>2248017</v>
      </c>
      <c r="J106" s="474">
        <v>151000</v>
      </c>
      <c r="K106" s="474">
        <v>919000</v>
      </c>
      <c r="L106" s="474">
        <v>0</v>
      </c>
      <c r="M106" s="474">
        <v>2592905</v>
      </c>
      <c r="N106" s="474">
        <v>149240</v>
      </c>
      <c r="O106" s="474">
        <v>42279</v>
      </c>
      <c r="P106" s="451">
        <f t="shared" si="17"/>
        <v>7060424</v>
      </c>
      <c r="Q106" s="474">
        <v>2502735</v>
      </c>
      <c r="R106" s="474">
        <v>781683</v>
      </c>
      <c r="S106" s="474">
        <v>0</v>
      </c>
      <c r="T106" s="474">
        <v>0</v>
      </c>
      <c r="U106" s="474">
        <v>39156</v>
      </c>
      <c r="V106" s="474">
        <v>0</v>
      </c>
      <c r="W106" s="474">
        <v>72936</v>
      </c>
      <c r="X106" s="474">
        <v>290808</v>
      </c>
      <c r="Y106" s="474">
        <v>0</v>
      </c>
      <c r="Z106" s="474">
        <v>3373106</v>
      </c>
      <c r="AA106" s="474">
        <v>0</v>
      </c>
      <c r="AB106" s="474">
        <v>0</v>
      </c>
      <c r="AC106" s="474">
        <v>699671</v>
      </c>
      <c r="AD106" s="474">
        <v>2517</v>
      </c>
      <c r="AE106" s="474">
        <v>1934003</v>
      </c>
      <c r="AF106" s="474">
        <v>0</v>
      </c>
      <c r="AG106" s="474">
        <v>38867</v>
      </c>
      <c r="AH106" s="474">
        <v>632228</v>
      </c>
      <c r="AI106" s="474">
        <v>661610</v>
      </c>
      <c r="AJ106" s="474">
        <v>0</v>
      </c>
      <c r="AK106" s="474">
        <v>0</v>
      </c>
      <c r="AL106" s="474">
        <v>3091528</v>
      </c>
      <c r="AM106" s="474">
        <v>0</v>
      </c>
    </row>
    <row r="107" spans="1:39" s="155" customFormat="1" ht="12" x14ac:dyDescent="0.2">
      <c r="A107" s="168">
        <v>53</v>
      </c>
      <c r="B107" s="282">
        <v>24276</v>
      </c>
      <c r="C107" s="268" t="s">
        <v>1115</v>
      </c>
      <c r="D107" s="451">
        <f t="shared" si="16"/>
        <v>4102945</v>
      </c>
      <c r="E107" s="474">
        <v>1162026</v>
      </c>
      <c r="F107" s="474">
        <v>148855</v>
      </c>
      <c r="G107" s="474">
        <v>599134</v>
      </c>
      <c r="H107" s="474">
        <v>0</v>
      </c>
      <c r="I107" s="474">
        <v>2033874</v>
      </c>
      <c r="J107" s="474">
        <v>77500</v>
      </c>
      <c r="K107" s="474">
        <v>705000</v>
      </c>
      <c r="L107" s="474">
        <v>0</v>
      </c>
      <c r="M107" s="474">
        <v>111753</v>
      </c>
      <c r="N107" s="474">
        <v>0</v>
      </c>
      <c r="O107" s="474">
        <v>12792</v>
      </c>
      <c r="P107" s="451">
        <f t="shared" si="17"/>
        <v>3234189</v>
      </c>
      <c r="Q107" s="474">
        <v>2109214</v>
      </c>
      <c r="R107" s="474">
        <v>712866</v>
      </c>
      <c r="S107" s="474">
        <v>0</v>
      </c>
      <c r="T107" s="474">
        <v>0</v>
      </c>
      <c r="U107" s="474">
        <v>34806</v>
      </c>
      <c r="V107" s="474">
        <v>0</v>
      </c>
      <c r="W107" s="474">
        <v>0</v>
      </c>
      <c r="X107" s="474">
        <v>322755</v>
      </c>
      <c r="Y107" s="474">
        <v>39809</v>
      </c>
      <c r="Z107" s="474">
        <v>28496</v>
      </c>
      <c r="AA107" s="474">
        <v>0</v>
      </c>
      <c r="AB107" s="474">
        <v>-13757</v>
      </c>
      <c r="AC107" s="474">
        <v>629078</v>
      </c>
      <c r="AD107" s="474">
        <v>13349</v>
      </c>
      <c r="AE107" s="474">
        <v>1826841</v>
      </c>
      <c r="AF107" s="474">
        <v>35731</v>
      </c>
      <c r="AG107" s="474">
        <v>133654</v>
      </c>
      <c r="AH107" s="474">
        <v>352112</v>
      </c>
      <c r="AI107" s="474">
        <v>94218</v>
      </c>
      <c r="AJ107" s="474">
        <v>37554</v>
      </c>
      <c r="AK107" s="474">
        <v>0</v>
      </c>
      <c r="AL107" s="474">
        <v>111652</v>
      </c>
      <c r="AM107" s="474">
        <v>0</v>
      </c>
    </row>
    <row r="108" spans="1:39" s="155" customFormat="1" ht="12" x14ac:dyDescent="0.2">
      <c r="A108" s="168">
        <v>54</v>
      </c>
      <c r="B108" s="282">
        <v>24338</v>
      </c>
      <c r="C108" s="268" t="s">
        <v>1116</v>
      </c>
      <c r="D108" s="451">
        <f t="shared" si="16"/>
        <v>6534800</v>
      </c>
      <c r="E108" s="474">
        <v>1343533</v>
      </c>
      <c r="F108" s="474">
        <v>331958</v>
      </c>
      <c r="G108" s="474">
        <v>399616</v>
      </c>
      <c r="H108" s="474">
        <v>0</v>
      </c>
      <c r="I108" s="474">
        <v>2679782</v>
      </c>
      <c r="J108" s="474">
        <v>169000</v>
      </c>
      <c r="K108" s="474">
        <v>1308000</v>
      </c>
      <c r="L108" s="474">
        <v>0</v>
      </c>
      <c r="M108" s="474">
        <v>1024481</v>
      </c>
      <c r="N108" s="474">
        <v>0</v>
      </c>
      <c r="O108" s="474">
        <v>10004</v>
      </c>
      <c r="P108" s="451">
        <f t="shared" si="17"/>
        <v>6534245</v>
      </c>
      <c r="Q108" s="474">
        <v>3346261</v>
      </c>
      <c r="R108" s="474">
        <v>1390913</v>
      </c>
      <c r="S108" s="474">
        <v>0</v>
      </c>
      <c r="T108" s="474">
        <v>0</v>
      </c>
      <c r="U108" s="474">
        <v>24000</v>
      </c>
      <c r="V108" s="474">
        <v>0</v>
      </c>
      <c r="W108" s="474">
        <v>0</v>
      </c>
      <c r="X108" s="474">
        <v>296571</v>
      </c>
      <c r="Y108" s="474">
        <v>182296</v>
      </c>
      <c r="Z108" s="474">
        <v>1331661</v>
      </c>
      <c r="AA108" s="474">
        <v>0</v>
      </c>
      <c r="AB108" s="474">
        <v>-37457</v>
      </c>
      <c r="AC108" s="474">
        <v>1322729</v>
      </c>
      <c r="AD108" s="474">
        <v>42338</v>
      </c>
      <c r="AE108" s="474">
        <v>2310594</v>
      </c>
      <c r="AF108" s="474">
        <v>97169</v>
      </c>
      <c r="AG108" s="474">
        <v>295253</v>
      </c>
      <c r="AH108" s="474">
        <v>603742</v>
      </c>
      <c r="AI108" s="474">
        <v>178311</v>
      </c>
      <c r="AJ108" s="474">
        <v>238517</v>
      </c>
      <c r="AK108" s="474">
        <v>0</v>
      </c>
      <c r="AL108" s="474">
        <v>1397697</v>
      </c>
      <c r="AM108" s="474">
        <v>47895</v>
      </c>
    </row>
    <row r="109" spans="1:39" s="155" customFormat="1" ht="12" x14ac:dyDescent="0.2">
      <c r="A109" s="168">
        <v>55</v>
      </c>
      <c r="B109" s="282">
        <v>24427</v>
      </c>
      <c r="C109" s="268" t="s">
        <v>1117</v>
      </c>
      <c r="D109" s="451">
        <f t="shared" si="16"/>
        <v>6441659</v>
      </c>
      <c r="E109" s="474">
        <v>1079733</v>
      </c>
      <c r="F109" s="474">
        <v>135585</v>
      </c>
      <c r="G109" s="474">
        <v>540480</v>
      </c>
      <c r="H109" s="474">
        <v>0</v>
      </c>
      <c r="I109" s="474">
        <v>1904732</v>
      </c>
      <c r="J109" s="474">
        <v>166533</v>
      </c>
      <c r="K109" s="474">
        <v>589000</v>
      </c>
      <c r="L109" s="474">
        <v>0</v>
      </c>
      <c r="M109" s="474">
        <v>761123</v>
      </c>
      <c r="N109" s="474">
        <v>1915290</v>
      </c>
      <c r="O109" s="474">
        <v>25248</v>
      </c>
      <c r="P109" s="451">
        <f t="shared" si="17"/>
        <v>4485785</v>
      </c>
      <c r="Q109" s="474">
        <v>2109002</v>
      </c>
      <c r="R109" s="474">
        <v>722843</v>
      </c>
      <c r="S109" s="474">
        <v>0</v>
      </c>
      <c r="T109" s="474">
        <v>0</v>
      </c>
      <c r="U109" s="474">
        <v>63415</v>
      </c>
      <c r="V109" s="474">
        <v>0</v>
      </c>
      <c r="W109" s="474">
        <v>0</v>
      </c>
      <c r="X109" s="474">
        <v>304887</v>
      </c>
      <c r="Y109" s="474">
        <v>9885</v>
      </c>
      <c r="Z109" s="474">
        <v>1275753</v>
      </c>
      <c r="AA109" s="474">
        <v>0</v>
      </c>
      <c r="AB109" s="474">
        <v>0</v>
      </c>
      <c r="AC109" s="474">
        <v>1535389</v>
      </c>
      <c r="AD109" s="474">
        <v>45615</v>
      </c>
      <c r="AE109" s="474">
        <v>1781240</v>
      </c>
      <c r="AF109" s="474">
        <v>23538</v>
      </c>
      <c r="AG109" s="474">
        <v>38207</v>
      </c>
      <c r="AH109" s="474">
        <v>304887</v>
      </c>
      <c r="AI109" s="474">
        <v>49982</v>
      </c>
      <c r="AJ109" s="474">
        <v>29736</v>
      </c>
      <c r="AK109" s="474">
        <v>0</v>
      </c>
      <c r="AL109" s="474">
        <v>677191</v>
      </c>
      <c r="AM109" s="474">
        <v>0</v>
      </c>
    </row>
    <row r="110" spans="1:39" s="155" customFormat="1" ht="12" x14ac:dyDescent="0.2">
      <c r="A110" s="168">
        <v>56</v>
      </c>
      <c r="B110" s="282">
        <v>24524</v>
      </c>
      <c r="C110" s="268" t="s">
        <v>1118</v>
      </c>
      <c r="D110" s="451">
        <f t="shared" si="16"/>
        <v>26301442</v>
      </c>
      <c r="E110" s="474">
        <v>2027657</v>
      </c>
      <c r="F110" s="474">
        <v>980921</v>
      </c>
      <c r="G110" s="474">
        <v>10084</v>
      </c>
      <c r="H110" s="474">
        <v>0</v>
      </c>
      <c r="I110" s="474">
        <v>4229000</v>
      </c>
      <c r="J110" s="474">
        <v>142500</v>
      </c>
      <c r="K110" s="474">
        <v>1418000</v>
      </c>
      <c r="L110" s="474">
        <v>0</v>
      </c>
      <c r="M110" s="474">
        <v>5191638</v>
      </c>
      <c r="N110" s="474">
        <v>13236932</v>
      </c>
      <c r="O110" s="474">
        <v>55715</v>
      </c>
      <c r="P110" s="451">
        <f t="shared" si="17"/>
        <v>26080772</v>
      </c>
      <c r="Q110" s="474">
        <v>4391293</v>
      </c>
      <c r="R110" s="474">
        <v>2398206</v>
      </c>
      <c r="S110" s="474">
        <v>56126</v>
      </c>
      <c r="T110" s="474">
        <v>0</v>
      </c>
      <c r="U110" s="474">
        <v>60000</v>
      </c>
      <c r="V110" s="474">
        <v>0</v>
      </c>
      <c r="W110" s="474">
        <v>16583047</v>
      </c>
      <c r="X110" s="474">
        <v>260057</v>
      </c>
      <c r="Y110" s="474">
        <v>85000</v>
      </c>
      <c r="Z110" s="474">
        <v>2110149</v>
      </c>
      <c r="AA110" s="474">
        <v>136894</v>
      </c>
      <c r="AB110" s="474">
        <v>0</v>
      </c>
      <c r="AC110" s="474">
        <v>1514535</v>
      </c>
      <c r="AD110" s="474">
        <v>0</v>
      </c>
      <c r="AE110" s="474">
        <v>19952560</v>
      </c>
      <c r="AF110" s="474">
        <v>28208</v>
      </c>
      <c r="AG110" s="474">
        <v>59764</v>
      </c>
      <c r="AH110" s="474">
        <v>643079</v>
      </c>
      <c r="AI110" s="474">
        <v>947450</v>
      </c>
      <c r="AJ110" s="474">
        <v>0</v>
      </c>
      <c r="AK110" s="474">
        <v>0</v>
      </c>
      <c r="AL110" s="474">
        <v>2935176</v>
      </c>
      <c r="AM110" s="474">
        <v>0</v>
      </c>
    </row>
    <row r="111" spans="1:39" s="155" customFormat="1" ht="12" x14ac:dyDescent="0.2">
      <c r="A111" s="168">
        <v>57</v>
      </c>
      <c r="B111" s="282">
        <v>24631</v>
      </c>
      <c r="C111" s="268" t="s">
        <v>1119</v>
      </c>
      <c r="D111" s="451">
        <f t="shared" si="16"/>
        <v>7492462</v>
      </c>
      <c r="E111" s="474">
        <v>1553507</v>
      </c>
      <c r="F111" s="474">
        <v>540068</v>
      </c>
      <c r="G111" s="474">
        <v>330741</v>
      </c>
      <c r="H111" s="474">
        <v>0</v>
      </c>
      <c r="I111" s="474">
        <v>3272715</v>
      </c>
      <c r="J111" s="474">
        <v>119500</v>
      </c>
      <c r="K111" s="474">
        <v>1739000</v>
      </c>
      <c r="L111" s="474">
        <v>0</v>
      </c>
      <c r="M111" s="474">
        <v>165821</v>
      </c>
      <c r="N111" s="474">
        <v>562827</v>
      </c>
      <c r="O111" s="474">
        <v>79092</v>
      </c>
      <c r="P111" s="451">
        <f t="shared" si="17"/>
        <v>6615186</v>
      </c>
      <c r="Q111" s="474">
        <v>3570852</v>
      </c>
      <c r="R111" s="474">
        <v>1481517</v>
      </c>
      <c r="S111" s="474">
        <v>0</v>
      </c>
      <c r="T111" s="474">
        <v>0</v>
      </c>
      <c r="U111" s="474">
        <v>60000</v>
      </c>
      <c r="V111" s="474">
        <v>0</v>
      </c>
      <c r="W111" s="474">
        <v>682374</v>
      </c>
      <c r="X111" s="474">
        <v>436064</v>
      </c>
      <c r="Y111" s="474">
        <v>0</v>
      </c>
      <c r="Z111" s="474">
        <v>384379</v>
      </c>
      <c r="AA111" s="474">
        <v>0</v>
      </c>
      <c r="AB111" s="474">
        <v>0</v>
      </c>
      <c r="AC111" s="474">
        <v>850671</v>
      </c>
      <c r="AD111" s="474">
        <v>155950</v>
      </c>
      <c r="AE111" s="474">
        <v>3286367</v>
      </c>
      <c r="AF111" s="474">
        <v>0</v>
      </c>
      <c r="AG111" s="474">
        <v>194548</v>
      </c>
      <c r="AH111" s="474">
        <v>636535</v>
      </c>
      <c r="AI111" s="474">
        <v>556749</v>
      </c>
      <c r="AJ111" s="474">
        <v>80549</v>
      </c>
      <c r="AK111" s="474">
        <v>0</v>
      </c>
      <c r="AL111" s="474">
        <v>478415</v>
      </c>
      <c r="AM111" s="474">
        <v>375402</v>
      </c>
    </row>
    <row r="112" spans="1:39" s="155" customFormat="1" ht="12" x14ac:dyDescent="0.2">
      <c r="A112" s="168">
        <v>58</v>
      </c>
      <c r="B112" s="282">
        <v>24711</v>
      </c>
      <c r="C112" s="268" t="s">
        <v>1120</v>
      </c>
      <c r="D112" s="451">
        <f t="shared" si="16"/>
        <v>3398927</v>
      </c>
      <c r="E112" s="474">
        <v>1387881</v>
      </c>
      <c r="F112" s="474">
        <v>316219</v>
      </c>
      <c r="G112" s="474">
        <v>521739</v>
      </c>
      <c r="H112" s="474">
        <v>0</v>
      </c>
      <c r="I112" s="474">
        <v>1409180</v>
      </c>
      <c r="J112" s="474">
        <v>94500</v>
      </c>
      <c r="K112" s="474">
        <v>458000</v>
      </c>
      <c r="L112" s="474">
        <v>0</v>
      </c>
      <c r="M112" s="474">
        <v>16880</v>
      </c>
      <c r="N112" s="474">
        <v>0</v>
      </c>
      <c r="O112" s="474">
        <v>32486</v>
      </c>
      <c r="P112" s="451">
        <f t="shared" si="17"/>
        <v>3052592</v>
      </c>
      <c r="Q112" s="474">
        <v>1562037</v>
      </c>
      <c r="R112" s="474">
        <v>1039945</v>
      </c>
      <c r="S112" s="474">
        <v>0</v>
      </c>
      <c r="T112" s="474">
        <v>0</v>
      </c>
      <c r="U112" s="474">
        <v>46468</v>
      </c>
      <c r="V112" s="474">
        <v>0</v>
      </c>
      <c r="W112" s="474">
        <v>0</v>
      </c>
      <c r="X112" s="474">
        <v>201140</v>
      </c>
      <c r="Y112" s="474">
        <v>0</v>
      </c>
      <c r="Z112" s="474">
        <v>203002</v>
      </c>
      <c r="AA112" s="474">
        <v>0</v>
      </c>
      <c r="AB112" s="474">
        <v>0</v>
      </c>
      <c r="AC112" s="474">
        <v>700448</v>
      </c>
      <c r="AD112" s="474">
        <v>0</v>
      </c>
      <c r="AE112" s="474">
        <v>1449041</v>
      </c>
      <c r="AF112" s="474">
        <v>0</v>
      </c>
      <c r="AG112" s="474">
        <v>25628</v>
      </c>
      <c r="AH112" s="474">
        <v>353956</v>
      </c>
      <c r="AI112" s="474">
        <v>195341</v>
      </c>
      <c r="AJ112" s="474">
        <v>88348</v>
      </c>
      <c r="AK112" s="474">
        <v>0</v>
      </c>
      <c r="AL112" s="474">
        <v>239830</v>
      </c>
      <c r="AM112" s="474">
        <v>0</v>
      </c>
    </row>
    <row r="113" spans="1:39" s="155" customFormat="1" ht="12" x14ac:dyDescent="0.2">
      <c r="A113" s="168">
        <v>59</v>
      </c>
      <c r="B113" s="282">
        <v>24766</v>
      </c>
      <c r="C113" s="268" t="s">
        <v>1121</v>
      </c>
      <c r="D113" s="451">
        <f t="shared" si="16"/>
        <v>9177802</v>
      </c>
      <c r="E113" s="474">
        <v>2107041</v>
      </c>
      <c r="F113" s="474">
        <v>901447</v>
      </c>
      <c r="G113" s="474">
        <v>66064</v>
      </c>
      <c r="H113" s="474">
        <v>0</v>
      </c>
      <c r="I113" s="474">
        <v>4503193</v>
      </c>
      <c r="J113" s="474">
        <v>174000</v>
      </c>
      <c r="K113" s="474">
        <v>2265000</v>
      </c>
      <c r="L113" s="474">
        <v>0</v>
      </c>
      <c r="M113" s="474">
        <v>76399</v>
      </c>
      <c r="N113" s="474">
        <v>0</v>
      </c>
      <c r="O113" s="474">
        <v>52169</v>
      </c>
      <c r="P113" s="451">
        <f t="shared" si="17"/>
        <v>9222082</v>
      </c>
      <c r="Q113" s="474">
        <v>4451850</v>
      </c>
      <c r="R113" s="474">
        <v>3029601</v>
      </c>
      <c r="S113" s="474">
        <v>0</v>
      </c>
      <c r="T113" s="474">
        <v>0</v>
      </c>
      <c r="U113" s="474">
        <v>86000</v>
      </c>
      <c r="V113" s="474">
        <v>0</v>
      </c>
      <c r="W113" s="474">
        <v>0</v>
      </c>
      <c r="X113" s="474">
        <v>626732</v>
      </c>
      <c r="Y113" s="474">
        <v>85000</v>
      </c>
      <c r="Z113" s="474">
        <v>942899</v>
      </c>
      <c r="AA113" s="474">
        <v>0</v>
      </c>
      <c r="AB113" s="474">
        <v>0</v>
      </c>
      <c r="AC113" s="474">
        <v>1552515</v>
      </c>
      <c r="AD113" s="474">
        <v>86188</v>
      </c>
      <c r="AE113" s="474">
        <v>4025753</v>
      </c>
      <c r="AF113" s="474">
        <v>0</v>
      </c>
      <c r="AG113" s="474">
        <v>360979</v>
      </c>
      <c r="AH113" s="474">
        <v>672480</v>
      </c>
      <c r="AI113" s="474">
        <v>1014139</v>
      </c>
      <c r="AJ113" s="474">
        <v>461997</v>
      </c>
      <c r="AK113" s="474">
        <v>0</v>
      </c>
      <c r="AL113" s="474">
        <v>1045036</v>
      </c>
      <c r="AM113" s="474">
        <v>2995</v>
      </c>
    </row>
    <row r="114" spans="1:39" s="155" customFormat="1" ht="12" x14ac:dyDescent="0.2">
      <c r="A114" s="168">
        <v>60</v>
      </c>
      <c r="B114" s="282">
        <v>24999</v>
      </c>
      <c r="C114" s="268" t="s">
        <v>1122</v>
      </c>
      <c r="D114" s="451">
        <f t="shared" si="16"/>
        <v>4316349</v>
      </c>
      <c r="E114" s="474">
        <v>1112897</v>
      </c>
      <c r="F114" s="474">
        <v>81402</v>
      </c>
      <c r="G114" s="474">
        <v>734253</v>
      </c>
      <c r="H114" s="474">
        <v>0</v>
      </c>
      <c r="I114" s="474">
        <v>1434940</v>
      </c>
      <c r="J114" s="474">
        <v>122300</v>
      </c>
      <c r="K114" s="474">
        <v>719000</v>
      </c>
      <c r="L114" s="474">
        <v>0</v>
      </c>
      <c r="M114" s="474">
        <v>805068</v>
      </c>
      <c r="N114" s="474">
        <v>94190</v>
      </c>
      <c r="O114" s="474">
        <v>27954</v>
      </c>
      <c r="P114" s="451">
        <f t="shared" si="17"/>
        <v>3795931</v>
      </c>
      <c r="Q114" s="474">
        <v>1580949</v>
      </c>
      <c r="R114" s="474">
        <v>739749</v>
      </c>
      <c r="S114" s="474">
        <v>0</v>
      </c>
      <c r="T114" s="474">
        <v>0</v>
      </c>
      <c r="U114" s="474">
        <v>21619</v>
      </c>
      <c r="V114" s="474">
        <v>0</v>
      </c>
      <c r="W114" s="474">
        <v>0</v>
      </c>
      <c r="X114" s="474">
        <v>135315</v>
      </c>
      <c r="Y114" s="474">
        <v>18694</v>
      </c>
      <c r="Z114" s="474">
        <v>1299605</v>
      </c>
      <c r="AA114" s="474">
        <v>0</v>
      </c>
      <c r="AB114" s="474">
        <v>0</v>
      </c>
      <c r="AC114" s="474">
        <v>588923</v>
      </c>
      <c r="AD114" s="474">
        <v>0</v>
      </c>
      <c r="AE114" s="474">
        <v>1240311</v>
      </c>
      <c r="AF114" s="474">
        <v>0</v>
      </c>
      <c r="AG114" s="474">
        <v>34855</v>
      </c>
      <c r="AH114" s="474">
        <v>312941</v>
      </c>
      <c r="AI114" s="474">
        <v>311478</v>
      </c>
      <c r="AJ114" s="474">
        <v>41351</v>
      </c>
      <c r="AK114" s="474">
        <v>0</v>
      </c>
      <c r="AL114" s="474">
        <v>1266072</v>
      </c>
      <c r="AM114" s="474">
        <v>0</v>
      </c>
    </row>
    <row r="115" spans="1:39" s="155" customFormat="1" ht="12" x14ac:dyDescent="0.2">
      <c r="A115" s="168">
        <v>61</v>
      </c>
      <c r="B115" s="282">
        <v>24837</v>
      </c>
      <c r="C115" s="268" t="s">
        <v>1123</v>
      </c>
      <c r="D115" s="451">
        <f t="shared" si="16"/>
        <v>8416648</v>
      </c>
      <c r="E115" s="474">
        <v>1273939</v>
      </c>
      <c r="F115" s="474">
        <v>309326</v>
      </c>
      <c r="G115" s="474">
        <v>537060</v>
      </c>
      <c r="H115" s="474">
        <v>0</v>
      </c>
      <c r="I115" s="474">
        <v>3164234</v>
      </c>
      <c r="J115" s="474">
        <v>201000</v>
      </c>
      <c r="K115" s="474">
        <v>1069000</v>
      </c>
      <c r="L115" s="474">
        <v>0</v>
      </c>
      <c r="M115" s="474">
        <v>2304595</v>
      </c>
      <c r="N115" s="474">
        <v>294909</v>
      </c>
      <c r="O115" s="474">
        <v>108971</v>
      </c>
      <c r="P115" s="451">
        <f t="shared" si="17"/>
        <v>8138629</v>
      </c>
      <c r="Q115" s="474">
        <v>3188793</v>
      </c>
      <c r="R115" s="474">
        <v>1532968</v>
      </c>
      <c r="S115" s="474">
        <v>0</v>
      </c>
      <c r="T115" s="474">
        <v>0</v>
      </c>
      <c r="U115" s="474">
        <v>68894</v>
      </c>
      <c r="V115" s="474">
        <v>0</v>
      </c>
      <c r="W115" s="474">
        <v>623703</v>
      </c>
      <c r="X115" s="474">
        <v>402371</v>
      </c>
      <c r="Y115" s="474">
        <v>1834</v>
      </c>
      <c r="Z115" s="474">
        <v>2320296</v>
      </c>
      <c r="AA115" s="474">
        <v>0</v>
      </c>
      <c r="AB115" s="474">
        <v>-230</v>
      </c>
      <c r="AC115" s="474">
        <v>854360</v>
      </c>
      <c r="AD115" s="474">
        <v>694328</v>
      </c>
      <c r="AE115" s="474">
        <v>4960445</v>
      </c>
      <c r="AF115" s="474">
        <v>0</v>
      </c>
      <c r="AG115" s="474">
        <v>120085</v>
      </c>
      <c r="AH115" s="474">
        <v>569314</v>
      </c>
      <c r="AI115" s="474">
        <v>304098</v>
      </c>
      <c r="AJ115" s="474">
        <v>29858</v>
      </c>
      <c r="AK115" s="474">
        <v>0</v>
      </c>
      <c r="AL115" s="474">
        <v>606141</v>
      </c>
      <c r="AM115" s="474">
        <v>0</v>
      </c>
    </row>
    <row r="116" spans="1:39" s="155" customFormat="1" ht="12" x14ac:dyDescent="0.2">
      <c r="A116" s="168">
        <v>62</v>
      </c>
      <c r="B116" s="282">
        <v>25068</v>
      </c>
      <c r="C116" s="268" t="s">
        <v>1124</v>
      </c>
      <c r="D116" s="451">
        <f t="shared" si="16"/>
        <v>12221590</v>
      </c>
      <c r="E116" s="474">
        <v>2237259</v>
      </c>
      <c r="F116" s="474">
        <v>874678</v>
      </c>
      <c r="G116" s="474">
        <v>30048</v>
      </c>
      <c r="H116" s="474">
        <v>0</v>
      </c>
      <c r="I116" s="474">
        <v>6420852</v>
      </c>
      <c r="J116" s="474">
        <v>158500</v>
      </c>
      <c r="K116" s="474">
        <v>2162000</v>
      </c>
      <c r="L116" s="474">
        <v>0</v>
      </c>
      <c r="M116" s="474">
        <v>1059381</v>
      </c>
      <c r="N116" s="474">
        <v>115773</v>
      </c>
      <c r="O116" s="474">
        <v>67825</v>
      </c>
      <c r="P116" s="451">
        <f t="shared" si="17"/>
        <v>11541945</v>
      </c>
      <c r="Q116" s="474">
        <v>6534452</v>
      </c>
      <c r="R116" s="474">
        <v>2729534</v>
      </c>
      <c r="S116" s="474">
        <v>0</v>
      </c>
      <c r="T116" s="474">
        <v>0</v>
      </c>
      <c r="U116" s="474">
        <v>92980</v>
      </c>
      <c r="V116" s="474">
        <v>0</v>
      </c>
      <c r="W116" s="474">
        <v>161592</v>
      </c>
      <c r="X116" s="474">
        <v>651012</v>
      </c>
      <c r="Y116" s="474">
        <v>10000</v>
      </c>
      <c r="Z116" s="474">
        <v>1362375</v>
      </c>
      <c r="AA116" s="474">
        <v>0</v>
      </c>
      <c r="AB116" s="474">
        <v>0</v>
      </c>
      <c r="AC116" s="474">
        <v>999475</v>
      </c>
      <c r="AD116" s="474">
        <v>54823</v>
      </c>
      <c r="AE116" s="474">
        <v>6309365</v>
      </c>
      <c r="AF116" s="474">
        <v>13701</v>
      </c>
      <c r="AG116" s="474">
        <v>291704</v>
      </c>
      <c r="AH116" s="474">
        <v>766164</v>
      </c>
      <c r="AI116" s="474">
        <v>1854129</v>
      </c>
      <c r="AJ116" s="474">
        <v>800</v>
      </c>
      <c r="AK116" s="474">
        <v>0</v>
      </c>
      <c r="AL116" s="474">
        <v>1119784</v>
      </c>
      <c r="AM116" s="474">
        <v>132000</v>
      </c>
    </row>
    <row r="117" spans="1:39" s="155" customFormat="1" ht="12" x14ac:dyDescent="0.2">
      <c r="A117" s="168">
        <v>63</v>
      </c>
      <c r="B117" s="282">
        <v>25148</v>
      </c>
      <c r="C117" s="268" t="s">
        <v>1125</v>
      </c>
      <c r="D117" s="451">
        <f t="shared" si="16"/>
        <v>5034662</v>
      </c>
      <c r="E117" s="474">
        <v>1193174</v>
      </c>
      <c r="F117" s="474">
        <v>147965</v>
      </c>
      <c r="G117" s="474">
        <v>642814</v>
      </c>
      <c r="H117" s="474">
        <v>0</v>
      </c>
      <c r="I117" s="474">
        <v>2247882</v>
      </c>
      <c r="J117" s="474">
        <v>116000</v>
      </c>
      <c r="K117" s="474">
        <v>896670</v>
      </c>
      <c r="L117" s="474">
        <v>0</v>
      </c>
      <c r="M117" s="474">
        <v>250488</v>
      </c>
      <c r="N117" s="474">
        <v>286032</v>
      </c>
      <c r="O117" s="474">
        <v>44416</v>
      </c>
      <c r="P117" s="451">
        <f t="shared" si="17"/>
        <v>4696079</v>
      </c>
      <c r="Q117" s="474">
        <v>2449588</v>
      </c>
      <c r="R117" s="474">
        <v>734814</v>
      </c>
      <c r="S117" s="474">
        <v>3206</v>
      </c>
      <c r="T117" s="474">
        <v>0</v>
      </c>
      <c r="U117" s="474">
        <v>28000</v>
      </c>
      <c r="V117" s="474">
        <v>0</v>
      </c>
      <c r="W117" s="474">
        <v>0</v>
      </c>
      <c r="X117" s="474">
        <v>227263</v>
      </c>
      <c r="Y117" s="474">
        <v>0</v>
      </c>
      <c r="Z117" s="474">
        <v>1218182</v>
      </c>
      <c r="AA117" s="474">
        <v>36132</v>
      </c>
      <c r="AB117" s="474">
        <v>-1106</v>
      </c>
      <c r="AC117" s="474">
        <v>604267</v>
      </c>
      <c r="AD117" s="474">
        <v>35301</v>
      </c>
      <c r="AE117" s="474">
        <v>2106920</v>
      </c>
      <c r="AF117" s="474">
        <v>0</v>
      </c>
      <c r="AG117" s="474">
        <v>299700</v>
      </c>
      <c r="AH117" s="474">
        <v>403752</v>
      </c>
      <c r="AI117" s="474">
        <v>308886</v>
      </c>
      <c r="AJ117" s="474">
        <v>3500</v>
      </c>
      <c r="AK117" s="474">
        <v>0</v>
      </c>
      <c r="AL117" s="474">
        <v>933753</v>
      </c>
      <c r="AM117" s="474">
        <v>0</v>
      </c>
    </row>
    <row r="118" spans="1:39" s="155" customFormat="1" ht="12" x14ac:dyDescent="0.2">
      <c r="A118" s="168">
        <v>64</v>
      </c>
      <c r="B118" s="282">
        <v>25228</v>
      </c>
      <c r="C118" s="268" t="s">
        <v>1126</v>
      </c>
      <c r="D118" s="451">
        <f t="shared" si="16"/>
        <v>7756627</v>
      </c>
      <c r="E118" s="474">
        <v>1838076</v>
      </c>
      <c r="F118" s="474">
        <v>498017</v>
      </c>
      <c r="G118" s="474">
        <v>49075</v>
      </c>
      <c r="H118" s="474">
        <v>0</v>
      </c>
      <c r="I118" s="474">
        <v>2218690</v>
      </c>
      <c r="J118" s="474">
        <v>81500</v>
      </c>
      <c r="K118" s="474">
        <v>1659000</v>
      </c>
      <c r="L118" s="474">
        <v>0</v>
      </c>
      <c r="M118" s="474">
        <v>1454395</v>
      </c>
      <c r="N118" s="474">
        <v>465771</v>
      </c>
      <c r="O118" s="474">
        <v>39195</v>
      </c>
      <c r="P118" s="451">
        <f t="shared" si="17"/>
        <v>7620090</v>
      </c>
      <c r="Q118" s="474">
        <v>2563002</v>
      </c>
      <c r="R118" s="474">
        <v>1385338</v>
      </c>
      <c r="S118" s="474">
        <v>41655</v>
      </c>
      <c r="T118" s="474">
        <v>0</v>
      </c>
      <c r="U118" s="474">
        <v>132290</v>
      </c>
      <c r="V118" s="474">
        <v>0</v>
      </c>
      <c r="W118" s="474">
        <v>699359</v>
      </c>
      <c r="X118" s="474">
        <v>460204</v>
      </c>
      <c r="Y118" s="474">
        <v>98000</v>
      </c>
      <c r="Z118" s="474">
        <v>2100353</v>
      </c>
      <c r="AA118" s="474">
        <v>141489</v>
      </c>
      <c r="AB118" s="474">
        <v>-1600</v>
      </c>
      <c r="AC118" s="474">
        <v>1380920</v>
      </c>
      <c r="AD118" s="474">
        <v>96383</v>
      </c>
      <c r="AE118" s="474">
        <v>2072575</v>
      </c>
      <c r="AF118" s="474">
        <v>0</v>
      </c>
      <c r="AG118" s="474">
        <v>455811</v>
      </c>
      <c r="AH118" s="474">
        <v>510486</v>
      </c>
      <c r="AI118" s="474">
        <v>254997</v>
      </c>
      <c r="AJ118" s="474">
        <v>170000</v>
      </c>
      <c r="AK118" s="474">
        <v>0</v>
      </c>
      <c r="AL118" s="474">
        <v>1905723</v>
      </c>
      <c r="AM118" s="474">
        <v>773195</v>
      </c>
    </row>
    <row r="119" spans="1:39" s="155" customFormat="1" ht="12" x14ac:dyDescent="0.2">
      <c r="A119" s="168">
        <v>65</v>
      </c>
      <c r="B119" s="282">
        <v>25291</v>
      </c>
      <c r="C119" s="268" t="s">
        <v>1127</v>
      </c>
      <c r="D119" s="451">
        <f t="shared" ref="D119:D139" si="18">E119+SUM(H119:O119)</f>
        <v>3393810</v>
      </c>
      <c r="E119" s="474">
        <v>1201868</v>
      </c>
      <c r="F119" s="474">
        <v>99186</v>
      </c>
      <c r="G119" s="474">
        <v>673394</v>
      </c>
      <c r="H119" s="474">
        <v>0</v>
      </c>
      <c r="I119" s="474">
        <v>1098830</v>
      </c>
      <c r="J119" s="474">
        <v>90000</v>
      </c>
      <c r="K119" s="474">
        <v>631000</v>
      </c>
      <c r="L119" s="474">
        <v>0</v>
      </c>
      <c r="M119" s="474">
        <v>35091</v>
      </c>
      <c r="N119" s="474">
        <v>295894</v>
      </c>
      <c r="O119" s="474">
        <v>41127</v>
      </c>
      <c r="P119" s="451">
        <f t="shared" ref="P119:P139" si="19">IF(SUM(Q119:AB119)=SUM(AC119:AM119),SUM(Q119:AB119),"  EROARE ART/CAP")</f>
        <v>2868907</v>
      </c>
      <c r="Q119" s="474">
        <v>1171469</v>
      </c>
      <c r="R119" s="474">
        <v>668297</v>
      </c>
      <c r="S119" s="474">
        <v>0</v>
      </c>
      <c r="T119" s="474">
        <v>0</v>
      </c>
      <c r="U119" s="474">
        <v>28800</v>
      </c>
      <c r="V119" s="474">
        <v>0</v>
      </c>
      <c r="W119" s="474">
        <v>0</v>
      </c>
      <c r="X119" s="474">
        <v>287349</v>
      </c>
      <c r="Y119" s="474">
        <v>101000</v>
      </c>
      <c r="Z119" s="474">
        <v>615319</v>
      </c>
      <c r="AA119" s="474">
        <v>0</v>
      </c>
      <c r="AB119" s="474">
        <v>-3327</v>
      </c>
      <c r="AC119" s="474">
        <v>555396</v>
      </c>
      <c r="AD119" s="474">
        <v>18980</v>
      </c>
      <c r="AE119" s="474">
        <v>967013</v>
      </c>
      <c r="AF119" s="474">
        <v>0</v>
      </c>
      <c r="AG119" s="474">
        <v>490142</v>
      </c>
      <c r="AH119" s="474">
        <v>292627</v>
      </c>
      <c r="AI119" s="474">
        <v>208929</v>
      </c>
      <c r="AJ119" s="474">
        <v>60525</v>
      </c>
      <c r="AK119" s="474">
        <v>0</v>
      </c>
      <c r="AL119" s="474">
        <v>275295</v>
      </c>
      <c r="AM119" s="474">
        <v>0</v>
      </c>
    </row>
    <row r="120" spans="1:39" s="155" customFormat="1" ht="12" x14ac:dyDescent="0.2">
      <c r="A120" s="168">
        <v>66</v>
      </c>
      <c r="B120" s="282">
        <v>25362</v>
      </c>
      <c r="C120" s="268" t="s">
        <v>1128</v>
      </c>
      <c r="D120" s="451">
        <f t="shared" si="18"/>
        <v>2940534</v>
      </c>
      <c r="E120" s="474">
        <v>1188426</v>
      </c>
      <c r="F120" s="474">
        <v>107140</v>
      </c>
      <c r="G120" s="474">
        <v>678751</v>
      </c>
      <c r="H120" s="474">
        <v>0</v>
      </c>
      <c r="I120" s="474">
        <v>862608</v>
      </c>
      <c r="J120" s="474">
        <v>168500</v>
      </c>
      <c r="K120" s="474">
        <v>666000</v>
      </c>
      <c r="L120" s="474">
        <v>0</v>
      </c>
      <c r="M120" s="474">
        <v>2750</v>
      </c>
      <c r="N120" s="474">
        <v>52250</v>
      </c>
      <c r="O120" s="474">
        <v>0</v>
      </c>
      <c r="P120" s="451">
        <f t="shared" si="19"/>
        <v>2662590</v>
      </c>
      <c r="Q120" s="474">
        <v>1386020</v>
      </c>
      <c r="R120" s="474">
        <v>948861</v>
      </c>
      <c r="S120" s="474">
        <v>0</v>
      </c>
      <c r="T120" s="474">
        <v>0</v>
      </c>
      <c r="U120" s="474">
        <v>0</v>
      </c>
      <c r="V120" s="474">
        <v>0</v>
      </c>
      <c r="W120" s="474">
        <v>52250</v>
      </c>
      <c r="X120" s="474">
        <v>115856</v>
      </c>
      <c r="Y120" s="474">
        <v>60400</v>
      </c>
      <c r="Z120" s="474">
        <v>99303</v>
      </c>
      <c r="AA120" s="474">
        <v>0</v>
      </c>
      <c r="AB120" s="474">
        <v>-100</v>
      </c>
      <c r="AC120" s="474">
        <v>770199</v>
      </c>
      <c r="AD120" s="474">
        <v>43986</v>
      </c>
      <c r="AE120" s="474">
        <v>1066807</v>
      </c>
      <c r="AF120" s="474">
        <v>0</v>
      </c>
      <c r="AG120" s="474">
        <v>71562</v>
      </c>
      <c r="AH120" s="474">
        <v>229276</v>
      </c>
      <c r="AI120" s="474">
        <v>125823</v>
      </c>
      <c r="AJ120" s="474">
        <v>38749</v>
      </c>
      <c r="AK120" s="474">
        <v>0</v>
      </c>
      <c r="AL120" s="474">
        <v>316188</v>
      </c>
      <c r="AM120" s="474">
        <v>0</v>
      </c>
    </row>
    <row r="121" spans="1:39" s="155" customFormat="1" ht="12" x14ac:dyDescent="0.2">
      <c r="A121" s="168">
        <v>67</v>
      </c>
      <c r="B121" s="282">
        <v>25488</v>
      </c>
      <c r="C121" s="268" t="s">
        <v>1129</v>
      </c>
      <c r="D121" s="451">
        <f t="shared" si="18"/>
        <v>10332035</v>
      </c>
      <c r="E121" s="474">
        <v>1263267</v>
      </c>
      <c r="F121" s="474">
        <v>288588</v>
      </c>
      <c r="G121" s="474">
        <v>460495</v>
      </c>
      <c r="H121" s="474">
        <v>0</v>
      </c>
      <c r="I121" s="474">
        <v>1877136</v>
      </c>
      <c r="J121" s="474">
        <v>106500</v>
      </c>
      <c r="K121" s="474">
        <v>683000</v>
      </c>
      <c r="L121" s="474">
        <v>0</v>
      </c>
      <c r="M121" s="474">
        <v>6132329</v>
      </c>
      <c r="N121" s="474">
        <v>238437</v>
      </c>
      <c r="O121" s="474">
        <v>31366</v>
      </c>
      <c r="P121" s="451">
        <f t="shared" si="19"/>
        <v>10366295</v>
      </c>
      <c r="Q121" s="474">
        <v>2358107</v>
      </c>
      <c r="R121" s="474">
        <v>960124</v>
      </c>
      <c r="S121" s="474">
        <v>0</v>
      </c>
      <c r="T121" s="474">
        <v>0</v>
      </c>
      <c r="U121" s="474">
        <v>41000</v>
      </c>
      <c r="V121" s="474">
        <v>0</v>
      </c>
      <c r="W121" s="474">
        <v>317365</v>
      </c>
      <c r="X121" s="474">
        <v>168894</v>
      </c>
      <c r="Y121" s="474">
        <v>0</v>
      </c>
      <c r="Z121" s="474">
        <v>6520805</v>
      </c>
      <c r="AA121" s="474">
        <v>0</v>
      </c>
      <c r="AB121" s="474">
        <v>0</v>
      </c>
      <c r="AC121" s="474">
        <v>1219383</v>
      </c>
      <c r="AD121" s="474">
        <v>334123</v>
      </c>
      <c r="AE121" s="474">
        <v>1743966</v>
      </c>
      <c r="AF121" s="474">
        <v>0</v>
      </c>
      <c r="AG121" s="474">
        <v>104106</v>
      </c>
      <c r="AH121" s="474">
        <v>402150</v>
      </c>
      <c r="AI121" s="474">
        <v>124237</v>
      </c>
      <c r="AJ121" s="474">
        <v>116955</v>
      </c>
      <c r="AK121" s="474">
        <v>0</v>
      </c>
      <c r="AL121" s="474">
        <v>6321375</v>
      </c>
      <c r="AM121" s="474">
        <v>0</v>
      </c>
    </row>
    <row r="122" spans="1:39" s="155" customFormat="1" ht="12" x14ac:dyDescent="0.2">
      <c r="A122" s="168">
        <v>68</v>
      </c>
      <c r="B122" s="282">
        <v>25521</v>
      </c>
      <c r="C122" s="268" t="s">
        <v>1130</v>
      </c>
      <c r="D122" s="451">
        <f t="shared" si="18"/>
        <v>5921938</v>
      </c>
      <c r="E122" s="474">
        <v>1136471</v>
      </c>
      <c r="F122" s="474">
        <v>183167</v>
      </c>
      <c r="G122" s="474">
        <v>649926</v>
      </c>
      <c r="H122" s="474">
        <v>0</v>
      </c>
      <c r="I122" s="474">
        <v>2976762</v>
      </c>
      <c r="J122" s="474">
        <v>209000</v>
      </c>
      <c r="K122" s="474">
        <v>1037000</v>
      </c>
      <c r="L122" s="474">
        <v>0</v>
      </c>
      <c r="M122" s="474">
        <v>187218</v>
      </c>
      <c r="N122" s="474">
        <v>310558</v>
      </c>
      <c r="O122" s="474">
        <v>64929</v>
      </c>
      <c r="P122" s="451">
        <f t="shared" si="19"/>
        <v>5877911</v>
      </c>
      <c r="Q122" s="474">
        <v>3328836</v>
      </c>
      <c r="R122" s="474">
        <v>1277205</v>
      </c>
      <c r="S122" s="474">
        <v>0</v>
      </c>
      <c r="T122" s="474">
        <v>0</v>
      </c>
      <c r="U122" s="474">
        <v>45000</v>
      </c>
      <c r="V122" s="474">
        <v>0</v>
      </c>
      <c r="W122" s="474">
        <v>391057</v>
      </c>
      <c r="X122" s="474">
        <v>243769</v>
      </c>
      <c r="Y122" s="474">
        <v>249915</v>
      </c>
      <c r="Z122" s="474">
        <v>342129</v>
      </c>
      <c r="AA122" s="474">
        <v>0</v>
      </c>
      <c r="AB122" s="474">
        <v>0</v>
      </c>
      <c r="AC122" s="474">
        <v>939393</v>
      </c>
      <c r="AD122" s="474">
        <v>89141</v>
      </c>
      <c r="AE122" s="474">
        <v>3163966</v>
      </c>
      <c r="AF122" s="474">
        <v>0</v>
      </c>
      <c r="AG122" s="474">
        <v>338130</v>
      </c>
      <c r="AH122" s="474">
        <v>614225</v>
      </c>
      <c r="AI122" s="474">
        <v>282269</v>
      </c>
      <c r="AJ122" s="474">
        <v>0</v>
      </c>
      <c r="AK122" s="474">
        <v>0</v>
      </c>
      <c r="AL122" s="474">
        <v>450787</v>
      </c>
      <c r="AM122" s="474">
        <v>0</v>
      </c>
    </row>
    <row r="123" spans="1:39" s="155" customFormat="1" ht="12" x14ac:dyDescent="0.2">
      <c r="A123" s="168">
        <v>69</v>
      </c>
      <c r="B123" s="282">
        <v>20670</v>
      </c>
      <c r="C123" s="268" t="s">
        <v>1131</v>
      </c>
      <c r="D123" s="451">
        <f t="shared" si="18"/>
        <v>8000366</v>
      </c>
      <c r="E123" s="474">
        <v>1337469</v>
      </c>
      <c r="F123" s="474">
        <v>341911</v>
      </c>
      <c r="G123" s="474">
        <v>363894</v>
      </c>
      <c r="H123" s="474">
        <v>0</v>
      </c>
      <c r="I123" s="474">
        <v>1706783</v>
      </c>
      <c r="J123" s="474">
        <v>138000</v>
      </c>
      <c r="K123" s="474">
        <v>2025000</v>
      </c>
      <c r="L123" s="474">
        <v>0</v>
      </c>
      <c r="M123" s="474">
        <v>1582738</v>
      </c>
      <c r="N123" s="474">
        <v>1031326</v>
      </c>
      <c r="O123" s="474">
        <v>179050</v>
      </c>
      <c r="P123" s="451">
        <f t="shared" si="19"/>
        <v>8045968</v>
      </c>
      <c r="Q123" s="474">
        <v>2253118</v>
      </c>
      <c r="R123" s="474">
        <v>825660</v>
      </c>
      <c r="S123" s="474">
        <v>34862</v>
      </c>
      <c r="T123" s="474">
        <v>0</v>
      </c>
      <c r="U123" s="474">
        <v>118042</v>
      </c>
      <c r="V123" s="474">
        <v>0</v>
      </c>
      <c r="W123" s="474">
        <v>1632760</v>
      </c>
      <c r="X123" s="474">
        <v>362888</v>
      </c>
      <c r="Y123" s="474">
        <v>6000</v>
      </c>
      <c r="Z123" s="474">
        <v>2027638</v>
      </c>
      <c r="AA123" s="474">
        <v>785000</v>
      </c>
      <c r="AB123" s="474">
        <v>0</v>
      </c>
      <c r="AC123" s="474">
        <v>1251587</v>
      </c>
      <c r="AD123" s="474">
        <v>163396</v>
      </c>
      <c r="AE123" s="474">
        <v>1461551</v>
      </c>
      <c r="AF123" s="474">
        <v>0</v>
      </c>
      <c r="AG123" s="474">
        <v>274361</v>
      </c>
      <c r="AH123" s="474">
        <v>386495</v>
      </c>
      <c r="AI123" s="474">
        <v>1913029</v>
      </c>
      <c r="AJ123" s="474">
        <v>6291</v>
      </c>
      <c r="AK123" s="474">
        <v>0</v>
      </c>
      <c r="AL123" s="474">
        <v>2589258</v>
      </c>
      <c r="AM123" s="474">
        <v>0</v>
      </c>
    </row>
    <row r="124" spans="1:39" s="155" customFormat="1" ht="12" x14ac:dyDescent="0.2">
      <c r="A124" s="168">
        <v>70</v>
      </c>
      <c r="B124" s="282">
        <v>25629</v>
      </c>
      <c r="C124" s="268" t="s">
        <v>1132</v>
      </c>
      <c r="D124" s="451">
        <f t="shared" si="18"/>
        <v>9389376</v>
      </c>
      <c r="E124" s="474">
        <v>1067739</v>
      </c>
      <c r="F124" s="474">
        <v>89540</v>
      </c>
      <c r="G124" s="474">
        <v>676338</v>
      </c>
      <c r="H124" s="474">
        <v>0</v>
      </c>
      <c r="I124" s="474">
        <v>1501195</v>
      </c>
      <c r="J124" s="474">
        <v>124500</v>
      </c>
      <c r="K124" s="474">
        <v>660000</v>
      </c>
      <c r="L124" s="474">
        <v>0</v>
      </c>
      <c r="M124" s="474">
        <v>3565019</v>
      </c>
      <c r="N124" s="474">
        <v>2408482</v>
      </c>
      <c r="O124" s="474">
        <v>62441</v>
      </c>
      <c r="P124" s="451">
        <f t="shared" si="19"/>
        <v>7511434</v>
      </c>
      <c r="Q124" s="474">
        <v>1852598</v>
      </c>
      <c r="R124" s="474">
        <v>862470</v>
      </c>
      <c r="S124" s="474">
        <v>0</v>
      </c>
      <c r="T124" s="474">
        <v>0</v>
      </c>
      <c r="U124" s="474">
        <v>9801</v>
      </c>
      <c r="V124" s="474">
        <v>0</v>
      </c>
      <c r="W124" s="474">
        <v>144580</v>
      </c>
      <c r="X124" s="474">
        <v>153102</v>
      </c>
      <c r="Y124" s="474">
        <v>0</v>
      </c>
      <c r="Z124" s="474">
        <v>3670883</v>
      </c>
      <c r="AA124" s="474">
        <v>818000</v>
      </c>
      <c r="AB124" s="474">
        <v>0</v>
      </c>
      <c r="AC124" s="474">
        <v>728286</v>
      </c>
      <c r="AD124" s="474">
        <v>39683</v>
      </c>
      <c r="AE124" s="474">
        <v>2296278</v>
      </c>
      <c r="AF124" s="474">
        <v>0</v>
      </c>
      <c r="AG124" s="474">
        <v>127915</v>
      </c>
      <c r="AH124" s="474">
        <v>369220</v>
      </c>
      <c r="AI124" s="474">
        <v>1035634</v>
      </c>
      <c r="AJ124" s="474">
        <v>84480</v>
      </c>
      <c r="AK124" s="474">
        <v>0</v>
      </c>
      <c r="AL124" s="474">
        <v>2829938</v>
      </c>
      <c r="AM124" s="474">
        <v>0</v>
      </c>
    </row>
    <row r="125" spans="1:39" s="155" customFormat="1" ht="12" x14ac:dyDescent="0.2">
      <c r="A125" s="168">
        <v>71</v>
      </c>
      <c r="B125" s="282">
        <v>25692</v>
      </c>
      <c r="C125" s="268" t="s">
        <v>1133</v>
      </c>
      <c r="D125" s="451">
        <f t="shared" si="18"/>
        <v>9335758</v>
      </c>
      <c r="E125" s="474">
        <v>1145848</v>
      </c>
      <c r="F125" s="474">
        <v>146473</v>
      </c>
      <c r="G125" s="474">
        <v>626404</v>
      </c>
      <c r="H125" s="474">
        <v>0</v>
      </c>
      <c r="I125" s="474">
        <v>1457233</v>
      </c>
      <c r="J125" s="474">
        <v>108500</v>
      </c>
      <c r="K125" s="474">
        <v>687000</v>
      </c>
      <c r="L125" s="474">
        <v>0</v>
      </c>
      <c r="M125" s="474">
        <v>2165579</v>
      </c>
      <c r="N125" s="474">
        <v>2382410</v>
      </c>
      <c r="O125" s="474">
        <v>1389188</v>
      </c>
      <c r="P125" s="451">
        <f t="shared" si="19"/>
        <v>7670766</v>
      </c>
      <c r="Q125" s="474">
        <v>1706905</v>
      </c>
      <c r="R125" s="474">
        <v>917468</v>
      </c>
      <c r="S125" s="474">
        <v>10000</v>
      </c>
      <c r="T125" s="474">
        <v>0</v>
      </c>
      <c r="U125" s="474">
        <v>90000</v>
      </c>
      <c r="V125" s="474">
        <v>0</v>
      </c>
      <c r="W125" s="474">
        <v>951423</v>
      </c>
      <c r="X125" s="474">
        <v>359645</v>
      </c>
      <c r="Y125" s="474">
        <v>0</v>
      </c>
      <c r="Z125" s="474">
        <v>3363294</v>
      </c>
      <c r="AA125" s="474">
        <v>274202</v>
      </c>
      <c r="AB125" s="474">
        <v>-2171</v>
      </c>
      <c r="AC125" s="474">
        <v>1484078</v>
      </c>
      <c r="AD125" s="474">
        <v>30089</v>
      </c>
      <c r="AE125" s="474">
        <v>2300833</v>
      </c>
      <c r="AF125" s="474">
        <v>0</v>
      </c>
      <c r="AG125" s="474">
        <v>554670</v>
      </c>
      <c r="AH125" s="474">
        <v>378787</v>
      </c>
      <c r="AI125" s="474">
        <v>202658</v>
      </c>
      <c r="AJ125" s="474">
        <v>98983</v>
      </c>
      <c r="AK125" s="474">
        <v>0</v>
      </c>
      <c r="AL125" s="474">
        <v>2620668</v>
      </c>
      <c r="AM125" s="474">
        <v>0</v>
      </c>
    </row>
    <row r="126" spans="1:39" s="155" customFormat="1" ht="12" x14ac:dyDescent="0.2">
      <c r="A126" s="168">
        <v>72</v>
      </c>
      <c r="B126" s="282">
        <v>25745</v>
      </c>
      <c r="C126" s="268" t="s">
        <v>1134</v>
      </c>
      <c r="D126" s="451">
        <f t="shared" si="18"/>
        <v>4373482</v>
      </c>
      <c r="E126" s="474">
        <v>1151600</v>
      </c>
      <c r="F126" s="474">
        <v>97028</v>
      </c>
      <c r="G126" s="474">
        <v>668790</v>
      </c>
      <c r="H126" s="474">
        <v>0</v>
      </c>
      <c r="I126" s="474">
        <v>1460776</v>
      </c>
      <c r="J126" s="474">
        <v>168500</v>
      </c>
      <c r="K126" s="474">
        <v>679000</v>
      </c>
      <c r="L126" s="474">
        <v>0</v>
      </c>
      <c r="M126" s="474">
        <v>880828</v>
      </c>
      <c r="N126" s="474">
        <v>0</v>
      </c>
      <c r="O126" s="474">
        <v>32778</v>
      </c>
      <c r="P126" s="451">
        <f t="shared" si="19"/>
        <v>4239913</v>
      </c>
      <c r="Q126" s="474">
        <v>1745700</v>
      </c>
      <c r="R126" s="474">
        <v>866307</v>
      </c>
      <c r="S126" s="474">
        <v>0</v>
      </c>
      <c r="T126" s="474">
        <v>0</v>
      </c>
      <c r="U126" s="474">
        <v>7512</v>
      </c>
      <c r="V126" s="474">
        <v>0</v>
      </c>
      <c r="W126" s="474">
        <v>0</v>
      </c>
      <c r="X126" s="474">
        <v>132372</v>
      </c>
      <c r="Y126" s="474">
        <v>19916</v>
      </c>
      <c r="Z126" s="474">
        <v>1493260</v>
      </c>
      <c r="AA126" s="474">
        <v>0</v>
      </c>
      <c r="AB126" s="474">
        <v>-25154</v>
      </c>
      <c r="AC126" s="474">
        <v>733227</v>
      </c>
      <c r="AD126" s="474">
        <v>453</v>
      </c>
      <c r="AE126" s="474">
        <v>1310513</v>
      </c>
      <c r="AF126" s="474">
        <v>19199</v>
      </c>
      <c r="AG126" s="474">
        <v>51749</v>
      </c>
      <c r="AH126" s="474">
        <v>205871</v>
      </c>
      <c r="AI126" s="474">
        <v>324733</v>
      </c>
      <c r="AJ126" s="474">
        <v>0</v>
      </c>
      <c r="AK126" s="474">
        <v>0</v>
      </c>
      <c r="AL126" s="474">
        <v>1472130</v>
      </c>
      <c r="AM126" s="474">
        <v>122038</v>
      </c>
    </row>
    <row r="127" spans="1:39" s="155" customFormat="1" ht="12" x14ac:dyDescent="0.2">
      <c r="A127" s="168">
        <v>73</v>
      </c>
      <c r="B127" s="282">
        <v>25825</v>
      </c>
      <c r="C127" s="268" t="s">
        <v>1135</v>
      </c>
      <c r="D127" s="451">
        <f t="shared" si="18"/>
        <v>5872876</v>
      </c>
      <c r="E127" s="474">
        <v>1616695</v>
      </c>
      <c r="F127" s="474">
        <v>693606</v>
      </c>
      <c r="G127" s="474">
        <v>262916</v>
      </c>
      <c r="H127" s="474">
        <v>0</v>
      </c>
      <c r="I127" s="474">
        <v>2394002</v>
      </c>
      <c r="J127" s="474">
        <v>80600</v>
      </c>
      <c r="K127" s="474">
        <v>1184000</v>
      </c>
      <c r="L127" s="474">
        <v>0</v>
      </c>
      <c r="M127" s="474">
        <v>199988</v>
      </c>
      <c r="N127" s="474">
        <v>397591</v>
      </c>
      <c r="O127" s="474">
        <v>0</v>
      </c>
      <c r="P127" s="451">
        <f t="shared" si="19"/>
        <v>5040438</v>
      </c>
      <c r="Q127" s="474">
        <v>2576838</v>
      </c>
      <c r="R127" s="474">
        <v>1528385</v>
      </c>
      <c r="S127" s="474">
        <v>0</v>
      </c>
      <c r="T127" s="474">
        <v>0</v>
      </c>
      <c r="U127" s="474">
        <v>27000</v>
      </c>
      <c r="V127" s="474">
        <v>0</v>
      </c>
      <c r="W127" s="474">
        <v>391860</v>
      </c>
      <c r="X127" s="474">
        <v>227593</v>
      </c>
      <c r="Y127" s="474">
        <v>149413</v>
      </c>
      <c r="Z127" s="474">
        <v>174551</v>
      </c>
      <c r="AA127" s="474">
        <v>0</v>
      </c>
      <c r="AB127" s="474">
        <v>-35202</v>
      </c>
      <c r="AC127" s="474">
        <v>669802</v>
      </c>
      <c r="AD127" s="474">
        <v>28795</v>
      </c>
      <c r="AE127" s="474">
        <v>1986852</v>
      </c>
      <c r="AF127" s="474">
        <v>0</v>
      </c>
      <c r="AG127" s="474">
        <v>192835</v>
      </c>
      <c r="AH127" s="474">
        <v>644269</v>
      </c>
      <c r="AI127" s="474">
        <v>523673</v>
      </c>
      <c r="AJ127" s="474">
        <v>110198</v>
      </c>
      <c r="AK127" s="474">
        <v>0</v>
      </c>
      <c r="AL127" s="474">
        <v>842725</v>
      </c>
      <c r="AM127" s="474">
        <v>41289</v>
      </c>
    </row>
    <row r="128" spans="1:39" s="155" customFormat="1" ht="12" x14ac:dyDescent="0.2">
      <c r="A128" s="168">
        <v>74</v>
      </c>
      <c r="B128" s="282">
        <v>25861</v>
      </c>
      <c r="C128" s="268" t="s">
        <v>1136</v>
      </c>
      <c r="D128" s="451">
        <f t="shared" si="18"/>
        <v>3555384</v>
      </c>
      <c r="E128" s="474">
        <v>1294665</v>
      </c>
      <c r="F128" s="474">
        <v>325779</v>
      </c>
      <c r="G128" s="474">
        <v>609967</v>
      </c>
      <c r="H128" s="474">
        <v>0</v>
      </c>
      <c r="I128" s="474">
        <v>1202719</v>
      </c>
      <c r="J128" s="474">
        <v>135000</v>
      </c>
      <c r="K128" s="474">
        <v>702000</v>
      </c>
      <c r="L128" s="474">
        <v>0</v>
      </c>
      <c r="M128" s="474">
        <v>177148</v>
      </c>
      <c r="N128" s="474">
        <v>43320</v>
      </c>
      <c r="O128" s="474">
        <v>532</v>
      </c>
      <c r="P128" s="451">
        <f t="shared" si="19"/>
        <v>3328829</v>
      </c>
      <c r="Q128" s="474">
        <v>1470509</v>
      </c>
      <c r="R128" s="474">
        <v>941702</v>
      </c>
      <c r="S128" s="474">
        <v>0</v>
      </c>
      <c r="T128" s="474">
        <v>0</v>
      </c>
      <c r="U128" s="474">
        <v>48000</v>
      </c>
      <c r="V128" s="474">
        <v>0</v>
      </c>
      <c r="W128" s="474">
        <v>37285</v>
      </c>
      <c r="X128" s="474">
        <v>257692</v>
      </c>
      <c r="Y128" s="474">
        <v>59907</v>
      </c>
      <c r="Z128" s="474">
        <v>513734</v>
      </c>
      <c r="AA128" s="474">
        <v>0</v>
      </c>
      <c r="AB128" s="474">
        <v>0</v>
      </c>
      <c r="AC128" s="474">
        <v>856194</v>
      </c>
      <c r="AD128" s="474">
        <v>51175</v>
      </c>
      <c r="AE128" s="474">
        <v>1233138</v>
      </c>
      <c r="AF128" s="474">
        <v>0</v>
      </c>
      <c r="AG128" s="474">
        <v>129180</v>
      </c>
      <c r="AH128" s="474">
        <v>316316</v>
      </c>
      <c r="AI128" s="474">
        <v>167464</v>
      </c>
      <c r="AJ128" s="474">
        <v>124738</v>
      </c>
      <c r="AK128" s="474">
        <v>0</v>
      </c>
      <c r="AL128" s="474">
        <v>450624</v>
      </c>
      <c r="AM128" s="474">
        <v>0</v>
      </c>
    </row>
    <row r="129" spans="1:39" s="155" customFormat="1" ht="12" x14ac:dyDescent="0.2">
      <c r="A129" s="168">
        <v>75</v>
      </c>
      <c r="B129" s="282">
        <v>25932</v>
      </c>
      <c r="C129" s="268" t="s">
        <v>1137</v>
      </c>
      <c r="D129" s="451">
        <f t="shared" si="18"/>
        <v>5831044</v>
      </c>
      <c r="E129" s="474">
        <v>1334790</v>
      </c>
      <c r="F129" s="474">
        <v>180310</v>
      </c>
      <c r="G129" s="474">
        <v>700452</v>
      </c>
      <c r="H129" s="474">
        <v>0</v>
      </c>
      <c r="I129" s="474">
        <v>2522394</v>
      </c>
      <c r="J129" s="474">
        <v>123000</v>
      </c>
      <c r="K129" s="474">
        <v>617000</v>
      </c>
      <c r="L129" s="474">
        <v>0</v>
      </c>
      <c r="M129" s="474">
        <v>1143867</v>
      </c>
      <c r="N129" s="474">
        <v>81054</v>
      </c>
      <c r="O129" s="474">
        <v>8939</v>
      </c>
      <c r="P129" s="451">
        <f t="shared" si="19"/>
        <v>5647945</v>
      </c>
      <c r="Q129" s="474">
        <v>2505258</v>
      </c>
      <c r="R129" s="474">
        <v>1127168</v>
      </c>
      <c r="S129" s="474">
        <v>0</v>
      </c>
      <c r="T129" s="474">
        <v>0</v>
      </c>
      <c r="U129" s="474">
        <v>0</v>
      </c>
      <c r="V129" s="474">
        <v>0</v>
      </c>
      <c r="W129" s="474">
        <v>85320</v>
      </c>
      <c r="X129" s="474">
        <v>366232</v>
      </c>
      <c r="Y129" s="474">
        <v>52500</v>
      </c>
      <c r="Z129" s="474">
        <v>1511467</v>
      </c>
      <c r="AA129" s="474">
        <v>0</v>
      </c>
      <c r="AB129" s="474">
        <v>0</v>
      </c>
      <c r="AC129" s="474">
        <v>1123852</v>
      </c>
      <c r="AD129" s="474">
        <v>23939</v>
      </c>
      <c r="AE129" s="474">
        <v>2172481</v>
      </c>
      <c r="AF129" s="474">
        <v>13760</v>
      </c>
      <c r="AG129" s="474">
        <v>207726</v>
      </c>
      <c r="AH129" s="474">
        <v>485567</v>
      </c>
      <c r="AI129" s="474">
        <v>417614</v>
      </c>
      <c r="AJ129" s="474">
        <v>0</v>
      </c>
      <c r="AK129" s="474">
        <v>0</v>
      </c>
      <c r="AL129" s="474">
        <v>1203006</v>
      </c>
      <c r="AM129" s="474">
        <v>0</v>
      </c>
    </row>
    <row r="130" spans="1:39" s="155" customFormat="1" ht="12" x14ac:dyDescent="0.2">
      <c r="A130" s="168">
        <v>76</v>
      </c>
      <c r="B130" s="282">
        <v>26029</v>
      </c>
      <c r="C130" s="268" t="s">
        <v>1138</v>
      </c>
      <c r="D130" s="451">
        <f t="shared" si="18"/>
        <v>4066740</v>
      </c>
      <c r="E130" s="474">
        <v>1302356</v>
      </c>
      <c r="F130" s="474">
        <v>166587</v>
      </c>
      <c r="G130" s="474">
        <v>580518</v>
      </c>
      <c r="H130" s="474">
        <v>0</v>
      </c>
      <c r="I130" s="474">
        <v>1382258</v>
      </c>
      <c r="J130" s="474">
        <v>98500</v>
      </c>
      <c r="K130" s="474">
        <v>707000</v>
      </c>
      <c r="L130" s="474">
        <v>0</v>
      </c>
      <c r="M130" s="474">
        <v>98700</v>
      </c>
      <c r="N130" s="474">
        <v>432632</v>
      </c>
      <c r="O130" s="474">
        <v>45294</v>
      </c>
      <c r="P130" s="451">
        <f t="shared" si="19"/>
        <v>3783422</v>
      </c>
      <c r="Q130" s="474">
        <v>1760831</v>
      </c>
      <c r="R130" s="474">
        <v>737596</v>
      </c>
      <c r="S130" s="474">
        <v>20320</v>
      </c>
      <c r="T130" s="474">
        <v>0</v>
      </c>
      <c r="U130" s="474">
        <v>13000</v>
      </c>
      <c r="V130" s="474">
        <v>0</v>
      </c>
      <c r="W130" s="474">
        <v>0</v>
      </c>
      <c r="X130" s="474">
        <v>163074</v>
      </c>
      <c r="Y130" s="474">
        <v>76860</v>
      </c>
      <c r="Z130" s="474">
        <v>966659</v>
      </c>
      <c r="AA130" s="474">
        <v>45082</v>
      </c>
      <c r="AB130" s="474">
        <v>0</v>
      </c>
      <c r="AC130" s="474">
        <v>809880</v>
      </c>
      <c r="AD130" s="474">
        <v>75265</v>
      </c>
      <c r="AE130" s="474">
        <v>1302380</v>
      </c>
      <c r="AF130" s="474">
        <v>7522</v>
      </c>
      <c r="AG130" s="474">
        <v>205791</v>
      </c>
      <c r="AH130" s="474">
        <v>192904</v>
      </c>
      <c r="AI130" s="474">
        <v>494100</v>
      </c>
      <c r="AJ130" s="474">
        <v>78952</v>
      </c>
      <c r="AK130" s="474">
        <v>0</v>
      </c>
      <c r="AL130" s="474">
        <v>616628</v>
      </c>
      <c r="AM130" s="474">
        <v>0</v>
      </c>
    </row>
    <row r="131" spans="1:39" s="155" customFormat="1" ht="12" x14ac:dyDescent="0.2">
      <c r="A131" s="168">
        <v>77</v>
      </c>
      <c r="B131" s="282">
        <v>26083</v>
      </c>
      <c r="C131" s="268" t="s">
        <v>1139</v>
      </c>
      <c r="D131" s="451">
        <f t="shared" si="18"/>
        <v>5660836</v>
      </c>
      <c r="E131" s="474">
        <v>1440184</v>
      </c>
      <c r="F131" s="474">
        <v>222774</v>
      </c>
      <c r="G131" s="474">
        <v>608598</v>
      </c>
      <c r="H131" s="474">
        <v>0</v>
      </c>
      <c r="I131" s="474">
        <v>1717873</v>
      </c>
      <c r="J131" s="474">
        <v>80500</v>
      </c>
      <c r="K131" s="474">
        <v>781000</v>
      </c>
      <c r="L131" s="474">
        <v>0</v>
      </c>
      <c r="M131" s="474">
        <v>1463471</v>
      </c>
      <c r="N131" s="474">
        <v>176961</v>
      </c>
      <c r="O131" s="474">
        <v>847</v>
      </c>
      <c r="P131" s="451">
        <f t="shared" si="19"/>
        <v>4836987</v>
      </c>
      <c r="Q131" s="474">
        <v>1909784</v>
      </c>
      <c r="R131" s="474">
        <v>689062</v>
      </c>
      <c r="S131" s="474">
        <v>0</v>
      </c>
      <c r="T131" s="474">
        <v>0</v>
      </c>
      <c r="U131" s="474">
        <v>64977</v>
      </c>
      <c r="V131" s="474">
        <v>0</v>
      </c>
      <c r="W131" s="474">
        <v>0</v>
      </c>
      <c r="X131" s="474">
        <v>223500</v>
      </c>
      <c r="Y131" s="474">
        <v>56307</v>
      </c>
      <c r="Z131" s="474">
        <v>1896033</v>
      </c>
      <c r="AA131" s="474">
        <v>0</v>
      </c>
      <c r="AB131" s="474">
        <v>-2676</v>
      </c>
      <c r="AC131" s="474">
        <v>727458</v>
      </c>
      <c r="AD131" s="474">
        <v>26225</v>
      </c>
      <c r="AE131" s="474">
        <v>1508259</v>
      </c>
      <c r="AF131" s="474">
        <v>18133</v>
      </c>
      <c r="AG131" s="474">
        <v>152988</v>
      </c>
      <c r="AH131" s="474">
        <v>318554</v>
      </c>
      <c r="AI131" s="474">
        <v>287872</v>
      </c>
      <c r="AJ131" s="474">
        <v>199774</v>
      </c>
      <c r="AK131" s="474">
        <v>0</v>
      </c>
      <c r="AL131" s="474">
        <v>1597724</v>
      </c>
      <c r="AM131" s="474">
        <v>0</v>
      </c>
    </row>
    <row r="132" spans="1:39" s="155" customFormat="1" ht="12" x14ac:dyDescent="0.2">
      <c r="A132" s="168">
        <v>78</v>
      </c>
      <c r="B132" s="282">
        <v>26118</v>
      </c>
      <c r="C132" s="268" t="s">
        <v>1140</v>
      </c>
      <c r="D132" s="451">
        <f t="shared" si="18"/>
        <v>4029116</v>
      </c>
      <c r="E132" s="474">
        <v>1199715</v>
      </c>
      <c r="F132" s="474">
        <v>99729</v>
      </c>
      <c r="G132" s="474">
        <v>737340</v>
      </c>
      <c r="H132" s="474">
        <v>0</v>
      </c>
      <c r="I132" s="474">
        <v>1300347</v>
      </c>
      <c r="J132" s="474">
        <v>197500</v>
      </c>
      <c r="K132" s="474">
        <v>630000</v>
      </c>
      <c r="L132" s="474">
        <v>0</v>
      </c>
      <c r="M132" s="474">
        <v>106738</v>
      </c>
      <c r="N132" s="474">
        <v>507196</v>
      </c>
      <c r="O132" s="474">
        <v>87620</v>
      </c>
      <c r="P132" s="451">
        <f t="shared" si="19"/>
        <v>4030336</v>
      </c>
      <c r="Q132" s="474">
        <v>1704524</v>
      </c>
      <c r="R132" s="474">
        <v>959463</v>
      </c>
      <c r="S132" s="474">
        <v>0</v>
      </c>
      <c r="T132" s="474">
        <v>0</v>
      </c>
      <c r="U132" s="474">
        <v>18276</v>
      </c>
      <c r="V132" s="474">
        <v>0</v>
      </c>
      <c r="W132" s="474">
        <v>462980</v>
      </c>
      <c r="X132" s="474">
        <v>66566</v>
      </c>
      <c r="Y132" s="474">
        <v>67980</v>
      </c>
      <c r="Z132" s="474">
        <v>766048</v>
      </c>
      <c r="AA132" s="474">
        <v>0</v>
      </c>
      <c r="AB132" s="474">
        <v>-15501</v>
      </c>
      <c r="AC132" s="474">
        <v>779703</v>
      </c>
      <c r="AD132" s="474">
        <v>44919</v>
      </c>
      <c r="AE132" s="474">
        <v>1689344</v>
      </c>
      <c r="AF132" s="474">
        <v>0</v>
      </c>
      <c r="AG132" s="474">
        <v>446630</v>
      </c>
      <c r="AH132" s="474">
        <v>626176</v>
      </c>
      <c r="AI132" s="474">
        <v>143093</v>
      </c>
      <c r="AJ132" s="474">
        <v>0</v>
      </c>
      <c r="AK132" s="474">
        <v>0</v>
      </c>
      <c r="AL132" s="474">
        <v>296671</v>
      </c>
      <c r="AM132" s="474">
        <v>3800</v>
      </c>
    </row>
    <row r="133" spans="1:39" s="155" customFormat="1" ht="12" x14ac:dyDescent="0.2">
      <c r="A133" s="168">
        <v>79</v>
      </c>
      <c r="B133" s="282">
        <v>26289</v>
      </c>
      <c r="C133" s="268" t="s">
        <v>1141</v>
      </c>
      <c r="D133" s="451">
        <f t="shared" si="18"/>
        <v>12056462</v>
      </c>
      <c r="E133" s="474">
        <v>6652091</v>
      </c>
      <c r="F133" s="474">
        <v>2442524</v>
      </c>
      <c r="G133" s="474">
        <v>23622</v>
      </c>
      <c r="H133" s="474">
        <v>0</v>
      </c>
      <c r="I133" s="474">
        <v>2573853</v>
      </c>
      <c r="J133" s="474">
        <v>162150</v>
      </c>
      <c r="K133" s="474">
        <v>284000</v>
      </c>
      <c r="L133" s="474">
        <v>0</v>
      </c>
      <c r="M133" s="474">
        <v>2003797</v>
      </c>
      <c r="N133" s="474">
        <v>233067</v>
      </c>
      <c r="O133" s="474">
        <v>147504</v>
      </c>
      <c r="P133" s="451">
        <f t="shared" si="19"/>
        <v>11064603</v>
      </c>
      <c r="Q133" s="474">
        <v>3247728</v>
      </c>
      <c r="R133" s="474">
        <v>2042778</v>
      </c>
      <c r="S133" s="474">
        <v>0</v>
      </c>
      <c r="T133" s="474">
        <v>0</v>
      </c>
      <c r="U133" s="474">
        <v>46430</v>
      </c>
      <c r="V133" s="474">
        <v>0</v>
      </c>
      <c r="W133" s="474">
        <v>379044</v>
      </c>
      <c r="X133" s="474">
        <v>164986</v>
      </c>
      <c r="Y133" s="474">
        <v>205941</v>
      </c>
      <c r="Z133" s="474">
        <v>4982233</v>
      </c>
      <c r="AA133" s="474">
        <v>0</v>
      </c>
      <c r="AB133" s="474">
        <v>-4537</v>
      </c>
      <c r="AC133" s="474">
        <v>889018</v>
      </c>
      <c r="AD133" s="474">
        <v>168586</v>
      </c>
      <c r="AE133" s="474">
        <v>2710785</v>
      </c>
      <c r="AF133" s="474">
        <v>4994</v>
      </c>
      <c r="AG133" s="474">
        <v>1284383</v>
      </c>
      <c r="AH133" s="474">
        <v>531315</v>
      </c>
      <c r="AI133" s="474">
        <v>2790339</v>
      </c>
      <c r="AJ133" s="474">
        <v>156887</v>
      </c>
      <c r="AK133" s="474">
        <v>0</v>
      </c>
      <c r="AL133" s="474">
        <v>2414251</v>
      </c>
      <c r="AM133" s="474">
        <v>114045</v>
      </c>
    </row>
    <row r="134" spans="1:39" s="155" customFormat="1" ht="12" x14ac:dyDescent="0.2">
      <c r="A134" s="168">
        <v>80</v>
      </c>
      <c r="B134" s="282">
        <v>26320</v>
      </c>
      <c r="C134" s="268" t="s">
        <v>1142</v>
      </c>
      <c r="D134" s="451">
        <f t="shared" si="18"/>
        <v>3718013</v>
      </c>
      <c r="E134" s="474">
        <v>1434565</v>
      </c>
      <c r="F134" s="474">
        <v>379420</v>
      </c>
      <c r="G134" s="474">
        <v>474764</v>
      </c>
      <c r="H134" s="474">
        <v>0</v>
      </c>
      <c r="I134" s="474">
        <v>893870</v>
      </c>
      <c r="J134" s="474">
        <v>76500</v>
      </c>
      <c r="K134" s="474">
        <v>549000</v>
      </c>
      <c r="L134" s="474">
        <v>0</v>
      </c>
      <c r="M134" s="474">
        <v>599204</v>
      </c>
      <c r="N134" s="474">
        <v>0</v>
      </c>
      <c r="O134" s="474">
        <v>164874</v>
      </c>
      <c r="P134" s="451">
        <f t="shared" si="19"/>
        <v>3463786</v>
      </c>
      <c r="Q134" s="474">
        <v>1245778</v>
      </c>
      <c r="R134" s="474">
        <v>1036410</v>
      </c>
      <c r="S134" s="474">
        <v>0</v>
      </c>
      <c r="T134" s="474">
        <v>0</v>
      </c>
      <c r="U134" s="474">
        <v>15490</v>
      </c>
      <c r="V134" s="474">
        <v>0</v>
      </c>
      <c r="W134" s="474">
        <v>0</v>
      </c>
      <c r="X134" s="474">
        <v>102185</v>
      </c>
      <c r="Y134" s="474">
        <v>50000</v>
      </c>
      <c r="Z134" s="474">
        <v>1013923</v>
      </c>
      <c r="AA134" s="474">
        <v>0</v>
      </c>
      <c r="AB134" s="474">
        <v>0</v>
      </c>
      <c r="AC134" s="474">
        <v>792539</v>
      </c>
      <c r="AD134" s="474">
        <v>24938</v>
      </c>
      <c r="AE134" s="474">
        <v>740877</v>
      </c>
      <c r="AF134" s="474">
        <v>0</v>
      </c>
      <c r="AG134" s="474">
        <v>50000</v>
      </c>
      <c r="AH134" s="474">
        <v>282209</v>
      </c>
      <c r="AI134" s="474">
        <v>193731</v>
      </c>
      <c r="AJ134" s="474">
        <v>241604</v>
      </c>
      <c r="AK134" s="474">
        <v>0</v>
      </c>
      <c r="AL134" s="474">
        <v>1137888</v>
      </c>
      <c r="AM134" s="474">
        <v>0</v>
      </c>
    </row>
    <row r="135" spans="1:39" s="155" customFormat="1" ht="12" x14ac:dyDescent="0.2">
      <c r="A135" s="168">
        <v>81</v>
      </c>
      <c r="B135" s="282">
        <v>26338</v>
      </c>
      <c r="C135" s="268" t="s">
        <v>1143</v>
      </c>
      <c r="D135" s="451">
        <f t="shared" si="18"/>
        <v>6248275</v>
      </c>
      <c r="E135" s="474">
        <v>1238045</v>
      </c>
      <c r="F135" s="474">
        <v>121200</v>
      </c>
      <c r="G135" s="474">
        <v>735403</v>
      </c>
      <c r="H135" s="474">
        <v>0</v>
      </c>
      <c r="I135" s="474">
        <v>1565798</v>
      </c>
      <c r="J135" s="474">
        <v>129400</v>
      </c>
      <c r="K135" s="474">
        <v>843000</v>
      </c>
      <c r="L135" s="474">
        <v>0</v>
      </c>
      <c r="M135" s="474">
        <v>1192331</v>
      </c>
      <c r="N135" s="474">
        <v>1279701</v>
      </c>
      <c r="O135" s="474">
        <v>0</v>
      </c>
      <c r="P135" s="451">
        <f t="shared" si="19"/>
        <v>6117175</v>
      </c>
      <c r="Q135" s="474">
        <v>1774967</v>
      </c>
      <c r="R135" s="474">
        <v>764717</v>
      </c>
      <c r="S135" s="474">
        <v>0</v>
      </c>
      <c r="T135" s="474">
        <v>0</v>
      </c>
      <c r="U135" s="474">
        <v>56334</v>
      </c>
      <c r="V135" s="474">
        <v>0</v>
      </c>
      <c r="W135" s="474">
        <v>2462124</v>
      </c>
      <c r="X135" s="474">
        <v>193139</v>
      </c>
      <c r="Y135" s="474">
        <v>0</v>
      </c>
      <c r="Z135" s="474">
        <v>865894</v>
      </c>
      <c r="AA135" s="474">
        <v>0</v>
      </c>
      <c r="AB135" s="474">
        <v>0</v>
      </c>
      <c r="AC135" s="474">
        <v>792208</v>
      </c>
      <c r="AD135" s="474">
        <v>3762</v>
      </c>
      <c r="AE135" s="474">
        <v>3379592</v>
      </c>
      <c r="AF135" s="474">
        <v>0</v>
      </c>
      <c r="AG135" s="474">
        <v>36350</v>
      </c>
      <c r="AH135" s="474">
        <v>267707</v>
      </c>
      <c r="AI135" s="474">
        <v>348736</v>
      </c>
      <c r="AJ135" s="474">
        <v>0</v>
      </c>
      <c r="AK135" s="474">
        <v>0</v>
      </c>
      <c r="AL135" s="474">
        <v>1288820</v>
      </c>
      <c r="AM135" s="474">
        <v>0</v>
      </c>
    </row>
    <row r="136" spans="1:39" s="155" customFormat="1" ht="12" x14ac:dyDescent="0.2">
      <c r="A136" s="168">
        <v>82</v>
      </c>
      <c r="B136" s="282">
        <v>26346</v>
      </c>
      <c r="C136" s="268" t="s">
        <v>1144</v>
      </c>
      <c r="D136" s="451">
        <f t="shared" si="18"/>
        <v>4345347</v>
      </c>
      <c r="E136" s="474">
        <v>1077308</v>
      </c>
      <c r="F136" s="474">
        <v>130378</v>
      </c>
      <c r="G136" s="474">
        <v>682612</v>
      </c>
      <c r="H136" s="474">
        <v>0</v>
      </c>
      <c r="I136" s="474">
        <v>2117489</v>
      </c>
      <c r="J136" s="474">
        <v>90000</v>
      </c>
      <c r="K136" s="474">
        <v>703000</v>
      </c>
      <c r="L136" s="474">
        <v>0</v>
      </c>
      <c r="M136" s="474">
        <v>242264</v>
      </c>
      <c r="N136" s="474">
        <v>93129</v>
      </c>
      <c r="O136" s="474">
        <v>22157</v>
      </c>
      <c r="P136" s="451">
        <f t="shared" si="19"/>
        <v>4280706</v>
      </c>
      <c r="Q136" s="474">
        <v>2476765</v>
      </c>
      <c r="R136" s="474">
        <v>803413</v>
      </c>
      <c r="S136" s="474">
        <v>0</v>
      </c>
      <c r="T136" s="474">
        <v>0</v>
      </c>
      <c r="U136" s="474">
        <v>28997</v>
      </c>
      <c r="V136" s="474">
        <v>0</v>
      </c>
      <c r="W136" s="474">
        <v>148207</v>
      </c>
      <c r="X136" s="474">
        <v>256135</v>
      </c>
      <c r="Y136" s="474">
        <v>0</v>
      </c>
      <c r="Z136" s="474">
        <v>570051</v>
      </c>
      <c r="AA136" s="474">
        <v>0</v>
      </c>
      <c r="AB136" s="474">
        <v>-2862</v>
      </c>
      <c r="AC136" s="474">
        <v>914162</v>
      </c>
      <c r="AD136" s="474">
        <v>29057</v>
      </c>
      <c r="AE136" s="474">
        <v>1799634</v>
      </c>
      <c r="AF136" s="474">
        <v>0</v>
      </c>
      <c r="AG136" s="474">
        <v>33040</v>
      </c>
      <c r="AH136" s="474">
        <v>613107</v>
      </c>
      <c r="AI136" s="474">
        <v>135728</v>
      </c>
      <c r="AJ136" s="474">
        <v>179303</v>
      </c>
      <c r="AK136" s="474">
        <v>0</v>
      </c>
      <c r="AL136" s="474">
        <v>576675</v>
      </c>
      <c r="AM136" s="474">
        <v>0</v>
      </c>
    </row>
    <row r="137" spans="1:39" s="155" customFormat="1" ht="12" x14ac:dyDescent="0.2">
      <c r="A137" s="168">
        <v>83</v>
      </c>
      <c r="B137" s="282">
        <v>26353</v>
      </c>
      <c r="C137" s="268" t="s">
        <v>1145</v>
      </c>
      <c r="D137" s="451">
        <f t="shared" si="18"/>
        <v>4378703</v>
      </c>
      <c r="E137" s="474">
        <v>1101673</v>
      </c>
      <c r="F137" s="474">
        <v>92312</v>
      </c>
      <c r="G137" s="474">
        <v>733276</v>
      </c>
      <c r="H137" s="474">
        <v>0</v>
      </c>
      <c r="I137" s="474">
        <v>1355054</v>
      </c>
      <c r="J137" s="474">
        <v>158500</v>
      </c>
      <c r="K137" s="474">
        <v>766000</v>
      </c>
      <c r="L137" s="474">
        <v>0</v>
      </c>
      <c r="M137" s="474">
        <v>175773</v>
      </c>
      <c r="N137" s="474">
        <v>794988</v>
      </c>
      <c r="O137" s="474">
        <v>26715</v>
      </c>
      <c r="P137" s="451">
        <f t="shared" si="19"/>
        <v>4292409</v>
      </c>
      <c r="Q137" s="474">
        <v>1626790</v>
      </c>
      <c r="R137" s="474">
        <v>846194</v>
      </c>
      <c r="S137" s="474">
        <v>0</v>
      </c>
      <c r="T137" s="474">
        <v>0</v>
      </c>
      <c r="U137" s="474">
        <v>50000</v>
      </c>
      <c r="V137" s="474">
        <v>0</v>
      </c>
      <c r="W137" s="474">
        <v>1129022</v>
      </c>
      <c r="X137" s="474">
        <v>122997</v>
      </c>
      <c r="Y137" s="474">
        <v>49900</v>
      </c>
      <c r="Z137" s="474">
        <v>468311</v>
      </c>
      <c r="AA137" s="474">
        <v>0</v>
      </c>
      <c r="AB137" s="474">
        <v>-805</v>
      </c>
      <c r="AC137" s="474">
        <v>720564</v>
      </c>
      <c r="AD137" s="474">
        <v>2500</v>
      </c>
      <c r="AE137" s="474">
        <v>2341156</v>
      </c>
      <c r="AF137" s="474">
        <v>0</v>
      </c>
      <c r="AG137" s="474">
        <v>64954</v>
      </c>
      <c r="AH137" s="474">
        <v>293950</v>
      </c>
      <c r="AI137" s="474">
        <v>148141</v>
      </c>
      <c r="AJ137" s="474">
        <v>73062</v>
      </c>
      <c r="AK137" s="474">
        <v>0</v>
      </c>
      <c r="AL137" s="474">
        <v>648082</v>
      </c>
      <c r="AM137" s="474">
        <v>0</v>
      </c>
    </row>
    <row r="138" spans="1:39" s="155" customFormat="1" ht="12" x14ac:dyDescent="0.2">
      <c r="A138" s="168">
        <v>84</v>
      </c>
      <c r="B138" s="282">
        <v>26361</v>
      </c>
      <c r="C138" s="268" t="s">
        <v>1146</v>
      </c>
      <c r="D138" s="451">
        <f t="shared" si="18"/>
        <v>2933031</v>
      </c>
      <c r="E138" s="474">
        <v>1181955</v>
      </c>
      <c r="F138" s="474">
        <v>76632</v>
      </c>
      <c r="G138" s="474">
        <v>691788</v>
      </c>
      <c r="H138" s="474">
        <v>0</v>
      </c>
      <c r="I138" s="474">
        <v>710132</v>
      </c>
      <c r="J138" s="474">
        <v>90000</v>
      </c>
      <c r="K138" s="474">
        <v>677000</v>
      </c>
      <c r="L138" s="474">
        <v>0</v>
      </c>
      <c r="M138" s="474">
        <v>61775</v>
      </c>
      <c r="N138" s="474">
        <v>200949</v>
      </c>
      <c r="O138" s="474">
        <v>11220</v>
      </c>
      <c r="P138" s="451">
        <f t="shared" si="19"/>
        <v>2708547</v>
      </c>
      <c r="Q138" s="474">
        <v>878652</v>
      </c>
      <c r="R138" s="474">
        <v>491198</v>
      </c>
      <c r="S138" s="474">
        <v>0</v>
      </c>
      <c r="T138" s="474">
        <v>0</v>
      </c>
      <c r="U138" s="474">
        <v>164000</v>
      </c>
      <c r="V138" s="474">
        <v>0</v>
      </c>
      <c r="W138" s="474">
        <v>143675</v>
      </c>
      <c r="X138" s="474">
        <v>57081</v>
      </c>
      <c r="Y138" s="474">
        <v>60000</v>
      </c>
      <c r="Z138" s="474">
        <v>913941</v>
      </c>
      <c r="AA138" s="474">
        <v>0</v>
      </c>
      <c r="AB138" s="474">
        <v>0</v>
      </c>
      <c r="AC138" s="474">
        <v>1234562</v>
      </c>
      <c r="AD138" s="474">
        <v>3895</v>
      </c>
      <c r="AE138" s="474">
        <v>877219</v>
      </c>
      <c r="AF138" s="474">
        <v>0</v>
      </c>
      <c r="AG138" s="474">
        <v>216097</v>
      </c>
      <c r="AH138" s="474">
        <v>141929</v>
      </c>
      <c r="AI138" s="474">
        <v>55997</v>
      </c>
      <c r="AJ138" s="474">
        <v>75000</v>
      </c>
      <c r="AK138" s="474">
        <v>0</v>
      </c>
      <c r="AL138" s="474">
        <v>103848</v>
      </c>
      <c r="AM138" s="474">
        <v>0</v>
      </c>
    </row>
    <row r="139" spans="1:39" s="155" customFormat="1" ht="12" x14ac:dyDescent="0.2">
      <c r="A139" s="168">
        <v>85</v>
      </c>
      <c r="B139" s="282">
        <v>26379</v>
      </c>
      <c r="C139" s="268" t="s">
        <v>1147</v>
      </c>
      <c r="D139" s="451">
        <f t="shared" si="18"/>
        <v>3160965</v>
      </c>
      <c r="E139" s="474">
        <v>1369794</v>
      </c>
      <c r="F139" s="474">
        <v>217418</v>
      </c>
      <c r="G139" s="474">
        <v>630600</v>
      </c>
      <c r="H139" s="474">
        <v>0</v>
      </c>
      <c r="I139" s="474">
        <v>654205</v>
      </c>
      <c r="J139" s="474">
        <v>119800</v>
      </c>
      <c r="K139" s="474">
        <v>520000</v>
      </c>
      <c r="L139" s="474">
        <v>0</v>
      </c>
      <c r="M139" s="474">
        <v>478496</v>
      </c>
      <c r="N139" s="474">
        <v>0</v>
      </c>
      <c r="O139" s="474">
        <v>18670</v>
      </c>
      <c r="P139" s="451">
        <f t="shared" si="19"/>
        <v>3157296</v>
      </c>
      <c r="Q139" s="474">
        <v>1044432</v>
      </c>
      <c r="R139" s="474">
        <v>833552</v>
      </c>
      <c r="S139" s="474">
        <v>0</v>
      </c>
      <c r="T139" s="474">
        <v>0</v>
      </c>
      <c r="U139" s="474">
        <v>0</v>
      </c>
      <c r="V139" s="474">
        <v>0</v>
      </c>
      <c r="W139" s="474">
        <v>0</v>
      </c>
      <c r="X139" s="474">
        <v>60851</v>
      </c>
      <c r="Y139" s="474">
        <v>11185</v>
      </c>
      <c r="Z139" s="474">
        <v>1214057</v>
      </c>
      <c r="AA139" s="474">
        <v>0</v>
      </c>
      <c r="AB139" s="474">
        <v>-6781</v>
      </c>
      <c r="AC139" s="474">
        <v>695392</v>
      </c>
      <c r="AD139" s="474">
        <v>58348</v>
      </c>
      <c r="AE139" s="474">
        <v>846369</v>
      </c>
      <c r="AF139" s="474">
        <v>20034</v>
      </c>
      <c r="AG139" s="474">
        <v>13423</v>
      </c>
      <c r="AH139" s="474">
        <v>125495</v>
      </c>
      <c r="AI139" s="474">
        <v>669649</v>
      </c>
      <c r="AJ139" s="474">
        <v>113937</v>
      </c>
      <c r="AK139" s="474">
        <v>0</v>
      </c>
      <c r="AL139" s="474">
        <v>614649</v>
      </c>
      <c r="AM139" s="474">
        <v>0</v>
      </c>
    </row>
    <row r="140" spans="1:39" s="155" customFormat="1" ht="12" hidden="1" x14ac:dyDescent="0.2">
      <c r="A140" s="168">
        <v>86</v>
      </c>
      <c r="B140" s="171"/>
      <c r="C140" s="172"/>
      <c r="D140" s="432">
        <f t="shared" ref="D140:D143" si="20">E140+SUM(H140:O140)</f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ref="P140:P142" si="21">IF(SUM(Q140:AB140)=SUM(AC140:AM140),SUM(Q140:AB140),"  EROARE ART/CAP")</f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71"/>
      <c r="C141" s="173"/>
      <c r="D141" s="432">
        <f t="shared" si="20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21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71"/>
      <c r="C142" s="173"/>
      <c r="D142" s="432">
        <f t="shared" si="20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21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20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949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2014900419</v>
      </c>
      <c r="E14" s="432">
        <f>SUM(E15,E16,E33,E54)</f>
        <v>643135317</v>
      </c>
      <c r="F14" s="432">
        <f t="shared" ref="F14:O14" si="0">SUM(F15,F16,F33,F54)</f>
        <v>287158823</v>
      </c>
      <c r="G14" s="432">
        <f t="shared" si="0"/>
        <v>100232000</v>
      </c>
      <c r="H14" s="432">
        <f t="shared" si="0"/>
        <v>86730000</v>
      </c>
      <c r="I14" s="432">
        <f t="shared" si="0"/>
        <v>417978620</v>
      </c>
      <c r="J14" s="432">
        <f t="shared" si="0"/>
        <v>20088725</v>
      </c>
      <c r="K14" s="432">
        <f t="shared" si="0"/>
        <v>116833437</v>
      </c>
      <c r="L14" s="432">
        <f t="shared" si="0"/>
        <v>0</v>
      </c>
      <c r="M14" s="432">
        <f t="shared" si="0"/>
        <v>352215408</v>
      </c>
      <c r="N14" s="432">
        <f t="shared" si="0"/>
        <v>361661759</v>
      </c>
      <c r="O14" s="432">
        <f t="shared" si="0"/>
        <v>16257153</v>
      </c>
      <c r="P14" s="432">
        <f>IF(SUM(Q14:AB14)=SUM(AC14:AM14),SUM(Q14:AB14),"  EROARE ART/CAP")</f>
        <v>1953977986</v>
      </c>
      <c r="Q14" s="432">
        <f t="shared" ref="Q14:AM14" si="1">Q15+Q16+Q33+Q54</f>
        <v>496351879</v>
      </c>
      <c r="R14" s="432">
        <f t="shared" si="1"/>
        <v>314471565</v>
      </c>
      <c r="S14" s="432">
        <f t="shared" si="1"/>
        <v>11566358</v>
      </c>
      <c r="T14" s="432">
        <f t="shared" si="1"/>
        <v>43556819</v>
      </c>
      <c r="U14" s="432">
        <f t="shared" si="1"/>
        <v>138809183</v>
      </c>
      <c r="V14" s="432">
        <f t="shared" si="1"/>
        <v>20710175</v>
      </c>
      <c r="W14" s="432">
        <f t="shared" si="1"/>
        <v>623780717</v>
      </c>
      <c r="X14" s="432">
        <f t="shared" si="1"/>
        <v>45368417</v>
      </c>
      <c r="Y14" s="432">
        <f t="shared" si="1"/>
        <v>20727039</v>
      </c>
      <c r="Z14" s="432">
        <f t="shared" si="1"/>
        <v>172508188</v>
      </c>
      <c r="AA14" s="432">
        <f t="shared" si="1"/>
        <v>73006133</v>
      </c>
      <c r="AB14" s="432">
        <f t="shared" si="1"/>
        <v>-6878487</v>
      </c>
      <c r="AC14" s="432">
        <f t="shared" si="1"/>
        <v>142030709</v>
      </c>
      <c r="AD14" s="432">
        <f t="shared" si="1"/>
        <v>9648673</v>
      </c>
      <c r="AE14" s="432">
        <f t="shared" si="1"/>
        <v>469545902</v>
      </c>
      <c r="AF14" s="432">
        <f t="shared" si="1"/>
        <v>22312584</v>
      </c>
      <c r="AG14" s="432">
        <f t="shared" si="1"/>
        <v>143022125</v>
      </c>
      <c r="AH14" s="432">
        <f t="shared" si="1"/>
        <v>202880256</v>
      </c>
      <c r="AI14" s="432">
        <f t="shared" si="1"/>
        <v>186222758</v>
      </c>
      <c r="AJ14" s="432">
        <f t="shared" si="1"/>
        <v>106766026</v>
      </c>
      <c r="AK14" s="432">
        <f t="shared" si="1"/>
        <v>268537854</v>
      </c>
      <c r="AL14" s="432">
        <f t="shared" si="1"/>
        <v>346005302</v>
      </c>
      <c r="AM14" s="432">
        <f t="shared" si="1"/>
        <v>57005797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419861699</v>
      </c>
      <c r="E15" s="431">
        <v>95423780</v>
      </c>
      <c r="F15" s="431">
        <v>60951890</v>
      </c>
      <c r="G15" s="431">
        <v>31166456</v>
      </c>
      <c r="H15" s="431">
        <v>86730000</v>
      </c>
      <c r="I15" s="431">
        <v>0</v>
      </c>
      <c r="J15" s="431">
        <v>12642000</v>
      </c>
      <c r="K15" s="431">
        <v>25511630</v>
      </c>
      <c r="L15" s="431">
        <v>0</v>
      </c>
      <c r="M15" s="431">
        <v>121196310</v>
      </c>
      <c r="N15" s="431">
        <v>77668251</v>
      </c>
      <c r="O15" s="431">
        <v>689728</v>
      </c>
      <c r="P15" s="464">
        <f>IF(SUM(Q15:AB15)=SUM(AC15:AM15),SUM(Q15:AB15),"  EROARE ART/CAP")</f>
        <v>387823400</v>
      </c>
      <c r="Q15" s="431">
        <v>57939402</v>
      </c>
      <c r="R15" s="431">
        <v>53442746</v>
      </c>
      <c r="S15" s="431">
        <v>2551609</v>
      </c>
      <c r="T15" s="431">
        <v>0</v>
      </c>
      <c r="U15" s="431">
        <v>119864720</v>
      </c>
      <c r="V15" s="431">
        <v>10424909</v>
      </c>
      <c r="W15" s="431">
        <v>107404607</v>
      </c>
      <c r="X15" s="431">
        <v>9352726</v>
      </c>
      <c r="Y15" s="431">
        <v>9445798</v>
      </c>
      <c r="Z15" s="431">
        <v>14580282</v>
      </c>
      <c r="AA15" s="431">
        <v>3587374</v>
      </c>
      <c r="AB15" s="431">
        <v>-770773</v>
      </c>
      <c r="AC15" s="431">
        <v>13118378</v>
      </c>
      <c r="AD15" s="431">
        <v>906147</v>
      </c>
      <c r="AE15" s="431">
        <v>45100945</v>
      </c>
      <c r="AF15" s="431">
        <v>2007310</v>
      </c>
      <c r="AG15" s="431">
        <v>39927096</v>
      </c>
      <c r="AH15" s="431">
        <v>132328798</v>
      </c>
      <c r="AI15" s="431">
        <v>0</v>
      </c>
      <c r="AJ15" s="431">
        <v>50883929</v>
      </c>
      <c r="AK15" s="431">
        <v>0</v>
      </c>
      <c r="AL15" s="431">
        <v>91440657</v>
      </c>
      <c r="AM15" s="431">
        <v>12110140</v>
      </c>
    </row>
    <row r="16" spans="1:39" s="155" customFormat="1" ht="12" x14ac:dyDescent="0.2">
      <c r="A16" s="156" t="s">
        <v>72</v>
      </c>
      <c r="B16" s="159"/>
      <c r="C16" s="159"/>
      <c r="D16" s="432">
        <f>E16+SUM(H16:O16)</f>
        <v>921207655</v>
      </c>
      <c r="E16" s="433">
        <f>SUM(E18:E32)</f>
        <v>333555105</v>
      </c>
      <c r="F16" s="433">
        <f t="shared" ref="F16:O16" si="2">SUM(F18:F32)</f>
        <v>162191325</v>
      </c>
      <c r="G16" s="433">
        <f t="shared" si="2"/>
        <v>13331852</v>
      </c>
      <c r="H16" s="433">
        <f t="shared" si="2"/>
        <v>0</v>
      </c>
      <c r="I16" s="433">
        <f t="shared" si="2"/>
        <v>208189288</v>
      </c>
      <c r="J16" s="433">
        <f t="shared" si="2"/>
        <v>300000</v>
      </c>
      <c r="K16" s="433">
        <f t="shared" si="2"/>
        <v>11969700</v>
      </c>
      <c r="L16" s="433">
        <f t="shared" si="2"/>
        <v>0</v>
      </c>
      <c r="M16" s="433">
        <f t="shared" si="2"/>
        <v>167807013</v>
      </c>
      <c r="N16" s="433">
        <f t="shared" si="2"/>
        <v>196663609</v>
      </c>
      <c r="O16" s="433">
        <f t="shared" si="2"/>
        <v>2722940</v>
      </c>
      <c r="P16" s="432">
        <f t="shared" ref="P16:P59" si="3">IF(SUM(Q16:AB16)=SUM(AC16:AM16),SUM(Q16:AB16),"  EROARE ART/CAP")</f>
        <v>902559103</v>
      </c>
      <c r="Q16" s="432">
        <f>SUM(Q18:Q32)</f>
        <v>209097989</v>
      </c>
      <c r="R16" s="432">
        <f t="shared" ref="R16:AM16" si="4">SUM(R18:R32)</f>
        <v>117228830</v>
      </c>
      <c r="S16" s="432">
        <f t="shared" si="4"/>
        <v>7823875</v>
      </c>
      <c r="T16" s="432">
        <f t="shared" si="4"/>
        <v>43247316</v>
      </c>
      <c r="U16" s="432">
        <f t="shared" si="4"/>
        <v>15309919</v>
      </c>
      <c r="V16" s="432">
        <f t="shared" si="4"/>
        <v>8347813</v>
      </c>
      <c r="W16" s="432">
        <f t="shared" si="4"/>
        <v>395795001</v>
      </c>
      <c r="X16" s="432">
        <f t="shared" si="4"/>
        <v>15542517</v>
      </c>
      <c r="Y16" s="432">
        <f t="shared" si="4"/>
        <v>3772786</v>
      </c>
      <c r="Z16" s="432">
        <f t="shared" si="4"/>
        <v>35156371</v>
      </c>
      <c r="AA16" s="432">
        <f t="shared" si="4"/>
        <v>54806703</v>
      </c>
      <c r="AB16" s="432">
        <f t="shared" si="4"/>
        <v>-3570017</v>
      </c>
      <c r="AC16" s="432">
        <f t="shared" si="4"/>
        <v>36391312</v>
      </c>
      <c r="AD16" s="432">
        <f t="shared" si="4"/>
        <v>3894347</v>
      </c>
      <c r="AE16" s="432">
        <f t="shared" si="4"/>
        <v>216536353</v>
      </c>
      <c r="AF16" s="432">
        <f t="shared" si="4"/>
        <v>16767702</v>
      </c>
      <c r="AG16" s="432">
        <f t="shared" si="4"/>
        <v>63726451</v>
      </c>
      <c r="AH16" s="432">
        <f t="shared" si="4"/>
        <v>29148913</v>
      </c>
      <c r="AI16" s="432">
        <f t="shared" si="4"/>
        <v>87591719</v>
      </c>
      <c r="AJ16" s="432">
        <f t="shared" si="4"/>
        <v>20612526</v>
      </c>
      <c r="AK16" s="432">
        <f t="shared" si="4"/>
        <v>268394271</v>
      </c>
      <c r="AL16" s="432">
        <f t="shared" si="4"/>
        <v>131684793</v>
      </c>
      <c r="AM16" s="432">
        <f t="shared" si="4"/>
        <v>27810716</v>
      </c>
    </row>
    <row r="17" spans="1:39" s="155" customFormat="1" ht="22.5" x14ac:dyDescent="0.2">
      <c r="A17" s="277" t="s">
        <v>2306</v>
      </c>
      <c r="B17" s="281" t="s">
        <v>74</v>
      </c>
      <c r="C17" s="236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146">
        <v>1</v>
      </c>
      <c r="B18" s="497">
        <v>26804</v>
      </c>
      <c r="C18" s="235" t="s">
        <v>2482</v>
      </c>
      <c r="D18" s="464">
        <f>E18+SUM(H18:O18)</f>
        <v>40628498</v>
      </c>
      <c r="E18" s="431">
        <v>18665774</v>
      </c>
      <c r="F18" s="431">
        <v>6767191</v>
      </c>
      <c r="G18" s="431">
        <v>6464827</v>
      </c>
      <c r="H18" s="431">
        <v>0</v>
      </c>
      <c r="I18" s="431">
        <v>15529700</v>
      </c>
      <c r="J18" s="431">
        <v>0</v>
      </c>
      <c r="K18" s="431">
        <v>4071710</v>
      </c>
      <c r="L18" s="431">
        <v>0</v>
      </c>
      <c r="M18" s="431">
        <v>708023</v>
      </c>
      <c r="N18" s="431">
        <v>1648791</v>
      </c>
      <c r="O18" s="431">
        <v>4500</v>
      </c>
      <c r="P18" s="464">
        <f t="shared" ref="P18:P21" si="5">IF(SUM(Q18:AB18)=SUM(AC18:AM18),SUM(Q18:AB18),"  EROARE ART/CAP")</f>
        <v>28623206</v>
      </c>
      <c r="Q18" s="431">
        <v>16148794</v>
      </c>
      <c r="R18" s="431">
        <v>5714359</v>
      </c>
      <c r="S18" s="431">
        <v>0</v>
      </c>
      <c r="T18" s="431">
        <v>0</v>
      </c>
      <c r="U18" s="431">
        <v>735002</v>
      </c>
      <c r="V18" s="431">
        <v>1000</v>
      </c>
      <c r="W18" s="431">
        <v>2593738</v>
      </c>
      <c r="X18" s="431">
        <v>581882</v>
      </c>
      <c r="Y18" s="431">
        <v>820769</v>
      </c>
      <c r="Z18" s="431">
        <v>2144933</v>
      </c>
      <c r="AA18" s="431">
        <v>0</v>
      </c>
      <c r="AB18" s="431">
        <v>-117271</v>
      </c>
      <c r="AC18" s="431">
        <v>3778233</v>
      </c>
      <c r="AD18" s="431">
        <v>4894</v>
      </c>
      <c r="AE18" s="431">
        <v>15778560</v>
      </c>
      <c r="AF18" s="431">
        <v>3063577</v>
      </c>
      <c r="AG18" s="431">
        <v>2083217</v>
      </c>
      <c r="AH18" s="431">
        <v>945198</v>
      </c>
      <c r="AI18" s="431">
        <v>1106707</v>
      </c>
      <c r="AJ18" s="431">
        <v>595620</v>
      </c>
      <c r="AK18" s="431">
        <v>59247</v>
      </c>
      <c r="AL18" s="431">
        <v>403570</v>
      </c>
      <c r="AM18" s="431">
        <v>804383</v>
      </c>
    </row>
    <row r="19" spans="1:39" s="155" customFormat="1" ht="12" x14ac:dyDescent="0.2">
      <c r="A19" s="146">
        <v>2</v>
      </c>
      <c r="B19" s="497">
        <v>26877</v>
      </c>
      <c r="C19" s="235" t="s">
        <v>2483</v>
      </c>
      <c r="D19" s="464">
        <f t="shared" ref="D19:D21" si="6">E19+SUM(H19:O19)</f>
        <v>39595081</v>
      </c>
      <c r="E19" s="431">
        <v>19216253</v>
      </c>
      <c r="F19" s="431">
        <v>7747736</v>
      </c>
      <c r="G19" s="431">
        <v>5453363</v>
      </c>
      <c r="H19" s="431">
        <v>0</v>
      </c>
      <c r="I19" s="431">
        <v>15518320</v>
      </c>
      <c r="J19" s="431">
        <v>0</v>
      </c>
      <c r="K19" s="431">
        <v>3475680</v>
      </c>
      <c r="L19" s="431">
        <v>0</v>
      </c>
      <c r="M19" s="431">
        <v>152532</v>
      </c>
      <c r="N19" s="431">
        <v>623294</v>
      </c>
      <c r="O19" s="431">
        <v>609002</v>
      </c>
      <c r="P19" s="464">
        <f t="shared" si="5"/>
        <v>39009843</v>
      </c>
      <c r="Q19" s="431">
        <v>16411137</v>
      </c>
      <c r="R19" s="431">
        <v>12973471</v>
      </c>
      <c r="S19" s="431">
        <v>0</v>
      </c>
      <c r="T19" s="431">
        <v>0</v>
      </c>
      <c r="U19" s="431">
        <v>2570500</v>
      </c>
      <c r="V19" s="431">
        <v>0</v>
      </c>
      <c r="W19" s="431">
        <v>2551300</v>
      </c>
      <c r="X19" s="431">
        <v>757498</v>
      </c>
      <c r="Y19" s="431">
        <v>422837</v>
      </c>
      <c r="Z19" s="431">
        <v>3340198</v>
      </c>
      <c r="AA19" s="431">
        <v>0</v>
      </c>
      <c r="AB19" s="431">
        <v>-17098</v>
      </c>
      <c r="AC19" s="431">
        <v>3752857</v>
      </c>
      <c r="AD19" s="431">
        <v>586646</v>
      </c>
      <c r="AE19" s="431">
        <v>19174463</v>
      </c>
      <c r="AF19" s="431">
        <v>636672</v>
      </c>
      <c r="AG19" s="431">
        <v>5352837</v>
      </c>
      <c r="AH19" s="431">
        <v>1513726</v>
      </c>
      <c r="AI19" s="431">
        <v>2557156</v>
      </c>
      <c r="AJ19" s="431">
        <v>579656</v>
      </c>
      <c r="AK19" s="431">
        <v>0</v>
      </c>
      <c r="AL19" s="431">
        <v>4399803</v>
      </c>
      <c r="AM19" s="431">
        <v>456027</v>
      </c>
    </row>
    <row r="20" spans="1:39" s="155" customFormat="1" ht="12" x14ac:dyDescent="0.2">
      <c r="A20" s="146">
        <v>3</v>
      </c>
      <c r="B20" s="497">
        <v>26564</v>
      </c>
      <c r="C20" s="235" t="s">
        <v>2484</v>
      </c>
      <c r="D20" s="464">
        <f t="shared" si="6"/>
        <v>804819821</v>
      </c>
      <c r="E20" s="431">
        <v>277378142</v>
      </c>
      <c r="F20" s="431">
        <v>139861327</v>
      </c>
      <c r="G20" s="431">
        <v>911948</v>
      </c>
      <c r="H20" s="431">
        <v>0</v>
      </c>
      <c r="I20" s="431">
        <v>161467668</v>
      </c>
      <c r="J20" s="431">
        <v>0</v>
      </c>
      <c r="K20" s="431">
        <v>3490360</v>
      </c>
      <c r="L20" s="431">
        <v>0</v>
      </c>
      <c r="M20" s="431">
        <v>166655115</v>
      </c>
      <c r="N20" s="431">
        <v>194391524</v>
      </c>
      <c r="O20" s="431">
        <v>1437012</v>
      </c>
      <c r="P20" s="464">
        <f t="shared" si="5"/>
        <v>801749554</v>
      </c>
      <c r="Q20" s="431">
        <v>160508842</v>
      </c>
      <c r="R20" s="431">
        <v>91178089</v>
      </c>
      <c r="S20" s="431">
        <v>7823875</v>
      </c>
      <c r="T20" s="431">
        <v>43247316</v>
      </c>
      <c r="U20" s="431">
        <v>10810430</v>
      </c>
      <c r="V20" s="431">
        <v>8346813</v>
      </c>
      <c r="W20" s="431">
        <v>387932951</v>
      </c>
      <c r="X20" s="431">
        <v>13036622</v>
      </c>
      <c r="Y20" s="431">
        <v>2245880</v>
      </c>
      <c r="Z20" s="431">
        <v>25207909</v>
      </c>
      <c r="AA20" s="431">
        <v>54806703</v>
      </c>
      <c r="AB20" s="431">
        <v>-3395876</v>
      </c>
      <c r="AC20" s="431">
        <v>26232758</v>
      </c>
      <c r="AD20" s="431">
        <v>3275993</v>
      </c>
      <c r="AE20" s="431">
        <v>165250580</v>
      </c>
      <c r="AF20" s="431">
        <v>12563547</v>
      </c>
      <c r="AG20" s="431">
        <v>55006437</v>
      </c>
      <c r="AH20" s="431">
        <v>24862312</v>
      </c>
      <c r="AI20" s="431">
        <v>80895717</v>
      </c>
      <c r="AJ20" s="431">
        <v>17264432</v>
      </c>
      <c r="AK20" s="431">
        <v>268335024</v>
      </c>
      <c r="AL20" s="431">
        <v>124229460</v>
      </c>
      <c r="AM20" s="431">
        <v>23833294</v>
      </c>
    </row>
    <row r="21" spans="1:39" s="155" customFormat="1" ht="12" x14ac:dyDescent="0.2">
      <c r="A21" s="146">
        <v>4</v>
      </c>
      <c r="B21" s="497">
        <v>26975</v>
      </c>
      <c r="C21" s="235" t="s">
        <v>2485</v>
      </c>
      <c r="D21" s="464">
        <f t="shared" si="6"/>
        <v>36164255</v>
      </c>
      <c r="E21" s="431">
        <v>18294936</v>
      </c>
      <c r="F21" s="431">
        <v>7815071</v>
      </c>
      <c r="G21" s="431">
        <v>501714</v>
      </c>
      <c r="H21" s="431">
        <v>0</v>
      </c>
      <c r="I21" s="431">
        <v>15673600</v>
      </c>
      <c r="J21" s="431">
        <v>300000</v>
      </c>
      <c r="K21" s="431">
        <v>931950</v>
      </c>
      <c r="L21" s="431">
        <v>0</v>
      </c>
      <c r="M21" s="431">
        <v>291343</v>
      </c>
      <c r="N21" s="431">
        <v>0</v>
      </c>
      <c r="O21" s="431">
        <v>672426</v>
      </c>
      <c r="P21" s="464">
        <f t="shared" si="5"/>
        <v>33176500</v>
      </c>
      <c r="Q21" s="431">
        <v>16029216</v>
      </c>
      <c r="R21" s="431">
        <v>7362911</v>
      </c>
      <c r="S21" s="431">
        <v>0</v>
      </c>
      <c r="T21" s="431">
        <v>0</v>
      </c>
      <c r="U21" s="431">
        <v>1193987</v>
      </c>
      <c r="V21" s="431">
        <v>0</v>
      </c>
      <c r="W21" s="431">
        <v>2717012</v>
      </c>
      <c r="X21" s="431">
        <v>1166515</v>
      </c>
      <c r="Y21" s="431">
        <v>283300</v>
      </c>
      <c r="Z21" s="431">
        <v>4463331</v>
      </c>
      <c r="AA21" s="431">
        <v>0</v>
      </c>
      <c r="AB21" s="431">
        <v>-39772</v>
      </c>
      <c r="AC21" s="431">
        <v>2627464</v>
      </c>
      <c r="AD21" s="431">
        <v>26814</v>
      </c>
      <c r="AE21" s="431">
        <v>16332750</v>
      </c>
      <c r="AF21" s="431">
        <v>503906</v>
      </c>
      <c r="AG21" s="431">
        <v>1283960</v>
      </c>
      <c r="AH21" s="431">
        <v>1827677</v>
      </c>
      <c r="AI21" s="431">
        <v>3032139</v>
      </c>
      <c r="AJ21" s="431">
        <v>2172818</v>
      </c>
      <c r="AK21" s="431">
        <v>0</v>
      </c>
      <c r="AL21" s="431">
        <v>2651960</v>
      </c>
      <c r="AM21" s="431">
        <v>2717012</v>
      </c>
    </row>
    <row r="22" spans="1:39" s="155" customFormat="1" ht="12" hidden="1" x14ac:dyDescent="0.2">
      <c r="A22" s="146">
        <v>5</v>
      </c>
      <c r="B22" s="146"/>
      <c r="C22" s="162"/>
      <c r="D22" s="432">
        <f t="shared" ref="D22:D41" si="7">E22+SUM(H22:O22)</f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3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146"/>
      <c r="C23" s="162"/>
      <c r="D23" s="432">
        <f t="shared" si="7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3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46"/>
      <c r="C24" s="206"/>
      <c r="D24" s="432">
        <f t="shared" si="7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3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46"/>
      <c r="C25" s="206"/>
      <c r="D25" s="432">
        <f t="shared" si="7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3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46"/>
      <c r="C26" s="206"/>
      <c r="D26" s="432">
        <f t="shared" si="7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3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46"/>
      <c r="C27" s="206"/>
      <c r="D27" s="432">
        <f t="shared" si="7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3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46"/>
      <c r="C28" s="206"/>
      <c r="D28" s="432">
        <f t="shared" si="7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3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46"/>
      <c r="C29" s="206"/>
      <c r="D29" s="432">
        <f t="shared" si="7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3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46"/>
      <c r="C30" s="206"/>
      <c r="D30" s="432">
        <f t="shared" si="7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3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46"/>
      <c r="C31" s="206"/>
      <c r="D31" s="432">
        <f t="shared" si="7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3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46"/>
      <c r="C32" s="207"/>
      <c r="D32" s="432">
        <f t="shared" si="7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3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4"/>
      <c r="C33" s="208"/>
      <c r="D33" s="432">
        <f t="shared" si="7"/>
        <v>92882548</v>
      </c>
      <c r="E33" s="432">
        <f>SUM(E34:E53)</f>
        <v>37037045</v>
      </c>
      <c r="F33" s="432">
        <f t="shared" ref="F33:O33" si="8">SUM(F34:F53)</f>
        <v>14589428</v>
      </c>
      <c r="G33" s="432">
        <f t="shared" si="8"/>
        <v>8951823</v>
      </c>
      <c r="H33" s="432">
        <f t="shared" si="8"/>
        <v>0</v>
      </c>
      <c r="I33" s="432">
        <f t="shared" si="8"/>
        <v>39162176</v>
      </c>
      <c r="J33" s="432">
        <f t="shared" si="8"/>
        <v>300000</v>
      </c>
      <c r="K33" s="432">
        <f t="shared" si="8"/>
        <v>8522440</v>
      </c>
      <c r="L33" s="432">
        <f t="shared" si="8"/>
        <v>0</v>
      </c>
      <c r="M33" s="432">
        <f t="shared" si="8"/>
        <v>4786831</v>
      </c>
      <c r="N33" s="432">
        <f t="shared" si="8"/>
        <v>2941639</v>
      </c>
      <c r="O33" s="432">
        <f t="shared" si="8"/>
        <v>132417</v>
      </c>
      <c r="P33" s="432">
        <f t="shared" si="3"/>
        <v>90800598</v>
      </c>
      <c r="Q33" s="432">
        <f>SUM(Q34:Q53)</f>
        <v>42015420</v>
      </c>
      <c r="R33" s="432">
        <f t="shared" ref="R33:AM33" si="9">SUM(R34:R53)</f>
        <v>19360620</v>
      </c>
      <c r="S33" s="432">
        <f t="shared" si="9"/>
        <v>205412</v>
      </c>
      <c r="T33" s="432">
        <f t="shared" si="9"/>
        <v>0</v>
      </c>
      <c r="U33" s="432">
        <f t="shared" si="9"/>
        <v>1528742</v>
      </c>
      <c r="V33" s="432">
        <f t="shared" si="9"/>
        <v>0</v>
      </c>
      <c r="W33" s="432">
        <f t="shared" si="9"/>
        <v>7529823</v>
      </c>
      <c r="X33" s="432">
        <f t="shared" si="9"/>
        <v>1747871</v>
      </c>
      <c r="Y33" s="432">
        <f t="shared" si="9"/>
        <v>1694897</v>
      </c>
      <c r="Z33" s="432">
        <f t="shared" si="9"/>
        <v>16489746</v>
      </c>
      <c r="AA33" s="432">
        <f t="shared" si="9"/>
        <v>500362</v>
      </c>
      <c r="AB33" s="432">
        <f t="shared" si="9"/>
        <v>-272295</v>
      </c>
      <c r="AC33" s="432">
        <f t="shared" si="9"/>
        <v>11307376</v>
      </c>
      <c r="AD33" s="432">
        <f t="shared" si="9"/>
        <v>249184</v>
      </c>
      <c r="AE33" s="432">
        <f t="shared" si="9"/>
        <v>41957225</v>
      </c>
      <c r="AF33" s="432">
        <f t="shared" si="9"/>
        <v>1374467</v>
      </c>
      <c r="AG33" s="432">
        <f t="shared" si="9"/>
        <v>5254114</v>
      </c>
      <c r="AH33" s="432">
        <f t="shared" si="9"/>
        <v>5996888</v>
      </c>
      <c r="AI33" s="432">
        <f t="shared" si="9"/>
        <v>9113714</v>
      </c>
      <c r="AJ33" s="432">
        <f t="shared" si="9"/>
        <v>3256652</v>
      </c>
      <c r="AK33" s="432">
        <f t="shared" si="9"/>
        <v>0</v>
      </c>
      <c r="AL33" s="432">
        <f t="shared" si="9"/>
        <v>9657122</v>
      </c>
      <c r="AM33" s="432">
        <f t="shared" si="9"/>
        <v>2633856</v>
      </c>
    </row>
    <row r="34" spans="1:39" s="155" customFormat="1" ht="12" x14ac:dyDescent="0.2">
      <c r="A34" s="146">
        <v>1</v>
      </c>
      <c r="B34" s="498">
        <v>26699</v>
      </c>
      <c r="C34" s="499" t="s">
        <v>2486</v>
      </c>
      <c r="D34" s="464">
        <f t="shared" ref="D34:D39" si="10">E34+SUM(H34:O34)</f>
        <v>20988164</v>
      </c>
      <c r="E34" s="431">
        <v>8753895</v>
      </c>
      <c r="F34" s="431">
        <v>4315665</v>
      </c>
      <c r="G34" s="431">
        <v>279424</v>
      </c>
      <c r="H34" s="431">
        <v>0</v>
      </c>
      <c r="I34" s="431">
        <v>11275965</v>
      </c>
      <c r="J34" s="431">
        <v>100000</v>
      </c>
      <c r="K34" s="431">
        <v>770010</v>
      </c>
      <c r="L34" s="431">
        <v>0</v>
      </c>
      <c r="M34" s="431">
        <v>55057</v>
      </c>
      <c r="N34" s="431">
        <v>1700</v>
      </c>
      <c r="O34" s="431">
        <v>31537</v>
      </c>
      <c r="P34" s="464">
        <f t="shared" ref="P34:P39" si="11">IF(SUM(Q34:AB34)=SUM(AC34:AM34),SUM(Q34:AB34),"  EROARE ART/CAP")</f>
        <v>20769697</v>
      </c>
      <c r="Q34" s="431">
        <v>11582597</v>
      </c>
      <c r="R34" s="431">
        <v>3922621</v>
      </c>
      <c r="S34" s="431">
        <v>55000</v>
      </c>
      <c r="T34" s="431">
        <v>0</v>
      </c>
      <c r="U34" s="431">
        <v>120000</v>
      </c>
      <c r="V34" s="431">
        <v>0</v>
      </c>
      <c r="W34" s="431">
        <v>336759</v>
      </c>
      <c r="X34" s="431">
        <v>484931</v>
      </c>
      <c r="Y34" s="431">
        <v>199500</v>
      </c>
      <c r="Z34" s="431">
        <v>3976894</v>
      </c>
      <c r="AA34" s="431">
        <v>215000</v>
      </c>
      <c r="AB34" s="431">
        <v>-123605</v>
      </c>
      <c r="AC34" s="431">
        <v>1912713</v>
      </c>
      <c r="AD34" s="431">
        <v>24135</v>
      </c>
      <c r="AE34" s="431">
        <v>11094440</v>
      </c>
      <c r="AF34" s="431">
        <v>285232</v>
      </c>
      <c r="AG34" s="431">
        <v>687133</v>
      </c>
      <c r="AH34" s="431">
        <v>1381645</v>
      </c>
      <c r="AI34" s="431">
        <v>1300865</v>
      </c>
      <c r="AJ34" s="431">
        <v>141681</v>
      </c>
      <c r="AK34" s="431">
        <v>0</v>
      </c>
      <c r="AL34" s="431">
        <v>2095251</v>
      </c>
      <c r="AM34" s="431">
        <v>1846602</v>
      </c>
    </row>
    <row r="35" spans="1:39" s="155" customFormat="1" ht="12" x14ac:dyDescent="0.2">
      <c r="A35" s="146">
        <v>2</v>
      </c>
      <c r="B35" s="498">
        <v>26920</v>
      </c>
      <c r="C35" s="499" t="s">
        <v>2487</v>
      </c>
      <c r="D35" s="464">
        <f t="shared" si="10"/>
        <v>7108136</v>
      </c>
      <c r="E35" s="431">
        <v>3871420</v>
      </c>
      <c r="F35" s="431">
        <v>580882</v>
      </c>
      <c r="G35" s="431">
        <v>2596608</v>
      </c>
      <c r="H35" s="431">
        <v>0</v>
      </c>
      <c r="I35" s="431">
        <v>1277112</v>
      </c>
      <c r="J35" s="431">
        <v>0</v>
      </c>
      <c r="K35" s="431">
        <v>1676040</v>
      </c>
      <c r="L35" s="431">
        <v>0</v>
      </c>
      <c r="M35" s="431">
        <v>25082</v>
      </c>
      <c r="N35" s="431">
        <v>258482</v>
      </c>
      <c r="O35" s="431">
        <v>0</v>
      </c>
      <c r="P35" s="464">
        <f t="shared" si="11"/>
        <v>6128442</v>
      </c>
      <c r="Q35" s="431">
        <v>2006411</v>
      </c>
      <c r="R35" s="431">
        <v>1903141</v>
      </c>
      <c r="S35" s="431">
        <v>0</v>
      </c>
      <c r="T35" s="431">
        <v>0</v>
      </c>
      <c r="U35" s="431">
        <v>0</v>
      </c>
      <c r="V35" s="431">
        <v>0</v>
      </c>
      <c r="W35" s="431">
        <v>562232</v>
      </c>
      <c r="X35" s="431">
        <v>103746</v>
      </c>
      <c r="Y35" s="431">
        <v>150000</v>
      </c>
      <c r="Z35" s="431">
        <v>1402912</v>
      </c>
      <c r="AA35" s="431">
        <v>0</v>
      </c>
      <c r="AB35" s="431">
        <v>0</v>
      </c>
      <c r="AC35" s="431">
        <v>1376484</v>
      </c>
      <c r="AD35" s="431">
        <v>15498</v>
      </c>
      <c r="AE35" s="431">
        <v>1008978</v>
      </c>
      <c r="AF35" s="431">
        <v>0</v>
      </c>
      <c r="AG35" s="431">
        <v>358269</v>
      </c>
      <c r="AH35" s="431">
        <v>368491</v>
      </c>
      <c r="AI35" s="431">
        <v>707028</v>
      </c>
      <c r="AJ35" s="431">
        <v>846986</v>
      </c>
      <c r="AK35" s="431">
        <v>0</v>
      </c>
      <c r="AL35" s="431">
        <v>881996</v>
      </c>
      <c r="AM35" s="431">
        <v>564712</v>
      </c>
    </row>
    <row r="36" spans="1:39" s="155" customFormat="1" ht="12" x14ac:dyDescent="0.2">
      <c r="A36" s="146">
        <v>3</v>
      </c>
      <c r="B36" s="498">
        <v>30915</v>
      </c>
      <c r="C36" s="499" t="s">
        <v>2488</v>
      </c>
      <c r="D36" s="464">
        <f t="shared" si="10"/>
        <v>20647954</v>
      </c>
      <c r="E36" s="431">
        <v>5864646</v>
      </c>
      <c r="F36" s="431">
        <v>1658969</v>
      </c>
      <c r="G36" s="431">
        <v>1593463</v>
      </c>
      <c r="H36" s="431">
        <v>0</v>
      </c>
      <c r="I36" s="431">
        <v>8467585</v>
      </c>
      <c r="J36" s="431">
        <v>0</v>
      </c>
      <c r="K36" s="431">
        <v>1645870</v>
      </c>
      <c r="L36" s="431">
        <v>0</v>
      </c>
      <c r="M36" s="431">
        <v>1989292</v>
      </c>
      <c r="N36" s="431">
        <v>2680561</v>
      </c>
      <c r="O36" s="431">
        <v>0</v>
      </c>
      <c r="P36" s="464">
        <f t="shared" si="11"/>
        <v>20651512</v>
      </c>
      <c r="Q36" s="431">
        <v>8518822</v>
      </c>
      <c r="R36" s="431">
        <v>4115576</v>
      </c>
      <c r="S36" s="431">
        <v>89203</v>
      </c>
      <c r="T36" s="431">
        <v>0</v>
      </c>
      <c r="U36" s="431">
        <v>50000</v>
      </c>
      <c r="V36" s="431">
        <v>0</v>
      </c>
      <c r="W36" s="431">
        <v>4131612</v>
      </c>
      <c r="X36" s="431">
        <v>574571</v>
      </c>
      <c r="Y36" s="431">
        <v>384900</v>
      </c>
      <c r="Z36" s="431">
        <v>2790303</v>
      </c>
      <c r="AA36" s="431">
        <v>134667</v>
      </c>
      <c r="AB36" s="431">
        <v>-138142</v>
      </c>
      <c r="AC36" s="431">
        <v>3047983</v>
      </c>
      <c r="AD36" s="431">
        <v>1151</v>
      </c>
      <c r="AE36" s="431">
        <v>12225246</v>
      </c>
      <c r="AF36" s="431">
        <v>324597</v>
      </c>
      <c r="AG36" s="431">
        <v>997670</v>
      </c>
      <c r="AH36" s="431">
        <v>1418305</v>
      </c>
      <c r="AI36" s="431">
        <v>1471477</v>
      </c>
      <c r="AJ36" s="431">
        <v>82509</v>
      </c>
      <c r="AK36" s="431">
        <v>0</v>
      </c>
      <c r="AL36" s="431">
        <v>999264</v>
      </c>
      <c r="AM36" s="431">
        <v>83310</v>
      </c>
    </row>
    <row r="37" spans="1:39" s="155" customFormat="1" ht="12" x14ac:dyDescent="0.2">
      <c r="A37" s="146">
        <v>4</v>
      </c>
      <c r="B37" s="498">
        <v>26840</v>
      </c>
      <c r="C37" s="499" t="s">
        <v>2489</v>
      </c>
      <c r="D37" s="464">
        <f t="shared" si="10"/>
        <v>17110052</v>
      </c>
      <c r="E37" s="431">
        <v>6236874</v>
      </c>
      <c r="F37" s="431">
        <v>3006743</v>
      </c>
      <c r="G37" s="431">
        <v>1006611</v>
      </c>
      <c r="H37" s="431">
        <v>0</v>
      </c>
      <c r="I37" s="431">
        <v>9452931</v>
      </c>
      <c r="J37" s="431">
        <v>100000</v>
      </c>
      <c r="K37" s="431">
        <v>723530</v>
      </c>
      <c r="L37" s="431">
        <v>0</v>
      </c>
      <c r="M37" s="431">
        <v>596717</v>
      </c>
      <c r="N37" s="431">
        <v>0</v>
      </c>
      <c r="O37" s="431">
        <v>0</v>
      </c>
      <c r="P37" s="464">
        <f t="shared" si="11"/>
        <v>16756013</v>
      </c>
      <c r="Q37" s="431">
        <v>10105976</v>
      </c>
      <c r="R37" s="431">
        <v>2839885</v>
      </c>
      <c r="S37" s="431">
        <v>0</v>
      </c>
      <c r="T37" s="431">
        <v>0</v>
      </c>
      <c r="U37" s="431">
        <v>553498</v>
      </c>
      <c r="V37" s="431">
        <v>0</v>
      </c>
      <c r="W37" s="431">
        <v>0</v>
      </c>
      <c r="X37" s="431">
        <v>278540</v>
      </c>
      <c r="Y37" s="431">
        <v>450000</v>
      </c>
      <c r="Z37" s="431">
        <v>2530530</v>
      </c>
      <c r="AA37" s="431">
        <v>0</v>
      </c>
      <c r="AB37" s="431">
        <v>-2416</v>
      </c>
      <c r="AC37" s="431">
        <v>1590012</v>
      </c>
      <c r="AD37" s="431">
        <v>8380</v>
      </c>
      <c r="AE37" s="431">
        <v>9605470</v>
      </c>
      <c r="AF37" s="431">
        <v>453618</v>
      </c>
      <c r="AG37" s="431">
        <v>1371965</v>
      </c>
      <c r="AH37" s="431">
        <v>714663</v>
      </c>
      <c r="AI37" s="431">
        <v>1694746</v>
      </c>
      <c r="AJ37" s="431">
        <v>238336</v>
      </c>
      <c r="AK37" s="431">
        <v>0</v>
      </c>
      <c r="AL37" s="431">
        <v>990929</v>
      </c>
      <c r="AM37" s="431">
        <v>87894</v>
      </c>
    </row>
    <row r="38" spans="1:39" s="155" customFormat="1" ht="12" x14ac:dyDescent="0.2">
      <c r="A38" s="146">
        <v>5</v>
      </c>
      <c r="B38" s="498">
        <v>32027</v>
      </c>
      <c r="C38" s="499" t="s">
        <v>2490</v>
      </c>
      <c r="D38" s="464">
        <f t="shared" si="10"/>
        <v>17876508</v>
      </c>
      <c r="E38" s="431">
        <v>7907201</v>
      </c>
      <c r="F38" s="431">
        <v>4753639</v>
      </c>
      <c r="G38" s="431">
        <v>221949</v>
      </c>
      <c r="H38" s="431">
        <v>0</v>
      </c>
      <c r="I38" s="431">
        <v>7323583</v>
      </c>
      <c r="J38" s="431">
        <v>0</v>
      </c>
      <c r="K38" s="431">
        <v>629760</v>
      </c>
      <c r="L38" s="431">
        <v>0</v>
      </c>
      <c r="M38" s="431">
        <v>1915084</v>
      </c>
      <c r="N38" s="431">
        <v>0</v>
      </c>
      <c r="O38" s="431">
        <v>100880</v>
      </c>
      <c r="P38" s="464">
        <f t="shared" si="11"/>
        <v>16347140</v>
      </c>
      <c r="Q38" s="431">
        <v>7741326</v>
      </c>
      <c r="R38" s="431">
        <v>3802516</v>
      </c>
      <c r="S38" s="431">
        <v>61209</v>
      </c>
      <c r="T38" s="431">
        <v>0</v>
      </c>
      <c r="U38" s="431">
        <v>805244</v>
      </c>
      <c r="V38" s="431">
        <v>0</v>
      </c>
      <c r="W38" s="431">
        <v>142273</v>
      </c>
      <c r="X38" s="431">
        <v>240139</v>
      </c>
      <c r="Y38" s="431">
        <v>320364</v>
      </c>
      <c r="Z38" s="431">
        <v>3091506</v>
      </c>
      <c r="AA38" s="431">
        <v>150695</v>
      </c>
      <c r="AB38" s="431">
        <v>-8132</v>
      </c>
      <c r="AC38" s="431">
        <v>2306275</v>
      </c>
      <c r="AD38" s="431">
        <v>0</v>
      </c>
      <c r="AE38" s="431">
        <v>7037376</v>
      </c>
      <c r="AF38" s="431">
        <v>273765</v>
      </c>
      <c r="AG38" s="431">
        <v>863815</v>
      </c>
      <c r="AH38" s="431">
        <v>1727227</v>
      </c>
      <c r="AI38" s="431">
        <v>3396973</v>
      </c>
      <c r="AJ38" s="431">
        <v>248034</v>
      </c>
      <c r="AK38" s="431">
        <v>0</v>
      </c>
      <c r="AL38" s="431">
        <v>477520</v>
      </c>
      <c r="AM38" s="431">
        <v>16155</v>
      </c>
    </row>
    <row r="39" spans="1:39" s="155" customFormat="1" ht="12" x14ac:dyDescent="0.2">
      <c r="A39" s="146">
        <v>6</v>
      </c>
      <c r="B39" s="498">
        <v>27007</v>
      </c>
      <c r="C39" s="499" t="s">
        <v>2491</v>
      </c>
      <c r="D39" s="464">
        <f t="shared" si="10"/>
        <v>9151734</v>
      </c>
      <c r="E39" s="431">
        <v>4403009</v>
      </c>
      <c r="F39" s="431">
        <v>273530</v>
      </c>
      <c r="G39" s="431">
        <v>3253768</v>
      </c>
      <c r="H39" s="431">
        <v>0</v>
      </c>
      <c r="I39" s="431">
        <v>1365000</v>
      </c>
      <c r="J39" s="431">
        <v>100000</v>
      </c>
      <c r="K39" s="431">
        <v>3077230</v>
      </c>
      <c r="L39" s="431">
        <v>0</v>
      </c>
      <c r="M39" s="431">
        <v>205599</v>
      </c>
      <c r="N39" s="431">
        <v>896</v>
      </c>
      <c r="O39" s="431">
        <v>0</v>
      </c>
      <c r="P39" s="464">
        <f t="shared" si="11"/>
        <v>10147794</v>
      </c>
      <c r="Q39" s="431">
        <v>2060288</v>
      </c>
      <c r="R39" s="431">
        <v>2776881</v>
      </c>
      <c r="S39" s="431">
        <v>0</v>
      </c>
      <c r="T39" s="431">
        <v>0</v>
      </c>
      <c r="U39" s="431">
        <v>0</v>
      </c>
      <c r="V39" s="431">
        <v>0</v>
      </c>
      <c r="W39" s="431">
        <v>2356947</v>
      </c>
      <c r="X39" s="431">
        <v>65944</v>
      </c>
      <c r="Y39" s="431">
        <v>190133</v>
      </c>
      <c r="Z39" s="431">
        <v>2697601</v>
      </c>
      <c r="AA39" s="431">
        <v>0</v>
      </c>
      <c r="AB39" s="431">
        <v>0</v>
      </c>
      <c r="AC39" s="431">
        <v>1073909</v>
      </c>
      <c r="AD39" s="431">
        <v>200020</v>
      </c>
      <c r="AE39" s="431">
        <v>985715</v>
      </c>
      <c r="AF39" s="431">
        <v>37255</v>
      </c>
      <c r="AG39" s="431">
        <v>975262</v>
      </c>
      <c r="AH39" s="431">
        <v>386557</v>
      </c>
      <c r="AI39" s="431">
        <v>542625</v>
      </c>
      <c r="AJ39" s="431">
        <v>1699106</v>
      </c>
      <c r="AK39" s="431">
        <v>0</v>
      </c>
      <c r="AL39" s="431">
        <v>4212162</v>
      </c>
      <c r="AM39" s="431">
        <v>35183</v>
      </c>
    </row>
    <row r="40" spans="1:39" s="155" customFormat="1" ht="12" hidden="1" x14ac:dyDescent="0.2">
      <c r="A40" s="146">
        <v>7</v>
      </c>
      <c r="B40" s="146"/>
      <c r="C40" s="182"/>
      <c r="D40" s="432">
        <f t="shared" si="7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3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155" customFormat="1" ht="12" hidden="1" x14ac:dyDescent="0.2">
      <c r="A41" s="146">
        <v>8</v>
      </c>
      <c r="B41" s="146"/>
      <c r="C41" s="173"/>
      <c r="D41" s="432">
        <f t="shared" si="7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3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146">
        <v>9</v>
      </c>
      <c r="B42" s="146"/>
      <c r="C42" s="206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3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146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3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46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3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46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3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46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3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46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3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46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3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46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3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46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3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46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3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46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3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46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3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4"/>
      <c r="C54" s="208"/>
      <c r="D54" s="432">
        <f t="shared" ref="D54:D117" si="12">E54+SUM(H54:O54)</f>
        <v>580948517</v>
      </c>
      <c r="E54" s="432">
        <f>SUM(E55:E145)</f>
        <v>177119387</v>
      </c>
      <c r="F54" s="432">
        <f t="shared" ref="F54:AM54" si="13">SUM(F55:F145)</f>
        <v>49426180</v>
      </c>
      <c r="G54" s="432">
        <f t="shared" si="13"/>
        <v>46781869</v>
      </c>
      <c r="H54" s="432">
        <f t="shared" si="13"/>
        <v>0</v>
      </c>
      <c r="I54" s="432">
        <f t="shared" si="13"/>
        <v>170627156</v>
      </c>
      <c r="J54" s="432">
        <f t="shared" si="13"/>
        <v>6846725</v>
      </c>
      <c r="K54" s="432">
        <f t="shared" si="13"/>
        <v>70829667</v>
      </c>
      <c r="L54" s="432">
        <f t="shared" si="13"/>
        <v>0</v>
      </c>
      <c r="M54" s="432">
        <f t="shared" si="13"/>
        <v>58425254</v>
      </c>
      <c r="N54" s="432">
        <f t="shared" si="13"/>
        <v>84388260</v>
      </c>
      <c r="O54" s="432">
        <f t="shared" si="13"/>
        <v>12712068</v>
      </c>
      <c r="P54" s="432">
        <f t="shared" si="3"/>
        <v>572794885</v>
      </c>
      <c r="Q54" s="432">
        <f t="shared" si="13"/>
        <v>187299068</v>
      </c>
      <c r="R54" s="432">
        <f t="shared" si="13"/>
        <v>124439369</v>
      </c>
      <c r="S54" s="432">
        <f t="shared" si="13"/>
        <v>985462</v>
      </c>
      <c r="T54" s="432">
        <f t="shared" si="13"/>
        <v>309503</v>
      </c>
      <c r="U54" s="432">
        <f t="shared" si="13"/>
        <v>2105802</v>
      </c>
      <c r="V54" s="432">
        <f t="shared" si="13"/>
        <v>1937453</v>
      </c>
      <c r="W54" s="432">
        <f t="shared" si="13"/>
        <v>113051286</v>
      </c>
      <c r="X54" s="432">
        <f t="shared" si="13"/>
        <v>18725303</v>
      </c>
      <c r="Y54" s="432">
        <f t="shared" si="13"/>
        <v>5813558</v>
      </c>
      <c r="Z54" s="432">
        <f t="shared" si="13"/>
        <v>106281789</v>
      </c>
      <c r="AA54" s="432">
        <f t="shared" si="13"/>
        <v>14111694</v>
      </c>
      <c r="AB54" s="432">
        <f t="shared" si="13"/>
        <v>-2265402</v>
      </c>
      <c r="AC54" s="432">
        <f t="shared" si="13"/>
        <v>81213643</v>
      </c>
      <c r="AD54" s="432">
        <f t="shared" si="13"/>
        <v>4598995</v>
      </c>
      <c r="AE54" s="432">
        <f t="shared" si="13"/>
        <v>165951379</v>
      </c>
      <c r="AF54" s="432">
        <f t="shared" si="13"/>
        <v>2163105</v>
      </c>
      <c r="AG54" s="432">
        <f t="shared" si="13"/>
        <v>34114464</v>
      </c>
      <c r="AH54" s="432">
        <f t="shared" si="13"/>
        <v>35405657</v>
      </c>
      <c r="AI54" s="432">
        <f t="shared" si="13"/>
        <v>89517325</v>
      </c>
      <c r="AJ54" s="432">
        <f t="shared" si="13"/>
        <v>32012919</v>
      </c>
      <c r="AK54" s="432">
        <f t="shared" si="13"/>
        <v>143583</v>
      </c>
      <c r="AL54" s="432">
        <f t="shared" si="13"/>
        <v>113222730</v>
      </c>
      <c r="AM54" s="432">
        <f t="shared" si="13"/>
        <v>14451085</v>
      </c>
    </row>
    <row r="55" spans="1:39" s="155" customFormat="1" ht="12" x14ac:dyDescent="0.2">
      <c r="A55" s="168">
        <v>1</v>
      </c>
      <c r="B55" s="229">
        <v>27070</v>
      </c>
      <c r="C55" s="190" t="s">
        <v>2492</v>
      </c>
      <c r="D55" s="464">
        <f t="shared" si="12"/>
        <v>3862703</v>
      </c>
      <c r="E55" s="431">
        <v>1343332</v>
      </c>
      <c r="F55" s="431">
        <v>325537</v>
      </c>
      <c r="G55" s="431">
        <v>504519</v>
      </c>
      <c r="H55" s="431">
        <v>0</v>
      </c>
      <c r="I55" s="431">
        <v>1602456</v>
      </c>
      <c r="J55" s="431">
        <v>100000</v>
      </c>
      <c r="K55" s="431">
        <v>795250</v>
      </c>
      <c r="L55" s="431">
        <v>0</v>
      </c>
      <c r="M55" s="431">
        <v>-16531</v>
      </c>
      <c r="N55" s="431">
        <v>0</v>
      </c>
      <c r="O55" s="431">
        <v>38196</v>
      </c>
      <c r="P55" s="432">
        <f t="shared" si="3"/>
        <v>3606901</v>
      </c>
      <c r="Q55" s="431">
        <v>1751007</v>
      </c>
      <c r="R55" s="431">
        <v>1531725</v>
      </c>
      <c r="S55" s="431">
        <v>0</v>
      </c>
      <c r="T55" s="431">
        <v>0</v>
      </c>
      <c r="U55" s="431">
        <v>0</v>
      </c>
      <c r="V55" s="431">
        <v>0</v>
      </c>
      <c r="W55" s="431">
        <v>0</v>
      </c>
      <c r="X55" s="431">
        <v>199736</v>
      </c>
      <c r="Y55" s="431">
        <v>66100</v>
      </c>
      <c r="Z55" s="431">
        <v>84146</v>
      </c>
      <c r="AA55" s="431">
        <v>0</v>
      </c>
      <c r="AB55" s="431">
        <v>-25813</v>
      </c>
      <c r="AC55" s="431">
        <v>771847</v>
      </c>
      <c r="AD55" s="431">
        <v>0</v>
      </c>
      <c r="AE55" s="431">
        <v>1591404</v>
      </c>
      <c r="AF55" s="431">
        <v>33136</v>
      </c>
      <c r="AG55" s="431">
        <v>298520</v>
      </c>
      <c r="AH55" s="431">
        <v>199736</v>
      </c>
      <c r="AI55" s="431">
        <v>356732</v>
      </c>
      <c r="AJ55" s="431">
        <v>0</v>
      </c>
      <c r="AK55" s="431">
        <v>0</v>
      </c>
      <c r="AL55" s="431">
        <v>355526</v>
      </c>
      <c r="AM55" s="431">
        <v>0</v>
      </c>
    </row>
    <row r="56" spans="1:39" s="155" customFormat="1" ht="12" x14ac:dyDescent="0.2">
      <c r="A56" s="168">
        <v>2</v>
      </c>
      <c r="B56" s="229">
        <v>27169</v>
      </c>
      <c r="C56" s="190" t="s">
        <v>2493</v>
      </c>
      <c r="D56" s="464">
        <f t="shared" si="12"/>
        <v>3724922</v>
      </c>
      <c r="E56" s="431">
        <v>1225145</v>
      </c>
      <c r="F56" s="431">
        <v>547796</v>
      </c>
      <c r="G56" s="431">
        <v>163980</v>
      </c>
      <c r="H56" s="431">
        <v>0</v>
      </c>
      <c r="I56" s="431">
        <v>1522054</v>
      </c>
      <c r="J56" s="431">
        <v>50000</v>
      </c>
      <c r="K56" s="431">
        <v>329700</v>
      </c>
      <c r="L56" s="431">
        <v>0</v>
      </c>
      <c r="M56" s="431">
        <v>324928</v>
      </c>
      <c r="N56" s="431">
        <v>40753</v>
      </c>
      <c r="O56" s="431">
        <v>232342</v>
      </c>
      <c r="P56" s="432">
        <f t="shared" si="3"/>
        <v>5145228</v>
      </c>
      <c r="Q56" s="431">
        <v>1637652</v>
      </c>
      <c r="R56" s="431">
        <v>1120844</v>
      </c>
      <c r="S56" s="431">
        <v>0</v>
      </c>
      <c r="T56" s="431">
        <v>0</v>
      </c>
      <c r="U56" s="431">
        <v>0</v>
      </c>
      <c r="V56" s="431">
        <v>0</v>
      </c>
      <c r="W56" s="431">
        <v>1648915</v>
      </c>
      <c r="X56" s="431">
        <v>123078</v>
      </c>
      <c r="Y56" s="431">
        <v>50896</v>
      </c>
      <c r="Z56" s="431">
        <v>563843</v>
      </c>
      <c r="AA56" s="431">
        <v>0</v>
      </c>
      <c r="AB56" s="431">
        <v>0</v>
      </c>
      <c r="AC56" s="431">
        <v>762132</v>
      </c>
      <c r="AD56" s="431">
        <v>0</v>
      </c>
      <c r="AE56" s="431">
        <v>1335091</v>
      </c>
      <c r="AF56" s="431">
        <v>37983</v>
      </c>
      <c r="AG56" s="431">
        <v>591846</v>
      </c>
      <c r="AH56" s="431">
        <v>518957</v>
      </c>
      <c r="AI56" s="431">
        <v>421040</v>
      </c>
      <c r="AJ56" s="431">
        <v>81870</v>
      </c>
      <c r="AK56" s="431">
        <v>0</v>
      </c>
      <c r="AL56" s="431">
        <v>1396309</v>
      </c>
      <c r="AM56" s="431">
        <v>0</v>
      </c>
    </row>
    <row r="57" spans="1:39" s="155" customFormat="1" ht="12" x14ac:dyDescent="0.2">
      <c r="A57" s="168">
        <v>3</v>
      </c>
      <c r="B57" s="229">
        <v>26742</v>
      </c>
      <c r="C57" s="190" t="s">
        <v>2494</v>
      </c>
      <c r="D57" s="464">
        <f t="shared" si="12"/>
        <v>9691305</v>
      </c>
      <c r="E57" s="431">
        <v>2828163</v>
      </c>
      <c r="F57" s="431">
        <v>709187</v>
      </c>
      <c r="G57" s="431">
        <v>244877</v>
      </c>
      <c r="H57" s="431">
        <v>0</v>
      </c>
      <c r="I57" s="431">
        <v>1862560</v>
      </c>
      <c r="J57" s="431">
        <v>100000</v>
      </c>
      <c r="K57" s="431">
        <v>834540</v>
      </c>
      <c r="L57" s="431">
        <v>0</v>
      </c>
      <c r="M57" s="431">
        <v>177943</v>
      </c>
      <c r="N57" s="431">
        <v>0</v>
      </c>
      <c r="O57" s="431">
        <v>3888099</v>
      </c>
      <c r="P57" s="432">
        <f t="shared" si="3"/>
        <v>9451338</v>
      </c>
      <c r="Q57" s="431">
        <v>2202595</v>
      </c>
      <c r="R57" s="431">
        <v>1167023</v>
      </c>
      <c r="S57" s="431">
        <v>0</v>
      </c>
      <c r="T57" s="431">
        <v>0</v>
      </c>
      <c r="U57" s="431">
        <v>0</v>
      </c>
      <c r="V57" s="431">
        <v>0</v>
      </c>
      <c r="W57" s="431">
        <v>0</v>
      </c>
      <c r="X57" s="431">
        <v>194619</v>
      </c>
      <c r="Y57" s="431">
        <v>75000</v>
      </c>
      <c r="Z57" s="431">
        <v>5812101</v>
      </c>
      <c r="AA57" s="431">
        <v>0</v>
      </c>
      <c r="AB57" s="431">
        <v>0</v>
      </c>
      <c r="AC57" s="431">
        <v>678187</v>
      </c>
      <c r="AD57" s="431">
        <v>97444</v>
      </c>
      <c r="AE57" s="431">
        <v>1636952</v>
      </c>
      <c r="AF57" s="431">
        <v>12788</v>
      </c>
      <c r="AG57" s="431">
        <v>368050</v>
      </c>
      <c r="AH57" s="431">
        <v>400563</v>
      </c>
      <c r="AI57" s="431">
        <v>3532974</v>
      </c>
      <c r="AJ57" s="431">
        <v>1927555</v>
      </c>
      <c r="AK57" s="431">
        <v>0</v>
      </c>
      <c r="AL57" s="431">
        <v>742917</v>
      </c>
      <c r="AM57" s="431">
        <v>53908</v>
      </c>
    </row>
    <row r="58" spans="1:39" s="155" customFormat="1" ht="12" x14ac:dyDescent="0.2">
      <c r="A58" s="168">
        <v>4</v>
      </c>
      <c r="B58" s="229">
        <v>27212</v>
      </c>
      <c r="C58" s="190" t="s">
        <v>2495</v>
      </c>
      <c r="D58" s="464">
        <f t="shared" si="12"/>
        <v>6532722</v>
      </c>
      <c r="E58" s="431">
        <v>1592307</v>
      </c>
      <c r="F58" s="431">
        <v>273716</v>
      </c>
      <c r="G58" s="431">
        <v>633970</v>
      </c>
      <c r="H58" s="431">
        <v>0</v>
      </c>
      <c r="I58" s="431">
        <v>1625185</v>
      </c>
      <c r="J58" s="431">
        <v>100000</v>
      </c>
      <c r="K58" s="431">
        <v>750770</v>
      </c>
      <c r="L58" s="431">
        <v>0</v>
      </c>
      <c r="M58" s="431">
        <v>1620376</v>
      </c>
      <c r="N58" s="431">
        <v>800574</v>
      </c>
      <c r="O58" s="431">
        <v>43510</v>
      </c>
      <c r="P58" s="432">
        <f t="shared" si="3"/>
        <v>5975089</v>
      </c>
      <c r="Q58" s="431">
        <v>1695080</v>
      </c>
      <c r="R58" s="431">
        <v>1292504</v>
      </c>
      <c r="S58" s="431">
        <v>57571</v>
      </c>
      <c r="T58" s="431">
        <v>0</v>
      </c>
      <c r="U58" s="431">
        <v>0</v>
      </c>
      <c r="V58" s="431">
        <v>0</v>
      </c>
      <c r="W58" s="431">
        <v>346004</v>
      </c>
      <c r="X58" s="431">
        <v>262512</v>
      </c>
      <c r="Y58" s="431">
        <v>49600</v>
      </c>
      <c r="Z58" s="431">
        <v>992860</v>
      </c>
      <c r="AA58" s="431">
        <v>1287158</v>
      </c>
      <c r="AB58" s="431">
        <v>-8200</v>
      </c>
      <c r="AC58" s="431">
        <v>771177</v>
      </c>
      <c r="AD58" s="431">
        <v>46990</v>
      </c>
      <c r="AE58" s="431">
        <v>1464950</v>
      </c>
      <c r="AF58" s="431">
        <v>24481</v>
      </c>
      <c r="AG58" s="431">
        <v>399174</v>
      </c>
      <c r="AH58" s="431">
        <v>262512</v>
      </c>
      <c r="AI58" s="431">
        <v>838699</v>
      </c>
      <c r="AJ58" s="431">
        <v>423870</v>
      </c>
      <c r="AK58" s="431">
        <v>0</v>
      </c>
      <c r="AL58" s="431">
        <v>1743236</v>
      </c>
      <c r="AM58" s="431">
        <v>0</v>
      </c>
    </row>
    <row r="59" spans="1:39" s="155" customFormat="1" ht="12" x14ac:dyDescent="0.2">
      <c r="A59" s="168">
        <v>5</v>
      </c>
      <c r="B59" s="229">
        <v>27285</v>
      </c>
      <c r="C59" s="190" t="s">
        <v>2496</v>
      </c>
      <c r="D59" s="464">
        <f t="shared" si="12"/>
        <v>5303363</v>
      </c>
      <c r="E59" s="431">
        <v>1799529</v>
      </c>
      <c r="F59" s="431">
        <v>212091</v>
      </c>
      <c r="G59" s="431">
        <v>540755</v>
      </c>
      <c r="H59" s="431">
        <v>0</v>
      </c>
      <c r="I59" s="431">
        <v>1699467</v>
      </c>
      <c r="J59" s="431">
        <v>0</v>
      </c>
      <c r="K59" s="431">
        <v>767970</v>
      </c>
      <c r="L59" s="431">
        <v>0</v>
      </c>
      <c r="M59" s="431">
        <v>890880</v>
      </c>
      <c r="N59" s="431">
        <v>124853</v>
      </c>
      <c r="O59" s="431">
        <v>20664</v>
      </c>
      <c r="P59" s="432">
        <f t="shared" si="3"/>
        <v>5312070</v>
      </c>
      <c r="Q59" s="431">
        <v>1819909</v>
      </c>
      <c r="R59" s="431">
        <v>1063970</v>
      </c>
      <c r="S59" s="431">
        <v>0</v>
      </c>
      <c r="T59" s="431">
        <v>0</v>
      </c>
      <c r="U59" s="431">
        <v>0</v>
      </c>
      <c r="V59" s="431">
        <v>0</v>
      </c>
      <c r="W59" s="431">
        <v>1773071</v>
      </c>
      <c r="X59" s="431">
        <v>321224</v>
      </c>
      <c r="Y59" s="431">
        <v>241049</v>
      </c>
      <c r="Z59" s="431">
        <v>92847</v>
      </c>
      <c r="AA59" s="431">
        <v>0</v>
      </c>
      <c r="AB59" s="431">
        <v>0</v>
      </c>
      <c r="AC59" s="431">
        <v>709807</v>
      </c>
      <c r="AD59" s="431">
        <v>10546</v>
      </c>
      <c r="AE59" s="431">
        <v>1547042</v>
      </c>
      <c r="AF59" s="431">
        <v>11438</v>
      </c>
      <c r="AG59" s="431">
        <v>321083</v>
      </c>
      <c r="AH59" s="431">
        <v>321224</v>
      </c>
      <c r="AI59" s="431">
        <v>179287</v>
      </c>
      <c r="AJ59" s="431">
        <v>27899</v>
      </c>
      <c r="AK59" s="431">
        <v>0</v>
      </c>
      <c r="AL59" s="431">
        <v>2134616</v>
      </c>
      <c r="AM59" s="431">
        <v>49128</v>
      </c>
    </row>
    <row r="60" spans="1:39" s="155" customFormat="1" ht="12" x14ac:dyDescent="0.2">
      <c r="A60" s="168">
        <v>6</v>
      </c>
      <c r="B60" s="229">
        <v>27329</v>
      </c>
      <c r="C60" s="190" t="s">
        <v>2497</v>
      </c>
      <c r="D60" s="464">
        <f t="shared" si="12"/>
        <v>4775014</v>
      </c>
      <c r="E60" s="431">
        <v>1460713</v>
      </c>
      <c r="F60" s="431">
        <v>201556</v>
      </c>
      <c r="G60" s="431">
        <v>547540</v>
      </c>
      <c r="H60" s="431">
        <v>0</v>
      </c>
      <c r="I60" s="431">
        <v>2300881</v>
      </c>
      <c r="J60" s="431">
        <v>0</v>
      </c>
      <c r="K60" s="431">
        <v>533470</v>
      </c>
      <c r="L60" s="431">
        <v>0</v>
      </c>
      <c r="M60" s="431">
        <v>215368</v>
      </c>
      <c r="N60" s="431">
        <v>264582</v>
      </c>
      <c r="O60" s="431">
        <v>0</v>
      </c>
      <c r="P60" s="464">
        <f t="shared" ref="P60:P118" si="14">IF(SUM(Q60:AB60)=SUM(AC60:AM60),SUM(Q60:AB60),"  EROARE ART/CAP")</f>
        <v>5373631</v>
      </c>
      <c r="Q60" s="431">
        <v>2350997</v>
      </c>
      <c r="R60" s="431">
        <v>1097124</v>
      </c>
      <c r="S60" s="431">
        <v>43800</v>
      </c>
      <c r="T60" s="431">
        <v>0</v>
      </c>
      <c r="U60" s="431">
        <v>0</v>
      </c>
      <c r="V60" s="431">
        <v>0</v>
      </c>
      <c r="W60" s="431">
        <v>1013286</v>
      </c>
      <c r="X60" s="431">
        <v>336061</v>
      </c>
      <c r="Y60" s="431">
        <v>48960</v>
      </c>
      <c r="Z60" s="431">
        <v>218403</v>
      </c>
      <c r="AA60" s="431">
        <v>265000</v>
      </c>
      <c r="AB60" s="431">
        <v>0</v>
      </c>
      <c r="AC60" s="431">
        <v>847821</v>
      </c>
      <c r="AD60" s="431">
        <v>18130</v>
      </c>
      <c r="AE60" s="431">
        <v>1991418</v>
      </c>
      <c r="AF60" s="431">
        <v>19365</v>
      </c>
      <c r="AG60" s="431">
        <v>56914</v>
      </c>
      <c r="AH60" s="431">
        <v>463702</v>
      </c>
      <c r="AI60" s="431">
        <v>337879</v>
      </c>
      <c r="AJ60" s="431">
        <v>30732</v>
      </c>
      <c r="AK60" s="431">
        <v>0</v>
      </c>
      <c r="AL60" s="431">
        <v>324384</v>
      </c>
      <c r="AM60" s="431">
        <v>1283286</v>
      </c>
    </row>
    <row r="61" spans="1:39" s="155" customFormat="1" ht="12" x14ac:dyDescent="0.2">
      <c r="A61" s="168">
        <v>7</v>
      </c>
      <c r="B61" s="229">
        <v>27383</v>
      </c>
      <c r="C61" s="190" t="s">
        <v>2498</v>
      </c>
      <c r="D61" s="464">
        <f t="shared" si="12"/>
        <v>7923536</v>
      </c>
      <c r="E61" s="431">
        <v>2318172</v>
      </c>
      <c r="F61" s="431">
        <v>330266</v>
      </c>
      <c r="G61" s="431">
        <v>655763</v>
      </c>
      <c r="H61" s="431">
        <v>0</v>
      </c>
      <c r="I61" s="431">
        <v>3441265</v>
      </c>
      <c r="J61" s="431">
        <v>0</v>
      </c>
      <c r="K61" s="431">
        <v>1778390</v>
      </c>
      <c r="L61" s="431">
        <v>0</v>
      </c>
      <c r="M61" s="431">
        <v>104384</v>
      </c>
      <c r="N61" s="431">
        <v>281325</v>
      </c>
      <c r="O61" s="431">
        <v>0</v>
      </c>
      <c r="P61" s="464">
        <f t="shared" si="14"/>
        <v>7871606</v>
      </c>
      <c r="Q61" s="431">
        <v>3473123</v>
      </c>
      <c r="R61" s="431">
        <v>1859244</v>
      </c>
      <c r="S61" s="431">
        <v>0</v>
      </c>
      <c r="T61" s="431">
        <v>0</v>
      </c>
      <c r="U61" s="431">
        <v>0</v>
      </c>
      <c r="V61" s="431">
        <v>0</v>
      </c>
      <c r="W61" s="431">
        <v>367204</v>
      </c>
      <c r="X61" s="431">
        <v>287513</v>
      </c>
      <c r="Y61" s="431">
        <v>25000</v>
      </c>
      <c r="Z61" s="431">
        <v>1881518</v>
      </c>
      <c r="AA61" s="431">
        <v>0</v>
      </c>
      <c r="AB61" s="431">
        <v>-21996</v>
      </c>
      <c r="AC61" s="431">
        <v>1070056</v>
      </c>
      <c r="AD61" s="431">
        <v>0</v>
      </c>
      <c r="AE61" s="431">
        <v>3480075</v>
      </c>
      <c r="AF61" s="431">
        <v>79658</v>
      </c>
      <c r="AG61" s="431">
        <v>1268477</v>
      </c>
      <c r="AH61" s="431">
        <v>405756</v>
      </c>
      <c r="AI61" s="431">
        <v>766165</v>
      </c>
      <c r="AJ61" s="431">
        <v>0</v>
      </c>
      <c r="AK61" s="431">
        <v>0</v>
      </c>
      <c r="AL61" s="431">
        <v>510631</v>
      </c>
      <c r="AM61" s="431">
        <v>290788</v>
      </c>
    </row>
    <row r="62" spans="1:39" s="155" customFormat="1" ht="12" x14ac:dyDescent="0.2">
      <c r="A62" s="168">
        <v>8</v>
      </c>
      <c r="B62" s="229">
        <v>27436</v>
      </c>
      <c r="C62" s="190" t="s">
        <v>2499</v>
      </c>
      <c r="D62" s="464">
        <f t="shared" si="12"/>
        <v>7814456</v>
      </c>
      <c r="E62" s="431">
        <v>4047915</v>
      </c>
      <c r="F62" s="431">
        <v>2083161</v>
      </c>
      <c r="G62" s="431">
        <v>38517</v>
      </c>
      <c r="H62" s="431">
        <v>0</v>
      </c>
      <c r="I62" s="431">
        <v>1783920</v>
      </c>
      <c r="J62" s="431">
        <v>0</v>
      </c>
      <c r="K62" s="431">
        <v>205930</v>
      </c>
      <c r="L62" s="431">
        <v>0</v>
      </c>
      <c r="M62" s="431">
        <v>1215556</v>
      </c>
      <c r="N62" s="431">
        <v>561135</v>
      </c>
      <c r="O62" s="431">
        <v>0</v>
      </c>
      <c r="P62" s="464">
        <f t="shared" si="14"/>
        <v>6666457</v>
      </c>
      <c r="Q62" s="431">
        <v>2038072</v>
      </c>
      <c r="R62" s="431">
        <v>1857771</v>
      </c>
      <c r="S62" s="431">
        <v>0</v>
      </c>
      <c r="T62" s="431">
        <v>0</v>
      </c>
      <c r="U62" s="431">
        <v>0</v>
      </c>
      <c r="V62" s="431">
        <v>0</v>
      </c>
      <c r="W62" s="431">
        <v>833735</v>
      </c>
      <c r="X62" s="431">
        <v>137444</v>
      </c>
      <c r="Y62" s="431">
        <v>270000</v>
      </c>
      <c r="Z62" s="431">
        <v>1613286</v>
      </c>
      <c r="AA62" s="431">
        <v>0</v>
      </c>
      <c r="AB62" s="431">
        <v>-83851</v>
      </c>
      <c r="AC62" s="431">
        <v>998969</v>
      </c>
      <c r="AD62" s="431">
        <v>199795</v>
      </c>
      <c r="AE62" s="431">
        <v>2232893</v>
      </c>
      <c r="AF62" s="431">
        <v>9959</v>
      </c>
      <c r="AG62" s="431">
        <v>913994</v>
      </c>
      <c r="AH62" s="431">
        <v>325388</v>
      </c>
      <c r="AI62" s="431">
        <v>733710</v>
      </c>
      <c r="AJ62" s="431">
        <v>298149</v>
      </c>
      <c r="AK62" s="431">
        <v>0</v>
      </c>
      <c r="AL62" s="431">
        <v>953600</v>
      </c>
      <c r="AM62" s="431">
        <v>0</v>
      </c>
    </row>
    <row r="63" spans="1:39" s="155" customFormat="1" ht="12" x14ac:dyDescent="0.2">
      <c r="A63" s="168">
        <v>9</v>
      </c>
      <c r="B63" s="229">
        <v>27506</v>
      </c>
      <c r="C63" s="190" t="s">
        <v>2500</v>
      </c>
      <c r="D63" s="464">
        <f t="shared" si="12"/>
        <v>2488762</v>
      </c>
      <c r="E63" s="431">
        <v>931033</v>
      </c>
      <c r="F63" s="431">
        <v>92312</v>
      </c>
      <c r="G63" s="431">
        <v>712490</v>
      </c>
      <c r="H63" s="431">
        <v>0</v>
      </c>
      <c r="I63" s="431">
        <v>943095</v>
      </c>
      <c r="J63" s="431">
        <v>50000</v>
      </c>
      <c r="K63" s="431">
        <v>562490</v>
      </c>
      <c r="L63" s="431">
        <v>0</v>
      </c>
      <c r="M63" s="431">
        <v>2144</v>
      </c>
      <c r="N63" s="431">
        <v>0</v>
      </c>
      <c r="O63" s="431">
        <v>0</v>
      </c>
      <c r="P63" s="464">
        <f t="shared" si="14"/>
        <v>2353009</v>
      </c>
      <c r="Q63" s="431">
        <v>1271740</v>
      </c>
      <c r="R63" s="431">
        <v>837131</v>
      </c>
      <c r="S63" s="431">
        <v>37388</v>
      </c>
      <c r="T63" s="431">
        <v>0</v>
      </c>
      <c r="U63" s="431">
        <v>0</v>
      </c>
      <c r="V63" s="431">
        <v>0</v>
      </c>
      <c r="W63" s="431">
        <v>0</v>
      </c>
      <c r="X63" s="431">
        <v>49750</v>
      </c>
      <c r="Y63" s="431">
        <v>0</v>
      </c>
      <c r="Z63" s="431">
        <v>0</v>
      </c>
      <c r="AA63" s="431">
        <v>157000</v>
      </c>
      <c r="AB63" s="431">
        <v>0</v>
      </c>
      <c r="AC63" s="431">
        <v>896152</v>
      </c>
      <c r="AD63" s="431">
        <v>0</v>
      </c>
      <c r="AE63" s="431">
        <v>810094</v>
      </c>
      <c r="AF63" s="431">
        <v>0</v>
      </c>
      <c r="AG63" s="431">
        <v>9707</v>
      </c>
      <c r="AH63" s="431">
        <v>213690</v>
      </c>
      <c r="AI63" s="431">
        <v>68946</v>
      </c>
      <c r="AJ63" s="431">
        <v>10543</v>
      </c>
      <c r="AK63" s="431">
        <v>0</v>
      </c>
      <c r="AL63" s="431">
        <v>343877</v>
      </c>
      <c r="AM63" s="431">
        <v>0</v>
      </c>
    </row>
    <row r="64" spans="1:39" s="155" customFormat="1" ht="12" x14ac:dyDescent="0.2">
      <c r="A64" s="168">
        <v>10</v>
      </c>
      <c r="B64" s="229">
        <v>27560</v>
      </c>
      <c r="C64" s="190" t="s">
        <v>2501</v>
      </c>
      <c r="D64" s="464">
        <f t="shared" si="12"/>
        <v>5618632</v>
      </c>
      <c r="E64" s="431">
        <v>1823280</v>
      </c>
      <c r="F64" s="431">
        <v>356077</v>
      </c>
      <c r="G64" s="431">
        <v>625710</v>
      </c>
      <c r="H64" s="431">
        <v>0</v>
      </c>
      <c r="I64" s="431">
        <v>2632428</v>
      </c>
      <c r="J64" s="431">
        <v>0</v>
      </c>
      <c r="K64" s="431">
        <v>1097740</v>
      </c>
      <c r="L64" s="431">
        <v>0</v>
      </c>
      <c r="M64" s="431">
        <v>1680</v>
      </c>
      <c r="N64" s="431">
        <v>0</v>
      </c>
      <c r="O64" s="431">
        <v>63504</v>
      </c>
      <c r="P64" s="464">
        <f t="shared" si="14"/>
        <v>5618189</v>
      </c>
      <c r="Q64" s="431">
        <v>2548469</v>
      </c>
      <c r="R64" s="431">
        <v>1325480</v>
      </c>
      <c r="S64" s="431">
        <v>0</v>
      </c>
      <c r="T64" s="431">
        <v>0</v>
      </c>
      <c r="U64" s="431">
        <v>0</v>
      </c>
      <c r="V64" s="431">
        <v>135000</v>
      </c>
      <c r="W64" s="431">
        <v>0</v>
      </c>
      <c r="X64" s="431">
        <v>385230</v>
      </c>
      <c r="Y64" s="431">
        <v>0</v>
      </c>
      <c r="Z64" s="431">
        <v>1253782</v>
      </c>
      <c r="AA64" s="431">
        <v>0</v>
      </c>
      <c r="AB64" s="431">
        <v>-29772</v>
      </c>
      <c r="AC64" s="431">
        <v>639068</v>
      </c>
      <c r="AD64" s="431">
        <v>4660</v>
      </c>
      <c r="AE64" s="431">
        <v>2602442</v>
      </c>
      <c r="AF64" s="431">
        <v>0</v>
      </c>
      <c r="AG64" s="431">
        <v>32870</v>
      </c>
      <c r="AH64" s="431">
        <v>383630</v>
      </c>
      <c r="AI64" s="431">
        <v>1380500</v>
      </c>
      <c r="AJ64" s="431">
        <v>10565</v>
      </c>
      <c r="AK64" s="431">
        <v>0</v>
      </c>
      <c r="AL64" s="431">
        <v>429454</v>
      </c>
      <c r="AM64" s="431">
        <v>135000</v>
      </c>
    </row>
    <row r="65" spans="1:39" s="155" customFormat="1" ht="12" x14ac:dyDescent="0.2">
      <c r="A65" s="168">
        <v>11</v>
      </c>
      <c r="B65" s="229">
        <v>27631</v>
      </c>
      <c r="C65" s="190" t="s">
        <v>2502</v>
      </c>
      <c r="D65" s="464">
        <f t="shared" si="12"/>
        <v>25367506</v>
      </c>
      <c r="E65" s="431">
        <v>9955737</v>
      </c>
      <c r="F65" s="431">
        <v>6213916</v>
      </c>
      <c r="G65" s="431">
        <v>6416</v>
      </c>
      <c r="H65" s="431">
        <v>0</v>
      </c>
      <c r="I65" s="431">
        <v>2009739</v>
      </c>
      <c r="J65" s="431">
        <v>0</v>
      </c>
      <c r="K65" s="431">
        <v>116150</v>
      </c>
      <c r="L65" s="431">
        <v>0</v>
      </c>
      <c r="M65" s="431">
        <v>3781053</v>
      </c>
      <c r="N65" s="431">
        <v>9272249</v>
      </c>
      <c r="O65" s="431">
        <v>232578</v>
      </c>
      <c r="P65" s="464">
        <f t="shared" si="14"/>
        <v>24497685</v>
      </c>
      <c r="Q65" s="431">
        <v>2522331</v>
      </c>
      <c r="R65" s="431">
        <v>4159196</v>
      </c>
      <c r="S65" s="431">
        <v>0</v>
      </c>
      <c r="T65" s="431">
        <v>103947</v>
      </c>
      <c r="U65" s="431">
        <v>0</v>
      </c>
      <c r="V65" s="431">
        <v>0</v>
      </c>
      <c r="W65" s="431">
        <v>15508187</v>
      </c>
      <c r="X65" s="431">
        <v>205555</v>
      </c>
      <c r="Y65" s="431">
        <v>200000</v>
      </c>
      <c r="Z65" s="431">
        <v>1823002</v>
      </c>
      <c r="AA65" s="431">
        <v>0</v>
      </c>
      <c r="AB65" s="431">
        <v>-24533</v>
      </c>
      <c r="AC65" s="431">
        <v>2293791</v>
      </c>
      <c r="AD65" s="431">
        <v>0</v>
      </c>
      <c r="AE65" s="431">
        <v>4726961</v>
      </c>
      <c r="AF65" s="431">
        <v>4282</v>
      </c>
      <c r="AG65" s="431">
        <v>1225682</v>
      </c>
      <c r="AH65" s="431">
        <v>498688</v>
      </c>
      <c r="AI65" s="431">
        <v>14275893</v>
      </c>
      <c r="AJ65" s="431">
        <v>222697</v>
      </c>
      <c r="AK65" s="431">
        <v>0</v>
      </c>
      <c r="AL65" s="431">
        <v>1249691</v>
      </c>
      <c r="AM65" s="431">
        <v>0</v>
      </c>
    </row>
    <row r="66" spans="1:39" s="155" customFormat="1" ht="12" x14ac:dyDescent="0.2">
      <c r="A66" s="168">
        <v>12</v>
      </c>
      <c r="B66" s="229">
        <v>27686</v>
      </c>
      <c r="C66" s="190" t="s">
        <v>2503</v>
      </c>
      <c r="D66" s="464">
        <f t="shared" si="12"/>
        <v>10263133</v>
      </c>
      <c r="E66" s="431">
        <v>2958527</v>
      </c>
      <c r="F66" s="431">
        <v>520714</v>
      </c>
      <c r="G66" s="431">
        <v>485474</v>
      </c>
      <c r="H66" s="431">
        <v>0</v>
      </c>
      <c r="I66" s="431">
        <v>4140257</v>
      </c>
      <c r="J66" s="431">
        <v>100000</v>
      </c>
      <c r="K66" s="431">
        <v>1598660</v>
      </c>
      <c r="L66" s="431">
        <v>0</v>
      </c>
      <c r="M66" s="431">
        <v>861062</v>
      </c>
      <c r="N66" s="431">
        <v>604627</v>
      </c>
      <c r="O66" s="431">
        <v>0</v>
      </c>
      <c r="P66" s="464">
        <f t="shared" si="14"/>
        <v>10302339</v>
      </c>
      <c r="Q66" s="431">
        <v>4074308</v>
      </c>
      <c r="R66" s="431">
        <v>2644698</v>
      </c>
      <c r="S66" s="431">
        <v>5745</v>
      </c>
      <c r="T66" s="431">
        <v>0</v>
      </c>
      <c r="U66" s="431">
        <v>728492</v>
      </c>
      <c r="V66" s="431">
        <v>3871</v>
      </c>
      <c r="W66" s="431">
        <v>1495865</v>
      </c>
      <c r="X66" s="431">
        <v>353586</v>
      </c>
      <c r="Y66" s="431">
        <v>8051</v>
      </c>
      <c r="Z66" s="431">
        <v>1073241</v>
      </c>
      <c r="AA66" s="431">
        <v>0</v>
      </c>
      <c r="AB66" s="431">
        <v>-85518</v>
      </c>
      <c r="AC66" s="431">
        <v>873555</v>
      </c>
      <c r="AD66" s="431">
        <v>45964</v>
      </c>
      <c r="AE66" s="431">
        <v>4039854</v>
      </c>
      <c r="AF66" s="431">
        <v>499166</v>
      </c>
      <c r="AG66" s="431">
        <v>391513</v>
      </c>
      <c r="AH66" s="431">
        <v>1251146</v>
      </c>
      <c r="AI66" s="431">
        <v>938436</v>
      </c>
      <c r="AJ66" s="431">
        <v>234662</v>
      </c>
      <c r="AK66" s="431">
        <v>0</v>
      </c>
      <c r="AL66" s="431">
        <v>783973</v>
      </c>
      <c r="AM66" s="431">
        <v>1244070</v>
      </c>
    </row>
    <row r="67" spans="1:39" s="155" customFormat="1" ht="12" x14ac:dyDescent="0.2">
      <c r="A67" s="168">
        <v>13</v>
      </c>
      <c r="B67" s="229">
        <v>27757</v>
      </c>
      <c r="C67" s="190" t="s">
        <v>1622</v>
      </c>
      <c r="D67" s="464">
        <f t="shared" si="12"/>
        <v>4423443</v>
      </c>
      <c r="E67" s="431">
        <v>1532558</v>
      </c>
      <c r="F67" s="431">
        <v>158574</v>
      </c>
      <c r="G67" s="431">
        <v>772324</v>
      </c>
      <c r="H67" s="431">
        <v>0</v>
      </c>
      <c r="I67" s="431">
        <v>1929758</v>
      </c>
      <c r="J67" s="431">
        <v>0</v>
      </c>
      <c r="K67" s="431">
        <v>947670</v>
      </c>
      <c r="L67" s="431">
        <v>0</v>
      </c>
      <c r="M67" s="431">
        <v>13457</v>
      </c>
      <c r="N67" s="431">
        <v>0</v>
      </c>
      <c r="O67" s="431">
        <v>0</v>
      </c>
      <c r="P67" s="464">
        <f t="shared" si="14"/>
        <v>3831656</v>
      </c>
      <c r="Q67" s="431">
        <v>2031657</v>
      </c>
      <c r="R67" s="431">
        <v>683234</v>
      </c>
      <c r="S67" s="431">
        <v>0</v>
      </c>
      <c r="T67" s="431">
        <v>0</v>
      </c>
      <c r="U67" s="431">
        <v>0</v>
      </c>
      <c r="V67" s="431">
        <v>97430</v>
      </c>
      <c r="W67" s="431">
        <v>0</v>
      </c>
      <c r="X67" s="431">
        <v>177509</v>
      </c>
      <c r="Y67" s="431">
        <v>120000</v>
      </c>
      <c r="Z67" s="431">
        <v>877996</v>
      </c>
      <c r="AA67" s="431">
        <v>0</v>
      </c>
      <c r="AB67" s="431">
        <v>-156170</v>
      </c>
      <c r="AC67" s="431">
        <v>521954</v>
      </c>
      <c r="AD67" s="431">
        <v>0</v>
      </c>
      <c r="AE67" s="431">
        <v>1700188</v>
      </c>
      <c r="AF67" s="431">
        <v>3395</v>
      </c>
      <c r="AG67" s="431">
        <v>216621</v>
      </c>
      <c r="AH67" s="431">
        <v>338169</v>
      </c>
      <c r="AI67" s="431">
        <v>152853</v>
      </c>
      <c r="AJ67" s="431">
        <v>0</v>
      </c>
      <c r="AK67" s="431">
        <v>0</v>
      </c>
      <c r="AL67" s="431">
        <v>579871</v>
      </c>
      <c r="AM67" s="431">
        <v>318605</v>
      </c>
    </row>
    <row r="68" spans="1:39" s="155" customFormat="1" ht="12" x14ac:dyDescent="0.2">
      <c r="A68" s="168">
        <v>14</v>
      </c>
      <c r="B68" s="229">
        <v>27846</v>
      </c>
      <c r="C68" s="190" t="s">
        <v>2504</v>
      </c>
      <c r="D68" s="464">
        <f t="shared" si="12"/>
        <v>4480770</v>
      </c>
      <c r="E68" s="431">
        <v>1431130</v>
      </c>
      <c r="F68" s="431">
        <v>206613</v>
      </c>
      <c r="G68" s="431">
        <v>259855</v>
      </c>
      <c r="H68" s="431">
        <v>0</v>
      </c>
      <c r="I68" s="431">
        <v>1690500</v>
      </c>
      <c r="J68" s="431">
        <v>100000</v>
      </c>
      <c r="K68" s="431">
        <v>777220</v>
      </c>
      <c r="L68" s="431">
        <v>0</v>
      </c>
      <c r="M68" s="431">
        <v>225957</v>
      </c>
      <c r="N68" s="431">
        <v>255963</v>
      </c>
      <c r="O68" s="431">
        <v>0</v>
      </c>
      <c r="P68" s="464">
        <f t="shared" si="14"/>
        <v>4188444</v>
      </c>
      <c r="Q68" s="431">
        <v>1959143</v>
      </c>
      <c r="R68" s="431">
        <v>1263408</v>
      </c>
      <c r="S68" s="431">
        <v>0</v>
      </c>
      <c r="T68" s="431">
        <v>0</v>
      </c>
      <c r="U68" s="431">
        <v>0</v>
      </c>
      <c r="V68" s="431">
        <v>0</v>
      </c>
      <c r="W68" s="431">
        <v>20652</v>
      </c>
      <c r="X68" s="431">
        <v>140762</v>
      </c>
      <c r="Y68" s="431">
        <v>72000</v>
      </c>
      <c r="Z68" s="431">
        <v>736611</v>
      </c>
      <c r="AA68" s="431">
        <v>0</v>
      </c>
      <c r="AB68" s="431">
        <v>-4132</v>
      </c>
      <c r="AC68" s="431">
        <v>725680</v>
      </c>
      <c r="AD68" s="431">
        <v>0</v>
      </c>
      <c r="AE68" s="431">
        <v>1423251</v>
      </c>
      <c r="AF68" s="431">
        <v>230726</v>
      </c>
      <c r="AG68" s="431">
        <v>250283</v>
      </c>
      <c r="AH68" s="431">
        <v>386189</v>
      </c>
      <c r="AI68" s="431">
        <v>307491</v>
      </c>
      <c r="AJ68" s="431">
        <v>0</v>
      </c>
      <c r="AK68" s="431">
        <v>0</v>
      </c>
      <c r="AL68" s="431">
        <v>803494</v>
      </c>
      <c r="AM68" s="431">
        <v>61330</v>
      </c>
    </row>
    <row r="69" spans="1:39" s="155" customFormat="1" ht="12" x14ac:dyDescent="0.2">
      <c r="A69" s="168">
        <v>15</v>
      </c>
      <c r="B69" s="229">
        <v>27908</v>
      </c>
      <c r="C69" s="190" t="s">
        <v>2505</v>
      </c>
      <c r="D69" s="464">
        <f t="shared" si="12"/>
        <v>3216337</v>
      </c>
      <c r="E69" s="431">
        <v>1078035</v>
      </c>
      <c r="F69" s="431">
        <v>93426</v>
      </c>
      <c r="G69" s="431">
        <v>719285</v>
      </c>
      <c r="H69" s="431">
        <v>0</v>
      </c>
      <c r="I69" s="431">
        <v>1220000</v>
      </c>
      <c r="J69" s="431">
        <v>80000</v>
      </c>
      <c r="K69" s="431">
        <v>545060</v>
      </c>
      <c r="L69" s="431">
        <v>0</v>
      </c>
      <c r="M69" s="431">
        <v>186361</v>
      </c>
      <c r="N69" s="431">
        <v>105381</v>
      </c>
      <c r="O69" s="431">
        <v>1500</v>
      </c>
      <c r="P69" s="464">
        <f t="shared" si="14"/>
        <v>2705761</v>
      </c>
      <c r="Q69" s="431">
        <v>1371392</v>
      </c>
      <c r="R69" s="431">
        <v>896682</v>
      </c>
      <c r="S69" s="431">
        <v>0</v>
      </c>
      <c r="T69" s="431">
        <v>0</v>
      </c>
      <c r="U69" s="431">
        <v>0</v>
      </c>
      <c r="V69" s="431">
        <v>0</v>
      </c>
      <c r="W69" s="431">
        <v>131000</v>
      </c>
      <c r="X69" s="431">
        <v>40000</v>
      </c>
      <c r="Y69" s="431">
        <v>0</v>
      </c>
      <c r="Z69" s="431">
        <v>277302</v>
      </c>
      <c r="AA69" s="431">
        <v>0</v>
      </c>
      <c r="AB69" s="431">
        <v>-10615</v>
      </c>
      <c r="AC69" s="431">
        <v>641753</v>
      </c>
      <c r="AD69" s="431">
        <v>0</v>
      </c>
      <c r="AE69" s="431">
        <v>1082368</v>
      </c>
      <c r="AF69" s="431">
        <v>0</v>
      </c>
      <c r="AG69" s="431">
        <v>47836</v>
      </c>
      <c r="AH69" s="431">
        <v>179665</v>
      </c>
      <c r="AI69" s="431">
        <v>220285</v>
      </c>
      <c r="AJ69" s="431">
        <v>71101</v>
      </c>
      <c r="AK69" s="431">
        <v>0</v>
      </c>
      <c r="AL69" s="431">
        <v>151201</v>
      </c>
      <c r="AM69" s="431">
        <v>311552</v>
      </c>
    </row>
    <row r="70" spans="1:39" s="155" customFormat="1" ht="12" x14ac:dyDescent="0.2">
      <c r="A70" s="168">
        <v>16</v>
      </c>
      <c r="B70" s="229">
        <v>27935</v>
      </c>
      <c r="C70" s="190" t="s">
        <v>2506</v>
      </c>
      <c r="D70" s="464">
        <f t="shared" si="12"/>
        <v>8535148</v>
      </c>
      <c r="E70" s="431">
        <v>1638129</v>
      </c>
      <c r="F70" s="431">
        <v>720454</v>
      </c>
      <c r="G70" s="431">
        <v>113125</v>
      </c>
      <c r="H70" s="431">
        <v>0</v>
      </c>
      <c r="I70" s="431">
        <v>1621727</v>
      </c>
      <c r="J70" s="431">
        <v>0</v>
      </c>
      <c r="K70" s="431">
        <v>274130</v>
      </c>
      <c r="L70" s="431">
        <v>0</v>
      </c>
      <c r="M70" s="431">
        <v>567137</v>
      </c>
      <c r="N70" s="431">
        <v>4347937</v>
      </c>
      <c r="O70" s="431">
        <v>86088</v>
      </c>
      <c r="P70" s="464">
        <f t="shared" si="14"/>
        <v>7203661</v>
      </c>
      <c r="Q70" s="431">
        <v>1850319</v>
      </c>
      <c r="R70" s="431">
        <v>1352960</v>
      </c>
      <c r="S70" s="431">
        <v>32030</v>
      </c>
      <c r="T70" s="431">
        <v>0</v>
      </c>
      <c r="U70" s="431">
        <v>0</v>
      </c>
      <c r="V70" s="431">
        <v>0</v>
      </c>
      <c r="W70" s="431">
        <v>3417559</v>
      </c>
      <c r="X70" s="431">
        <v>103586</v>
      </c>
      <c r="Y70" s="431">
        <v>6500</v>
      </c>
      <c r="Z70" s="431">
        <v>257088</v>
      </c>
      <c r="AA70" s="431">
        <v>362416</v>
      </c>
      <c r="AB70" s="431">
        <v>-178797</v>
      </c>
      <c r="AC70" s="431">
        <v>959031</v>
      </c>
      <c r="AD70" s="431">
        <v>419335</v>
      </c>
      <c r="AE70" s="431">
        <v>1439598</v>
      </c>
      <c r="AF70" s="431">
        <v>0</v>
      </c>
      <c r="AG70" s="431">
        <v>39486</v>
      </c>
      <c r="AH70" s="431">
        <v>1859786</v>
      </c>
      <c r="AI70" s="431">
        <v>352113</v>
      </c>
      <c r="AJ70" s="431">
        <v>19561</v>
      </c>
      <c r="AK70" s="431">
        <v>0</v>
      </c>
      <c r="AL70" s="431">
        <v>1042040</v>
      </c>
      <c r="AM70" s="431">
        <v>1072711</v>
      </c>
    </row>
    <row r="71" spans="1:39" s="155" customFormat="1" ht="12" x14ac:dyDescent="0.2">
      <c r="A71" s="168">
        <v>17</v>
      </c>
      <c r="B71" s="229">
        <v>27971</v>
      </c>
      <c r="C71" s="190" t="s">
        <v>2507</v>
      </c>
      <c r="D71" s="464">
        <f t="shared" si="12"/>
        <v>5844283</v>
      </c>
      <c r="E71" s="431">
        <v>1421799</v>
      </c>
      <c r="F71" s="431">
        <v>392441</v>
      </c>
      <c r="G71" s="431">
        <v>588707</v>
      </c>
      <c r="H71" s="431">
        <v>0</v>
      </c>
      <c r="I71" s="431">
        <v>2736316</v>
      </c>
      <c r="J71" s="431">
        <v>299478</v>
      </c>
      <c r="K71" s="431">
        <v>1141570</v>
      </c>
      <c r="L71" s="431">
        <v>0</v>
      </c>
      <c r="M71" s="431">
        <v>223463</v>
      </c>
      <c r="N71" s="431">
        <v>0</v>
      </c>
      <c r="O71" s="431">
        <v>21657</v>
      </c>
      <c r="P71" s="464">
        <f t="shared" si="14"/>
        <v>5779912</v>
      </c>
      <c r="Q71" s="431">
        <v>2997600</v>
      </c>
      <c r="R71" s="431">
        <v>1559449</v>
      </c>
      <c r="S71" s="431">
        <v>0</v>
      </c>
      <c r="T71" s="431">
        <v>0</v>
      </c>
      <c r="U71" s="431">
        <v>200000</v>
      </c>
      <c r="V71" s="431">
        <v>0</v>
      </c>
      <c r="W71" s="431">
        <v>0</v>
      </c>
      <c r="X71" s="431">
        <v>143297</v>
      </c>
      <c r="Y71" s="431">
        <v>38500</v>
      </c>
      <c r="Z71" s="431">
        <v>844903</v>
      </c>
      <c r="AA71" s="431">
        <v>0</v>
      </c>
      <c r="AB71" s="431">
        <v>-3837</v>
      </c>
      <c r="AC71" s="431">
        <v>901093</v>
      </c>
      <c r="AD71" s="431">
        <v>0</v>
      </c>
      <c r="AE71" s="431">
        <v>2539446</v>
      </c>
      <c r="AF71" s="431">
        <v>0</v>
      </c>
      <c r="AG71" s="431">
        <v>426266</v>
      </c>
      <c r="AH71" s="431">
        <v>569234</v>
      </c>
      <c r="AI71" s="431">
        <v>217551</v>
      </c>
      <c r="AJ71" s="431">
        <v>0</v>
      </c>
      <c r="AK71" s="431">
        <v>0</v>
      </c>
      <c r="AL71" s="431">
        <v>1107164</v>
      </c>
      <c r="AM71" s="431">
        <v>19158</v>
      </c>
    </row>
    <row r="72" spans="1:39" s="155" customFormat="1" ht="12" x14ac:dyDescent="0.2">
      <c r="A72" s="168">
        <v>18</v>
      </c>
      <c r="B72" s="229">
        <v>28077</v>
      </c>
      <c r="C72" s="190" t="s">
        <v>2508</v>
      </c>
      <c r="D72" s="464">
        <f t="shared" si="12"/>
        <v>3703438</v>
      </c>
      <c r="E72" s="431">
        <v>1447897</v>
      </c>
      <c r="F72" s="431">
        <v>122229</v>
      </c>
      <c r="G72" s="431">
        <v>626098</v>
      </c>
      <c r="H72" s="431">
        <v>0</v>
      </c>
      <c r="I72" s="431">
        <v>1262355</v>
      </c>
      <c r="J72" s="431">
        <v>100000</v>
      </c>
      <c r="K72" s="431">
        <v>884790</v>
      </c>
      <c r="L72" s="431">
        <v>0</v>
      </c>
      <c r="M72" s="431">
        <v>8396</v>
      </c>
      <c r="N72" s="431">
        <v>0</v>
      </c>
      <c r="O72" s="431">
        <v>0</v>
      </c>
      <c r="P72" s="464">
        <f t="shared" si="14"/>
        <v>2956439</v>
      </c>
      <c r="Q72" s="431">
        <v>1578495</v>
      </c>
      <c r="R72" s="431">
        <v>1241191</v>
      </c>
      <c r="S72" s="431">
        <v>0</v>
      </c>
      <c r="T72" s="431">
        <v>0</v>
      </c>
      <c r="U72" s="431">
        <v>0</v>
      </c>
      <c r="V72" s="431">
        <v>0</v>
      </c>
      <c r="W72" s="431">
        <v>0</v>
      </c>
      <c r="X72" s="431">
        <v>22057</v>
      </c>
      <c r="Y72" s="431">
        <v>0</v>
      </c>
      <c r="Z72" s="431">
        <v>114696</v>
      </c>
      <c r="AA72" s="431">
        <v>0</v>
      </c>
      <c r="AB72" s="431">
        <v>0</v>
      </c>
      <c r="AC72" s="431">
        <v>448083</v>
      </c>
      <c r="AD72" s="431">
        <v>0</v>
      </c>
      <c r="AE72" s="431">
        <v>1118314</v>
      </c>
      <c r="AF72" s="431">
        <v>0</v>
      </c>
      <c r="AG72" s="431">
        <v>169130</v>
      </c>
      <c r="AH72" s="431">
        <v>246757</v>
      </c>
      <c r="AI72" s="431">
        <v>110284</v>
      </c>
      <c r="AJ72" s="431">
        <v>90000</v>
      </c>
      <c r="AK72" s="431">
        <v>0</v>
      </c>
      <c r="AL72" s="431">
        <v>719718</v>
      </c>
      <c r="AM72" s="431">
        <v>54153</v>
      </c>
    </row>
    <row r="73" spans="1:39" s="155" customFormat="1" ht="12" x14ac:dyDescent="0.2">
      <c r="A73" s="168">
        <v>19</v>
      </c>
      <c r="B73" s="229">
        <v>28139</v>
      </c>
      <c r="C73" s="190" t="s">
        <v>2509</v>
      </c>
      <c r="D73" s="464">
        <f t="shared" si="12"/>
        <v>3349903</v>
      </c>
      <c r="E73" s="431">
        <v>1144130</v>
      </c>
      <c r="F73" s="431">
        <v>77631</v>
      </c>
      <c r="G73" s="431">
        <v>647521</v>
      </c>
      <c r="H73" s="431">
        <v>0</v>
      </c>
      <c r="I73" s="431">
        <v>894953</v>
      </c>
      <c r="J73" s="431">
        <v>0</v>
      </c>
      <c r="K73" s="431">
        <v>535590</v>
      </c>
      <c r="L73" s="431">
        <v>0</v>
      </c>
      <c r="M73" s="431">
        <v>749230</v>
      </c>
      <c r="N73" s="431">
        <v>0</v>
      </c>
      <c r="O73" s="431">
        <v>26000</v>
      </c>
      <c r="P73" s="464">
        <f t="shared" si="14"/>
        <v>3349903</v>
      </c>
      <c r="Q73" s="431">
        <v>1201426</v>
      </c>
      <c r="R73" s="431">
        <v>810520</v>
      </c>
      <c r="S73" s="431">
        <v>0</v>
      </c>
      <c r="T73" s="431">
        <v>0</v>
      </c>
      <c r="U73" s="431">
        <v>0</v>
      </c>
      <c r="V73" s="431">
        <v>45398</v>
      </c>
      <c r="W73" s="431">
        <v>0</v>
      </c>
      <c r="X73" s="431">
        <v>75318</v>
      </c>
      <c r="Y73" s="431">
        <v>0</v>
      </c>
      <c r="Z73" s="431">
        <v>1279282</v>
      </c>
      <c r="AA73" s="431">
        <v>0</v>
      </c>
      <c r="AB73" s="431">
        <v>-62041</v>
      </c>
      <c r="AC73" s="431">
        <v>644680</v>
      </c>
      <c r="AD73" s="431">
        <v>71703</v>
      </c>
      <c r="AE73" s="431">
        <v>1008597</v>
      </c>
      <c r="AF73" s="431">
        <v>0</v>
      </c>
      <c r="AG73" s="431">
        <v>30432</v>
      </c>
      <c r="AH73" s="431">
        <v>202242</v>
      </c>
      <c r="AI73" s="431">
        <v>150719</v>
      </c>
      <c r="AJ73" s="431">
        <v>53568</v>
      </c>
      <c r="AK73" s="431">
        <v>0</v>
      </c>
      <c r="AL73" s="431">
        <v>1187962</v>
      </c>
      <c r="AM73" s="431">
        <v>0</v>
      </c>
    </row>
    <row r="74" spans="1:39" s="155" customFormat="1" ht="12" x14ac:dyDescent="0.2">
      <c r="A74" s="168">
        <v>20</v>
      </c>
      <c r="B74" s="229">
        <v>28193</v>
      </c>
      <c r="C74" s="190" t="s">
        <v>2510</v>
      </c>
      <c r="D74" s="464">
        <f t="shared" si="12"/>
        <v>3922132</v>
      </c>
      <c r="E74" s="431">
        <v>1146770</v>
      </c>
      <c r="F74" s="431">
        <v>102134</v>
      </c>
      <c r="G74" s="431">
        <v>633863</v>
      </c>
      <c r="H74" s="431">
        <v>0</v>
      </c>
      <c r="I74" s="431">
        <v>1089109</v>
      </c>
      <c r="J74" s="431">
        <v>250000</v>
      </c>
      <c r="K74" s="431">
        <v>774450</v>
      </c>
      <c r="L74" s="431">
        <v>0</v>
      </c>
      <c r="M74" s="431">
        <v>249163</v>
      </c>
      <c r="N74" s="431">
        <v>390140</v>
      </c>
      <c r="O74" s="431">
        <v>22500</v>
      </c>
      <c r="P74" s="464">
        <f t="shared" si="14"/>
        <v>4221255</v>
      </c>
      <c r="Q74" s="431">
        <v>1513885</v>
      </c>
      <c r="R74" s="431">
        <v>1097133</v>
      </c>
      <c r="S74" s="431">
        <v>0</v>
      </c>
      <c r="T74" s="431">
        <v>0</v>
      </c>
      <c r="U74" s="431">
        <v>0</v>
      </c>
      <c r="V74" s="431">
        <v>0</v>
      </c>
      <c r="W74" s="431">
        <v>455140</v>
      </c>
      <c r="X74" s="431">
        <v>15866</v>
      </c>
      <c r="Y74" s="431">
        <v>234890</v>
      </c>
      <c r="Z74" s="431">
        <v>904341</v>
      </c>
      <c r="AA74" s="431">
        <v>0</v>
      </c>
      <c r="AB74" s="431">
        <v>0</v>
      </c>
      <c r="AC74" s="431">
        <v>720905</v>
      </c>
      <c r="AD74" s="431">
        <v>0</v>
      </c>
      <c r="AE74" s="431">
        <v>758986</v>
      </c>
      <c r="AF74" s="431">
        <v>0</v>
      </c>
      <c r="AG74" s="431">
        <v>1308106</v>
      </c>
      <c r="AH74" s="431">
        <v>360905</v>
      </c>
      <c r="AI74" s="431">
        <v>149733</v>
      </c>
      <c r="AJ74" s="431">
        <v>59038</v>
      </c>
      <c r="AK74" s="431">
        <v>0</v>
      </c>
      <c r="AL74" s="431">
        <v>613574</v>
      </c>
      <c r="AM74" s="431">
        <v>250008</v>
      </c>
    </row>
    <row r="75" spans="1:39" s="155" customFormat="1" ht="12" x14ac:dyDescent="0.2">
      <c r="A75" s="168">
        <v>21</v>
      </c>
      <c r="B75" s="229">
        <v>28246</v>
      </c>
      <c r="C75" s="190" t="s">
        <v>2511</v>
      </c>
      <c r="D75" s="464">
        <f t="shared" si="12"/>
        <v>5263761</v>
      </c>
      <c r="E75" s="431">
        <v>1443531</v>
      </c>
      <c r="F75" s="431">
        <v>505649</v>
      </c>
      <c r="G75" s="431">
        <v>198993</v>
      </c>
      <c r="H75" s="431">
        <v>0</v>
      </c>
      <c r="I75" s="431">
        <v>1075144</v>
      </c>
      <c r="J75" s="431">
        <v>250000</v>
      </c>
      <c r="K75" s="431">
        <v>316080</v>
      </c>
      <c r="L75" s="431">
        <v>0</v>
      </c>
      <c r="M75" s="431">
        <v>18288</v>
      </c>
      <c r="N75" s="431">
        <v>2160718</v>
      </c>
      <c r="O75" s="431">
        <v>0</v>
      </c>
      <c r="P75" s="464">
        <f t="shared" si="14"/>
        <v>5179226</v>
      </c>
      <c r="Q75" s="431">
        <v>1484412</v>
      </c>
      <c r="R75" s="431">
        <v>1105564</v>
      </c>
      <c r="S75" s="431">
        <v>60920</v>
      </c>
      <c r="T75" s="431">
        <v>0</v>
      </c>
      <c r="U75" s="431">
        <v>0</v>
      </c>
      <c r="V75" s="431">
        <v>0</v>
      </c>
      <c r="W75" s="431">
        <v>41897</v>
      </c>
      <c r="X75" s="431">
        <v>116161</v>
      </c>
      <c r="Y75" s="431">
        <v>9946</v>
      </c>
      <c r="Z75" s="431">
        <v>140170</v>
      </c>
      <c r="AA75" s="431">
        <v>2226304</v>
      </c>
      <c r="AB75" s="431">
        <v>-6148</v>
      </c>
      <c r="AC75" s="431">
        <v>822363</v>
      </c>
      <c r="AD75" s="431">
        <v>4769</v>
      </c>
      <c r="AE75" s="431">
        <v>1169091</v>
      </c>
      <c r="AF75" s="431">
        <v>0</v>
      </c>
      <c r="AG75" s="431">
        <v>85061</v>
      </c>
      <c r="AH75" s="431">
        <v>231064</v>
      </c>
      <c r="AI75" s="431">
        <v>2401681</v>
      </c>
      <c r="AJ75" s="431">
        <v>36294</v>
      </c>
      <c r="AK75" s="431">
        <v>0</v>
      </c>
      <c r="AL75" s="431">
        <v>378405</v>
      </c>
      <c r="AM75" s="431">
        <v>50498</v>
      </c>
    </row>
    <row r="76" spans="1:39" s="155" customFormat="1" ht="12" x14ac:dyDescent="0.2">
      <c r="A76" s="168">
        <v>22</v>
      </c>
      <c r="B76" s="229">
        <v>28335</v>
      </c>
      <c r="C76" s="190" t="s">
        <v>2512</v>
      </c>
      <c r="D76" s="464">
        <f t="shared" si="12"/>
        <v>6878622</v>
      </c>
      <c r="E76" s="431">
        <v>1576648</v>
      </c>
      <c r="F76" s="431">
        <v>195764</v>
      </c>
      <c r="G76" s="431">
        <v>749590</v>
      </c>
      <c r="H76" s="431">
        <v>0</v>
      </c>
      <c r="I76" s="431">
        <v>2356312</v>
      </c>
      <c r="J76" s="431">
        <v>80000</v>
      </c>
      <c r="K76" s="431">
        <v>1119110</v>
      </c>
      <c r="L76" s="431">
        <v>0</v>
      </c>
      <c r="M76" s="431">
        <v>514109</v>
      </c>
      <c r="N76" s="431">
        <v>1232443</v>
      </c>
      <c r="O76" s="431">
        <v>0</v>
      </c>
      <c r="P76" s="464">
        <f t="shared" si="14"/>
        <v>6945418</v>
      </c>
      <c r="Q76" s="431">
        <v>2562327</v>
      </c>
      <c r="R76" s="431">
        <v>1237452</v>
      </c>
      <c r="S76" s="431">
        <v>0</v>
      </c>
      <c r="T76" s="431">
        <v>0</v>
      </c>
      <c r="U76" s="431">
        <v>0</v>
      </c>
      <c r="V76" s="431">
        <v>0</v>
      </c>
      <c r="W76" s="431">
        <v>1342871</v>
      </c>
      <c r="X76" s="431">
        <v>218297</v>
      </c>
      <c r="Y76" s="431">
        <v>15000</v>
      </c>
      <c r="Z76" s="431">
        <v>1587037</v>
      </c>
      <c r="AA76" s="431">
        <v>0</v>
      </c>
      <c r="AB76" s="431">
        <v>-17566</v>
      </c>
      <c r="AC76" s="431">
        <v>685298</v>
      </c>
      <c r="AD76" s="431">
        <v>39074</v>
      </c>
      <c r="AE76" s="431">
        <v>2187260</v>
      </c>
      <c r="AF76" s="431">
        <v>38564</v>
      </c>
      <c r="AG76" s="431">
        <v>191061</v>
      </c>
      <c r="AH76" s="431">
        <v>587501</v>
      </c>
      <c r="AI76" s="431">
        <v>771418</v>
      </c>
      <c r="AJ76" s="431">
        <v>961452</v>
      </c>
      <c r="AK76" s="431">
        <v>0</v>
      </c>
      <c r="AL76" s="431">
        <v>1483790</v>
      </c>
      <c r="AM76" s="431">
        <v>0</v>
      </c>
    </row>
    <row r="77" spans="1:39" s="155" customFormat="1" ht="12" x14ac:dyDescent="0.2">
      <c r="A77" s="168">
        <v>23</v>
      </c>
      <c r="B77" s="229">
        <v>28415</v>
      </c>
      <c r="C77" s="190" t="s">
        <v>2513</v>
      </c>
      <c r="D77" s="464">
        <f t="shared" si="12"/>
        <v>6915129</v>
      </c>
      <c r="E77" s="431">
        <v>1149989</v>
      </c>
      <c r="F77" s="431">
        <v>121045</v>
      </c>
      <c r="G77" s="431">
        <v>581446</v>
      </c>
      <c r="H77" s="431">
        <v>0</v>
      </c>
      <c r="I77" s="431">
        <v>1124859</v>
      </c>
      <c r="J77" s="431">
        <v>300000</v>
      </c>
      <c r="K77" s="431">
        <v>1231790</v>
      </c>
      <c r="L77" s="431">
        <v>0</v>
      </c>
      <c r="M77" s="431">
        <v>86496</v>
      </c>
      <c r="N77" s="431">
        <v>286838</v>
      </c>
      <c r="O77" s="431">
        <v>2735157</v>
      </c>
      <c r="P77" s="464">
        <f t="shared" si="14"/>
        <v>6538302</v>
      </c>
      <c r="Q77" s="431">
        <v>1364859</v>
      </c>
      <c r="R77" s="431">
        <v>1455644</v>
      </c>
      <c r="S77" s="431">
        <v>2421</v>
      </c>
      <c r="T77" s="431">
        <v>0</v>
      </c>
      <c r="U77" s="431">
        <v>0</v>
      </c>
      <c r="V77" s="431">
        <v>0</v>
      </c>
      <c r="W77" s="431">
        <v>142999</v>
      </c>
      <c r="X77" s="431">
        <v>176827</v>
      </c>
      <c r="Y77" s="431">
        <v>0</v>
      </c>
      <c r="Z77" s="431">
        <v>3185023</v>
      </c>
      <c r="AA77" s="431">
        <v>210529</v>
      </c>
      <c r="AB77" s="431">
        <v>0</v>
      </c>
      <c r="AC77" s="431">
        <v>758592</v>
      </c>
      <c r="AD77" s="431">
        <v>4978</v>
      </c>
      <c r="AE77" s="431">
        <v>1049105</v>
      </c>
      <c r="AF77" s="431">
        <v>0</v>
      </c>
      <c r="AG77" s="431">
        <v>48181</v>
      </c>
      <c r="AH77" s="431">
        <v>171017</v>
      </c>
      <c r="AI77" s="431">
        <v>656638</v>
      </c>
      <c r="AJ77" s="431">
        <v>3377945</v>
      </c>
      <c r="AK77" s="431">
        <v>0</v>
      </c>
      <c r="AL77" s="431">
        <v>471846</v>
      </c>
      <c r="AM77" s="431">
        <v>0</v>
      </c>
    </row>
    <row r="78" spans="1:39" s="155" customFormat="1" ht="12" x14ac:dyDescent="0.2">
      <c r="A78" s="168">
        <v>24</v>
      </c>
      <c r="B78" s="229">
        <v>28497</v>
      </c>
      <c r="C78" s="190" t="s">
        <v>2514</v>
      </c>
      <c r="D78" s="464">
        <f t="shared" si="12"/>
        <v>4569886</v>
      </c>
      <c r="E78" s="431">
        <v>1198606</v>
      </c>
      <c r="F78" s="431">
        <v>115299</v>
      </c>
      <c r="G78" s="431">
        <v>563517</v>
      </c>
      <c r="H78" s="431">
        <v>0</v>
      </c>
      <c r="I78" s="431">
        <v>1514992</v>
      </c>
      <c r="J78" s="431">
        <v>0</v>
      </c>
      <c r="K78" s="431">
        <v>567810</v>
      </c>
      <c r="L78" s="431">
        <v>0</v>
      </c>
      <c r="M78" s="431">
        <v>40714</v>
      </c>
      <c r="N78" s="431">
        <v>1215244</v>
      </c>
      <c r="O78" s="431">
        <v>32520</v>
      </c>
      <c r="P78" s="464">
        <f t="shared" si="14"/>
        <v>6717457</v>
      </c>
      <c r="Q78" s="431">
        <v>1639416</v>
      </c>
      <c r="R78" s="431">
        <v>789682</v>
      </c>
      <c r="S78" s="431">
        <v>0</v>
      </c>
      <c r="T78" s="431">
        <v>0</v>
      </c>
      <c r="U78" s="431">
        <v>0</v>
      </c>
      <c r="V78" s="431">
        <v>0</v>
      </c>
      <c r="W78" s="431">
        <v>3946512</v>
      </c>
      <c r="X78" s="431">
        <v>216615</v>
      </c>
      <c r="Y78" s="431">
        <v>28498</v>
      </c>
      <c r="Z78" s="431">
        <v>96734</v>
      </c>
      <c r="AA78" s="431">
        <v>0</v>
      </c>
      <c r="AB78" s="431">
        <v>0</v>
      </c>
      <c r="AC78" s="431">
        <v>727953</v>
      </c>
      <c r="AD78" s="431">
        <v>9692</v>
      </c>
      <c r="AE78" s="431">
        <v>1796254</v>
      </c>
      <c r="AF78" s="431">
        <v>0</v>
      </c>
      <c r="AG78" s="431">
        <v>64141</v>
      </c>
      <c r="AH78" s="431">
        <v>226407</v>
      </c>
      <c r="AI78" s="431">
        <v>2907143</v>
      </c>
      <c r="AJ78" s="431">
        <v>744</v>
      </c>
      <c r="AK78" s="431">
        <v>0</v>
      </c>
      <c r="AL78" s="431">
        <v>887550</v>
      </c>
      <c r="AM78" s="431">
        <v>97573</v>
      </c>
    </row>
    <row r="79" spans="1:39" s="155" customFormat="1" ht="12" x14ac:dyDescent="0.2">
      <c r="A79" s="168">
        <v>25</v>
      </c>
      <c r="B79" s="229">
        <v>28530</v>
      </c>
      <c r="C79" s="190" t="s">
        <v>2515</v>
      </c>
      <c r="D79" s="464">
        <f t="shared" si="12"/>
        <v>7579190</v>
      </c>
      <c r="E79" s="431">
        <v>2273899</v>
      </c>
      <c r="F79" s="431">
        <v>336306</v>
      </c>
      <c r="G79" s="431">
        <v>465497</v>
      </c>
      <c r="H79" s="431">
        <v>0</v>
      </c>
      <c r="I79" s="431">
        <v>1607596</v>
      </c>
      <c r="J79" s="431">
        <v>100000</v>
      </c>
      <c r="K79" s="431">
        <v>1275640</v>
      </c>
      <c r="L79" s="431">
        <v>0</v>
      </c>
      <c r="M79" s="431">
        <v>107819</v>
      </c>
      <c r="N79" s="431">
        <v>2167256</v>
      </c>
      <c r="O79" s="431">
        <v>46980</v>
      </c>
      <c r="P79" s="464">
        <f t="shared" si="14"/>
        <v>5935409</v>
      </c>
      <c r="Q79" s="431">
        <v>1700399</v>
      </c>
      <c r="R79" s="431">
        <v>1185212</v>
      </c>
      <c r="S79" s="431">
        <v>0</v>
      </c>
      <c r="T79" s="431">
        <v>0</v>
      </c>
      <c r="U79" s="431">
        <v>71250</v>
      </c>
      <c r="V79" s="431">
        <v>300000</v>
      </c>
      <c r="W79" s="431">
        <v>1806432</v>
      </c>
      <c r="X79" s="431">
        <v>201443</v>
      </c>
      <c r="Y79" s="431">
        <v>100000</v>
      </c>
      <c r="Z79" s="431">
        <v>570673</v>
      </c>
      <c r="AA79" s="431">
        <v>0</v>
      </c>
      <c r="AB79" s="431">
        <v>0</v>
      </c>
      <c r="AC79" s="431">
        <v>1007658</v>
      </c>
      <c r="AD79" s="431">
        <v>90764</v>
      </c>
      <c r="AE79" s="431">
        <v>2409592</v>
      </c>
      <c r="AF79" s="431">
        <v>4122</v>
      </c>
      <c r="AG79" s="431">
        <v>174886</v>
      </c>
      <c r="AH79" s="431">
        <v>269396</v>
      </c>
      <c r="AI79" s="431">
        <v>262384</v>
      </c>
      <c r="AJ79" s="431">
        <v>5979</v>
      </c>
      <c r="AK79" s="431">
        <v>0</v>
      </c>
      <c r="AL79" s="431">
        <v>1486276</v>
      </c>
      <c r="AM79" s="431">
        <v>224352</v>
      </c>
    </row>
    <row r="80" spans="1:39" s="155" customFormat="1" ht="12" x14ac:dyDescent="0.2">
      <c r="A80" s="168">
        <v>26</v>
      </c>
      <c r="B80" s="229">
        <v>28610</v>
      </c>
      <c r="C80" s="190" t="s">
        <v>2516</v>
      </c>
      <c r="D80" s="464">
        <f t="shared" si="12"/>
        <v>4614282</v>
      </c>
      <c r="E80" s="431">
        <v>1189708</v>
      </c>
      <c r="F80" s="431">
        <v>157741</v>
      </c>
      <c r="G80" s="431">
        <v>593094</v>
      </c>
      <c r="H80" s="431">
        <v>0</v>
      </c>
      <c r="I80" s="431">
        <v>1368900</v>
      </c>
      <c r="J80" s="431">
        <v>0</v>
      </c>
      <c r="K80" s="431">
        <v>695650</v>
      </c>
      <c r="L80" s="431">
        <v>0</v>
      </c>
      <c r="M80" s="431">
        <v>248981</v>
      </c>
      <c r="N80" s="431">
        <v>721316</v>
      </c>
      <c r="O80" s="431">
        <v>389727</v>
      </c>
      <c r="P80" s="464">
        <f t="shared" si="14"/>
        <v>4029738</v>
      </c>
      <c r="Q80" s="431">
        <v>1549543</v>
      </c>
      <c r="R80" s="431">
        <v>576769</v>
      </c>
      <c r="S80" s="431">
        <v>0</v>
      </c>
      <c r="T80" s="431">
        <v>0</v>
      </c>
      <c r="U80" s="431">
        <v>0</v>
      </c>
      <c r="V80" s="431">
        <v>0</v>
      </c>
      <c r="W80" s="431">
        <v>869631</v>
      </c>
      <c r="X80" s="431">
        <v>159391</v>
      </c>
      <c r="Y80" s="431">
        <v>9600</v>
      </c>
      <c r="Z80" s="431">
        <v>864804</v>
      </c>
      <c r="AA80" s="431">
        <v>0</v>
      </c>
      <c r="AB80" s="431">
        <v>0</v>
      </c>
      <c r="AC80" s="431">
        <v>898203</v>
      </c>
      <c r="AD80" s="431">
        <v>6495</v>
      </c>
      <c r="AE80" s="431">
        <v>1343102</v>
      </c>
      <c r="AF80" s="431">
        <v>0</v>
      </c>
      <c r="AG80" s="431">
        <v>193054</v>
      </c>
      <c r="AH80" s="431">
        <v>168991</v>
      </c>
      <c r="AI80" s="431">
        <v>1354695</v>
      </c>
      <c r="AJ80" s="431">
        <v>32061</v>
      </c>
      <c r="AK80" s="431">
        <v>0</v>
      </c>
      <c r="AL80" s="431">
        <v>33137</v>
      </c>
      <c r="AM80" s="431">
        <v>0</v>
      </c>
    </row>
    <row r="81" spans="1:39" s="155" customFormat="1" ht="12" x14ac:dyDescent="0.2">
      <c r="A81" s="168">
        <v>27</v>
      </c>
      <c r="B81" s="229">
        <v>28665</v>
      </c>
      <c r="C81" s="190" t="s">
        <v>2517</v>
      </c>
      <c r="D81" s="464">
        <f t="shared" si="12"/>
        <v>6320807</v>
      </c>
      <c r="E81" s="431">
        <v>2295219</v>
      </c>
      <c r="F81" s="431">
        <v>354455</v>
      </c>
      <c r="G81" s="431">
        <v>390394</v>
      </c>
      <c r="H81" s="431">
        <v>0</v>
      </c>
      <c r="I81" s="431">
        <v>2309782</v>
      </c>
      <c r="J81" s="431">
        <v>0</v>
      </c>
      <c r="K81" s="431">
        <v>1157150</v>
      </c>
      <c r="L81" s="431">
        <v>0</v>
      </c>
      <c r="M81" s="431">
        <v>148984</v>
      </c>
      <c r="N81" s="431">
        <v>409672</v>
      </c>
      <c r="O81" s="431">
        <v>0</v>
      </c>
      <c r="P81" s="464">
        <f t="shared" si="14"/>
        <v>5414020</v>
      </c>
      <c r="Q81" s="431">
        <v>2367848</v>
      </c>
      <c r="R81" s="431">
        <v>838947</v>
      </c>
      <c r="S81" s="431">
        <v>0</v>
      </c>
      <c r="T81" s="431">
        <v>0</v>
      </c>
      <c r="U81" s="431">
        <v>0</v>
      </c>
      <c r="V81" s="431">
        <v>0</v>
      </c>
      <c r="W81" s="431">
        <v>518503</v>
      </c>
      <c r="X81" s="431">
        <v>351480</v>
      </c>
      <c r="Y81" s="431">
        <v>226500</v>
      </c>
      <c r="Z81" s="431">
        <v>1132947</v>
      </c>
      <c r="AA81" s="431">
        <v>0</v>
      </c>
      <c r="AB81" s="431">
        <v>-22205</v>
      </c>
      <c r="AC81" s="431">
        <v>832392</v>
      </c>
      <c r="AD81" s="431">
        <v>0</v>
      </c>
      <c r="AE81" s="431">
        <v>2099298</v>
      </c>
      <c r="AF81" s="431">
        <v>-2685</v>
      </c>
      <c r="AG81" s="431">
        <v>1262118</v>
      </c>
      <c r="AH81" s="431">
        <v>351480</v>
      </c>
      <c r="AI81" s="431">
        <v>696828</v>
      </c>
      <c r="AJ81" s="431">
        <v>30534</v>
      </c>
      <c r="AK81" s="431">
        <v>0</v>
      </c>
      <c r="AL81" s="431">
        <v>139055</v>
      </c>
      <c r="AM81" s="431">
        <v>5000</v>
      </c>
    </row>
    <row r="82" spans="1:39" s="155" customFormat="1" ht="12" x14ac:dyDescent="0.2">
      <c r="A82" s="168">
        <v>28</v>
      </c>
      <c r="B82" s="229">
        <v>28709</v>
      </c>
      <c r="C82" s="190" t="s">
        <v>2518</v>
      </c>
      <c r="D82" s="464">
        <f t="shared" si="12"/>
        <v>3738398</v>
      </c>
      <c r="E82" s="431">
        <v>1038997</v>
      </c>
      <c r="F82" s="431">
        <v>118216</v>
      </c>
      <c r="G82" s="431">
        <v>588241</v>
      </c>
      <c r="H82" s="431">
        <v>0</v>
      </c>
      <c r="I82" s="431">
        <v>1300013</v>
      </c>
      <c r="J82" s="431">
        <v>100000</v>
      </c>
      <c r="K82" s="431">
        <v>548760</v>
      </c>
      <c r="L82" s="431">
        <v>0</v>
      </c>
      <c r="M82" s="431">
        <v>180689</v>
      </c>
      <c r="N82" s="431">
        <v>548939</v>
      </c>
      <c r="O82" s="431">
        <v>21000</v>
      </c>
      <c r="P82" s="464">
        <f t="shared" si="14"/>
        <v>3789175</v>
      </c>
      <c r="Q82" s="431">
        <v>1541861</v>
      </c>
      <c r="R82" s="431">
        <v>1173480</v>
      </c>
      <c r="S82" s="431">
        <v>0</v>
      </c>
      <c r="T82" s="431">
        <v>0</v>
      </c>
      <c r="U82" s="431">
        <v>0</v>
      </c>
      <c r="V82" s="431">
        <v>0</v>
      </c>
      <c r="W82" s="431">
        <v>677404</v>
      </c>
      <c r="X82" s="431">
        <v>160980</v>
      </c>
      <c r="Y82" s="431">
        <v>19023</v>
      </c>
      <c r="Z82" s="431">
        <v>216427</v>
      </c>
      <c r="AA82" s="431">
        <v>0</v>
      </c>
      <c r="AB82" s="431">
        <v>0</v>
      </c>
      <c r="AC82" s="431">
        <v>1138765</v>
      </c>
      <c r="AD82" s="431">
        <v>8019</v>
      </c>
      <c r="AE82" s="431">
        <v>1004210</v>
      </c>
      <c r="AF82" s="431">
        <v>0</v>
      </c>
      <c r="AG82" s="431">
        <v>83256</v>
      </c>
      <c r="AH82" s="431">
        <v>304422</v>
      </c>
      <c r="AI82" s="431">
        <v>329652</v>
      </c>
      <c r="AJ82" s="431">
        <v>0</v>
      </c>
      <c r="AK82" s="431">
        <v>0</v>
      </c>
      <c r="AL82" s="431">
        <v>243447</v>
      </c>
      <c r="AM82" s="431">
        <v>677404</v>
      </c>
    </row>
    <row r="83" spans="1:39" s="155" customFormat="1" ht="12" x14ac:dyDescent="0.2">
      <c r="A83" s="168">
        <v>29</v>
      </c>
      <c r="B83" s="229">
        <v>28763</v>
      </c>
      <c r="C83" s="190" t="s">
        <v>2519</v>
      </c>
      <c r="D83" s="464">
        <f t="shared" si="12"/>
        <v>5014399</v>
      </c>
      <c r="E83" s="431">
        <v>1683367</v>
      </c>
      <c r="F83" s="431">
        <v>171207</v>
      </c>
      <c r="G83" s="431">
        <v>581155</v>
      </c>
      <c r="H83" s="431">
        <v>0</v>
      </c>
      <c r="I83" s="431">
        <v>1422407</v>
      </c>
      <c r="J83" s="431">
        <v>100000</v>
      </c>
      <c r="K83" s="431">
        <v>1063960</v>
      </c>
      <c r="L83" s="431">
        <v>0</v>
      </c>
      <c r="M83" s="431">
        <v>312919</v>
      </c>
      <c r="N83" s="431">
        <v>388018</v>
      </c>
      <c r="O83" s="431">
        <v>43728</v>
      </c>
      <c r="P83" s="464">
        <f t="shared" si="14"/>
        <v>4499568</v>
      </c>
      <c r="Q83" s="431">
        <v>1587407</v>
      </c>
      <c r="R83" s="431">
        <v>952446</v>
      </c>
      <c r="S83" s="431">
        <v>0</v>
      </c>
      <c r="T83" s="431">
        <v>0</v>
      </c>
      <c r="U83" s="431">
        <v>0</v>
      </c>
      <c r="V83" s="431">
        <v>235911</v>
      </c>
      <c r="W83" s="431">
        <v>483632</v>
      </c>
      <c r="X83" s="431">
        <v>157003</v>
      </c>
      <c r="Y83" s="431">
        <v>10000</v>
      </c>
      <c r="Z83" s="431">
        <v>1078689</v>
      </c>
      <c r="AA83" s="431">
        <v>0</v>
      </c>
      <c r="AB83" s="431">
        <v>-5520</v>
      </c>
      <c r="AC83" s="431">
        <v>831931</v>
      </c>
      <c r="AD83" s="431">
        <v>2660</v>
      </c>
      <c r="AE83" s="431">
        <v>1221608</v>
      </c>
      <c r="AF83" s="431">
        <v>-845</v>
      </c>
      <c r="AG83" s="431">
        <v>630375</v>
      </c>
      <c r="AH83" s="431">
        <v>268996</v>
      </c>
      <c r="AI83" s="431">
        <v>103391</v>
      </c>
      <c r="AJ83" s="431">
        <v>149074</v>
      </c>
      <c r="AK83" s="431">
        <v>0</v>
      </c>
      <c r="AL83" s="431">
        <v>1137701</v>
      </c>
      <c r="AM83" s="431">
        <v>154677</v>
      </c>
    </row>
    <row r="84" spans="1:39" s="155" customFormat="1" ht="12" x14ac:dyDescent="0.2">
      <c r="A84" s="168">
        <v>30</v>
      </c>
      <c r="B84" s="229">
        <v>28816</v>
      </c>
      <c r="C84" s="190" t="s">
        <v>2520</v>
      </c>
      <c r="D84" s="464">
        <f t="shared" si="12"/>
        <v>4382563</v>
      </c>
      <c r="E84" s="431">
        <v>1149114</v>
      </c>
      <c r="F84" s="431">
        <v>168694</v>
      </c>
      <c r="G84" s="431">
        <v>541648</v>
      </c>
      <c r="H84" s="431">
        <v>0</v>
      </c>
      <c r="I84" s="431">
        <v>1265377</v>
      </c>
      <c r="J84" s="431">
        <v>300000</v>
      </c>
      <c r="K84" s="431">
        <v>506190</v>
      </c>
      <c r="L84" s="431">
        <v>0</v>
      </c>
      <c r="M84" s="431">
        <v>1039138</v>
      </c>
      <c r="N84" s="431">
        <v>83868</v>
      </c>
      <c r="O84" s="431">
        <v>38876</v>
      </c>
      <c r="P84" s="464">
        <f t="shared" si="14"/>
        <v>7095634</v>
      </c>
      <c r="Q84" s="431">
        <v>1387213</v>
      </c>
      <c r="R84" s="431">
        <v>1082360</v>
      </c>
      <c r="S84" s="431">
        <v>0</v>
      </c>
      <c r="T84" s="431">
        <v>0</v>
      </c>
      <c r="U84" s="431">
        <v>0</v>
      </c>
      <c r="V84" s="431">
        <v>0</v>
      </c>
      <c r="W84" s="431">
        <v>3272684</v>
      </c>
      <c r="X84" s="431">
        <v>266115</v>
      </c>
      <c r="Y84" s="431">
        <v>6988</v>
      </c>
      <c r="Z84" s="431">
        <v>1085952</v>
      </c>
      <c r="AA84" s="431">
        <v>0</v>
      </c>
      <c r="AB84" s="431">
        <v>-5678</v>
      </c>
      <c r="AC84" s="431">
        <v>1170598</v>
      </c>
      <c r="AD84" s="431">
        <v>2905</v>
      </c>
      <c r="AE84" s="431">
        <v>1118478</v>
      </c>
      <c r="AF84" s="431">
        <v>35282</v>
      </c>
      <c r="AG84" s="431">
        <v>1320</v>
      </c>
      <c r="AH84" s="431">
        <v>276106</v>
      </c>
      <c r="AI84" s="431">
        <v>185060</v>
      </c>
      <c r="AJ84" s="431">
        <v>0</v>
      </c>
      <c r="AK84" s="431">
        <v>0</v>
      </c>
      <c r="AL84" s="431">
        <v>1033201</v>
      </c>
      <c r="AM84" s="431">
        <v>3272684</v>
      </c>
    </row>
    <row r="85" spans="1:39" s="155" customFormat="1" ht="12" x14ac:dyDescent="0.2">
      <c r="A85" s="168">
        <v>31</v>
      </c>
      <c r="B85" s="229">
        <v>28889</v>
      </c>
      <c r="C85" s="190" t="s">
        <v>2521</v>
      </c>
      <c r="D85" s="464">
        <f t="shared" si="12"/>
        <v>3334290</v>
      </c>
      <c r="E85" s="431">
        <v>1076502</v>
      </c>
      <c r="F85" s="431">
        <v>63391</v>
      </c>
      <c r="G85" s="431">
        <v>826061</v>
      </c>
      <c r="H85" s="431">
        <v>0</v>
      </c>
      <c r="I85" s="431">
        <v>872725</v>
      </c>
      <c r="J85" s="431">
        <v>0</v>
      </c>
      <c r="K85" s="431">
        <v>589970</v>
      </c>
      <c r="L85" s="431">
        <v>0</v>
      </c>
      <c r="M85" s="431">
        <v>525153</v>
      </c>
      <c r="N85" s="431">
        <v>206484</v>
      </c>
      <c r="O85" s="431">
        <v>63456</v>
      </c>
      <c r="P85" s="464">
        <f t="shared" si="14"/>
        <v>3072985</v>
      </c>
      <c r="Q85" s="431">
        <v>1049665</v>
      </c>
      <c r="R85" s="431">
        <v>987252</v>
      </c>
      <c r="S85" s="431">
        <v>0</v>
      </c>
      <c r="T85" s="431">
        <v>0</v>
      </c>
      <c r="U85" s="431">
        <v>0</v>
      </c>
      <c r="V85" s="431">
        <v>0</v>
      </c>
      <c r="W85" s="431">
        <v>217352</v>
      </c>
      <c r="X85" s="431">
        <v>72091</v>
      </c>
      <c r="Y85" s="431">
        <v>0</v>
      </c>
      <c r="Z85" s="431">
        <v>746625</v>
      </c>
      <c r="AA85" s="431">
        <v>0</v>
      </c>
      <c r="AB85" s="431">
        <v>0</v>
      </c>
      <c r="AC85" s="431">
        <v>703862</v>
      </c>
      <c r="AD85" s="431">
        <v>74500</v>
      </c>
      <c r="AE85" s="431">
        <v>801956</v>
      </c>
      <c r="AF85" s="431">
        <v>0</v>
      </c>
      <c r="AG85" s="431">
        <v>368908</v>
      </c>
      <c r="AH85" s="431">
        <v>195712</v>
      </c>
      <c r="AI85" s="431">
        <v>68521</v>
      </c>
      <c r="AJ85" s="431">
        <v>0</v>
      </c>
      <c r="AK85" s="431">
        <v>0</v>
      </c>
      <c r="AL85" s="431">
        <v>557295</v>
      </c>
      <c r="AM85" s="431">
        <v>302231</v>
      </c>
    </row>
    <row r="86" spans="1:39" s="155" customFormat="1" ht="12" x14ac:dyDescent="0.2">
      <c r="A86" s="168">
        <v>32</v>
      </c>
      <c r="B86" s="229">
        <v>28941</v>
      </c>
      <c r="C86" s="190" t="s">
        <v>2522</v>
      </c>
      <c r="D86" s="464">
        <f t="shared" si="12"/>
        <v>3973471</v>
      </c>
      <c r="E86" s="431">
        <v>1446481</v>
      </c>
      <c r="F86" s="431">
        <v>138461</v>
      </c>
      <c r="G86" s="431">
        <v>520806</v>
      </c>
      <c r="H86" s="431">
        <v>0</v>
      </c>
      <c r="I86" s="431">
        <v>1168838</v>
      </c>
      <c r="J86" s="431">
        <v>100000</v>
      </c>
      <c r="K86" s="431">
        <v>658580</v>
      </c>
      <c r="L86" s="431">
        <v>0</v>
      </c>
      <c r="M86" s="431">
        <v>588322</v>
      </c>
      <c r="N86" s="431">
        <v>0</v>
      </c>
      <c r="O86" s="431">
        <v>11250</v>
      </c>
      <c r="P86" s="464">
        <f t="shared" si="14"/>
        <v>3973471</v>
      </c>
      <c r="Q86" s="431">
        <v>1546700</v>
      </c>
      <c r="R86" s="431">
        <v>1683269</v>
      </c>
      <c r="S86" s="431">
        <v>0</v>
      </c>
      <c r="T86" s="431">
        <v>0</v>
      </c>
      <c r="U86" s="431">
        <v>0</v>
      </c>
      <c r="V86" s="431">
        <v>0</v>
      </c>
      <c r="W86" s="431">
        <v>0</v>
      </c>
      <c r="X86" s="431">
        <v>33615</v>
      </c>
      <c r="Y86" s="431">
        <v>39994</v>
      </c>
      <c r="Z86" s="431">
        <v>669893</v>
      </c>
      <c r="AA86" s="431">
        <v>0</v>
      </c>
      <c r="AB86" s="431">
        <v>0</v>
      </c>
      <c r="AC86" s="431">
        <v>635540</v>
      </c>
      <c r="AD86" s="431">
        <v>45502</v>
      </c>
      <c r="AE86" s="431">
        <v>856106</v>
      </c>
      <c r="AF86" s="431">
        <v>0</v>
      </c>
      <c r="AG86" s="431">
        <v>392434</v>
      </c>
      <c r="AH86" s="431">
        <v>521459</v>
      </c>
      <c r="AI86" s="431">
        <v>674261</v>
      </c>
      <c r="AJ86" s="431">
        <v>88272</v>
      </c>
      <c r="AK86" s="431">
        <v>0</v>
      </c>
      <c r="AL86" s="431">
        <v>717959</v>
      </c>
      <c r="AM86" s="431">
        <v>41938</v>
      </c>
    </row>
    <row r="87" spans="1:39" s="155" customFormat="1" ht="12" x14ac:dyDescent="0.2">
      <c r="A87" s="168">
        <v>33</v>
      </c>
      <c r="B87" s="229">
        <v>29001</v>
      </c>
      <c r="C87" s="190" t="s">
        <v>2523</v>
      </c>
      <c r="D87" s="464">
        <f t="shared" si="12"/>
        <v>6936325</v>
      </c>
      <c r="E87" s="431">
        <v>1476615</v>
      </c>
      <c r="F87" s="431">
        <v>230744</v>
      </c>
      <c r="G87" s="431">
        <v>579185</v>
      </c>
      <c r="H87" s="431">
        <v>0</v>
      </c>
      <c r="I87" s="431">
        <v>1990380</v>
      </c>
      <c r="J87" s="431">
        <v>0</v>
      </c>
      <c r="K87" s="431">
        <v>981930</v>
      </c>
      <c r="L87" s="431">
        <v>0</v>
      </c>
      <c r="M87" s="431">
        <v>105518</v>
      </c>
      <c r="N87" s="431">
        <v>2381882</v>
      </c>
      <c r="O87" s="431">
        <v>0</v>
      </c>
      <c r="P87" s="464">
        <f t="shared" si="14"/>
        <v>6861709</v>
      </c>
      <c r="Q87" s="431">
        <v>2237667</v>
      </c>
      <c r="R87" s="431">
        <v>1270742</v>
      </c>
      <c r="S87" s="431">
        <v>0</v>
      </c>
      <c r="T87" s="431">
        <v>0</v>
      </c>
      <c r="U87" s="431">
        <v>0</v>
      </c>
      <c r="V87" s="431">
        <v>0</v>
      </c>
      <c r="W87" s="431">
        <v>2832822</v>
      </c>
      <c r="X87" s="431">
        <v>205743</v>
      </c>
      <c r="Y87" s="431">
        <v>0</v>
      </c>
      <c r="Z87" s="431">
        <v>314735</v>
      </c>
      <c r="AA87" s="431">
        <v>0</v>
      </c>
      <c r="AB87" s="431">
        <v>0</v>
      </c>
      <c r="AC87" s="431">
        <v>2230673</v>
      </c>
      <c r="AD87" s="431">
        <v>0</v>
      </c>
      <c r="AE87" s="431">
        <v>1826275</v>
      </c>
      <c r="AF87" s="431">
        <v>0</v>
      </c>
      <c r="AG87" s="431">
        <v>528864</v>
      </c>
      <c r="AH87" s="431">
        <v>380980</v>
      </c>
      <c r="AI87" s="431">
        <v>154801</v>
      </c>
      <c r="AJ87" s="431">
        <v>0</v>
      </c>
      <c r="AK87" s="431">
        <v>0</v>
      </c>
      <c r="AL87" s="431">
        <v>1740116</v>
      </c>
      <c r="AM87" s="431">
        <v>0</v>
      </c>
    </row>
    <row r="88" spans="1:39" s="155" customFormat="1" ht="12" x14ac:dyDescent="0.2">
      <c r="A88" s="168">
        <v>34</v>
      </c>
      <c r="B88" s="229">
        <v>29038</v>
      </c>
      <c r="C88" s="190" t="s">
        <v>2524</v>
      </c>
      <c r="D88" s="464">
        <f t="shared" si="12"/>
        <v>4000005</v>
      </c>
      <c r="E88" s="431">
        <v>1129269</v>
      </c>
      <c r="F88" s="431">
        <v>142486</v>
      </c>
      <c r="G88" s="431">
        <v>671721</v>
      </c>
      <c r="H88" s="431">
        <v>0</v>
      </c>
      <c r="I88" s="431">
        <v>1802726</v>
      </c>
      <c r="J88" s="431">
        <v>0</v>
      </c>
      <c r="K88" s="431">
        <v>557180</v>
      </c>
      <c r="L88" s="431">
        <v>0</v>
      </c>
      <c r="M88" s="431">
        <v>510830</v>
      </c>
      <c r="N88" s="431">
        <v>0</v>
      </c>
      <c r="O88" s="431">
        <v>0</v>
      </c>
      <c r="P88" s="464">
        <f t="shared" si="14"/>
        <v>4064850</v>
      </c>
      <c r="Q88" s="431">
        <v>1979078</v>
      </c>
      <c r="R88" s="431">
        <v>1188466</v>
      </c>
      <c r="S88" s="431">
        <v>0</v>
      </c>
      <c r="T88" s="431">
        <v>0</v>
      </c>
      <c r="U88" s="431">
        <v>0</v>
      </c>
      <c r="V88" s="431">
        <v>0</v>
      </c>
      <c r="W88" s="431">
        <v>0</v>
      </c>
      <c r="X88" s="431">
        <v>130400</v>
      </c>
      <c r="Y88" s="431">
        <v>0</v>
      </c>
      <c r="Z88" s="431">
        <v>769768</v>
      </c>
      <c r="AA88" s="431">
        <v>0</v>
      </c>
      <c r="AB88" s="431">
        <v>-2862</v>
      </c>
      <c r="AC88" s="431">
        <v>629504</v>
      </c>
      <c r="AD88" s="431">
        <v>40440</v>
      </c>
      <c r="AE88" s="431">
        <v>1557942</v>
      </c>
      <c r="AF88" s="431">
        <v>243890</v>
      </c>
      <c r="AG88" s="431">
        <v>26641</v>
      </c>
      <c r="AH88" s="431">
        <v>319510</v>
      </c>
      <c r="AI88" s="431">
        <v>521263</v>
      </c>
      <c r="AJ88" s="431">
        <v>127180</v>
      </c>
      <c r="AK88" s="431">
        <v>0</v>
      </c>
      <c r="AL88" s="431">
        <v>592480</v>
      </c>
      <c r="AM88" s="431">
        <v>6000</v>
      </c>
    </row>
    <row r="89" spans="1:39" s="155" customFormat="1" ht="12" x14ac:dyDescent="0.2">
      <c r="A89" s="168">
        <v>35</v>
      </c>
      <c r="B89" s="229">
        <v>29092</v>
      </c>
      <c r="C89" s="190" t="s">
        <v>2525</v>
      </c>
      <c r="D89" s="464">
        <f t="shared" si="12"/>
        <v>12119004</v>
      </c>
      <c r="E89" s="431">
        <v>3324607</v>
      </c>
      <c r="F89" s="431">
        <v>1347149</v>
      </c>
      <c r="G89" s="431">
        <v>398043</v>
      </c>
      <c r="H89" s="431">
        <v>0</v>
      </c>
      <c r="I89" s="431">
        <v>3638644</v>
      </c>
      <c r="J89" s="431">
        <v>200000</v>
      </c>
      <c r="K89" s="431">
        <v>1678710</v>
      </c>
      <c r="L89" s="431">
        <v>0</v>
      </c>
      <c r="M89" s="431">
        <v>2006471</v>
      </c>
      <c r="N89" s="431">
        <v>1270572</v>
      </c>
      <c r="O89" s="431">
        <v>0</v>
      </c>
      <c r="P89" s="464">
        <f t="shared" si="14"/>
        <v>11107820</v>
      </c>
      <c r="Q89" s="431">
        <v>3833365</v>
      </c>
      <c r="R89" s="431">
        <v>1470877</v>
      </c>
      <c r="S89" s="431">
        <v>50142</v>
      </c>
      <c r="T89" s="431">
        <v>0</v>
      </c>
      <c r="U89" s="431">
        <v>0</v>
      </c>
      <c r="V89" s="431">
        <v>1200</v>
      </c>
      <c r="W89" s="431">
        <v>1237681</v>
      </c>
      <c r="X89" s="431">
        <v>272323</v>
      </c>
      <c r="Y89" s="431">
        <v>279656</v>
      </c>
      <c r="Z89" s="431">
        <v>3390952</v>
      </c>
      <c r="AA89" s="431">
        <v>571624</v>
      </c>
      <c r="AB89" s="431">
        <v>0</v>
      </c>
      <c r="AC89" s="431">
        <v>1061293</v>
      </c>
      <c r="AD89" s="431">
        <v>141791</v>
      </c>
      <c r="AE89" s="431">
        <v>3276738</v>
      </c>
      <c r="AF89" s="431">
        <v>31484</v>
      </c>
      <c r="AG89" s="431">
        <v>1258101</v>
      </c>
      <c r="AH89" s="431">
        <v>1061041</v>
      </c>
      <c r="AI89" s="431">
        <v>2797287</v>
      </c>
      <c r="AJ89" s="431">
        <v>414363</v>
      </c>
      <c r="AK89" s="431">
        <v>0</v>
      </c>
      <c r="AL89" s="431">
        <v>686831</v>
      </c>
      <c r="AM89" s="431">
        <v>378891</v>
      </c>
    </row>
    <row r="90" spans="1:39" s="155" customFormat="1" ht="12" x14ac:dyDescent="0.2">
      <c r="A90" s="168">
        <v>36</v>
      </c>
      <c r="B90" s="229">
        <v>29154</v>
      </c>
      <c r="C90" s="190" t="s">
        <v>1540</v>
      </c>
      <c r="D90" s="464">
        <f t="shared" si="12"/>
        <v>8293213</v>
      </c>
      <c r="E90" s="431">
        <v>1799297</v>
      </c>
      <c r="F90" s="431">
        <v>573824</v>
      </c>
      <c r="G90" s="431">
        <v>433697</v>
      </c>
      <c r="H90" s="431">
        <v>0</v>
      </c>
      <c r="I90" s="431">
        <v>4320458</v>
      </c>
      <c r="J90" s="431">
        <v>0</v>
      </c>
      <c r="K90" s="431">
        <v>991640</v>
      </c>
      <c r="L90" s="431">
        <v>0</v>
      </c>
      <c r="M90" s="431">
        <v>378788</v>
      </c>
      <c r="N90" s="431">
        <v>803030</v>
      </c>
      <c r="O90" s="431">
        <v>0</v>
      </c>
      <c r="P90" s="464">
        <f t="shared" si="14"/>
        <v>8216324</v>
      </c>
      <c r="Q90" s="431">
        <v>4223607</v>
      </c>
      <c r="R90" s="431">
        <v>1782261</v>
      </c>
      <c r="S90" s="431">
        <v>0</v>
      </c>
      <c r="T90" s="431">
        <v>0</v>
      </c>
      <c r="U90" s="431">
        <v>1266</v>
      </c>
      <c r="V90" s="431">
        <v>0</v>
      </c>
      <c r="W90" s="431">
        <v>1217237</v>
      </c>
      <c r="X90" s="431">
        <v>287985</v>
      </c>
      <c r="Y90" s="431">
        <v>15000</v>
      </c>
      <c r="Z90" s="431">
        <v>690234</v>
      </c>
      <c r="AA90" s="431">
        <v>0</v>
      </c>
      <c r="AB90" s="431">
        <v>-1266</v>
      </c>
      <c r="AC90" s="431">
        <v>662819</v>
      </c>
      <c r="AD90" s="431">
        <v>900</v>
      </c>
      <c r="AE90" s="431">
        <v>5346661</v>
      </c>
      <c r="AF90" s="431">
        <v>86743</v>
      </c>
      <c r="AG90" s="431">
        <v>119971</v>
      </c>
      <c r="AH90" s="431">
        <v>583460</v>
      </c>
      <c r="AI90" s="431">
        <v>561178</v>
      </c>
      <c r="AJ90" s="431">
        <v>357439</v>
      </c>
      <c r="AK90" s="431">
        <v>0</v>
      </c>
      <c r="AL90" s="431">
        <v>497153</v>
      </c>
      <c r="AM90" s="431">
        <v>0</v>
      </c>
    </row>
    <row r="91" spans="1:39" s="155" customFormat="1" ht="12" x14ac:dyDescent="0.2">
      <c r="A91" s="168">
        <v>37</v>
      </c>
      <c r="B91" s="229">
        <v>29243</v>
      </c>
      <c r="C91" s="190" t="s">
        <v>1682</v>
      </c>
      <c r="D91" s="464">
        <f t="shared" si="12"/>
        <v>6771583</v>
      </c>
      <c r="E91" s="431">
        <v>2472381</v>
      </c>
      <c r="F91" s="431">
        <v>1494988</v>
      </c>
      <c r="G91" s="431">
        <v>124734</v>
      </c>
      <c r="H91" s="431">
        <v>0</v>
      </c>
      <c r="I91" s="431">
        <v>1196862</v>
      </c>
      <c r="J91" s="431">
        <v>0</v>
      </c>
      <c r="K91" s="431">
        <v>350500</v>
      </c>
      <c r="L91" s="431">
        <v>0</v>
      </c>
      <c r="M91" s="431">
        <v>160746</v>
      </c>
      <c r="N91" s="431">
        <v>2591094</v>
      </c>
      <c r="O91" s="431">
        <v>0</v>
      </c>
      <c r="P91" s="464">
        <f t="shared" si="14"/>
        <v>7852507</v>
      </c>
      <c r="Q91" s="431">
        <v>1554446</v>
      </c>
      <c r="R91" s="431">
        <v>872472</v>
      </c>
      <c r="S91" s="431">
        <v>0</v>
      </c>
      <c r="T91" s="431">
        <v>0</v>
      </c>
      <c r="U91" s="431">
        <v>0</v>
      </c>
      <c r="V91" s="431">
        <v>0</v>
      </c>
      <c r="W91" s="431">
        <v>4810361</v>
      </c>
      <c r="X91" s="431">
        <v>166261</v>
      </c>
      <c r="Y91" s="431">
        <v>106910</v>
      </c>
      <c r="Z91" s="431">
        <v>393090</v>
      </c>
      <c r="AA91" s="431">
        <v>0</v>
      </c>
      <c r="AB91" s="431">
        <v>-51033</v>
      </c>
      <c r="AC91" s="431">
        <v>689867</v>
      </c>
      <c r="AD91" s="431">
        <v>0</v>
      </c>
      <c r="AE91" s="431">
        <v>1155863</v>
      </c>
      <c r="AF91" s="431">
        <v>0</v>
      </c>
      <c r="AG91" s="431">
        <v>145473</v>
      </c>
      <c r="AH91" s="431">
        <v>366764</v>
      </c>
      <c r="AI91" s="431">
        <v>1319064</v>
      </c>
      <c r="AJ91" s="431">
        <v>3698916</v>
      </c>
      <c r="AK91" s="431">
        <v>0</v>
      </c>
      <c r="AL91" s="431">
        <v>436562</v>
      </c>
      <c r="AM91" s="431">
        <v>39998</v>
      </c>
    </row>
    <row r="92" spans="1:39" s="155" customFormat="1" ht="12" x14ac:dyDescent="0.2">
      <c r="A92" s="168">
        <v>38</v>
      </c>
      <c r="B92" s="229">
        <v>29341</v>
      </c>
      <c r="C92" s="190" t="s">
        <v>2526</v>
      </c>
      <c r="D92" s="464">
        <f t="shared" si="12"/>
        <v>3530230</v>
      </c>
      <c r="E92" s="431">
        <v>1063569</v>
      </c>
      <c r="F92" s="431">
        <v>101168</v>
      </c>
      <c r="G92" s="431">
        <v>666799</v>
      </c>
      <c r="H92" s="431">
        <v>0</v>
      </c>
      <c r="I92" s="431">
        <v>1702619</v>
      </c>
      <c r="J92" s="431">
        <v>100000</v>
      </c>
      <c r="K92" s="431">
        <v>657250</v>
      </c>
      <c r="L92" s="431">
        <v>0</v>
      </c>
      <c r="M92" s="431">
        <v>6792</v>
      </c>
      <c r="N92" s="431">
        <v>0</v>
      </c>
      <c r="O92" s="431">
        <v>0</v>
      </c>
      <c r="P92" s="464">
        <f t="shared" si="14"/>
        <v>3230829</v>
      </c>
      <c r="Q92" s="431">
        <v>1596852</v>
      </c>
      <c r="R92" s="431">
        <v>682933</v>
      </c>
      <c r="S92" s="431">
        <v>0</v>
      </c>
      <c r="T92" s="431">
        <v>0</v>
      </c>
      <c r="U92" s="431">
        <v>0</v>
      </c>
      <c r="V92" s="431">
        <v>0</v>
      </c>
      <c r="W92" s="431">
        <v>0</v>
      </c>
      <c r="X92" s="431">
        <v>278040</v>
      </c>
      <c r="Y92" s="431">
        <v>0</v>
      </c>
      <c r="Z92" s="431">
        <v>673004</v>
      </c>
      <c r="AA92" s="431">
        <v>0</v>
      </c>
      <c r="AB92" s="431">
        <v>0</v>
      </c>
      <c r="AC92" s="431">
        <v>432520</v>
      </c>
      <c r="AD92" s="431">
        <v>0</v>
      </c>
      <c r="AE92" s="431">
        <v>1681453</v>
      </c>
      <c r="AF92" s="431">
        <v>44192</v>
      </c>
      <c r="AG92" s="431">
        <v>43953</v>
      </c>
      <c r="AH92" s="431">
        <v>278040</v>
      </c>
      <c r="AI92" s="431">
        <v>386476</v>
      </c>
      <c r="AJ92" s="431">
        <v>0</v>
      </c>
      <c r="AK92" s="431">
        <v>0</v>
      </c>
      <c r="AL92" s="431">
        <v>359351</v>
      </c>
      <c r="AM92" s="431">
        <v>4844</v>
      </c>
    </row>
    <row r="93" spans="1:39" s="155" customFormat="1" ht="12" x14ac:dyDescent="0.2">
      <c r="A93" s="168">
        <v>39</v>
      </c>
      <c r="B93" s="229">
        <v>29403</v>
      </c>
      <c r="C93" s="190" t="s">
        <v>2527</v>
      </c>
      <c r="D93" s="464">
        <f t="shared" si="12"/>
        <v>4980293</v>
      </c>
      <c r="E93" s="431">
        <v>1475165</v>
      </c>
      <c r="F93" s="431">
        <v>219642</v>
      </c>
      <c r="G93" s="431">
        <v>814122</v>
      </c>
      <c r="H93" s="431">
        <v>0</v>
      </c>
      <c r="I93" s="431">
        <v>2441457</v>
      </c>
      <c r="J93" s="431">
        <v>0</v>
      </c>
      <c r="K93" s="431">
        <v>1014240</v>
      </c>
      <c r="L93" s="431">
        <v>0</v>
      </c>
      <c r="M93" s="431">
        <v>49431</v>
      </c>
      <c r="N93" s="431">
        <v>0</v>
      </c>
      <c r="O93" s="431">
        <v>0</v>
      </c>
      <c r="P93" s="464">
        <f t="shared" si="14"/>
        <v>4451847</v>
      </c>
      <c r="Q93" s="431">
        <v>2554679</v>
      </c>
      <c r="R93" s="431">
        <v>1288279</v>
      </c>
      <c r="S93" s="431">
        <v>0</v>
      </c>
      <c r="T93" s="431">
        <v>0</v>
      </c>
      <c r="U93" s="431">
        <v>113460</v>
      </c>
      <c r="V93" s="431">
        <v>0</v>
      </c>
      <c r="W93" s="431">
        <v>0</v>
      </c>
      <c r="X93" s="431">
        <v>299364</v>
      </c>
      <c r="Y93" s="431">
        <v>0</v>
      </c>
      <c r="Z93" s="431">
        <v>197785</v>
      </c>
      <c r="AA93" s="431">
        <v>0</v>
      </c>
      <c r="AB93" s="431">
        <v>-1720</v>
      </c>
      <c r="AC93" s="431">
        <v>1059450</v>
      </c>
      <c r="AD93" s="431">
        <v>0</v>
      </c>
      <c r="AE93" s="431">
        <v>2020156</v>
      </c>
      <c r="AF93" s="431">
        <v>16302</v>
      </c>
      <c r="AG93" s="431">
        <v>73464</v>
      </c>
      <c r="AH93" s="431">
        <v>541443</v>
      </c>
      <c r="AI93" s="431">
        <v>282279</v>
      </c>
      <c r="AJ93" s="431">
        <v>0</v>
      </c>
      <c r="AK93" s="431">
        <v>0</v>
      </c>
      <c r="AL93" s="431">
        <v>457637</v>
      </c>
      <c r="AM93" s="431">
        <v>1116</v>
      </c>
    </row>
    <row r="94" spans="1:39" s="155" customFormat="1" ht="12" x14ac:dyDescent="0.2">
      <c r="A94" s="168">
        <v>40</v>
      </c>
      <c r="B94" s="229">
        <v>32195</v>
      </c>
      <c r="C94" s="190" t="s">
        <v>2528</v>
      </c>
      <c r="D94" s="464">
        <f t="shared" si="12"/>
        <v>3046986</v>
      </c>
      <c r="E94" s="431">
        <v>1394760</v>
      </c>
      <c r="F94" s="431">
        <v>240202</v>
      </c>
      <c r="G94" s="431">
        <v>502820</v>
      </c>
      <c r="H94" s="431">
        <v>0</v>
      </c>
      <c r="I94" s="431">
        <v>956243</v>
      </c>
      <c r="J94" s="431">
        <v>0</v>
      </c>
      <c r="K94" s="431">
        <v>485700</v>
      </c>
      <c r="L94" s="431">
        <v>0</v>
      </c>
      <c r="M94" s="431">
        <v>184861</v>
      </c>
      <c r="N94" s="431">
        <v>0</v>
      </c>
      <c r="O94" s="431">
        <v>25422</v>
      </c>
      <c r="P94" s="464">
        <f t="shared" si="14"/>
        <v>3003299</v>
      </c>
      <c r="Q94" s="431">
        <v>1082758</v>
      </c>
      <c r="R94" s="431">
        <v>1035544</v>
      </c>
      <c r="S94" s="431">
        <v>0</v>
      </c>
      <c r="T94" s="431">
        <v>0</v>
      </c>
      <c r="U94" s="431">
        <v>0</v>
      </c>
      <c r="V94" s="431">
        <v>0</v>
      </c>
      <c r="W94" s="431">
        <v>0</v>
      </c>
      <c r="X94" s="431">
        <v>162509</v>
      </c>
      <c r="Y94" s="431">
        <v>51406</v>
      </c>
      <c r="Z94" s="431">
        <v>674538</v>
      </c>
      <c r="AA94" s="431">
        <v>0</v>
      </c>
      <c r="AB94" s="431">
        <v>-3456</v>
      </c>
      <c r="AC94" s="431">
        <v>692145</v>
      </c>
      <c r="AD94" s="431">
        <v>9180</v>
      </c>
      <c r="AE94" s="431">
        <v>839092</v>
      </c>
      <c r="AF94" s="431">
        <v>0</v>
      </c>
      <c r="AG94" s="431">
        <v>563108</v>
      </c>
      <c r="AH94" s="431">
        <v>258425</v>
      </c>
      <c r="AI94" s="431">
        <v>127153</v>
      </c>
      <c r="AJ94" s="431">
        <v>236843</v>
      </c>
      <c r="AK94" s="431">
        <v>0</v>
      </c>
      <c r="AL94" s="431">
        <v>277353</v>
      </c>
      <c r="AM94" s="431">
        <v>0</v>
      </c>
    </row>
    <row r="95" spans="1:39" s="155" customFormat="1" ht="12" x14ac:dyDescent="0.2">
      <c r="A95" s="168">
        <v>41</v>
      </c>
      <c r="B95" s="229">
        <v>29467</v>
      </c>
      <c r="C95" s="190" t="s">
        <v>2529</v>
      </c>
      <c r="D95" s="464">
        <f t="shared" si="12"/>
        <v>4241348</v>
      </c>
      <c r="E95" s="431">
        <v>1797495</v>
      </c>
      <c r="F95" s="431">
        <v>298381</v>
      </c>
      <c r="G95" s="431">
        <v>524981</v>
      </c>
      <c r="H95" s="431">
        <v>0</v>
      </c>
      <c r="I95" s="431">
        <v>1255297</v>
      </c>
      <c r="J95" s="431">
        <v>100000</v>
      </c>
      <c r="K95" s="431">
        <v>1084210</v>
      </c>
      <c r="L95" s="431">
        <v>0</v>
      </c>
      <c r="M95" s="431">
        <v>4346</v>
      </c>
      <c r="N95" s="431">
        <v>0</v>
      </c>
      <c r="O95" s="431">
        <v>0</v>
      </c>
      <c r="P95" s="464">
        <f t="shared" si="14"/>
        <v>5459124</v>
      </c>
      <c r="Q95" s="431">
        <v>1467882</v>
      </c>
      <c r="R95" s="431">
        <v>1241317</v>
      </c>
      <c r="S95" s="431">
        <v>16560</v>
      </c>
      <c r="T95" s="431">
        <v>0</v>
      </c>
      <c r="U95" s="431">
        <v>0</v>
      </c>
      <c r="V95" s="431">
        <v>141489</v>
      </c>
      <c r="W95" s="431">
        <v>1927008</v>
      </c>
      <c r="X95" s="431">
        <v>200186</v>
      </c>
      <c r="Y95" s="431">
        <v>0</v>
      </c>
      <c r="Z95" s="431">
        <v>89682</v>
      </c>
      <c r="AA95" s="431">
        <v>375000</v>
      </c>
      <c r="AB95" s="431">
        <v>0</v>
      </c>
      <c r="AC95" s="431">
        <v>679353</v>
      </c>
      <c r="AD95" s="431">
        <v>74800</v>
      </c>
      <c r="AE95" s="431">
        <v>1246756</v>
      </c>
      <c r="AF95" s="431">
        <v>0</v>
      </c>
      <c r="AG95" s="431">
        <v>34333</v>
      </c>
      <c r="AH95" s="431">
        <v>269909</v>
      </c>
      <c r="AI95" s="431">
        <v>355211</v>
      </c>
      <c r="AJ95" s="431">
        <v>58550</v>
      </c>
      <c r="AK95" s="431">
        <v>0</v>
      </c>
      <c r="AL95" s="431">
        <v>2686687</v>
      </c>
      <c r="AM95" s="431">
        <v>53525</v>
      </c>
    </row>
    <row r="96" spans="1:39" s="155" customFormat="1" ht="12" x14ac:dyDescent="0.2">
      <c r="A96" s="168">
        <v>42</v>
      </c>
      <c r="B96" s="229">
        <v>29519</v>
      </c>
      <c r="C96" s="190" t="s">
        <v>2530</v>
      </c>
      <c r="D96" s="464">
        <f t="shared" si="12"/>
        <v>4470807</v>
      </c>
      <c r="E96" s="431">
        <v>1631820</v>
      </c>
      <c r="F96" s="431">
        <v>264414</v>
      </c>
      <c r="G96" s="431">
        <v>527669</v>
      </c>
      <c r="H96" s="431">
        <v>0</v>
      </c>
      <c r="I96" s="431">
        <v>1705906</v>
      </c>
      <c r="J96" s="431">
        <v>300000</v>
      </c>
      <c r="K96" s="431">
        <v>717220</v>
      </c>
      <c r="L96" s="431">
        <v>0</v>
      </c>
      <c r="M96" s="431">
        <v>31615</v>
      </c>
      <c r="N96" s="431">
        <v>84246</v>
      </c>
      <c r="O96" s="431">
        <v>0</v>
      </c>
      <c r="P96" s="464">
        <f t="shared" si="14"/>
        <v>4380003</v>
      </c>
      <c r="Q96" s="431">
        <v>1834892</v>
      </c>
      <c r="R96" s="431">
        <v>941842</v>
      </c>
      <c r="S96" s="431">
        <v>0</v>
      </c>
      <c r="T96" s="431">
        <v>0</v>
      </c>
      <c r="U96" s="431">
        <v>0</v>
      </c>
      <c r="V96" s="431">
        <v>0</v>
      </c>
      <c r="W96" s="431">
        <v>113766</v>
      </c>
      <c r="X96" s="431">
        <v>318357</v>
      </c>
      <c r="Y96" s="431">
        <v>20000</v>
      </c>
      <c r="Z96" s="431">
        <v>1151146</v>
      </c>
      <c r="AA96" s="431">
        <v>0</v>
      </c>
      <c r="AB96" s="431">
        <v>0</v>
      </c>
      <c r="AC96" s="431">
        <v>907533</v>
      </c>
      <c r="AD96" s="431">
        <v>0</v>
      </c>
      <c r="AE96" s="431">
        <v>1497810</v>
      </c>
      <c r="AF96" s="431">
        <v>0</v>
      </c>
      <c r="AG96" s="431">
        <v>295309</v>
      </c>
      <c r="AH96" s="431">
        <v>351781</v>
      </c>
      <c r="AI96" s="431">
        <v>258754</v>
      </c>
      <c r="AJ96" s="431">
        <v>0</v>
      </c>
      <c r="AK96" s="431">
        <v>0</v>
      </c>
      <c r="AL96" s="431">
        <v>1005104</v>
      </c>
      <c r="AM96" s="431">
        <v>63712</v>
      </c>
    </row>
    <row r="97" spans="1:39" s="155" customFormat="1" ht="12" x14ac:dyDescent="0.2">
      <c r="A97" s="168">
        <v>43</v>
      </c>
      <c r="B97" s="229">
        <v>29573</v>
      </c>
      <c r="C97" s="190" t="s">
        <v>2531</v>
      </c>
      <c r="D97" s="464">
        <f t="shared" si="12"/>
        <v>11284934</v>
      </c>
      <c r="E97" s="431">
        <v>1589254</v>
      </c>
      <c r="F97" s="431">
        <v>239900</v>
      </c>
      <c r="G97" s="431">
        <v>713917</v>
      </c>
      <c r="H97" s="431">
        <v>0</v>
      </c>
      <c r="I97" s="431">
        <v>1502210</v>
      </c>
      <c r="J97" s="431">
        <v>0</v>
      </c>
      <c r="K97" s="431">
        <v>964640</v>
      </c>
      <c r="L97" s="431">
        <v>0</v>
      </c>
      <c r="M97" s="431">
        <v>2457152</v>
      </c>
      <c r="N97" s="431">
        <v>4771678</v>
      </c>
      <c r="O97" s="431">
        <v>0</v>
      </c>
      <c r="P97" s="464">
        <f t="shared" si="14"/>
        <v>14771243</v>
      </c>
      <c r="Q97" s="431">
        <v>1939231</v>
      </c>
      <c r="R97" s="431">
        <v>1083681</v>
      </c>
      <c r="S97" s="431">
        <v>24000</v>
      </c>
      <c r="T97" s="431">
        <v>0</v>
      </c>
      <c r="U97" s="431">
        <v>0</v>
      </c>
      <c r="V97" s="431">
        <v>0</v>
      </c>
      <c r="W97" s="431">
        <v>9504807</v>
      </c>
      <c r="X97" s="431">
        <v>159291</v>
      </c>
      <c r="Y97" s="431">
        <v>0</v>
      </c>
      <c r="Z97" s="431">
        <v>2046278</v>
      </c>
      <c r="AA97" s="431">
        <v>15555</v>
      </c>
      <c r="AB97" s="431">
        <v>-1600</v>
      </c>
      <c r="AC97" s="431">
        <v>895434</v>
      </c>
      <c r="AD97" s="431">
        <v>70940</v>
      </c>
      <c r="AE97" s="431">
        <v>1340733</v>
      </c>
      <c r="AF97" s="431">
        <v>18642</v>
      </c>
      <c r="AG97" s="431">
        <v>35277</v>
      </c>
      <c r="AH97" s="431">
        <v>188695</v>
      </c>
      <c r="AI97" s="431">
        <v>2253666</v>
      </c>
      <c r="AJ97" s="431">
        <v>46400</v>
      </c>
      <c r="AK97" s="431">
        <v>0</v>
      </c>
      <c r="AL97" s="431">
        <v>9921456</v>
      </c>
      <c r="AM97" s="431">
        <v>0</v>
      </c>
    </row>
    <row r="98" spans="1:39" s="155" customFormat="1" ht="12" x14ac:dyDescent="0.2">
      <c r="A98" s="168">
        <v>44</v>
      </c>
      <c r="B98" s="229">
        <v>29662</v>
      </c>
      <c r="C98" s="190" t="s">
        <v>2532</v>
      </c>
      <c r="D98" s="464">
        <f t="shared" si="12"/>
        <v>4039087</v>
      </c>
      <c r="E98" s="431">
        <v>1487752</v>
      </c>
      <c r="F98" s="431">
        <v>104243</v>
      </c>
      <c r="G98" s="431">
        <v>496277</v>
      </c>
      <c r="H98" s="431">
        <v>0</v>
      </c>
      <c r="I98" s="431">
        <v>1517482</v>
      </c>
      <c r="J98" s="431">
        <v>0</v>
      </c>
      <c r="K98" s="431">
        <v>548400</v>
      </c>
      <c r="L98" s="431">
        <v>0</v>
      </c>
      <c r="M98" s="431">
        <v>454453</v>
      </c>
      <c r="N98" s="431">
        <v>0</v>
      </c>
      <c r="O98" s="431">
        <v>31000</v>
      </c>
      <c r="P98" s="464">
        <f t="shared" si="14"/>
        <v>4039087</v>
      </c>
      <c r="Q98" s="431">
        <v>1648626</v>
      </c>
      <c r="R98" s="431">
        <v>846434</v>
      </c>
      <c r="S98" s="431">
        <v>0</v>
      </c>
      <c r="T98" s="431">
        <v>0</v>
      </c>
      <c r="U98" s="431">
        <v>0</v>
      </c>
      <c r="V98" s="431">
        <v>0</v>
      </c>
      <c r="W98" s="431">
        <v>0</v>
      </c>
      <c r="X98" s="431">
        <v>329003</v>
      </c>
      <c r="Y98" s="431">
        <v>27196</v>
      </c>
      <c r="Z98" s="431">
        <v>1264436</v>
      </c>
      <c r="AA98" s="431">
        <v>0</v>
      </c>
      <c r="AB98" s="431">
        <v>-76608</v>
      </c>
      <c r="AC98" s="431">
        <v>729376</v>
      </c>
      <c r="AD98" s="431">
        <v>1103</v>
      </c>
      <c r="AE98" s="431">
        <v>1915392</v>
      </c>
      <c r="AF98" s="431">
        <v>0</v>
      </c>
      <c r="AG98" s="431">
        <v>94637</v>
      </c>
      <c r="AH98" s="431">
        <v>341278</v>
      </c>
      <c r="AI98" s="431">
        <v>363852</v>
      </c>
      <c r="AJ98" s="431">
        <v>20837</v>
      </c>
      <c r="AK98" s="431">
        <v>0</v>
      </c>
      <c r="AL98" s="431">
        <v>498788</v>
      </c>
      <c r="AM98" s="431">
        <v>73824</v>
      </c>
    </row>
    <row r="99" spans="1:39" s="155" customFormat="1" ht="12" x14ac:dyDescent="0.2">
      <c r="A99" s="168">
        <v>45</v>
      </c>
      <c r="B99" s="229">
        <v>29724</v>
      </c>
      <c r="C99" s="190" t="s">
        <v>2533</v>
      </c>
      <c r="D99" s="464">
        <f t="shared" si="12"/>
        <v>7010830</v>
      </c>
      <c r="E99" s="431">
        <v>1578072</v>
      </c>
      <c r="F99" s="431">
        <v>207267</v>
      </c>
      <c r="G99" s="431">
        <v>825945</v>
      </c>
      <c r="H99" s="431">
        <v>0</v>
      </c>
      <c r="I99" s="431">
        <v>2580809</v>
      </c>
      <c r="J99" s="431">
        <v>0</v>
      </c>
      <c r="K99" s="431">
        <v>1185000</v>
      </c>
      <c r="L99" s="431">
        <v>0</v>
      </c>
      <c r="M99" s="431">
        <v>1419653</v>
      </c>
      <c r="N99" s="431">
        <v>217135</v>
      </c>
      <c r="O99" s="431">
        <v>30161</v>
      </c>
      <c r="P99" s="464">
        <f t="shared" si="14"/>
        <v>6925088</v>
      </c>
      <c r="Q99" s="431">
        <v>2488350</v>
      </c>
      <c r="R99" s="431">
        <v>1588610</v>
      </c>
      <c r="S99" s="431">
        <v>0</v>
      </c>
      <c r="T99" s="431">
        <v>0</v>
      </c>
      <c r="U99" s="431">
        <v>0</v>
      </c>
      <c r="V99" s="431">
        <v>146566</v>
      </c>
      <c r="W99" s="431">
        <v>414998</v>
      </c>
      <c r="X99" s="431">
        <v>389983</v>
      </c>
      <c r="Y99" s="431">
        <v>88500</v>
      </c>
      <c r="Z99" s="431">
        <v>1808081</v>
      </c>
      <c r="AA99" s="431">
        <v>0</v>
      </c>
      <c r="AB99" s="431">
        <v>0</v>
      </c>
      <c r="AC99" s="431">
        <v>728972</v>
      </c>
      <c r="AD99" s="431">
        <v>132950</v>
      </c>
      <c r="AE99" s="431">
        <v>2690566</v>
      </c>
      <c r="AF99" s="431">
        <v>51333</v>
      </c>
      <c r="AG99" s="431">
        <v>260971</v>
      </c>
      <c r="AH99" s="431">
        <v>571228</v>
      </c>
      <c r="AI99" s="431">
        <v>739700</v>
      </c>
      <c r="AJ99" s="431">
        <v>167415</v>
      </c>
      <c r="AK99" s="431">
        <v>0</v>
      </c>
      <c r="AL99" s="431">
        <v>1581953</v>
      </c>
      <c r="AM99" s="431">
        <v>0</v>
      </c>
    </row>
    <row r="100" spans="1:39" s="155" customFormat="1" ht="12" x14ac:dyDescent="0.2">
      <c r="A100" s="168">
        <v>46</v>
      </c>
      <c r="B100" s="229">
        <v>29760</v>
      </c>
      <c r="C100" s="190" t="s">
        <v>2534</v>
      </c>
      <c r="D100" s="464">
        <f t="shared" si="12"/>
        <v>3335403</v>
      </c>
      <c r="E100" s="431">
        <v>1067180</v>
      </c>
      <c r="F100" s="431">
        <v>104552</v>
      </c>
      <c r="G100" s="431">
        <v>772673</v>
      </c>
      <c r="H100" s="431">
        <v>0</v>
      </c>
      <c r="I100" s="431">
        <v>874650</v>
      </c>
      <c r="J100" s="431">
        <v>0</v>
      </c>
      <c r="K100" s="431">
        <v>1111980</v>
      </c>
      <c r="L100" s="431">
        <v>0</v>
      </c>
      <c r="M100" s="431">
        <v>281593</v>
      </c>
      <c r="N100" s="431">
        <v>0</v>
      </c>
      <c r="O100" s="431">
        <v>0</v>
      </c>
      <c r="P100" s="464">
        <f t="shared" si="14"/>
        <v>3335403</v>
      </c>
      <c r="Q100" s="431">
        <v>1098014</v>
      </c>
      <c r="R100" s="431">
        <v>1491379</v>
      </c>
      <c r="S100" s="431">
        <v>0</v>
      </c>
      <c r="T100" s="431">
        <v>0</v>
      </c>
      <c r="U100" s="431">
        <v>0</v>
      </c>
      <c r="V100" s="431">
        <v>0</v>
      </c>
      <c r="W100" s="431">
        <v>0</v>
      </c>
      <c r="X100" s="431">
        <v>134321</v>
      </c>
      <c r="Y100" s="431">
        <v>5940</v>
      </c>
      <c r="Z100" s="431">
        <v>607349</v>
      </c>
      <c r="AA100" s="431">
        <v>0</v>
      </c>
      <c r="AB100" s="431">
        <v>-1600</v>
      </c>
      <c r="AC100" s="431">
        <v>688925</v>
      </c>
      <c r="AD100" s="431">
        <v>47150</v>
      </c>
      <c r="AE100" s="431">
        <v>690217</v>
      </c>
      <c r="AF100" s="431">
        <v>32993</v>
      </c>
      <c r="AG100" s="431">
        <v>347885</v>
      </c>
      <c r="AH100" s="431">
        <v>275024</v>
      </c>
      <c r="AI100" s="431">
        <v>158262</v>
      </c>
      <c r="AJ100" s="431">
        <v>138236</v>
      </c>
      <c r="AK100" s="431">
        <v>0</v>
      </c>
      <c r="AL100" s="431">
        <v>956711</v>
      </c>
      <c r="AM100" s="431">
        <v>0</v>
      </c>
    </row>
    <row r="101" spans="1:39" s="155" customFormat="1" ht="12" x14ac:dyDescent="0.2">
      <c r="A101" s="168">
        <v>47</v>
      </c>
      <c r="B101" s="229">
        <v>29813</v>
      </c>
      <c r="C101" s="190" t="s">
        <v>2535</v>
      </c>
      <c r="D101" s="464">
        <f t="shared" si="12"/>
        <v>7569175</v>
      </c>
      <c r="E101" s="431">
        <v>1476687</v>
      </c>
      <c r="F101" s="431">
        <v>143104</v>
      </c>
      <c r="G101" s="431">
        <v>885575</v>
      </c>
      <c r="H101" s="431">
        <v>0</v>
      </c>
      <c r="I101" s="431">
        <v>1940813</v>
      </c>
      <c r="J101" s="431">
        <v>0</v>
      </c>
      <c r="K101" s="431">
        <v>1147340</v>
      </c>
      <c r="L101" s="431">
        <v>0</v>
      </c>
      <c r="M101" s="431">
        <v>1650657</v>
      </c>
      <c r="N101" s="431">
        <v>1305780</v>
      </c>
      <c r="O101" s="431">
        <v>47898</v>
      </c>
      <c r="P101" s="464">
        <f t="shared" si="14"/>
        <v>7617390</v>
      </c>
      <c r="Q101" s="431">
        <v>1983067</v>
      </c>
      <c r="R101" s="431">
        <v>1213633</v>
      </c>
      <c r="S101" s="431">
        <v>0</v>
      </c>
      <c r="T101" s="431">
        <v>0</v>
      </c>
      <c r="U101" s="431">
        <v>0</v>
      </c>
      <c r="V101" s="431">
        <v>20562</v>
      </c>
      <c r="W101" s="431">
        <v>1655378</v>
      </c>
      <c r="X101" s="431">
        <v>197153</v>
      </c>
      <c r="Y101" s="431">
        <v>30000</v>
      </c>
      <c r="Z101" s="431">
        <v>2538159</v>
      </c>
      <c r="AA101" s="431">
        <v>0</v>
      </c>
      <c r="AB101" s="431">
        <v>-20562</v>
      </c>
      <c r="AC101" s="431">
        <v>957866</v>
      </c>
      <c r="AD101" s="431">
        <v>0</v>
      </c>
      <c r="AE101" s="431">
        <v>1628252</v>
      </c>
      <c r="AF101" s="431">
        <v>0</v>
      </c>
      <c r="AG101" s="431">
        <v>483373</v>
      </c>
      <c r="AH101" s="431">
        <v>338880</v>
      </c>
      <c r="AI101" s="431">
        <v>2655182</v>
      </c>
      <c r="AJ101" s="431">
        <v>0</v>
      </c>
      <c r="AK101" s="431">
        <v>0</v>
      </c>
      <c r="AL101" s="431">
        <v>1212420</v>
      </c>
      <c r="AM101" s="431">
        <v>341417</v>
      </c>
    </row>
    <row r="102" spans="1:39" s="155" customFormat="1" ht="12" x14ac:dyDescent="0.2">
      <c r="A102" s="168">
        <v>48</v>
      </c>
      <c r="B102" s="229">
        <v>29902</v>
      </c>
      <c r="C102" s="190" t="s">
        <v>2536</v>
      </c>
      <c r="D102" s="464">
        <f t="shared" si="12"/>
        <v>6682881</v>
      </c>
      <c r="E102" s="431">
        <v>1634346</v>
      </c>
      <c r="F102" s="431">
        <v>364062</v>
      </c>
      <c r="G102" s="431">
        <v>590677</v>
      </c>
      <c r="H102" s="431">
        <v>0</v>
      </c>
      <c r="I102" s="431">
        <v>1721306</v>
      </c>
      <c r="J102" s="431">
        <v>250000</v>
      </c>
      <c r="K102" s="431">
        <v>862037</v>
      </c>
      <c r="L102" s="431">
        <v>0</v>
      </c>
      <c r="M102" s="431">
        <v>651162</v>
      </c>
      <c r="N102" s="431">
        <v>1529197</v>
      </c>
      <c r="O102" s="431">
        <v>34833</v>
      </c>
      <c r="P102" s="464">
        <f t="shared" si="14"/>
        <v>6828659</v>
      </c>
      <c r="Q102" s="431">
        <v>1665828</v>
      </c>
      <c r="R102" s="431">
        <v>2446718</v>
      </c>
      <c r="S102" s="431">
        <v>0</v>
      </c>
      <c r="T102" s="431">
        <v>0</v>
      </c>
      <c r="U102" s="431">
        <v>0</v>
      </c>
      <c r="V102" s="431">
        <v>0</v>
      </c>
      <c r="W102" s="431">
        <v>1957004</v>
      </c>
      <c r="X102" s="431">
        <v>358152</v>
      </c>
      <c r="Y102" s="431">
        <v>0</v>
      </c>
      <c r="Z102" s="431">
        <v>400957</v>
      </c>
      <c r="AA102" s="431">
        <v>0</v>
      </c>
      <c r="AB102" s="431">
        <v>0</v>
      </c>
      <c r="AC102" s="431">
        <v>735904</v>
      </c>
      <c r="AD102" s="431">
        <v>22812</v>
      </c>
      <c r="AE102" s="431">
        <v>1437612</v>
      </c>
      <c r="AF102" s="431">
        <v>0</v>
      </c>
      <c r="AG102" s="431">
        <v>454152</v>
      </c>
      <c r="AH102" s="431">
        <v>1214113</v>
      </c>
      <c r="AI102" s="431">
        <v>678444</v>
      </c>
      <c r="AJ102" s="431">
        <v>152553</v>
      </c>
      <c r="AK102" s="431">
        <v>0</v>
      </c>
      <c r="AL102" s="431">
        <v>2130351</v>
      </c>
      <c r="AM102" s="431">
        <v>2718</v>
      </c>
    </row>
    <row r="103" spans="1:39" s="155" customFormat="1" ht="12" x14ac:dyDescent="0.2">
      <c r="A103" s="168">
        <v>49</v>
      </c>
      <c r="B103" s="229">
        <v>29948</v>
      </c>
      <c r="C103" s="190" t="s">
        <v>1925</v>
      </c>
      <c r="D103" s="464">
        <f t="shared" si="12"/>
        <v>3444583</v>
      </c>
      <c r="E103" s="431">
        <v>1217012</v>
      </c>
      <c r="F103" s="431">
        <v>235161</v>
      </c>
      <c r="G103" s="431">
        <v>551015</v>
      </c>
      <c r="H103" s="431">
        <v>0</v>
      </c>
      <c r="I103" s="431">
        <v>1074395</v>
      </c>
      <c r="J103" s="431">
        <v>100000</v>
      </c>
      <c r="K103" s="431">
        <v>625700</v>
      </c>
      <c r="L103" s="431">
        <v>0</v>
      </c>
      <c r="M103" s="431">
        <v>427476</v>
      </c>
      <c r="N103" s="431">
        <v>0</v>
      </c>
      <c r="O103" s="431">
        <v>0</v>
      </c>
      <c r="P103" s="464">
        <f t="shared" si="14"/>
        <v>3397311</v>
      </c>
      <c r="Q103" s="431">
        <v>1420765</v>
      </c>
      <c r="R103" s="431">
        <v>1112716</v>
      </c>
      <c r="S103" s="431">
        <v>33500</v>
      </c>
      <c r="T103" s="431">
        <v>0</v>
      </c>
      <c r="U103" s="431">
        <v>0</v>
      </c>
      <c r="V103" s="431">
        <v>0</v>
      </c>
      <c r="W103" s="431">
        <v>0</v>
      </c>
      <c r="X103" s="431">
        <v>108438</v>
      </c>
      <c r="Y103" s="431">
        <v>40000</v>
      </c>
      <c r="Z103" s="431">
        <v>640763</v>
      </c>
      <c r="AA103" s="431">
        <v>51200</v>
      </c>
      <c r="AB103" s="431">
        <v>-10071</v>
      </c>
      <c r="AC103" s="431">
        <v>690600</v>
      </c>
      <c r="AD103" s="431">
        <v>42347</v>
      </c>
      <c r="AE103" s="431">
        <v>789011</v>
      </c>
      <c r="AF103" s="431">
        <v>0</v>
      </c>
      <c r="AG103" s="431">
        <v>261386</v>
      </c>
      <c r="AH103" s="431">
        <v>347148</v>
      </c>
      <c r="AI103" s="431">
        <v>552904</v>
      </c>
      <c r="AJ103" s="431">
        <v>0</v>
      </c>
      <c r="AK103" s="431">
        <v>0</v>
      </c>
      <c r="AL103" s="431">
        <v>713915</v>
      </c>
      <c r="AM103" s="431">
        <v>0</v>
      </c>
    </row>
    <row r="104" spans="1:39" s="155" customFormat="1" ht="12" x14ac:dyDescent="0.2">
      <c r="A104" s="168">
        <v>50</v>
      </c>
      <c r="B104" s="229">
        <v>30014</v>
      </c>
      <c r="C104" s="190" t="s">
        <v>2537</v>
      </c>
      <c r="D104" s="464">
        <f t="shared" si="12"/>
        <v>7670127</v>
      </c>
      <c r="E104" s="431">
        <v>2899330</v>
      </c>
      <c r="F104" s="431">
        <v>844490</v>
      </c>
      <c r="G104" s="431">
        <v>63891</v>
      </c>
      <c r="H104" s="431">
        <v>0</v>
      </c>
      <c r="I104" s="431">
        <v>1259769</v>
      </c>
      <c r="J104" s="431">
        <v>100000</v>
      </c>
      <c r="K104" s="431">
        <v>382560</v>
      </c>
      <c r="L104" s="431">
        <v>0</v>
      </c>
      <c r="M104" s="431">
        <v>764002</v>
      </c>
      <c r="N104" s="431">
        <v>2264466</v>
      </c>
      <c r="O104" s="431">
        <v>0</v>
      </c>
      <c r="P104" s="464">
        <f t="shared" si="14"/>
        <v>5974703</v>
      </c>
      <c r="Q104" s="431">
        <v>1590142</v>
      </c>
      <c r="R104" s="431">
        <v>1874666</v>
      </c>
      <c r="S104" s="431">
        <v>0</v>
      </c>
      <c r="T104" s="431">
        <v>0</v>
      </c>
      <c r="U104" s="431">
        <v>0</v>
      </c>
      <c r="V104" s="431">
        <v>0</v>
      </c>
      <c r="W104" s="431">
        <v>763446</v>
      </c>
      <c r="X104" s="431">
        <v>256691</v>
      </c>
      <c r="Y104" s="431">
        <v>186000</v>
      </c>
      <c r="Z104" s="431">
        <v>1304570</v>
      </c>
      <c r="AA104" s="431">
        <v>0</v>
      </c>
      <c r="AB104" s="431">
        <v>-812</v>
      </c>
      <c r="AC104" s="431">
        <v>1762870</v>
      </c>
      <c r="AD104" s="431">
        <v>8813</v>
      </c>
      <c r="AE104" s="431">
        <v>1152572</v>
      </c>
      <c r="AF104" s="431">
        <v>0</v>
      </c>
      <c r="AG104" s="431">
        <v>948170</v>
      </c>
      <c r="AH104" s="431">
        <v>329584</v>
      </c>
      <c r="AI104" s="431">
        <v>188505</v>
      </c>
      <c r="AJ104" s="431">
        <v>3216</v>
      </c>
      <c r="AK104" s="431">
        <v>0</v>
      </c>
      <c r="AL104" s="431">
        <v>1580973</v>
      </c>
      <c r="AM104" s="431">
        <v>0</v>
      </c>
    </row>
    <row r="105" spans="1:39" s="155" customFormat="1" ht="12" x14ac:dyDescent="0.2">
      <c r="A105" s="168">
        <v>51</v>
      </c>
      <c r="B105" s="229">
        <v>30069</v>
      </c>
      <c r="C105" s="190" t="s">
        <v>2538</v>
      </c>
      <c r="D105" s="464">
        <f t="shared" si="12"/>
        <v>3683472</v>
      </c>
      <c r="E105" s="431">
        <v>1246419</v>
      </c>
      <c r="F105" s="431">
        <v>148154</v>
      </c>
      <c r="G105" s="431">
        <v>675157</v>
      </c>
      <c r="H105" s="431">
        <v>0</v>
      </c>
      <c r="I105" s="431">
        <v>1259887</v>
      </c>
      <c r="J105" s="431">
        <v>100000</v>
      </c>
      <c r="K105" s="431">
        <v>618640</v>
      </c>
      <c r="L105" s="431">
        <v>0</v>
      </c>
      <c r="M105" s="431">
        <v>458526</v>
      </c>
      <c r="N105" s="431">
        <v>0</v>
      </c>
      <c r="O105" s="431">
        <v>0</v>
      </c>
      <c r="P105" s="464">
        <f t="shared" si="14"/>
        <v>3134096</v>
      </c>
      <c r="Q105" s="431">
        <v>1413244</v>
      </c>
      <c r="R105" s="431">
        <v>866571</v>
      </c>
      <c r="S105" s="431">
        <v>0</v>
      </c>
      <c r="T105" s="431">
        <v>0</v>
      </c>
      <c r="U105" s="431">
        <v>0</v>
      </c>
      <c r="V105" s="431">
        <v>0</v>
      </c>
      <c r="W105" s="431">
        <v>0</v>
      </c>
      <c r="X105" s="431">
        <v>211210</v>
      </c>
      <c r="Y105" s="431">
        <v>14211</v>
      </c>
      <c r="Z105" s="431">
        <v>891581</v>
      </c>
      <c r="AA105" s="431">
        <v>0</v>
      </c>
      <c r="AB105" s="431">
        <v>-262721</v>
      </c>
      <c r="AC105" s="431">
        <v>597386</v>
      </c>
      <c r="AD105" s="431">
        <v>104952</v>
      </c>
      <c r="AE105" s="431">
        <v>1263129</v>
      </c>
      <c r="AF105" s="431">
        <v>0</v>
      </c>
      <c r="AG105" s="431">
        <v>126393</v>
      </c>
      <c r="AH105" s="431">
        <v>225895</v>
      </c>
      <c r="AI105" s="431">
        <v>155750</v>
      </c>
      <c r="AJ105" s="431">
        <v>110573</v>
      </c>
      <c r="AK105" s="431">
        <v>0</v>
      </c>
      <c r="AL105" s="431">
        <v>550018</v>
      </c>
      <c r="AM105" s="431">
        <v>0</v>
      </c>
    </row>
    <row r="106" spans="1:39" s="155" customFormat="1" ht="12" x14ac:dyDescent="0.2">
      <c r="A106" s="168">
        <v>52</v>
      </c>
      <c r="B106" s="229">
        <v>30149</v>
      </c>
      <c r="C106" s="190" t="s">
        <v>2539</v>
      </c>
      <c r="D106" s="464">
        <f t="shared" si="12"/>
        <v>6962619</v>
      </c>
      <c r="E106" s="431">
        <v>2956005</v>
      </c>
      <c r="F106" s="431">
        <v>1151101</v>
      </c>
      <c r="G106" s="431">
        <v>288898</v>
      </c>
      <c r="H106" s="431">
        <v>0</v>
      </c>
      <c r="I106" s="431">
        <v>2378653</v>
      </c>
      <c r="J106" s="431">
        <v>100000</v>
      </c>
      <c r="K106" s="431">
        <v>892740</v>
      </c>
      <c r="L106" s="431">
        <v>0</v>
      </c>
      <c r="M106" s="431">
        <v>595221</v>
      </c>
      <c r="N106" s="431">
        <v>0</v>
      </c>
      <c r="O106" s="431">
        <v>40000</v>
      </c>
      <c r="P106" s="464">
        <f t="shared" si="14"/>
        <v>6384678</v>
      </c>
      <c r="Q106" s="431">
        <v>2485277</v>
      </c>
      <c r="R106" s="431">
        <v>1732789</v>
      </c>
      <c r="S106" s="431">
        <v>0</v>
      </c>
      <c r="T106" s="431">
        <v>0</v>
      </c>
      <c r="U106" s="431">
        <v>36130</v>
      </c>
      <c r="V106" s="431">
        <v>0</v>
      </c>
      <c r="W106" s="431">
        <v>0</v>
      </c>
      <c r="X106" s="431">
        <v>350564</v>
      </c>
      <c r="Y106" s="431">
        <v>135500</v>
      </c>
      <c r="Z106" s="431">
        <v>1644418</v>
      </c>
      <c r="AA106" s="431">
        <v>0</v>
      </c>
      <c r="AB106" s="431">
        <v>0</v>
      </c>
      <c r="AC106" s="431">
        <v>765298</v>
      </c>
      <c r="AD106" s="431">
        <v>12020</v>
      </c>
      <c r="AE106" s="431">
        <v>2246834</v>
      </c>
      <c r="AF106" s="431">
        <v>0</v>
      </c>
      <c r="AG106" s="431">
        <v>424771</v>
      </c>
      <c r="AH106" s="431">
        <v>475886</v>
      </c>
      <c r="AI106" s="431">
        <v>844359</v>
      </c>
      <c r="AJ106" s="431">
        <v>71644</v>
      </c>
      <c r="AK106" s="431">
        <v>0</v>
      </c>
      <c r="AL106" s="431">
        <v>1543866</v>
      </c>
      <c r="AM106" s="431">
        <v>0</v>
      </c>
    </row>
    <row r="107" spans="1:39" s="155" customFormat="1" ht="12" x14ac:dyDescent="0.2">
      <c r="A107" s="168">
        <v>53</v>
      </c>
      <c r="B107" s="229">
        <v>30229</v>
      </c>
      <c r="C107" s="190" t="s">
        <v>2540</v>
      </c>
      <c r="D107" s="464">
        <f t="shared" si="12"/>
        <v>5528427</v>
      </c>
      <c r="E107" s="431">
        <v>1299712</v>
      </c>
      <c r="F107" s="431">
        <v>130688</v>
      </c>
      <c r="G107" s="431">
        <v>429708</v>
      </c>
      <c r="H107" s="431">
        <v>0</v>
      </c>
      <c r="I107" s="431">
        <v>1636320</v>
      </c>
      <c r="J107" s="431">
        <v>100000</v>
      </c>
      <c r="K107" s="431">
        <v>819260</v>
      </c>
      <c r="L107" s="431">
        <v>0</v>
      </c>
      <c r="M107" s="431">
        <v>83556</v>
      </c>
      <c r="N107" s="431">
        <v>1589579</v>
      </c>
      <c r="O107" s="431">
        <v>0</v>
      </c>
      <c r="P107" s="464">
        <f t="shared" si="14"/>
        <v>4405495</v>
      </c>
      <c r="Q107" s="431">
        <v>1784920</v>
      </c>
      <c r="R107" s="431">
        <v>897723</v>
      </c>
      <c r="S107" s="431">
        <v>63610</v>
      </c>
      <c r="T107" s="431">
        <v>0</v>
      </c>
      <c r="U107" s="431">
        <v>0</v>
      </c>
      <c r="V107" s="431">
        <v>0</v>
      </c>
      <c r="W107" s="431">
        <v>655471</v>
      </c>
      <c r="X107" s="431">
        <v>250601</v>
      </c>
      <c r="Y107" s="431">
        <v>0</v>
      </c>
      <c r="Z107" s="431">
        <v>674266</v>
      </c>
      <c r="AA107" s="431">
        <v>87600</v>
      </c>
      <c r="AB107" s="431">
        <v>-8696</v>
      </c>
      <c r="AC107" s="431">
        <v>817224</v>
      </c>
      <c r="AD107" s="431">
        <v>726</v>
      </c>
      <c r="AE107" s="431">
        <v>1710309</v>
      </c>
      <c r="AF107" s="431">
        <v>0</v>
      </c>
      <c r="AG107" s="431">
        <v>205729</v>
      </c>
      <c r="AH107" s="431">
        <v>250601</v>
      </c>
      <c r="AI107" s="431">
        <v>561771</v>
      </c>
      <c r="AJ107" s="431">
        <v>87600</v>
      </c>
      <c r="AK107" s="431">
        <v>0</v>
      </c>
      <c r="AL107" s="431">
        <v>632447</v>
      </c>
      <c r="AM107" s="431">
        <v>139088</v>
      </c>
    </row>
    <row r="108" spans="1:39" s="155" customFormat="1" ht="12" x14ac:dyDescent="0.2">
      <c r="A108" s="168">
        <v>54</v>
      </c>
      <c r="B108" s="229">
        <v>30274</v>
      </c>
      <c r="C108" s="190" t="s">
        <v>2541</v>
      </c>
      <c r="D108" s="464">
        <f t="shared" si="12"/>
        <v>17724883</v>
      </c>
      <c r="E108" s="431">
        <v>3974613</v>
      </c>
      <c r="F108" s="431">
        <v>1293820</v>
      </c>
      <c r="G108" s="431">
        <v>478135</v>
      </c>
      <c r="H108" s="431">
        <v>0</v>
      </c>
      <c r="I108" s="431">
        <v>2164089</v>
      </c>
      <c r="J108" s="431">
        <v>100000</v>
      </c>
      <c r="K108" s="431">
        <v>1469110</v>
      </c>
      <c r="L108" s="431">
        <v>0</v>
      </c>
      <c r="M108" s="431">
        <v>99202</v>
      </c>
      <c r="N108" s="431">
        <v>9473889</v>
      </c>
      <c r="O108" s="431">
        <v>443980</v>
      </c>
      <c r="P108" s="464">
        <f t="shared" si="14"/>
        <v>17429241</v>
      </c>
      <c r="Q108" s="431">
        <v>2813303</v>
      </c>
      <c r="R108" s="431">
        <v>2354085</v>
      </c>
      <c r="S108" s="431">
        <v>170505</v>
      </c>
      <c r="T108" s="431">
        <v>0</v>
      </c>
      <c r="U108" s="431">
        <v>0</v>
      </c>
      <c r="V108" s="431">
        <v>89905</v>
      </c>
      <c r="W108" s="431">
        <v>9966521</v>
      </c>
      <c r="X108" s="431">
        <v>345331</v>
      </c>
      <c r="Y108" s="431">
        <v>92680</v>
      </c>
      <c r="Z108" s="431">
        <v>1580436</v>
      </c>
      <c r="AA108" s="431">
        <v>200548</v>
      </c>
      <c r="AB108" s="431">
        <v>-184073</v>
      </c>
      <c r="AC108" s="431">
        <v>1902153</v>
      </c>
      <c r="AD108" s="431">
        <v>147042</v>
      </c>
      <c r="AE108" s="431">
        <v>1886770</v>
      </c>
      <c r="AF108" s="431">
        <v>0</v>
      </c>
      <c r="AG108" s="431">
        <v>1180304</v>
      </c>
      <c r="AH108" s="431">
        <v>410979</v>
      </c>
      <c r="AI108" s="431">
        <v>10213942</v>
      </c>
      <c r="AJ108" s="431">
        <v>35271</v>
      </c>
      <c r="AK108" s="431">
        <v>0</v>
      </c>
      <c r="AL108" s="431">
        <v>1623545</v>
      </c>
      <c r="AM108" s="431">
        <v>29235</v>
      </c>
    </row>
    <row r="109" spans="1:39" s="155" customFormat="1" ht="12" x14ac:dyDescent="0.2">
      <c r="A109" s="168">
        <v>55</v>
      </c>
      <c r="B109" s="229">
        <v>32161</v>
      </c>
      <c r="C109" s="190" t="s">
        <v>2542</v>
      </c>
      <c r="D109" s="464">
        <f t="shared" si="12"/>
        <v>4102441</v>
      </c>
      <c r="E109" s="431">
        <v>1998848</v>
      </c>
      <c r="F109" s="431">
        <v>508287</v>
      </c>
      <c r="G109" s="431">
        <v>400315</v>
      </c>
      <c r="H109" s="431">
        <v>0</v>
      </c>
      <c r="I109" s="431">
        <v>580395</v>
      </c>
      <c r="J109" s="431">
        <v>200000</v>
      </c>
      <c r="K109" s="431">
        <v>671040</v>
      </c>
      <c r="L109" s="431">
        <v>0</v>
      </c>
      <c r="M109" s="431">
        <v>120956</v>
      </c>
      <c r="N109" s="431">
        <v>500888</v>
      </c>
      <c r="O109" s="431">
        <v>30314</v>
      </c>
      <c r="P109" s="464">
        <f t="shared" si="14"/>
        <v>3364202</v>
      </c>
      <c r="Q109" s="431">
        <v>902188</v>
      </c>
      <c r="R109" s="431">
        <v>1296562</v>
      </c>
      <c r="S109" s="431">
        <v>0</v>
      </c>
      <c r="T109" s="431">
        <v>0</v>
      </c>
      <c r="U109" s="431">
        <v>0</v>
      </c>
      <c r="V109" s="431">
        <v>203348</v>
      </c>
      <c r="W109" s="431">
        <v>435765</v>
      </c>
      <c r="X109" s="431">
        <v>89616</v>
      </c>
      <c r="Y109" s="431">
        <v>99000</v>
      </c>
      <c r="Z109" s="431">
        <v>337723</v>
      </c>
      <c r="AA109" s="431">
        <v>0</v>
      </c>
      <c r="AB109" s="431">
        <v>0</v>
      </c>
      <c r="AC109" s="431">
        <v>775511</v>
      </c>
      <c r="AD109" s="431">
        <v>142796</v>
      </c>
      <c r="AE109" s="431">
        <v>457590</v>
      </c>
      <c r="AF109" s="431">
        <v>5573</v>
      </c>
      <c r="AG109" s="431">
        <v>229654</v>
      </c>
      <c r="AH109" s="431">
        <v>185741</v>
      </c>
      <c r="AI109" s="431">
        <v>955178</v>
      </c>
      <c r="AJ109" s="431">
        <v>190928</v>
      </c>
      <c r="AK109" s="431">
        <v>0</v>
      </c>
      <c r="AL109" s="431">
        <v>412680</v>
      </c>
      <c r="AM109" s="431">
        <v>8551</v>
      </c>
    </row>
    <row r="110" spans="1:39" s="155" customFormat="1" ht="12" x14ac:dyDescent="0.2">
      <c r="A110" s="168">
        <v>56</v>
      </c>
      <c r="B110" s="229">
        <v>30336</v>
      </c>
      <c r="C110" s="190" t="s">
        <v>779</v>
      </c>
      <c r="D110" s="464">
        <f t="shared" si="12"/>
        <v>6273974</v>
      </c>
      <c r="E110" s="431">
        <v>1274744</v>
      </c>
      <c r="F110" s="431">
        <v>198194</v>
      </c>
      <c r="G110" s="431">
        <v>741648</v>
      </c>
      <c r="H110" s="431">
        <v>0</v>
      </c>
      <c r="I110" s="431">
        <v>1840068</v>
      </c>
      <c r="J110" s="431">
        <v>0</v>
      </c>
      <c r="K110" s="431">
        <v>843980</v>
      </c>
      <c r="L110" s="431">
        <v>0</v>
      </c>
      <c r="M110" s="431">
        <v>896806</v>
      </c>
      <c r="N110" s="431">
        <v>1418376</v>
      </c>
      <c r="O110" s="431">
        <v>0</v>
      </c>
      <c r="P110" s="464">
        <f t="shared" si="14"/>
        <v>5911759</v>
      </c>
      <c r="Q110" s="431">
        <v>1944211</v>
      </c>
      <c r="R110" s="431">
        <v>1213206</v>
      </c>
      <c r="S110" s="431">
        <v>0</v>
      </c>
      <c r="T110" s="431">
        <v>0</v>
      </c>
      <c r="U110" s="431">
        <v>0</v>
      </c>
      <c r="V110" s="431">
        <v>616</v>
      </c>
      <c r="W110" s="431">
        <v>1578027</v>
      </c>
      <c r="X110" s="431">
        <v>159667</v>
      </c>
      <c r="Y110" s="431">
        <v>88000</v>
      </c>
      <c r="Z110" s="431">
        <v>929471</v>
      </c>
      <c r="AA110" s="431">
        <v>0</v>
      </c>
      <c r="AB110" s="431">
        <v>-1439</v>
      </c>
      <c r="AC110" s="431">
        <v>911637</v>
      </c>
      <c r="AD110" s="431">
        <v>0</v>
      </c>
      <c r="AE110" s="431">
        <v>1758498</v>
      </c>
      <c r="AF110" s="431">
        <v>158789</v>
      </c>
      <c r="AG110" s="431">
        <v>344038</v>
      </c>
      <c r="AH110" s="431">
        <v>285898</v>
      </c>
      <c r="AI110" s="431">
        <v>126264</v>
      </c>
      <c r="AJ110" s="431">
        <v>22500</v>
      </c>
      <c r="AK110" s="431">
        <v>0</v>
      </c>
      <c r="AL110" s="431">
        <v>2304135</v>
      </c>
      <c r="AM110" s="431">
        <v>0</v>
      </c>
    </row>
    <row r="111" spans="1:39" s="155" customFormat="1" ht="12" x14ac:dyDescent="0.2">
      <c r="A111" s="168">
        <v>57</v>
      </c>
      <c r="B111" s="229">
        <v>30416</v>
      </c>
      <c r="C111" s="190" t="s">
        <v>2543</v>
      </c>
      <c r="D111" s="464">
        <f t="shared" si="12"/>
        <v>2924887</v>
      </c>
      <c r="E111" s="431">
        <v>1210705</v>
      </c>
      <c r="F111" s="431">
        <v>110674</v>
      </c>
      <c r="G111" s="431">
        <v>661043</v>
      </c>
      <c r="H111" s="431">
        <v>0</v>
      </c>
      <c r="I111" s="431">
        <v>601814</v>
      </c>
      <c r="J111" s="431">
        <v>0</v>
      </c>
      <c r="K111" s="431">
        <v>485270</v>
      </c>
      <c r="L111" s="431">
        <v>0</v>
      </c>
      <c r="M111" s="431">
        <v>619898</v>
      </c>
      <c r="N111" s="431">
        <v>0</v>
      </c>
      <c r="O111" s="431">
        <v>7200</v>
      </c>
      <c r="P111" s="464">
        <f t="shared" si="14"/>
        <v>2803306</v>
      </c>
      <c r="Q111" s="431">
        <v>795121</v>
      </c>
      <c r="R111" s="431">
        <v>1268274</v>
      </c>
      <c r="S111" s="431">
        <v>0</v>
      </c>
      <c r="T111" s="431">
        <v>0</v>
      </c>
      <c r="U111" s="431">
        <v>0</v>
      </c>
      <c r="V111" s="431">
        <v>0</v>
      </c>
      <c r="W111" s="431">
        <v>0</v>
      </c>
      <c r="X111" s="431">
        <v>112750</v>
      </c>
      <c r="Y111" s="431">
        <v>0</v>
      </c>
      <c r="Z111" s="431">
        <v>627161</v>
      </c>
      <c r="AA111" s="431">
        <v>0</v>
      </c>
      <c r="AB111" s="431">
        <v>0</v>
      </c>
      <c r="AC111" s="431">
        <v>467746</v>
      </c>
      <c r="AD111" s="431">
        <v>0</v>
      </c>
      <c r="AE111" s="431">
        <v>447990</v>
      </c>
      <c r="AF111" s="431">
        <v>0</v>
      </c>
      <c r="AG111" s="431">
        <v>185190</v>
      </c>
      <c r="AH111" s="431">
        <v>195894</v>
      </c>
      <c r="AI111" s="431">
        <v>174577</v>
      </c>
      <c r="AJ111" s="431">
        <v>703781</v>
      </c>
      <c r="AK111" s="431">
        <v>0</v>
      </c>
      <c r="AL111" s="431">
        <v>623890</v>
      </c>
      <c r="AM111" s="431">
        <v>4238</v>
      </c>
    </row>
    <row r="112" spans="1:39" s="155" customFormat="1" ht="12" x14ac:dyDescent="0.2">
      <c r="A112" s="168">
        <v>58</v>
      </c>
      <c r="B112" s="229">
        <v>30470</v>
      </c>
      <c r="C112" s="190" t="s">
        <v>2544</v>
      </c>
      <c r="D112" s="464">
        <f t="shared" si="12"/>
        <v>5751965</v>
      </c>
      <c r="E112" s="431">
        <v>1716081</v>
      </c>
      <c r="F112" s="431">
        <v>193039</v>
      </c>
      <c r="G112" s="431">
        <v>523010</v>
      </c>
      <c r="H112" s="431">
        <v>0</v>
      </c>
      <c r="I112" s="431">
        <v>1618393</v>
      </c>
      <c r="J112" s="431">
        <v>130000</v>
      </c>
      <c r="K112" s="431">
        <v>1025130</v>
      </c>
      <c r="L112" s="431">
        <v>0</v>
      </c>
      <c r="M112" s="431">
        <v>1262361</v>
      </c>
      <c r="N112" s="431">
        <v>0</v>
      </c>
      <c r="O112" s="431">
        <v>0</v>
      </c>
      <c r="P112" s="464">
        <f t="shared" si="14"/>
        <v>5755520</v>
      </c>
      <c r="Q112" s="431">
        <v>2027650</v>
      </c>
      <c r="R112" s="431">
        <v>2125589</v>
      </c>
      <c r="S112" s="431">
        <v>0</v>
      </c>
      <c r="T112" s="431">
        <v>0</v>
      </c>
      <c r="U112" s="431">
        <v>0</v>
      </c>
      <c r="V112" s="431">
        <v>0</v>
      </c>
      <c r="W112" s="431">
        <v>0</v>
      </c>
      <c r="X112" s="431">
        <v>34000</v>
      </c>
      <c r="Y112" s="431">
        <v>10000</v>
      </c>
      <c r="Z112" s="431">
        <v>1563117</v>
      </c>
      <c r="AA112" s="431">
        <v>0</v>
      </c>
      <c r="AB112" s="431">
        <v>-4836</v>
      </c>
      <c r="AC112" s="431">
        <v>1118488</v>
      </c>
      <c r="AD112" s="431">
        <v>0</v>
      </c>
      <c r="AE112" s="431">
        <v>1303263</v>
      </c>
      <c r="AF112" s="431">
        <v>0</v>
      </c>
      <c r="AG112" s="431">
        <v>172441</v>
      </c>
      <c r="AH112" s="431">
        <v>398768</v>
      </c>
      <c r="AI112" s="431">
        <v>450367</v>
      </c>
      <c r="AJ112" s="431">
        <v>891466</v>
      </c>
      <c r="AK112" s="431">
        <v>0</v>
      </c>
      <c r="AL112" s="431">
        <v>1420727</v>
      </c>
      <c r="AM112" s="431">
        <v>0</v>
      </c>
    </row>
    <row r="113" spans="1:39" s="155" customFormat="1" ht="12" x14ac:dyDescent="0.2">
      <c r="A113" s="168">
        <v>59</v>
      </c>
      <c r="B113" s="229">
        <v>30568</v>
      </c>
      <c r="C113" s="190" t="s">
        <v>2545</v>
      </c>
      <c r="D113" s="464">
        <f t="shared" si="12"/>
        <v>12217061</v>
      </c>
      <c r="E113" s="431">
        <v>2540248</v>
      </c>
      <c r="F113" s="431">
        <v>808514</v>
      </c>
      <c r="G113" s="431">
        <v>322533</v>
      </c>
      <c r="H113" s="431">
        <v>0</v>
      </c>
      <c r="I113" s="431">
        <v>6175108</v>
      </c>
      <c r="J113" s="431">
        <v>0</v>
      </c>
      <c r="K113" s="431">
        <v>947070</v>
      </c>
      <c r="L113" s="431">
        <v>0</v>
      </c>
      <c r="M113" s="431">
        <v>264007</v>
      </c>
      <c r="N113" s="431">
        <v>265343</v>
      </c>
      <c r="O113" s="431">
        <v>2025285</v>
      </c>
      <c r="P113" s="464">
        <f t="shared" si="14"/>
        <v>12831955</v>
      </c>
      <c r="Q113" s="431">
        <v>6155347</v>
      </c>
      <c r="R113" s="431">
        <v>3417318</v>
      </c>
      <c r="S113" s="431">
        <v>0</v>
      </c>
      <c r="T113" s="431">
        <v>0</v>
      </c>
      <c r="U113" s="431">
        <v>0</v>
      </c>
      <c r="V113" s="431">
        <v>0</v>
      </c>
      <c r="W113" s="431">
        <v>481583</v>
      </c>
      <c r="X113" s="431">
        <v>539851</v>
      </c>
      <c r="Y113" s="431">
        <v>75000</v>
      </c>
      <c r="Z113" s="431">
        <v>2162856</v>
      </c>
      <c r="AA113" s="431">
        <v>0</v>
      </c>
      <c r="AB113" s="431">
        <v>0</v>
      </c>
      <c r="AC113" s="431">
        <v>1756786</v>
      </c>
      <c r="AD113" s="431">
        <v>239828</v>
      </c>
      <c r="AE113" s="431">
        <v>5652752</v>
      </c>
      <c r="AF113" s="431">
        <v>9548</v>
      </c>
      <c r="AG113" s="431">
        <v>561458</v>
      </c>
      <c r="AH113" s="431">
        <v>741281</v>
      </c>
      <c r="AI113" s="431">
        <v>820363</v>
      </c>
      <c r="AJ113" s="431">
        <v>1985919</v>
      </c>
      <c r="AK113" s="431">
        <v>0</v>
      </c>
      <c r="AL113" s="431">
        <v>849554</v>
      </c>
      <c r="AM113" s="431">
        <v>214466</v>
      </c>
    </row>
    <row r="114" spans="1:39" s="155" customFormat="1" ht="12" x14ac:dyDescent="0.2">
      <c r="A114" s="168">
        <v>60</v>
      </c>
      <c r="B114" s="229">
        <v>30648</v>
      </c>
      <c r="C114" s="190" t="s">
        <v>2546</v>
      </c>
      <c r="D114" s="464">
        <f t="shared" si="12"/>
        <v>4778645</v>
      </c>
      <c r="E114" s="431">
        <v>1292655</v>
      </c>
      <c r="F114" s="431">
        <v>112755</v>
      </c>
      <c r="G114" s="431">
        <v>540464</v>
      </c>
      <c r="H114" s="431">
        <v>0</v>
      </c>
      <c r="I114" s="431">
        <v>1200264</v>
      </c>
      <c r="J114" s="431">
        <v>200000</v>
      </c>
      <c r="K114" s="431">
        <v>559130</v>
      </c>
      <c r="L114" s="431">
        <v>0</v>
      </c>
      <c r="M114" s="431">
        <v>1526596</v>
      </c>
      <c r="N114" s="431">
        <v>0</v>
      </c>
      <c r="O114" s="431">
        <v>0</v>
      </c>
      <c r="P114" s="464">
        <f t="shared" si="14"/>
        <v>4598780</v>
      </c>
      <c r="Q114" s="431">
        <v>1446967</v>
      </c>
      <c r="R114" s="431">
        <v>1106773</v>
      </c>
      <c r="S114" s="431">
        <v>0</v>
      </c>
      <c r="T114" s="431">
        <v>0</v>
      </c>
      <c r="U114" s="431">
        <v>0</v>
      </c>
      <c r="V114" s="431">
        <v>0</v>
      </c>
      <c r="W114" s="431">
        <v>0</v>
      </c>
      <c r="X114" s="431">
        <v>117096</v>
      </c>
      <c r="Y114" s="431">
        <v>59000</v>
      </c>
      <c r="Z114" s="431">
        <v>1868944</v>
      </c>
      <c r="AA114" s="431">
        <v>0</v>
      </c>
      <c r="AB114" s="431">
        <v>0</v>
      </c>
      <c r="AC114" s="431">
        <v>575992</v>
      </c>
      <c r="AD114" s="431">
        <v>5814</v>
      </c>
      <c r="AE114" s="431">
        <v>1163224</v>
      </c>
      <c r="AF114" s="431">
        <v>7150</v>
      </c>
      <c r="AG114" s="431">
        <v>125832</v>
      </c>
      <c r="AH114" s="431">
        <v>305695</v>
      </c>
      <c r="AI114" s="431">
        <v>576768</v>
      </c>
      <c r="AJ114" s="431">
        <v>548924</v>
      </c>
      <c r="AK114" s="431">
        <v>0</v>
      </c>
      <c r="AL114" s="431">
        <v>1289381</v>
      </c>
      <c r="AM114" s="431">
        <v>0</v>
      </c>
    </row>
    <row r="115" spans="1:39" s="155" customFormat="1" ht="12" x14ac:dyDescent="0.2">
      <c r="A115" s="168">
        <v>61</v>
      </c>
      <c r="B115" s="229">
        <v>30719</v>
      </c>
      <c r="C115" s="190" t="s">
        <v>2547</v>
      </c>
      <c r="D115" s="464">
        <f t="shared" si="12"/>
        <v>8932567</v>
      </c>
      <c r="E115" s="431">
        <v>1555069</v>
      </c>
      <c r="F115" s="431">
        <v>147713</v>
      </c>
      <c r="G115" s="431">
        <v>768480</v>
      </c>
      <c r="H115" s="431">
        <v>0</v>
      </c>
      <c r="I115" s="431">
        <v>1773530</v>
      </c>
      <c r="J115" s="431">
        <v>0</v>
      </c>
      <c r="K115" s="431">
        <v>1047540</v>
      </c>
      <c r="L115" s="431">
        <v>0</v>
      </c>
      <c r="M115" s="431">
        <v>1283709</v>
      </c>
      <c r="N115" s="431">
        <v>3232777</v>
      </c>
      <c r="O115" s="431">
        <v>39942</v>
      </c>
      <c r="P115" s="464">
        <f t="shared" si="14"/>
        <v>12362289</v>
      </c>
      <c r="Q115" s="431">
        <v>2062073</v>
      </c>
      <c r="R115" s="431">
        <v>1023130</v>
      </c>
      <c r="S115" s="431">
        <v>0</v>
      </c>
      <c r="T115" s="431">
        <v>0</v>
      </c>
      <c r="U115" s="431">
        <v>0</v>
      </c>
      <c r="V115" s="431">
        <v>0</v>
      </c>
      <c r="W115" s="431">
        <v>7854870</v>
      </c>
      <c r="X115" s="431">
        <v>129767</v>
      </c>
      <c r="Y115" s="431">
        <v>0</v>
      </c>
      <c r="Z115" s="431">
        <v>1292449</v>
      </c>
      <c r="AA115" s="431">
        <v>0</v>
      </c>
      <c r="AB115" s="431">
        <v>0</v>
      </c>
      <c r="AC115" s="431">
        <v>732545</v>
      </c>
      <c r="AD115" s="431">
        <v>0</v>
      </c>
      <c r="AE115" s="431">
        <v>1938241</v>
      </c>
      <c r="AF115" s="431">
        <v>0</v>
      </c>
      <c r="AG115" s="431">
        <v>576576</v>
      </c>
      <c r="AH115" s="431">
        <v>369391</v>
      </c>
      <c r="AI115" s="431">
        <v>2983137</v>
      </c>
      <c r="AJ115" s="431">
        <v>4764276</v>
      </c>
      <c r="AK115" s="431">
        <v>0</v>
      </c>
      <c r="AL115" s="431">
        <v>938744</v>
      </c>
      <c r="AM115" s="431">
        <v>59379</v>
      </c>
    </row>
    <row r="116" spans="1:39" s="155" customFormat="1" ht="12" x14ac:dyDescent="0.2">
      <c r="A116" s="168">
        <v>62</v>
      </c>
      <c r="B116" s="229">
        <v>30773</v>
      </c>
      <c r="C116" s="190" t="s">
        <v>2548</v>
      </c>
      <c r="D116" s="464">
        <f t="shared" si="12"/>
        <v>3826563</v>
      </c>
      <c r="E116" s="431">
        <v>1440669</v>
      </c>
      <c r="F116" s="431">
        <v>817081</v>
      </c>
      <c r="G116" s="431">
        <v>134179</v>
      </c>
      <c r="H116" s="431">
        <v>0</v>
      </c>
      <c r="I116" s="431">
        <v>1606696</v>
      </c>
      <c r="J116" s="431">
        <v>100000</v>
      </c>
      <c r="K116" s="431">
        <v>504080</v>
      </c>
      <c r="L116" s="431">
        <v>0</v>
      </c>
      <c r="M116" s="431">
        <v>134540</v>
      </c>
      <c r="N116" s="431">
        <v>0</v>
      </c>
      <c r="O116" s="431">
        <v>40578</v>
      </c>
      <c r="P116" s="464">
        <f t="shared" si="14"/>
        <v>3826413</v>
      </c>
      <c r="Q116" s="431">
        <v>1955466</v>
      </c>
      <c r="R116" s="431">
        <v>941956</v>
      </c>
      <c r="S116" s="431">
        <v>3737</v>
      </c>
      <c r="T116" s="431">
        <v>44000</v>
      </c>
      <c r="U116" s="431">
        <v>0</v>
      </c>
      <c r="V116" s="431">
        <v>0</v>
      </c>
      <c r="W116" s="431">
        <v>0</v>
      </c>
      <c r="X116" s="431">
        <v>125146</v>
      </c>
      <c r="Y116" s="431">
        <v>0</v>
      </c>
      <c r="Z116" s="431">
        <v>723702</v>
      </c>
      <c r="AA116" s="431">
        <v>32406</v>
      </c>
      <c r="AB116" s="431">
        <v>0</v>
      </c>
      <c r="AC116" s="431">
        <v>825194</v>
      </c>
      <c r="AD116" s="431">
        <v>0</v>
      </c>
      <c r="AE116" s="431">
        <v>1357824</v>
      </c>
      <c r="AF116" s="431">
        <v>0</v>
      </c>
      <c r="AG116" s="431">
        <v>268351</v>
      </c>
      <c r="AH116" s="431">
        <v>282404</v>
      </c>
      <c r="AI116" s="431">
        <v>580797</v>
      </c>
      <c r="AJ116" s="431">
        <v>76406</v>
      </c>
      <c r="AK116" s="431">
        <v>0</v>
      </c>
      <c r="AL116" s="431">
        <v>277423</v>
      </c>
      <c r="AM116" s="431">
        <v>158014</v>
      </c>
    </row>
    <row r="117" spans="1:39" s="155" customFormat="1" ht="12" x14ac:dyDescent="0.2">
      <c r="A117" s="168">
        <v>63</v>
      </c>
      <c r="B117" s="189">
        <v>30844</v>
      </c>
      <c r="C117" s="190" t="s">
        <v>484</v>
      </c>
      <c r="D117" s="464">
        <f t="shared" si="12"/>
        <v>6848045</v>
      </c>
      <c r="E117" s="431">
        <v>1265692</v>
      </c>
      <c r="F117" s="431">
        <v>165219</v>
      </c>
      <c r="G117" s="431">
        <v>634834</v>
      </c>
      <c r="H117" s="431">
        <v>0</v>
      </c>
      <c r="I117" s="431">
        <v>1810521</v>
      </c>
      <c r="J117" s="431">
        <v>50000</v>
      </c>
      <c r="K117" s="431">
        <v>603900</v>
      </c>
      <c r="L117" s="431">
        <v>0</v>
      </c>
      <c r="M117" s="431">
        <v>927010</v>
      </c>
      <c r="N117" s="431">
        <v>2190922</v>
      </c>
      <c r="O117" s="431">
        <v>0</v>
      </c>
      <c r="P117" s="464">
        <f t="shared" si="14"/>
        <v>7611187</v>
      </c>
      <c r="Q117" s="431">
        <v>2201724</v>
      </c>
      <c r="R117" s="431">
        <v>1082020</v>
      </c>
      <c r="S117" s="431">
        <v>0</v>
      </c>
      <c r="T117" s="431">
        <v>0</v>
      </c>
      <c r="U117" s="431">
        <v>0</v>
      </c>
      <c r="V117" s="431">
        <v>0</v>
      </c>
      <c r="W117" s="431">
        <v>3548883</v>
      </c>
      <c r="X117" s="431">
        <v>52614</v>
      </c>
      <c r="Y117" s="431">
        <v>0</v>
      </c>
      <c r="Z117" s="431">
        <v>725946</v>
      </c>
      <c r="AA117" s="431">
        <v>0</v>
      </c>
      <c r="AB117" s="431">
        <v>0</v>
      </c>
      <c r="AC117" s="431">
        <v>906843</v>
      </c>
      <c r="AD117" s="431">
        <v>0</v>
      </c>
      <c r="AE117" s="431">
        <v>2141555</v>
      </c>
      <c r="AF117" s="431">
        <v>0</v>
      </c>
      <c r="AG117" s="431">
        <v>152078</v>
      </c>
      <c r="AH117" s="431">
        <v>369317</v>
      </c>
      <c r="AI117" s="431">
        <v>324548</v>
      </c>
      <c r="AJ117" s="431">
        <v>80818</v>
      </c>
      <c r="AK117" s="431">
        <v>0</v>
      </c>
      <c r="AL117" s="431">
        <v>3544530</v>
      </c>
      <c r="AM117" s="431">
        <v>91498</v>
      </c>
    </row>
    <row r="118" spans="1:39" s="155" customFormat="1" ht="12" x14ac:dyDescent="0.2">
      <c r="A118" s="168">
        <v>64</v>
      </c>
      <c r="B118" s="229">
        <v>32187</v>
      </c>
      <c r="C118" s="190" t="s">
        <v>2549</v>
      </c>
      <c r="D118" s="464">
        <f t="shared" ref="D118:D145" si="15">E118+SUM(H118:O118)</f>
        <v>4471003</v>
      </c>
      <c r="E118" s="431">
        <v>1472328</v>
      </c>
      <c r="F118" s="431">
        <v>237203</v>
      </c>
      <c r="G118" s="431">
        <v>651132</v>
      </c>
      <c r="H118" s="431">
        <v>0</v>
      </c>
      <c r="I118" s="431">
        <v>1609455</v>
      </c>
      <c r="J118" s="431">
        <v>160000</v>
      </c>
      <c r="K118" s="431">
        <v>1060060</v>
      </c>
      <c r="L118" s="431">
        <v>0</v>
      </c>
      <c r="M118" s="431">
        <v>67766</v>
      </c>
      <c r="N118" s="431">
        <v>101394</v>
      </c>
      <c r="O118" s="431">
        <v>0</v>
      </c>
      <c r="P118" s="464">
        <f t="shared" si="14"/>
        <v>4358881</v>
      </c>
      <c r="Q118" s="431">
        <v>1841689</v>
      </c>
      <c r="R118" s="431">
        <v>1618951</v>
      </c>
      <c r="S118" s="431">
        <v>68052</v>
      </c>
      <c r="T118" s="431">
        <v>0</v>
      </c>
      <c r="U118" s="431">
        <v>0</v>
      </c>
      <c r="V118" s="431">
        <v>41323</v>
      </c>
      <c r="W118" s="431">
        <v>157270</v>
      </c>
      <c r="X118" s="431">
        <v>68266</v>
      </c>
      <c r="Y118" s="431">
        <v>0</v>
      </c>
      <c r="Z118" s="431">
        <v>75330</v>
      </c>
      <c r="AA118" s="431">
        <v>488000</v>
      </c>
      <c r="AB118" s="431">
        <v>0</v>
      </c>
      <c r="AC118" s="431">
        <v>1131280</v>
      </c>
      <c r="AD118" s="431">
        <v>0</v>
      </c>
      <c r="AE118" s="431">
        <v>1671701</v>
      </c>
      <c r="AF118" s="431">
        <v>0</v>
      </c>
      <c r="AG118" s="431">
        <v>237466</v>
      </c>
      <c r="AH118" s="431">
        <v>156467</v>
      </c>
      <c r="AI118" s="431">
        <v>378108</v>
      </c>
      <c r="AJ118" s="431">
        <v>40330</v>
      </c>
      <c r="AK118" s="431">
        <v>0</v>
      </c>
      <c r="AL118" s="431">
        <v>743529</v>
      </c>
      <c r="AM118" s="431">
        <v>0</v>
      </c>
    </row>
    <row r="119" spans="1:39" s="155" customFormat="1" ht="12" x14ac:dyDescent="0.2">
      <c r="A119" s="168">
        <v>65</v>
      </c>
      <c r="B119" s="229">
        <v>30871</v>
      </c>
      <c r="C119" s="190" t="s">
        <v>2550</v>
      </c>
      <c r="D119" s="464">
        <f t="shared" si="15"/>
        <v>3583882</v>
      </c>
      <c r="E119" s="431">
        <v>2068860</v>
      </c>
      <c r="F119" s="431">
        <v>1195653</v>
      </c>
      <c r="G119" s="431">
        <v>94158</v>
      </c>
      <c r="H119" s="431">
        <v>0</v>
      </c>
      <c r="I119" s="431">
        <v>1139399</v>
      </c>
      <c r="J119" s="431">
        <v>0</v>
      </c>
      <c r="K119" s="431">
        <v>88530</v>
      </c>
      <c r="L119" s="431">
        <v>0</v>
      </c>
      <c r="M119" s="431">
        <v>71099</v>
      </c>
      <c r="N119" s="431">
        <v>206994</v>
      </c>
      <c r="O119" s="431">
        <v>9000</v>
      </c>
      <c r="P119" s="464">
        <f t="shared" ref="P119:P145" si="16">IF(SUM(Q119:AB119)=SUM(AC119:AM119),SUM(Q119:AB119),"  EROARE ART/CAP")</f>
        <v>3249383</v>
      </c>
      <c r="Q119" s="431">
        <v>1394340</v>
      </c>
      <c r="R119" s="431">
        <v>985682</v>
      </c>
      <c r="S119" s="431">
        <v>0</v>
      </c>
      <c r="T119" s="431">
        <v>0</v>
      </c>
      <c r="U119" s="431">
        <v>0</v>
      </c>
      <c r="V119" s="431">
        <v>0</v>
      </c>
      <c r="W119" s="431">
        <v>283480</v>
      </c>
      <c r="X119" s="431">
        <v>208308</v>
      </c>
      <c r="Y119" s="431">
        <v>0</v>
      </c>
      <c r="Z119" s="431">
        <v>384644</v>
      </c>
      <c r="AA119" s="431">
        <v>0</v>
      </c>
      <c r="AB119" s="431">
        <v>-7071</v>
      </c>
      <c r="AC119" s="431">
        <v>791046</v>
      </c>
      <c r="AD119" s="431">
        <v>53717</v>
      </c>
      <c r="AE119" s="431">
        <v>1120153</v>
      </c>
      <c r="AF119" s="431">
        <v>0</v>
      </c>
      <c r="AG119" s="431">
        <v>455340</v>
      </c>
      <c r="AH119" s="431">
        <v>212798</v>
      </c>
      <c r="AI119" s="431">
        <v>191524</v>
      </c>
      <c r="AJ119" s="431">
        <v>51040</v>
      </c>
      <c r="AK119" s="431">
        <v>0</v>
      </c>
      <c r="AL119" s="431">
        <v>373765</v>
      </c>
      <c r="AM119" s="431">
        <v>0</v>
      </c>
    </row>
    <row r="120" spans="1:39" s="155" customFormat="1" ht="12" x14ac:dyDescent="0.2">
      <c r="A120" s="168">
        <v>66</v>
      </c>
      <c r="B120" s="229">
        <v>30988</v>
      </c>
      <c r="C120" s="190" t="s">
        <v>2551</v>
      </c>
      <c r="D120" s="464">
        <f t="shared" si="15"/>
        <v>8658566</v>
      </c>
      <c r="E120" s="431">
        <v>1413823</v>
      </c>
      <c r="F120" s="431">
        <v>337963</v>
      </c>
      <c r="G120" s="431">
        <v>457847</v>
      </c>
      <c r="H120" s="431">
        <v>0</v>
      </c>
      <c r="I120" s="431">
        <v>1537734</v>
      </c>
      <c r="J120" s="431">
        <v>100000</v>
      </c>
      <c r="K120" s="431">
        <v>519070</v>
      </c>
      <c r="L120" s="431">
        <v>0</v>
      </c>
      <c r="M120" s="431">
        <v>241373</v>
      </c>
      <c r="N120" s="431">
        <v>4803072</v>
      </c>
      <c r="O120" s="431">
        <v>43494</v>
      </c>
      <c r="P120" s="464">
        <f t="shared" si="16"/>
        <v>9318756</v>
      </c>
      <c r="Q120" s="431">
        <v>1694307</v>
      </c>
      <c r="R120" s="431">
        <v>1229390</v>
      </c>
      <c r="S120" s="431">
        <v>0</v>
      </c>
      <c r="T120" s="431">
        <v>0</v>
      </c>
      <c r="U120" s="431">
        <v>0</v>
      </c>
      <c r="V120" s="431">
        <v>0</v>
      </c>
      <c r="W120" s="431">
        <v>5707073</v>
      </c>
      <c r="X120" s="431">
        <v>176332</v>
      </c>
      <c r="Y120" s="431">
        <v>89500</v>
      </c>
      <c r="Z120" s="431">
        <v>422154</v>
      </c>
      <c r="AA120" s="431">
        <v>0</v>
      </c>
      <c r="AB120" s="431">
        <v>0</v>
      </c>
      <c r="AC120" s="431">
        <v>1119125</v>
      </c>
      <c r="AD120" s="431">
        <v>187427</v>
      </c>
      <c r="AE120" s="431">
        <v>1352955</v>
      </c>
      <c r="AF120" s="431">
        <v>22491</v>
      </c>
      <c r="AG120" s="431">
        <v>537573</v>
      </c>
      <c r="AH120" s="431">
        <v>272974</v>
      </c>
      <c r="AI120" s="431">
        <v>1164216</v>
      </c>
      <c r="AJ120" s="431">
        <v>62162</v>
      </c>
      <c r="AK120" s="431">
        <v>0</v>
      </c>
      <c r="AL120" s="431">
        <v>4590605</v>
      </c>
      <c r="AM120" s="431">
        <v>9228</v>
      </c>
    </row>
    <row r="121" spans="1:39" s="155" customFormat="1" ht="12" x14ac:dyDescent="0.2">
      <c r="A121" s="168">
        <v>67</v>
      </c>
      <c r="B121" s="229">
        <v>31011</v>
      </c>
      <c r="C121" s="190" t="s">
        <v>2552</v>
      </c>
      <c r="D121" s="464">
        <f t="shared" si="15"/>
        <v>5719133</v>
      </c>
      <c r="E121" s="431">
        <v>1986397</v>
      </c>
      <c r="F121" s="431">
        <v>646311</v>
      </c>
      <c r="G121" s="431">
        <v>272348</v>
      </c>
      <c r="H121" s="431">
        <v>0</v>
      </c>
      <c r="I121" s="431">
        <v>2424732</v>
      </c>
      <c r="J121" s="431">
        <v>204270</v>
      </c>
      <c r="K121" s="431">
        <v>939000</v>
      </c>
      <c r="L121" s="431">
        <v>0</v>
      </c>
      <c r="M121" s="431">
        <v>36603</v>
      </c>
      <c r="N121" s="431">
        <v>87331</v>
      </c>
      <c r="O121" s="431">
        <v>40800</v>
      </c>
      <c r="P121" s="464">
        <f t="shared" si="16"/>
        <v>5755992</v>
      </c>
      <c r="Q121" s="431">
        <v>2597629</v>
      </c>
      <c r="R121" s="431">
        <v>1703662</v>
      </c>
      <c r="S121" s="431">
        <v>0</v>
      </c>
      <c r="T121" s="431">
        <v>0</v>
      </c>
      <c r="U121" s="431">
        <v>0</v>
      </c>
      <c r="V121" s="431">
        <v>0</v>
      </c>
      <c r="W121" s="431">
        <v>258098</v>
      </c>
      <c r="X121" s="431">
        <v>175545</v>
      </c>
      <c r="Y121" s="431">
        <v>30000</v>
      </c>
      <c r="Z121" s="431">
        <v>995863</v>
      </c>
      <c r="AA121" s="431">
        <v>0</v>
      </c>
      <c r="AB121" s="431">
        <v>-4805</v>
      </c>
      <c r="AC121" s="431">
        <v>1169207</v>
      </c>
      <c r="AD121" s="431">
        <v>86800</v>
      </c>
      <c r="AE121" s="431">
        <v>2581463</v>
      </c>
      <c r="AF121" s="431">
        <v>0</v>
      </c>
      <c r="AG121" s="431">
        <v>174664</v>
      </c>
      <c r="AH121" s="431">
        <v>180120</v>
      </c>
      <c r="AI121" s="431">
        <v>588026</v>
      </c>
      <c r="AJ121" s="431">
        <v>122939</v>
      </c>
      <c r="AK121" s="431">
        <v>0</v>
      </c>
      <c r="AL121" s="431">
        <v>613086</v>
      </c>
      <c r="AM121" s="431">
        <v>239687</v>
      </c>
    </row>
    <row r="122" spans="1:39" s="155" customFormat="1" ht="12" x14ac:dyDescent="0.2">
      <c r="A122" s="168">
        <v>68</v>
      </c>
      <c r="B122" s="229">
        <v>31057</v>
      </c>
      <c r="C122" s="190" t="s">
        <v>2553</v>
      </c>
      <c r="D122" s="464">
        <f t="shared" si="15"/>
        <v>2916616</v>
      </c>
      <c r="E122" s="431">
        <v>1029654</v>
      </c>
      <c r="F122" s="431">
        <v>82540</v>
      </c>
      <c r="G122" s="431">
        <v>734816</v>
      </c>
      <c r="H122" s="431">
        <v>0</v>
      </c>
      <c r="I122" s="431">
        <v>860107</v>
      </c>
      <c r="J122" s="431">
        <v>0</v>
      </c>
      <c r="K122" s="431">
        <v>515300</v>
      </c>
      <c r="L122" s="431">
        <v>0</v>
      </c>
      <c r="M122" s="431">
        <v>511555</v>
      </c>
      <c r="N122" s="431">
        <v>0</v>
      </c>
      <c r="O122" s="431">
        <v>0</v>
      </c>
      <c r="P122" s="464">
        <f t="shared" si="16"/>
        <v>2581504</v>
      </c>
      <c r="Q122" s="431">
        <v>1083029</v>
      </c>
      <c r="R122" s="431">
        <v>373851</v>
      </c>
      <c r="S122" s="431">
        <v>0</v>
      </c>
      <c r="T122" s="431">
        <v>0</v>
      </c>
      <c r="U122" s="431">
        <v>0</v>
      </c>
      <c r="V122" s="431">
        <v>0</v>
      </c>
      <c r="W122" s="431">
        <v>0</v>
      </c>
      <c r="X122" s="431">
        <v>92458</v>
      </c>
      <c r="Y122" s="431">
        <v>5000</v>
      </c>
      <c r="Z122" s="431">
        <v>1027166</v>
      </c>
      <c r="AA122" s="431">
        <v>0</v>
      </c>
      <c r="AB122" s="431">
        <v>0</v>
      </c>
      <c r="AC122" s="431">
        <v>409079</v>
      </c>
      <c r="AD122" s="431">
        <v>0</v>
      </c>
      <c r="AE122" s="431">
        <v>777550</v>
      </c>
      <c r="AF122" s="431">
        <v>0</v>
      </c>
      <c r="AG122" s="431">
        <v>20199</v>
      </c>
      <c r="AH122" s="431">
        <v>162941</v>
      </c>
      <c r="AI122" s="431">
        <v>623538</v>
      </c>
      <c r="AJ122" s="431">
        <v>38811</v>
      </c>
      <c r="AK122" s="431">
        <v>0</v>
      </c>
      <c r="AL122" s="431">
        <v>518507</v>
      </c>
      <c r="AM122" s="431">
        <v>30879</v>
      </c>
    </row>
    <row r="123" spans="1:39" s="155" customFormat="1" ht="12" x14ac:dyDescent="0.2">
      <c r="A123" s="168">
        <v>69</v>
      </c>
      <c r="B123" s="229">
        <v>26582</v>
      </c>
      <c r="C123" s="190" t="s">
        <v>2554</v>
      </c>
      <c r="D123" s="464">
        <f t="shared" si="15"/>
        <v>16797654</v>
      </c>
      <c r="E123" s="431">
        <v>11277114</v>
      </c>
      <c r="F123" s="431">
        <v>3966205</v>
      </c>
      <c r="G123" s="431">
        <v>43109</v>
      </c>
      <c r="H123" s="431">
        <v>0</v>
      </c>
      <c r="I123" s="431">
        <v>4799478</v>
      </c>
      <c r="J123" s="431">
        <v>154730</v>
      </c>
      <c r="K123" s="431">
        <v>337330</v>
      </c>
      <c r="L123" s="431">
        <v>0</v>
      </c>
      <c r="M123" s="431">
        <v>42330</v>
      </c>
      <c r="N123" s="431">
        <v>186672</v>
      </c>
      <c r="O123" s="431">
        <v>0</v>
      </c>
      <c r="P123" s="464">
        <f t="shared" si="16"/>
        <v>17412636</v>
      </c>
      <c r="Q123" s="431">
        <v>5032535</v>
      </c>
      <c r="R123" s="431">
        <v>4329280</v>
      </c>
      <c r="S123" s="431">
        <v>183250</v>
      </c>
      <c r="T123" s="431">
        <v>161556</v>
      </c>
      <c r="U123" s="431">
        <v>763598</v>
      </c>
      <c r="V123" s="431">
        <v>249676</v>
      </c>
      <c r="W123" s="431">
        <v>1634000</v>
      </c>
      <c r="X123" s="431">
        <v>519575</v>
      </c>
      <c r="Y123" s="431">
        <v>245714</v>
      </c>
      <c r="Z123" s="431">
        <v>2891645</v>
      </c>
      <c r="AA123" s="431">
        <v>1410710</v>
      </c>
      <c r="AB123" s="431">
        <v>-8903</v>
      </c>
      <c r="AC123" s="431">
        <v>1857558</v>
      </c>
      <c r="AD123" s="431">
        <v>294071</v>
      </c>
      <c r="AE123" s="431">
        <v>4736040</v>
      </c>
      <c r="AF123" s="431">
        <v>31118</v>
      </c>
      <c r="AG123" s="431">
        <v>1192396</v>
      </c>
      <c r="AH123" s="431">
        <v>853796</v>
      </c>
      <c r="AI123" s="431">
        <v>2171083</v>
      </c>
      <c r="AJ123" s="431">
        <v>675086</v>
      </c>
      <c r="AK123" s="431">
        <v>143583</v>
      </c>
      <c r="AL123" s="431">
        <v>5377039</v>
      </c>
      <c r="AM123" s="431">
        <v>80866</v>
      </c>
    </row>
    <row r="124" spans="1:39" s="155" customFormat="1" ht="12" x14ac:dyDescent="0.2">
      <c r="A124" s="168">
        <v>70</v>
      </c>
      <c r="B124" s="229">
        <v>26653</v>
      </c>
      <c r="C124" s="190" t="s">
        <v>2555</v>
      </c>
      <c r="D124" s="464">
        <f t="shared" si="15"/>
        <v>7385091</v>
      </c>
      <c r="E124" s="431">
        <v>5117061</v>
      </c>
      <c r="F124" s="431">
        <v>2725532</v>
      </c>
      <c r="G124" s="431">
        <v>7639</v>
      </c>
      <c r="H124" s="431">
        <v>0</v>
      </c>
      <c r="I124" s="431">
        <v>1976231</v>
      </c>
      <c r="J124" s="431">
        <v>100000</v>
      </c>
      <c r="K124" s="431">
        <v>117810</v>
      </c>
      <c r="L124" s="431">
        <v>0</v>
      </c>
      <c r="M124" s="431">
        <v>73989</v>
      </c>
      <c r="N124" s="431">
        <v>0</v>
      </c>
      <c r="O124" s="431">
        <v>0</v>
      </c>
      <c r="P124" s="464">
        <f t="shared" si="16"/>
        <v>6344435</v>
      </c>
      <c r="Q124" s="431">
        <v>2334743</v>
      </c>
      <c r="R124" s="431">
        <v>1823853</v>
      </c>
      <c r="S124" s="431">
        <v>0</v>
      </c>
      <c r="T124" s="431">
        <v>0</v>
      </c>
      <c r="U124" s="431">
        <v>21000</v>
      </c>
      <c r="V124" s="431">
        <v>13218</v>
      </c>
      <c r="W124" s="431">
        <v>0</v>
      </c>
      <c r="X124" s="431">
        <v>216440</v>
      </c>
      <c r="Y124" s="431">
        <v>350000</v>
      </c>
      <c r="Z124" s="431">
        <v>1585181</v>
      </c>
      <c r="AA124" s="431">
        <v>0</v>
      </c>
      <c r="AB124" s="431">
        <v>0</v>
      </c>
      <c r="AC124" s="431">
        <v>788899</v>
      </c>
      <c r="AD124" s="431">
        <v>88129</v>
      </c>
      <c r="AE124" s="431">
        <v>1993518</v>
      </c>
      <c r="AF124" s="431">
        <v>15047</v>
      </c>
      <c r="AG124" s="431">
        <v>454456</v>
      </c>
      <c r="AH124" s="431">
        <v>335994</v>
      </c>
      <c r="AI124" s="431">
        <v>1629063</v>
      </c>
      <c r="AJ124" s="431">
        <v>289342</v>
      </c>
      <c r="AK124" s="431">
        <v>0</v>
      </c>
      <c r="AL124" s="431">
        <v>749987</v>
      </c>
      <c r="AM124" s="431">
        <v>0</v>
      </c>
    </row>
    <row r="125" spans="1:39" s="155" customFormat="1" ht="12" x14ac:dyDescent="0.2">
      <c r="A125" s="168">
        <v>71</v>
      </c>
      <c r="B125" s="229">
        <v>32179</v>
      </c>
      <c r="C125" s="190" t="s">
        <v>2556</v>
      </c>
      <c r="D125" s="464">
        <f t="shared" si="15"/>
        <v>4137501</v>
      </c>
      <c r="E125" s="431">
        <v>1377952</v>
      </c>
      <c r="F125" s="431">
        <v>106346</v>
      </c>
      <c r="G125" s="431">
        <v>636251</v>
      </c>
      <c r="H125" s="431">
        <v>0</v>
      </c>
      <c r="I125" s="431">
        <v>1107666</v>
      </c>
      <c r="J125" s="431">
        <v>0</v>
      </c>
      <c r="K125" s="431">
        <v>754970</v>
      </c>
      <c r="L125" s="431">
        <v>0</v>
      </c>
      <c r="M125" s="431">
        <v>36826</v>
      </c>
      <c r="N125" s="431">
        <v>860087</v>
      </c>
      <c r="O125" s="431">
        <v>0</v>
      </c>
      <c r="P125" s="464">
        <f t="shared" si="16"/>
        <v>4131152</v>
      </c>
      <c r="Q125" s="431">
        <v>1153018</v>
      </c>
      <c r="R125" s="431">
        <v>834255</v>
      </c>
      <c r="S125" s="431">
        <v>0</v>
      </c>
      <c r="T125" s="431">
        <v>0</v>
      </c>
      <c r="U125" s="431">
        <v>0</v>
      </c>
      <c r="V125" s="431">
        <v>0</v>
      </c>
      <c r="W125" s="431">
        <v>860087</v>
      </c>
      <c r="X125" s="431">
        <v>179052</v>
      </c>
      <c r="Y125" s="431">
        <v>149790</v>
      </c>
      <c r="Z125" s="431">
        <v>955668</v>
      </c>
      <c r="AA125" s="431">
        <v>0</v>
      </c>
      <c r="AB125" s="431">
        <v>-718</v>
      </c>
      <c r="AC125" s="431">
        <v>742627</v>
      </c>
      <c r="AD125" s="431">
        <v>4447</v>
      </c>
      <c r="AE125" s="431">
        <v>1106089</v>
      </c>
      <c r="AF125" s="431">
        <v>0</v>
      </c>
      <c r="AG125" s="431">
        <v>1051739</v>
      </c>
      <c r="AH125" s="431">
        <v>179052</v>
      </c>
      <c r="AI125" s="431">
        <v>89790</v>
      </c>
      <c r="AJ125" s="431">
        <v>0</v>
      </c>
      <c r="AK125" s="431">
        <v>0</v>
      </c>
      <c r="AL125" s="431">
        <v>957408</v>
      </c>
      <c r="AM125" s="431">
        <v>0</v>
      </c>
    </row>
    <row r="126" spans="1:39" s="155" customFormat="1" ht="12" x14ac:dyDescent="0.2">
      <c r="A126" s="168">
        <v>72</v>
      </c>
      <c r="B126" s="229">
        <v>31128</v>
      </c>
      <c r="C126" s="190" t="s">
        <v>2557</v>
      </c>
      <c r="D126" s="464">
        <f t="shared" si="15"/>
        <v>3936421</v>
      </c>
      <c r="E126" s="431">
        <v>1293815</v>
      </c>
      <c r="F126" s="431">
        <v>161438</v>
      </c>
      <c r="G126" s="431">
        <v>687048</v>
      </c>
      <c r="H126" s="431">
        <v>0</v>
      </c>
      <c r="I126" s="431">
        <v>1070367</v>
      </c>
      <c r="J126" s="431">
        <v>0</v>
      </c>
      <c r="K126" s="431">
        <v>742090</v>
      </c>
      <c r="L126" s="431">
        <v>0</v>
      </c>
      <c r="M126" s="431">
        <v>803149</v>
      </c>
      <c r="N126" s="431">
        <v>0</v>
      </c>
      <c r="O126" s="431">
        <v>27000</v>
      </c>
      <c r="P126" s="464">
        <f t="shared" si="16"/>
        <v>3652045</v>
      </c>
      <c r="Q126" s="431">
        <v>1129594</v>
      </c>
      <c r="R126" s="431">
        <v>864165</v>
      </c>
      <c r="S126" s="431">
        <v>0</v>
      </c>
      <c r="T126" s="431">
        <v>0</v>
      </c>
      <c r="U126" s="431">
        <v>0</v>
      </c>
      <c r="V126" s="431">
        <v>0</v>
      </c>
      <c r="W126" s="431">
        <v>0</v>
      </c>
      <c r="X126" s="431">
        <v>248285</v>
      </c>
      <c r="Y126" s="431">
        <v>26000</v>
      </c>
      <c r="Z126" s="431">
        <v>1384001</v>
      </c>
      <c r="AA126" s="431">
        <v>0</v>
      </c>
      <c r="AB126" s="431">
        <v>0</v>
      </c>
      <c r="AC126" s="431">
        <v>631726</v>
      </c>
      <c r="AD126" s="431">
        <v>0</v>
      </c>
      <c r="AE126" s="431">
        <v>1003304</v>
      </c>
      <c r="AF126" s="431">
        <v>0</v>
      </c>
      <c r="AG126" s="431">
        <v>76996</v>
      </c>
      <c r="AH126" s="431">
        <v>289894</v>
      </c>
      <c r="AI126" s="431">
        <v>368273</v>
      </c>
      <c r="AJ126" s="431">
        <v>0</v>
      </c>
      <c r="AK126" s="431">
        <v>0</v>
      </c>
      <c r="AL126" s="431">
        <v>1252219</v>
      </c>
      <c r="AM126" s="431">
        <v>29633</v>
      </c>
    </row>
    <row r="127" spans="1:39" s="155" customFormat="1" ht="12" x14ac:dyDescent="0.2">
      <c r="A127" s="168">
        <v>73</v>
      </c>
      <c r="B127" s="229">
        <v>31208</v>
      </c>
      <c r="C127" s="190" t="s">
        <v>2558</v>
      </c>
      <c r="D127" s="464">
        <f t="shared" si="15"/>
        <v>5887062</v>
      </c>
      <c r="E127" s="431">
        <v>1016870</v>
      </c>
      <c r="F127" s="431">
        <v>73685</v>
      </c>
      <c r="G127" s="431">
        <v>760054</v>
      </c>
      <c r="H127" s="431">
        <v>0</v>
      </c>
      <c r="I127" s="431">
        <v>692677</v>
      </c>
      <c r="J127" s="431">
        <v>0</v>
      </c>
      <c r="K127" s="431">
        <v>524340</v>
      </c>
      <c r="L127" s="431">
        <v>0</v>
      </c>
      <c r="M127" s="431">
        <v>1705647</v>
      </c>
      <c r="N127" s="431">
        <v>1929540</v>
      </c>
      <c r="O127" s="431">
        <v>17988</v>
      </c>
      <c r="P127" s="464">
        <f t="shared" si="16"/>
        <v>5810564</v>
      </c>
      <c r="Q127" s="431">
        <v>1023767</v>
      </c>
      <c r="R127" s="431">
        <v>765804</v>
      </c>
      <c r="S127" s="431">
        <v>27712</v>
      </c>
      <c r="T127" s="431">
        <v>0</v>
      </c>
      <c r="U127" s="431">
        <v>0</v>
      </c>
      <c r="V127" s="431">
        <v>95000</v>
      </c>
      <c r="W127" s="431">
        <v>473591</v>
      </c>
      <c r="X127" s="431">
        <v>72459</v>
      </c>
      <c r="Y127" s="431">
        <v>0</v>
      </c>
      <c r="Z127" s="431">
        <v>1274655</v>
      </c>
      <c r="AA127" s="431">
        <v>2079164</v>
      </c>
      <c r="AB127" s="431">
        <v>-1588</v>
      </c>
      <c r="AC127" s="431">
        <v>998937</v>
      </c>
      <c r="AD127" s="431">
        <v>17021</v>
      </c>
      <c r="AE127" s="431">
        <v>577223</v>
      </c>
      <c r="AF127" s="431">
        <v>68637</v>
      </c>
      <c r="AG127" s="431">
        <v>1033432</v>
      </c>
      <c r="AH127" s="431">
        <v>167542</v>
      </c>
      <c r="AI127" s="431">
        <v>80567</v>
      </c>
      <c r="AJ127" s="431">
        <v>0</v>
      </c>
      <c r="AK127" s="431">
        <v>0</v>
      </c>
      <c r="AL127" s="431">
        <v>1270465</v>
      </c>
      <c r="AM127" s="431">
        <v>1596740</v>
      </c>
    </row>
    <row r="128" spans="1:39" s="155" customFormat="1" ht="12" x14ac:dyDescent="0.2">
      <c r="A128" s="168">
        <v>74</v>
      </c>
      <c r="B128" s="229">
        <v>31262</v>
      </c>
      <c r="C128" s="190" t="s">
        <v>2559</v>
      </c>
      <c r="D128" s="464">
        <f t="shared" si="15"/>
        <v>11750341</v>
      </c>
      <c r="E128" s="431">
        <v>5709347</v>
      </c>
      <c r="F128" s="431">
        <v>4560029</v>
      </c>
      <c r="G128" s="431">
        <v>80713</v>
      </c>
      <c r="H128" s="431">
        <v>0</v>
      </c>
      <c r="I128" s="431">
        <v>4306930</v>
      </c>
      <c r="J128" s="431">
        <v>100000</v>
      </c>
      <c r="K128" s="431">
        <v>229520</v>
      </c>
      <c r="L128" s="431">
        <v>0</v>
      </c>
      <c r="M128" s="431">
        <v>366211</v>
      </c>
      <c r="N128" s="431">
        <v>950553</v>
      </c>
      <c r="O128" s="431">
        <v>87780</v>
      </c>
      <c r="P128" s="464">
        <f t="shared" si="16"/>
        <v>10781032</v>
      </c>
      <c r="Q128" s="431">
        <v>4510694</v>
      </c>
      <c r="R128" s="431">
        <v>3352250</v>
      </c>
      <c r="S128" s="431">
        <v>0</v>
      </c>
      <c r="T128" s="431">
        <v>0</v>
      </c>
      <c r="U128" s="431">
        <v>0</v>
      </c>
      <c r="V128" s="431">
        <v>20000</v>
      </c>
      <c r="W128" s="431">
        <v>655546</v>
      </c>
      <c r="X128" s="431">
        <v>395470</v>
      </c>
      <c r="Y128" s="431">
        <v>566270</v>
      </c>
      <c r="Z128" s="431">
        <v>1280802</v>
      </c>
      <c r="AA128" s="431">
        <v>0</v>
      </c>
      <c r="AB128" s="431">
        <v>0</v>
      </c>
      <c r="AC128" s="431">
        <v>1340991</v>
      </c>
      <c r="AD128" s="431">
        <v>143697</v>
      </c>
      <c r="AE128" s="431">
        <v>4183935</v>
      </c>
      <c r="AF128" s="431">
        <v>32380</v>
      </c>
      <c r="AG128" s="431">
        <v>1350177</v>
      </c>
      <c r="AH128" s="431">
        <v>596721</v>
      </c>
      <c r="AI128" s="431">
        <v>1192567</v>
      </c>
      <c r="AJ128" s="431">
        <v>56595</v>
      </c>
      <c r="AK128" s="431">
        <v>0</v>
      </c>
      <c r="AL128" s="431">
        <v>1400325</v>
      </c>
      <c r="AM128" s="431">
        <v>483644</v>
      </c>
    </row>
    <row r="129" spans="1:39" s="155" customFormat="1" ht="12" x14ac:dyDescent="0.2">
      <c r="A129" s="168">
        <v>75</v>
      </c>
      <c r="B129" s="229">
        <v>31333</v>
      </c>
      <c r="C129" s="190" t="s">
        <v>552</v>
      </c>
      <c r="D129" s="464">
        <f t="shared" si="15"/>
        <v>5178827</v>
      </c>
      <c r="E129" s="431">
        <v>1391384</v>
      </c>
      <c r="F129" s="431">
        <v>184685</v>
      </c>
      <c r="G129" s="431">
        <v>652569</v>
      </c>
      <c r="H129" s="431">
        <v>0</v>
      </c>
      <c r="I129" s="431">
        <v>1744895</v>
      </c>
      <c r="J129" s="431">
        <v>100000</v>
      </c>
      <c r="K129" s="431">
        <v>978610</v>
      </c>
      <c r="L129" s="431">
        <v>0</v>
      </c>
      <c r="M129" s="431">
        <v>678708</v>
      </c>
      <c r="N129" s="431">
        <v>216271</v>
      </c>
      <c r="O129" s="431">
        <v>68959</v>
      </c>
      <c r="P129" s="464">
        <f t="shared" si="16"/>
        <v>4735391</v>
      </c>
      <c r="Q129" s="431">
        <v>2032710</v>
      </c>
      <c r="R129" s="431">
        <v>663676</v>
      </c>
      <c r="S129" s="431">
        <v>0</v>
      </c>
      <c r="T129" s="431">
        <v>0</v>
      </c>
      <c r="U129" s="431">
        <v>0</v>
      </c>
      <c r="V129" s="431">
        <v>0</v>
      </c>
      <c r="W129" s="431">
        <v>601392</v>
      </c>
      <c r="X129" s="431">
        <v>82725</v>
      </c>
      <c r="Y129" s="431">
        <v>0</v>
      </c>
      <c r="Z129" s="431">
        <v>1367796</v>
      </c>
      <c r="AA129" s="431">
        <v>0</v>
      </c>
      <c r="AB129" s="431">
        <v>-12908</v>
      </c>
      <c r="AC129" s="431">
        <v>512657</v>
      </c>
      <c r="AD129" s="431">
        <v>30949</v>
      </c>
      <c r="AE129" s="431">
        <v>2055657</v>
      </c>
      <c r="AF129" s="431">
        <v>0</v>
      </c>
      <c r="AG129" s="431">
        <v>187457</v>
      </c>
      <c r="AH129" s="431">
        <v>290599</v>
      </c>
      <c r="AI129" s="431">
        <v>456958</v>
      </c>
      <c r="AJ129" s="431">
        <v>0</v>
      </c>
      <c r="AK129" s="431">
        <v>0</v>
      </c>
      <c r="AL129" s="431">
        <v>1201114</v>
      </c>
      <c r="AM129" s="431">
        <v>0</v>
      </c>
    </row>
    <row r="130" spans="1:39" s="155" customFormat="1" ht="12" x14ac:dyDescent="0.2">
      <c r="A130" s="168">
        <v>76</v>
      </c>
      <c r="B130" s="229">
        <v>31379</v>
      </c>
      <c r="C130" s="190" t="s">
        <v>2560</v>
      </c>
      <c r="D130" s="464">
        <f t="shared" si="15"/>
        <v>3173423</v>
      </c>
      <c r="E130" s="431">
        <v>809761</v>
      </c>
      <c r="F130" s="431">
        <v>53204</v>
      </c>
      <c r="G130" s="431">
        <v>585330</v>
      </c>
      <c r="H130" s="431">
        <v>0</v>
      </c>
      <c r="I130" s="431">
        <v>719805</v>
      </c>
      <c r="J130" s="431">
        <v>100000</v>
      </c>
      <c r="K130" s="431">
        <v>524490</v>
      </c>
      <c r="L130" s="431">
        <v>0</v>
      </c>
      <c r="M130" s="431">
        <v>1019367</v>
      </c>
      <c r="N130" s="431">
        <v>0</v>
      </c>
      <c r="O130" s="431">
        <v>0</v>
      </c>
      <c r="P130" s="464">
        <f t="shared" si="16"/>
        <v>2383814</v>
      </c>
      <c r="Q130" s="431">
        <v>993189</v>
      </c>
      <c r="R130" s="431">
        <v>796508</v>
      </c>
      <c r="S130" s="431">
        <v>0</v>
      </c>
      <c r="T130" s="431">
        <v>0</v>
      </c>
      <c r="U130" s="431">
        <v>0</v>
      </c>
      <c r="V130" s="431">
        <v>0</v>
      </c>
      <c r="W130" s="431">
        <v>323977</v>
      </c>
      <c r="X130" s="431">
        <v>20538</v>
      </c>
      <c r="Y130" s="431">
        <v>6000</v>
      </c>
      <c r="Z130" s="431">
        <v>243602</v>
      </c>
      <c r="AA130" s="431">
        <v>0</v>
      </c>
      <c r="AB130" s="431">
        <v>0</v>
      </c>
      <c r="AC130" s="431">
        <v>424898</v>
      </c>
      <c r="AD130" s="431">
        <v>8944</v>
      </c>
      <c r="AE130" s="431">
        <v>654851</v>
      </c>
      <c r="AF130" s="431">
        <v>0</v>
      </c>
      <c r="AG130" s="431">
        <v>38507</v>
      </c>
      <c r="AH130" s="431">
        <v>224004</v>
      </c>
      <c r="AI130" s="431">
        <v>11784</v>
      </c>
      <c r="AJ130" s="431">
        <v>0</v>
      </c>
      <c r="AK130" s="431">
        <v>0</v>
      </c>
      <c r="AL130" s="431">
        <v>1008545</v>
      </c>
      <c r="AM130" s="431">
        <v>12281</v>
      </c>
    </row>
    <row r="131" spans="1:39" s="155" customFormat="1" ht="12" x14ac:dyDescent="0.2">
      <c r="A131" s="168">
        <v>77</v>
      </c>
      <c r="B131" s="229">
        <v>31422</v>
      </c>
      <c r="C131" s="190" t="s">
        <v>2561</v>
      </c>
      <c r="D131" s="464">
        <f t="shared" si="15"/>
        <v>8941906</v>
      </c>
      <c r="E131" s="431">
        <v>1667203</v>
      </c>
      <c r="F131" s="431">
        <v>262806</v>
      </c>
      <c r="G131" s="431">
        <v>490706</v>
      </c>
      <c r="H131" s="431">
        <v>0</v>
      </c>
      <c r="I131" s="431">
        <v>1468020</v>
      </c>
      <c r="J131" s="431">
        <v>99595</v>
      </c>
      <c r="K131" s="431">
        <v>684910</v>
      </c>
      <c r="L131" s="431">
        <v>0</v>
      </c>
      <c r="M131" s="431">
        <v>2030865</v>
      </c>
      <c r="N131" s="431">
        <v>2991313</v>
      </c>
      <c r="O131" s="431">
        <v>0</v>
      </c>
      <c r="P131" s="464">
        <f t="shared" si="16"/>
        <v>11852455</v>
      </c>
      <c r="Q131" s="431">
        <v>1462765</v>
      </c>
      <c r="R131" s="431">
        <v>800528</v>
      </c>
      <c r="S131" s="431">
        <v>0</v>
      </c>
      <c r="T131" s="431">
        <v>0</v>
      </c>
      <c r="U131" s="431">
        <v>18106</v>
      </c>
      <c r="V131" s="431">
        <v>562</v>
      </c>
      <c r="W131" s="431">
        <v>2601240</v>
      </c>
      <c r="X131" s="431">
        <v>331165</v>
      </c>
      <c r="Y131" s="431">
        <v>9999</v>
      </c>
      <c r="Z131" s="431">
        <v>2981261</v>
      </c>
      <c r="AA131" s="431">
        <v>3668440</v>
      </c>
      <c r="AB131" s="431">
        <v>-21611</v>
      </c>
      <c r="AC131" s="431">
        <v>568672</v>
      </c>
      <c r="AD131" s="431">
        <v>0</v>
      </c>
      <c r="AE131" s="431">
        <v>1054536</v>
      </c>
      <c r="AF131" s="431">
        <v>0</v>
      </c>
      <c r="AG131" s="431">
        <v>9999</v>
      </c>
      <c r="AH131" s="431">
        <v>449999</v>
      </c>
      <c r="AI131" s="431">
        <v>2187741</v>
      </c>
      <c r="AJ131" s="431">
        <v>79158</v>
      </c>
      <c r="AK131" s="431">
        <v>0</v>
      </c>
      <c r="AL131" s="431">
        <v>7498350</v>
      </c>
      <c r="AM131" s="431">
        <v>4000</v>
      </c>
    </row>
    <row r="132" spans="1:39" s="155" customFormat="1" ht="12" x14ac:dyDescent="0.2">
      <c r="A132" s="168">
        <v>78</v>
      </c>
      <c r="B132" s="229">
        <v>31510</v>
      </c>
      <c r="C132" s="190" t="s">
        <v>2562</v>
      </c>
      <c r="D132" s="464">
        <f t="shared" si="15"/>
        <v>9085751</v>
      </c>
      <c r="E132" s="431">
        <v>1800504</v>
      </c>
      <c r="F132" s="431">
        <v>435702</v>
      </c>
      <c r="G132" s="431">
        <v>507586</v>
      </c>
      <c r="H132" s="431">
        <v>0</v>
      </c>
      <c r="I132" s="431">
        <v>3315392</v>
      </c>
      <c r="J132" s="431">
        <v>100000</v>
      </c>
      <c r="K132" s="431">
        <v>765370</v>
      </c>
      <c r="L132" s="431">
        <v>0</v>
      </c>
      <c r="M132" s="431">
        <v>3074485</v>
      </c>
      <c r="N132" s="431">
        <v>0</v>
      </c>
      <c r="O132" s="431">
        <v>30000</v>
      </c>
      <c r="P132" s="464">
        <f t="shared" si="16"/>
        <v>8346975</v>
      </c>
      <c r="Q132" s="431">
        <v>3362655</v>
      </c>
      <c r="R132" s="431">
        <v>1267352</v>
      </c>
      <c r="S132" s="431">
        <v>0</v>
      </c>
      <c r="T132" s="431">
        <v>0</v>
      </c>
      <c r="U132" s="431">
        <v>20000</v>
      </c>
      <c r="V132" s="431">
        <v>0</v>
      </c>
      <c r="W132" s="431">
        <v>0</v>
      </c>
      <c r="X132" s="431">
        <v>147120</v>
      </c>
      <c r="Y132" s="431">
        <v>69000</v>
      </c>
      <c r="Z132" s="431">
        <v>3962958</v>
      </c>
      <c r="AA132" s="431">
        <v>0</v>
      </c>
      <c r="AB132" s="431">
        <v>-482110</v>
      </c>
      <c r="AC132" s="431">
        <v>778825</v>
      </c>
      <c r="AD132" s="431">
        <v>95659</v>
      </c>
      <c r="AE132" s="431">
        <v>2936276</v>
      </c>
      <c r="AF132" s="431">
        <v>20843</v>
      </c>
      <c r="AG132" s="431">
        <v>167196</v>
      </c>
      <c r="AH132" s="431">
        <v>493823</v>
      </c>
      <c r="AI132" s="431">
        <v>2897605</v>
      </c>
      <c r="AJ132" s="431">
        <v>0</v>
      </c>
      <c r="AK132" s="431">
        <v>0</v>
      </c>
      <c r="AL132" s="431">
        <v>956748</v>
      </c>
      <c r="AM132" s="431">
        <v>0</v>
      </c>
    </row>
    <row r="133" spans="1:39" s="155" customFormat="1" ht="12" x14ac:dyDescent="0.2">
      <c r="A133" s="168">
        <v>79</v>
      </c>
      <c r="B133" s="229">
        <v>31565</v>
      </c>
      <c r="C133" s="190" t="s">
        <v>2563</v>
      </c>
      <c r="D133" s="464">
        <f t="shared" si="15"/>
        <v>5089261</v>
      </c>
      <c r="E133" s="431">
        <v>1378706</v>
      </c>
      <c r="F133" s="431">
        <v>253484</v>
      </c>
      <c r="G133" s="431">
        <v>470476</v>
      </c>
      <c r="H133" s="431">
        <v>0</v>
      </c>
      <c r="I133" s="431">
        <v>1668091</v>
      </c>
      <c r="J133" s="431">
        <v>90000</v>
      </c>
      <c r="K133" s="431">
        <v>579060</v>
      </c>
      <c r="L133" s="431">
        <v>0</v>
      </c>
      <c r="M133" s="431">
        <v>56009</v>
      </c>
      <c r="N133" s="431">
        <v>1279295</v>
      </c>
      <c r="O133" s="431">
        <v>38100</v>
      </c>
      <c r="P133" s="464">
        <f t="shared" si="16"/>
        <v>6406317</v>
      </c>
      <c r="Q133" s="431">
        <v>1858444</v>
      </c>
      <c r="R133" s="431">
        <v>754190</v>
      </c>
      <c r="S133" s="431">
        <v>0</v>
      </c>
      <c r="T133" s="431">
        <v>0</v>
      </c>
      <c r="U133" s="431">
        <v>0</v>
      </c>
      <c r="V133" s="431">
        <v>0</v>
      </c>
      <c r="W133" s="431">
        <v>3576503</v>
      </c>
      <c r="X133" s="431">
        <v>132610</v>
      </c>
      <c r="Y133" s="431">
        <v>20000</v>
      </c>
      <c r="Z133" s="431">
        <v>175376</v>
      </c>
      <c r="AA133" s="431">
        <v>0</v>
      </c>
      <c r="AB133" s="431">
        <v>-110806</v>
      </c>
      <c r="AC133" s="431">
        <v>641470</v>
      </c>
      <c r="AD133" s="431">
        <v>130647</v>
      </c>
      <c r="AE133" s="431">
        <v>1731285</v>
      </c>
      <c r="AF133" s="431">
        <v>2609</v>
      </c>
      <c r="AG133" s="431">
        <v>162922</v>
      </c>
      <c r="AH133" s="431">
        <v>259476</v>
      </c>
      <c r="AI133" s="431">
        <v>97835</v>
      </c>
      <c r="AJ133" s="431">
        <v>0</v>
      </c>
      <c r="AK133" s="431">
        <v>0</v>
      </c>
      <c r="AL133" s="431">
        <v>3380073</v>
      </c>
      <c r="AM133" s="431">
        <v>0</v>
      </c>
    </row>
    <row r="134" spans="1:39" s="155" customFormat="1" ht="12" x14ac:dyDescent="0.2">
      <c r="A134" s="168">
        <v>80</v>
      </c>
      <c r="B134" s="229">
        <v>32153</v>
      </c>
      <c r="C134" s="190" t="s">
        <v>2564</v>
      </c>
      <c r="D134" s="464">
        <f t="shared" si="15"/>
        <v>4807426</v>
      </c>
      <c r="E134" s="431">
        <v>1346679</v>
      </c>
      <c r="F134" s="431">
        <v>254596</v>
      </c>
      <c r="G134" s="431">
        <v>536794</v>
      </c>
      <c r="H134" s="431">
        <v>0</v>
      </c>
      <c r="I134" s="431">
        <v>1359774</v>
      </c>
      <c r="J134" s="431">
        <v>99385</v>
      </c>
      <c r="K134" s="431">
        <v>492130</v>
      </c>
      <c r="L134" s="431">
        <v>0</v>
      </c>
      <c r="M134" s="431">
        <v>348867</v>
      </c>
      <c r="N134" s="431">
        <v>1130077</v>
      </c>
      <c r="O134" s="431">
        <v>30514</v>
      </c>
      <c r="P134" s="464">
        <f t="shared" si="16"/>
        <v>4404229</v>
      </c>
      <c r="Q134" s="431">
        <v>1572409</v>
      </c>
      <c r="R134" s="431">
        <v>1160283</v>
      </c>
      <c r="S134" s="431">
        <v>0</v>
      </c>
      <c r="T134" s="431">
        <v>0</v>
      </c>
      <c r="U134" s="431">
        <v>0</v>
      </c>
      <c r="V134" s="431">
        <v>90000</v>
      </c>
      <c r="W134" s="431">
        <v>1251680</v>
      </c>
      <c r="X134" s="431">
        <v>85806</v>
      </c>
      <c r="Y134" s="431">
        <v>60000</v>
      </c>
      <c r="Z134" s="431">
        <v>192459</v>
      </c>
      <c r="AA134" s="431">
        <v>0</v>
      </c>
      <c r="AB134" s="431">
        <v>-8408</v>
      </c>
      <c r="AC134" s="431">
        <v>851372</v>
      </c>
      <c r="AD134" s="431">
        <v>148550</v>
      </c>
      <c r="AE134" s="431">
        <v>1250472</v>
      </c>
      <c r="AF134" s="431">
        <v>25840</v>
      </c>
      <c r="AG134" s="431">
        <v>322593</v>
      </c>
      <c r="AH134" s="431">
        <v>244791</v>
      </c>
      <c r="AI134" s="431">
        <v>132736</v>
      </c>
      <c r="AJ134" s="431">
        <v>0</v>
      </c>
      <c r="AK134" s="431">
        <v>0</v>
      </c>
      <c r="AL134" s="431">
        <v>1427875</v>
      </c>
      <c r="AM134" s="431">
        <v>0</v>
      </c>
    </row>
    <row r="135" spans="1:39" s="155" customFormat="1" ht="12" x14ac:dyDescent="0.2">
      <c r="A135" s="168">
        <v>81</v>
      </c>
      <c r="B135" s="229">
        <v>31609</v>
      </c>
      <c r="C135" s="190" t="s">
        <v>2565</v>
      </c>
      <c r="D135" s="464">
        <f t="shared" si="15"/>
        <v>4252531</v>
      </c>
      <c r="E135" s="431">
        <v>1186325</v>
      </c>
      <c r="F135" s="431">
        <v>133015</v>
      </c>
      <c r="G135" s="431">
        <v>795970</v>
      </c>
      <c r="H135" s="431">
        <v>0</v>
      </c>
      <c r="I135" s="431">
        <v>1446800</v>
      </c>
      <c r="J135" s="431">
        <v>0</v>
      </c>
      <c r="K135" s="431">
        <v>602290</v>
      </c>
      <c r="L135" s="431">
        <v>0</v>
      </c>
      <c r="M135" s="431">
        <v>970784</v>
      </c>
      <c r="N135" s="431">
        <v>0</v>
      </c>
      <c r="O135" s="431">
        <v>46332</v>
      </c>
      <c r="P135" s="464">
        <f t="shared" si="16"/>
        <v>4399013</v>
      </c>
      <c r="Q135" s="431">
        <v>1712391</v>
      </c>
      <c r="R135" s="431">
        <v>1182891</v>
      </c>
      <c r="S135" s="431">
        <v>0</v>
      </c>
      <c r="T135" s="431">
        <v>0</v>
      </c>
      <c r="U135" s="431">
        <v>0</v>
      </c>
      <c r="V135" s="431">
        <v>0</v>
      </c>
      <c r="W135" s="431">
        <v>0</v>
      </c>
      <c r="X135" s="431">
        <v>77045</v>
      </c>
      <c r="Y135" s="431">
        <v>20000</v>
      </c>
      <c r="Z135" s="431">
        <v>1406686</v>
      </c>
      <c r="AA135" s="431">
        <v>0</v>
      </c>
      <c r="AB135" s="431">
        <v>0</v>
      </c>
      <c r="AC135" s="431">
        <v>518363</v>
      </c>
      <c r="AD135" s="431">
        <v>58822</v>
      </c>
      <c r="AE135" s="431">
        <v>1210148</v>
      </c>
      <c r="AF135" s="431">
        <v>9813</v>
      </c>
      <c r="AG135" s="431">
        <v>173654</v>
      </c>
      <c r="AH135" s="431">
        <v>336971</v>
      </c>
      <c r="AI135" s="431">
        <v>325953</v>
      </c>
      <c r="AJ135" s="431">
        <v>0</v>
      </c>
      <c r="AK135" s="431">
        <v>0</v>
      </c>
      <c r="AL135" s="431">
        <v>1723098</v>
      </c>
      <c r="AM135" s="431">
        <v>42191</v>
      </c>
    </row>
    <row r="136" spans="1:39" s="155" customFormat="1" ht="12" x14ac:dyDescent="0.2">
      <c r="A136" s="168">
        <v>82</v>
      </c>
      <c r="B136" s="229">
        <v>31654</v>
      </c>
      <c r="C136" s="190" t="s">
        <v>2566</v>
      </c>
      <c r="D136" s="464">
        <f t="shared" si="15"/>
        <v>6559964</v>
      </c>
      <c r="E136" s="431">
        <v>1240512</v>
      </c>
      <c r="F136" s="431">
        <v>261887</v>
      </c>
      <c r="G136" s="431">
        <v>320388</v>
      </c>
      <c r="H136" s="431">
        <v>0</v>
      </c>
      <c r="I136" s="431">
        <v>2404567</v>
      </c>
      <c r="J136" s="431">
        <v>100000</v>
      </c>
      <c r="K136" s="431">
        <v>1151710</v>
      </c>
      <c r="L136" s="431">
        <v>0</v>
      </c>
      <c r="M136" s="431">
        <v>1380370</v>
      </c>
      <c r="N136" s="431">
        <v>282805</v>
      </c>
      <c r="O136" s="431">
        <v>0</v>
      </c>
      <c r="P136" s="464">
        <f t="shared" si="16"/>
        <v>6501886</v>
      </c>
      <c r="Q136" s="431">
        <v>2580715</v>
      </c>
      <c r="R136" s="431">
        <v>1533178</v>
      </c>
      <c r="S136" s="431">
        <v>0</v>
      </c>
      <c r="T136" s="431">
        <v>0</v>
      </c>
      <c r="U136" s="431">
        <v>0</v>
      </c>
      <c r="V136" s="431">
        <v>0</v>
      </c>
      <c r="W136" s="431">
        <v>283898</v>
      </c>
      <c r="X136" s="431">
        <v>335859</v>
      </c>
      <c r="Y136" s="431">
        <v>50700</v>
      </c>
      <c r="Z136" s="431">
        <v>1743903</v>
      </c>
      <c r="AA136" s="431">
        <v>0</v>
      </c>
      <c r="AB136" s="431">
        <v>-26367</v>
      </c>
      <c r="AC136" s="431">
        <v>935244</v>
      </c>
      <c r="AD136" s="431">
        <v>-14084</v>
      </c>
      <c r="AE136" s="431">
        <v>2331281</v>
      </c>
      <c r="AF136" s="431">
        <v>16251</v>
      </c>
      <c r="AG136" s="431">
        <v>344597</v>
      </c>
      <c r="AH136" s="431">
        <v>395859</v>
      </c>
      <c r="AI136" s="431">
        <v>640553</v>
      </c>
      <c r="AJ136" s="431">
        <v>0</v>
      </c>
      <c r="AK136" s="431">
        <v>0</v>
      </c>
      <c r="AL136" s="431">
        <v>1852185</v>
      </c>
      <c r="AM136" s="431">
        <v>0</v>
      </c>
    </row>
    <row r="137" spans="1:39" s="155" customFormat="1" ht="12" x14ac:dyDescent="0.2">
      <c r="A137" s="168">
        <v>83</v>
      </c>
      <c r="B137" s="229">
        <v>31716</v>
      </c>
      <c r="C137" s="190" t="s">
        <v>2567</v>
      </c>
      <c r="D137" s="464">
        <f t="shared" si="15"/>
        <v>8897318</v>
      </c>
      <c r="E137" s="431">
        <v>2613662</v>
      </c>
      <c r="F137" s="431">
        <v>913992</v>
      </c>
      <c r="G137" s="431">
        <v>570769</v>
      </c>
      <c r="H137" s="431">
        <v>0</v>
      </c>
      <c r="I137" s="431">
        <v>3401292</v>
      </c>
      <c r="J137" s="431">
        <v>0</v>
      </c>
      <c r="K137" s="431">
        <v>1715280</v>
      </c>
      <c r="L137" s="431">
        <v>0</v>
      </c>
      <c r="M137" s="431">
        <v>717056</v>
      </c>
      <c r="N137" s="431">
        <v>420328</v>
      </c>
      <c r="O137" s="431">
        <v>29700</v>
      </c>
      <c r="P137" s="464">
        <f t="shared" si="16"/>
        <v>8397604</v>
      </c>
      <c r="Q137" s="431">
        <v>3101545</v>
      </c>
      <c r="R137" s="431">
        <v>2590578</v>
      </c>
      <c r="S137" s="431">
        <v>0</v>
      </c>
      <c r="T137" s="431">
        <v>0</v>
      </c>
      <c r="U137" s="431">
        <v>0</v>
      </c>
      <c r="V137" s="431">
        <v>1920</v>
      </c>
      <c r="W137" s="431">
        <v>300178</v>
      </c>
      <c r="X137" s="431">
        <v>672571</v>
      </c>
      <c r="Y137" s="431">
        <v>183416</v>
      </c>
      <c r="Z137" s="431">
        <v>1549316</v>
      </c>
      <c r="AA137" s="431">
        <v>0</v>
      </c>
      <c r="AB137" s="431">
        <v>-1920</v>
      </c>
      <c r="AC137" s="431">
        <v>713969</v>
      </c>
      <c r="AD137" s="431">
        <v>258757</v>
      </c>
      <c r="AE137" s="431">
        <v>3291303</v>
      </c>
      <c r="AF137" s="431">
        <v>0</v>
      </c>
      <c r="AG137" s="431">
        <v>1033891</v>
      </c>
      <c r="AH137" s="431">
        <v>684379</v>
      </c>
      <c r="AI137" s="431">
        <v>885978</v>
      </c>
      <c r="AJ137" s="431">
        <v>0</v>
      </c>
      <c r="AK137" s="431">
        <v>0</v>
      </c>
      <c r="AL137" s="431">
        <v>1529327</v>
      </c>
      <c r="AM137" s="431">
        <v>0</v>
      </c>
    </row>
    <row r="138" spans="1:39" s="155" customFormat="1" ht="12" x14ac:dyDescent="0.2">
      <c r="A138" s="168">
        <v>84</v>
      </c>
      <c r="B138" s="229">
        <v>31789</v>
      </c>
      <c r="C138" s="190" t="s">
        <v>2568</v>
      </c>
      <c r="D138" s="464">
        <f t="shared" si="15"/>
        <v>13552231</v>
      </c>
      <c r="E138" s="431">
        <v>4009486</v>
      </c>
      <c r="F138" s="431">
        <v>1168012</v>
      </c>
      <c r="G138" s="431">
        <v>701016</v>
      </c>
      <c r="H138" s="431">
        <v>0</v>
      </c>
      <c r="I138" s="431">
        <v>6171398</v>
      </c>
      <c r="J138" s="431">
        <v>100000</v>
      </c>
      <c r="K138" s="431">
        <v>2043670</v>
      </c>
      <c r="L138" s="431">
        <v>0</v>
      </c>
      <c r="M138" s="431">
        <v>395456</v>
      </c>
      <c r="N138" s="431">
        <v>722894</v>
      </c>
      <c r="O138" s="431">
        <v>109327</v>
      </c>
      <c r="P138" s="464">
        <f t="shared" si="16"/>
        <v>11024836</v>
      </c>
      <c r="Q138" s="431">
        <v>5889744</v>
      </c>
      <c r="R138" s="431">
        <v>2253043</v>
      </c>
      <c r="S138" s="431">
        <v>991</v>
      </c>
      <c r="T138" s="431">
        <v>0</v>
      </c>
      <c r="U138" s="431">
        <v>0</v>
      </c>
      <c r="V138" s="431">
        <v>0</v>
      </c>
      <c r="W138" s="431">
        <v>1009642</v>
      </c>
      <c r="X138" s="431">
        <v>857845</v>
      </c>
      <c r="Y138" s="431">
        <v>97000</v>
      </c>
      <c r="Z138" s="431">
        <v>916571</v>
      </c>
      <c r="AA138" s="431">
        <v>0</v>
      </c>
      <c r="AB138" s="431">
        <v>0</v>
      </c>
      <c r="AC138" s="431">
        <v>1415761</v>
      </c>
      <c r="AD138" s="431">
        <v>67780</v>
      </c>
      <c r="AE138" s="431">
        <v>6131819</v>
      </c>
      <c r="AF138" s="431">
        <v>32322</v>
      </c>
      <c r="AG138" s="431">
        <v>277913</v>
      </c>
      <c r="AH138" s="431">
        <v>862986</v>
      </c>
      <c r="AI138" s="431">
        <v>411931</v>
      </c>
      <c r="AJ138" s="431">
        <v>251686</v>
      </c>
      <c r="AK138" s="431">
        <v>0</v>
      </c>
      <c r="AL138" s="431">
        <v>1391577</v>
      </c>
      <c r="AM138" s="431">
        <v>181061</v>
      </c>
    </row>
    <row r="139" spans="1:39" s="155" customFormat="1" ht="12" x14ac:dyDescent="0.2">
      <c r="A139" s="168">
        <v>85</v>
      </c>
      <c r="B139" s="229">
        <v>31841</v>
      </c>
      <c r="C139" s="190" t="s">
        <v>2569</v>
      </c>
      <c r="D139" s="464">
        <f t="shared" si="15"/>
        <v>3627794</v>
      </c>
      <c r="E139" s="431">
        <v>1258302</v>
      </c>
      <c r="F139" s="431">
        <v>141657</v>
      </c>
      <c r="G139" s="431">
        <v>644959</v>
      </c>
      <c r="H139" s="431">
        <v>0</v>
      </c>
      <c r="I139" s="431">
        <v>1444617</v>
      </c>
      <c r="J139" s="431">
        <v>100000</v>
      </c>
      <c r="K139" s="431">
        <v>672270</v>
      </c>
      <c r="L139" s="431">
        <v>0</v>
      </c>
      <c r="M139" s="431">
        <v>16080</v>
      </c>
      <c r="N139" s="431">
        <v>136525</v>
      </c>
      <c r="O139" s="431">
        <v>0</v>
      </c>
      <c r="P139" s="464">
        <f t="shared" si="16"/>
        <v>3597653</v>
      </c>
      <c r="Q139" s="431">
        <v>1679310</v>
      </c>
      <c r="R139" s="431">
        <v>1442096</v>
      </c>
      <c r="S139" s="431">
        <v>0</v>
      </c>
      <c r="T139" s="431">
        <v>0</v>
      </c>
      <c r="U139" s="431">
        <v>94500</v>
      </c>
      <c r="V139" s="431">
        <v>0</v>
      </c>
      <c r="W139" s="431">
        <v>0</v>
      </c>
      <c r="X139" s="431">
        <v>226286</v>
      </c>
      <c r="Y139" s="431">
        <v>0</v>
      </c>
      <c r="Z139" s="431">
        <v>155461</v>
      </c>
      <c r="AA139" s="431">
        <v>0</v>
      </c>
      <c r="AB139" s="431">
        <v>0</v>
      </c>
      <c r="AC139" s="431">
        <v>1363498</v>
      </c>
      <c r="AD139" s="431">
        <v>0</v>
      </c>
      <c r="AE139" s="431">
        <v>1386776</v>
      </c>
      <c r="AF139" s="431">
        <v>0</v>
      </c>
      <c r="AG139" s="431">
        <v>169679</v>
      </c>
      <c r="AH139" s="431">
        <v>269814</v>
      </c>
      <c r="AI139" s="431">
        <v>82737</v>
      </c>
      <c r="AJ139" s="431">
        <v>176274</v>
      </c>
      <c r="AK139" s="431">
        <v>0</v>
      </c>
      <c r="AL139" s="431">
        <v>148875</v>
      </c>
      <c r="AM139" s="431">
        <v>0</v>
      </c>
    </row>
    <row r="140" spans="1:39" s="155" customFormat="1" ht="12" x14ac:dyDescent="0.2">
      <c r="A140" s="168">
        <v>86</v>
      </c>
      <c r="B140" s="229">
        <v>31878</v>
      </c>
      <c r="C140" s="190" t="s">
        <v>2570</v>
      </c>
      <c r="D140" s="464">
        <f t="shared" si="15"/>
        <v>10919452</v>
      </c>
      <c r="E140" s="431">
        <v>2688231</v>
      </c>
      <c r="F140" s="431">
        <v>853015</v>
      </c>
      <c r="G140" s="431">
        <v>174560</v>
      </c>
      <c r="H140" s="431">
        <v>0</v>
      </c>
      <c r="I140" s="431">
        <v>2027277</v>
      </c>
      <c r="J140" s="431">
        <v>0</v>
      </c>
      <c r="K140" s="431">
        <v>580680</v>
      </c>
      <c r="L140" s="431">
        <v>0</v>
      </c>
      <c r="M140" s="431">
        <v>3943599</v>
      </c>
      <c r="N140" s="431">
        <v>1563623</v>
      </c>
      <c r="O140" s="431">
        <v>116042</v>
      </c>
      <c r="P140" s="464">
        <f t="shared" si="16"/>
        <v>10917302</v>
      </c>
      <c r="Q140" s="431">
        <v>2346231</v>
      </c>
      <c r="R140" s="431">
        <v>2211643</v>
      </c>
      <c r="S140" s="431">
        <v>98625</v>
      </c>
      <c r="T140" s="431">
        <v>0</v>
      </c>
      <c r="U140" s="431">
        <v>0</v>
      </c>
      <c r="V140" s="431">
        <v>0</v>
      </c>
      <c r="W140" s="431">
        <v>1619997</v>
      </c>
      <c r="X140" s="431">
        <v>176848</v>
      </c>
      <c r="Y140" s="431">
        <v>126175</v>
      </c>
      <c r="Z140" s="431">
        <v>4206437</v>
      </c>
      <c r="AA140" s="431">
        <v>146667</v>
      </c>
      <c r="AB140" s="431">
        <v>-15321</v>
      </c>
      <c r="AC140" s="431">
        <v>2583772</v>
      </c>
      <c r="AD140" s="431">
        <v>15495</v>
      </c>
      <c r="AE140" s="431">
        <v>1852376</v>
      </c>
      <c r="AF140" s="431">
        <v>39128</v>
      </c>
      <c r="AG140" s="431">
        <v>494083</v>
      </c>
      <c r="AH140" s="431">
        <v>658259</v>
      </c>
      <c r="AI140" s="431">
        <v>1871742</v>
      </c>
      <c r="AJ140" s="431">
        <v>1466587</v>
      </c>
      <c r="AK140" s="431">
        <v>0</v>
      </c>
      <c r="AL140" s="431">
        <v>1883871</v>
      </c>
      <c r="AM140" s="431">
        <v>51989</v>
      </c>
    </row>
    <row r="141" spans="1:39" s="155" customFormat="1" ht="12" x14ac:dyDescent="0.2">
      <c r="A141" s="168">
        <v>87</v>
      </c>
      <c r="B141" s="229">
        <v>31921</v>
      </c>
      <c r="C141" s="190" t="s">
        <v>2571</v>
      </c>
      <c r="D141" s="464">
        <f t="shared" si="15"/>
        <v>4762265</v>
      </c>
      <c r="E141" s="431">
        <v>1330162</v>
      </c>
      <c r="F141" s="431">
        <v>94986</v>
      </c>
      <c r="G141" s="431">
        <v>720061</v>
      </c>
      <c r="H141" s="431">
        <v>0</v>
      </c>
      <c r="I141" s="431">
        <v>1058111</v>
      </c>
      <c r="J141" s="431">
        <v>0</v>
      </c>
      <c r="K141" s="431">
        <v>544200</v>
      </c>
      <c r="L141" s="431">
        <v>0</v>
      </c>
      <c r="M141" s="431">
        <v>720079</v>
      </c>
      <c r="N141" s="431">
        <v>0</v>
      </c>
      <c r="O141" s="431">
        <v>1109713</v>
      </c>
      <c r="P141" s="464">
        <f t="shared" si="16"/>
        <v>5243079</v>
      </c>
      <c r="Q141" s="431">
        <v>1282828</v>
      </c>
      <c r="R141" s="431">
        <v>1381234</v>
      </c>
      <c r="S141" s="431">
        <v>0</v>
      </c>
      <c r="T141" s="431">
        <v>0</v>
      </c>
      <c r="U141" s="431">
        <v>0</v>
      </c>
      <c r="V141" s="431">
        <v>0</v>
      </c>
      <c r="W141" s="431">
        <v>0</v>
      </c>
      <c r="X141" s="431">
        <v>79787</v>
      </c>
      <c r="Y141" s="431">
        <v>40500</v>
      </c>
      <c r="Z141" s="431">
        <v>2586421</v>
      </c>
      <c r="AA141" s="431">
        <v>0</v>
      </c>
      <c r="AB141" s="431">
        <v>-127691</v>
      </c>
      <c r="AC141" s="431">
        <v>583563</v>
      </c>
      <c r="AD141" s="431">
        <v>104656</v>
      </c>
      <c r="AE141" s="431">
        <v>949305</v>
      </c>
      <c r="AF141" s="431">
        <v>17860</v>
      </c>
      <c r="AG141" s="431">
        <v>404844</v>
      </c>
      <c r="AH141" s="431">
        <v>234244</v>
      </c>
      <c r="AI141" s="431">
        <v>788050</v>
      </c>
      <c r="AJ141" s="431">
        <v>1852215</v>
      </c>
      <c r="AK141" s="431">
        <v>0</v>
      </c>
      <c r="AL141" s="431">
        <v>308342</v>
      </c>
      <c r="AM141" s="431">
        <v>0</v>
      </c>
    </row>
    <row r="142" spans="1:39" s="155" customFormat="1" ht="12" x14ac:dyDescent="0.2">
      <c r="A142" s="168">
        <v>88</v>
      </c>
      <c r="B142" s="229">
        <v>31976</v>
      </c>
      <c r="C142" s="190" t="s">
        <v>2572</v>
      </c>
      <c r="D142" s="464">
        <f t="shared" si="15"/>
        <v>10893597</v>
      </c>
      <c r="E142" s="431">
        <v>2169096</v>
      </c>
      <c r="F142" s="431">
        <v>875790</v>
      </c>
      <c r="G142" s="431">
        <v>390812</v>
      </c>
      <c r="H142" s="431">
        <v>0</v>
      </c>
      <c r="I142" s="431">
        <v>4352923</v>
      </c>
      <c r="J142" s="431">
        <v>100000</v>
      </c>
      <c r="K142" s="431">
        <v>1024000</v>
      </c>
      <c r="L142" s="431">
        <v>0</v>
      </c>
      <c r="M142" s="431">
        <v>3247578</v>
      </c>
      <c r="N142" s="431">
        <v>0</v>
      </c>
      <c r="O142" s="431">
        <v>0</v>
      </c>
      <c r="P142" s="464">
        <f t="shared" si="16"/>
        <v>10884243</v>
      </c>
      <c r="Q142" s="431">
        <v>4259131</v>
      </c>
      <c r="R142" s="431">
        <v>2001934</v>
      </c>
      <c r="S142" s="431">
        <v>0</v>
      </c>
      <c r="T142" s="431">
        <v>0</v>
      </c>
      <c r="U142" s="431">
        <v>0</v>
      </c>
      <c r="V142" s="431">
        <v>0</v>
      </c>
      <c r="W142" s="431">
        <v>0</v>
      </c>
      <c r="X142" s="431">
        <v>294085</v>
      </c>
      <c r="Y142" s="431">
        <v>102600</v>
      </c>
      <c r="Z142" s="431">
        <v>4265614</v>
      </c>
      <c r="AA142" s="431">
        <v>0</v>
      </c>
      <c r="AB142" s="431">
        <v>-39121</v>
      </c>
      <c r="AC142" s="431">
        <v>803505</v>
      </c>
      <c r="AD142" s="431">
        <v>180054</v>
      </c>
      <c r="AE142" s="431">
        <v>4027672</v>
      </c>
      <c r="AF142" s="431">
        <v>54349</v>
      </c>
      <c r="AG142" s="431">
        <v>361172</v>
      </c>
      <c r="AH142" s="431">
        <v>490312</v>
      </c>
      <c r="AI142" s="431">
        <v>463773</v>
      </c>
      <c r="AJ142" s="431">
        <v>3504826</v>
      </c>
      <c r="AK142" s="431">
        <v>0</v>
      </c>
      <c r="AL142" s="431">
        <v>998580</v>
      </c>
      <c r="AM142" s="431">
        <v>0</v>
      </c>
    </row>
    <row r="143" spans="1:39" s="155" customFormat="1" ht="12" x14ac:dyDescent="0.2">
      <c r="A143" s="168">
        <v>89</v>
      </c>
      <c r="B143" s="229">
        <v>32045</v>
      </c>
      <c r="C143" s="190" t="s">
        <v>1969</v>
      </c>
      <c r="D143" s="464">
        <f t="shared" si="15"/>
        <v>7051266</v>
      </c>
      <c r="E143" s="431">
        <v>1037321</v>
      </c>
      <c r="F143" s="431">
        <v>72500</v>
      </c>
      <c r="G143" s="431">
        <v>752289</v>
      </c>
      <c r="H143" s="431">
        <v>0</v>
      </c>
      <c r="I143" s="431">
        <v>795874</v>
      </c>
      <c r="J143" s="431">
        <v>0</v>
      </c>
      <c r="K143" s="431">
        <v>621820</v>
      </c>
      <c r="L143" s="431">
        <v>0</v>
      </c>
      <c r="M143" s="431">
        <v>664108</v>
      </c>
      <c r="N143" s="431">
        <v>3906713</v>
      </c>
      <c r="O143" s="431">
        <v>25430</v>
      </c>
      <c r="P143" s="464">
        <f t="shared" si="16"/>
        <v>2563117</v>
      </c>
      <c r="Q143" s="431">
        <v>1026884</v>
      </c>
      <c r="R143" s="431">
        <v>522290</v>
      </c>
      <c r="S143" s="431">
        <v>4903</v>
      </c>
      <c r="T143" s="431">
        <v>0</v>
      </c>
      <c r="U143" s="431">
        <v>35000</v>
      </c>
      <c r="V143" s="431">
        <v>0</v>
      </c>
      <c r="W143" s="431">
        <v>54198</v>
      </c>
      <c r="X143" s="431">
        <v>50049</v>
      </c>
      <c r="Y143" s="431">
        <v>5000</v>
      </c>
      <c r="Z143" s="431">
        <v>390602</v>
      </c>
      <c r="AA143" s="431">
        <v>476373</v>
      </c>
      <c r="AB143" s="431">
        <v>-2182</v>
      </c>
      <c r="AC143" s="431">
        <v>514147</v>
      </c>
      <c r="AD143" s="431">
        <v>18808</v>
      </c>
      <c r="AE143" s="431">
        <v>739013</v>
      </c>
      <c r="AF143" s="431">
        <v>26963</v>
      </c>
      <c r="AG143" s="431">
        <v>113287</v>
      </c>
      <c r="AH143" s="431">
        <v>108010</v>
      </c>
      <c r="AI143" s="431">
        <v>257122</v>
      </c>
      <c r="AJ143" s="431">
        <v>79930</v>
      </c>
      <c r="AK143" s="431">
        <v>0</v>
      </c>
      <c r="AL143" s="431">
        <v>687260</v>
      </c>
      <c r="AM143" s="431">
        <v>18577</v>
      </c>
    </row>
    <row r="144" spans="1:39" s="155" customFormat="1" ht="11.25" x14ac:dyDescent="0.2">
      <c r="A144" s="168">
        <v>90</v>
      </c>
      <c r="B144" s="229">
        <v>32090</v>
      </c>
      <c r="C144" s="496" t="s">
        <v>2573</v>
      </c>
      <c r="D144" s="320">
        <f t="shared" si="15"/>
        <v>3302306</v>
      </c>
      <c r="E144" s="430">
        <v>1218653</v>
      </c>
      <c r="F144" s="430">
        <v>90841</v>
      </c>
      <c r="G144" s="430">
        <v>683369</v>
      </c>
      <c r="H144" s="430">
        <v>0</v>
      </c>
      <c r="I144" s="430">
        <v>1110260</v>
      </c>
      <c r="J144" s="430">
        <v>0</v>
      </c>
      <c r="K144" s="430">
        <v>614620</v>
      </c>
      <c r="L144" s="430">
        <v>0</v>
      </c>
      <c r="M144" s="430">
        <v>118790</v>
      </c>
      <c r="N144" s="430">
        <v>239983</v>
      </c>
      <c r="O144" s="430">
        <v>0</v>
      </c>
      <c r="P144" s="320">
        <f t="shared" si="16"/>
        <v>3036328</v>
      </c>
      <c r="Q144" s="430">
        <v>1103589</v>
      </c>
      <c r="R144" s="430">
        <v>642991</v>
      </c>
      <c r="S144" s="430">
        <v>0</v>
      </c>
      <c r="T144" s="430">
        <v>0</v>
      </c>
      <c r="U144" s="430">
        <v>0</v>
      </c>
      <c r="V144" s="430">
        <v>4458</v>
      </c>
      <c r="W144" s="430">
        <v>113273</v>
      </c>
      <c r="X144" s="430">
        <v>251899</v>
      </c>
      <c r="Y144" s="430">
        <v>164800</v>
      </c>
      <c r="Z144" s="430">
        <v>760640</v>
      </c>
      <c r="AA144" s="430">
        <v>0</v>
      </c>
      <c r="AB144" s="430">
        <v>-5322</v>
      </c>
      <c r="AC144" s="430">
        <v>643189</v>
      </c>
      <c r="AD144" s="430">
        <v>113273</v>
      </c>
      <c r="AE144" s="430">
        <v>946476</v>
      </c>
      <c r="AF144" s="430">
        <v>0</v>
      </c>
      <c r="AG144" s="430">
        <v>510215</v>
      </c>
      <c r="AH144" s="430">
        <v>251203</v>
      </c>
      <c r="AI144" s="430">
        <v>391402</v>
      </c>
      <c r="AJ144" s="430">
        <v>29719</v>
      </c>
      <c r="AK144" s="430">
        <v>0</v>
      </c>
      <c r="AL144" s="430">
        <v>121110</v>
      </c>
      <c r="AM144" s="430">
        <v>29741</v>
      </c>
    </row>
    <row r="145" spans="1:39" s="155" customFormat="1" ht="11.25" x14ac:dyDescent="0.2">
      <c r="A145" s="168">
        <v>91</v>
      </c>
      <c r="B145" s="229">
        <v>32201</v>
      </c>
      <c r="C145" s="496" t="s">
        <v>2574</v>
      </c>
      <c r="D145" s="318">
        <f t="shared" si="15"/>
        <v>3201260</v>
      </c>
      <c r="E145" s="319">
        <v>1277746</v>
      </c>
      <c r="F145" s="319">
        <v>156028</v>
      </c>
      <c r="G145" s="319">
        <v>495724</v>
      </c>
      <c r="H145" s="319">
        <v>0</v>
      </c>
      <c r="I145" s="319">
        <v>1090550</v>
      </c>
      <c r="J145" s="319">
        <v>149267</v>
      </c>
      <c r="K145" s="319">
        <v>591180</v>
      </c>
      <c r="L145" s="319">
        <v>0</v>
      </c>
      <c r="M145" s="319">
        <v>54952</v>
      </c>
      <c r="N145" s="319">
        <v>11621</v>
      </c>
      <c r="O145" s="319">
        <v>25944</v>
      </c>
      <c r="P145" s="320">
        <f t="shared" si="16"/>
        <v>3167170</v>
      </c>
      <c r="Q145" s="319">
        <v>1381593</v>
      </c>
      <c r="R145" s="319">
        <v>665881</v>
      </c>
      <c r="S145" s="319">
        <v>0</v>
      </c>
      <c r="T145" s="319">
        <v>0</v>
      </c>
      <c r="U145" s="319">
        <v>3000</v>
      </c>
      <c r="V145" s="319">
        <v>0</v>
      </c>
      <c r="W145" s="319">
        <v>0</v>
      </c>
      <c r="X145" s="319">
        <v>73741</v>
      </c>
      <c r="Y145" s="319">
        <v>0</v>
      </c>
      <c r="Z145" s="319">
        <v>1045758</v>
      </c>
      <c r="AA145" s="319">
        <v>0</v>
      </c>
      <c r="AB145" s="319">
        <v>-2803</v>
      </c>
      <c r="AC145" s="319">
        <v>903460</v>
      </c>
      <c r="AD145" s="319">
        <v>55047</v>
      </c>
      <c r="AE145" s="319">
        <v>1291138</v>
      </c>
      <c r="AF145" s="319">
        <v>0</v>
      </c>
      <c r="AG145" s="319">
        <v>369349</v>
      </c>
      <c r="AH145" s="319">
        <v>267086</v>
      </c>
      <c r="AI145" s="319">
        <v>111906</v>
      </c>
      <c r="AJ145" s="319">
        <v>0</v>
      </c>
      <c r="AK145" s="319">
        <v>0</v>
      </c>
      <c r="AL145" s="319">
        <v>169184</v>
      </c>
      <c r="AM145" s="319">
        <v>0</v>
      </c>
    </row>
    <row r="146" spans="1:39" s="155" customFormat="1" ht="11.25" hidden="1" x14ac:dyDescent="0.2">
      <c r="A146" s="168"/>
      <c r="B146" s="316"/>
      <c r="C146" s="317"/>
      <c r="D146" s="321">
        <f>E146+SUM(H146:O146)</f>
        <v>0</v>
      </c>
      <c r="E146" s="319"/>
      <c r="F146" s="319"/>
      <c r="G146" s="319"/>
      <c r="H146" s="319"/>
      <c r="I146" s="319"/>
      <c r="J146" s="319"/>
      <c r="K146" s="319"/>
      <c r="L146" s="319"/>
      <c r="M146" s="319"/>
      <c r="N146" s="319"/>
      <c r="O146" s="319"/>
      <c r="P146" s="318">
        <f>IF(SUM(Q146:AB146)=SUM(AC146:AL146),SUM(Q146:AB146),"  EROARE ART/CAP")</f>
        <v>0</v>
      </c>
      <c r="Q146" s="319"/>
      <c r="R146" s="319"/>
      <c r="S146" s="319"/>
      <c r="T146" s="319"/>
      <c r="U146" s="319"/>
      <c r="V146" s="319"/>
      <c r="W146" s="319"/>
      <c r="X146" s="319"/>
      <c r="Y146" s="319"/>
      <c r="Z146" s="319"/>
      <c r="AA146" s="319"/>
      <c r="AB146" s="319"/>
      <c r="AC146" s="319"/>
      <c r="AD146" s="319"/>
      <c r="AE146" s="319"/>
      <c r="AF146" s="319"/>
      <c r="AG146" s="319"/>
      <c r="AH146" s="319"/>
      <c r="AI146" s="319"/>
      <c r="AJ146" s="319"/>
      <c r="AK146" s="319"/>
      <c r="AL146" s="319"/>
      <c r="AM146" s="319"/>
    </row>
    <row r="147" spans="1:39" s="155" customFormat="1" ht="11.25" x14ac:dyDescent="0.2"/>
    <row r="148" spans="1:39" s="155" customFormat="1" ht="11.25" x14ac:dyDescent="0.2"/>
    <row r="149" spans="1:39" s="155" customFormat="1" ht="11.25" x14ac:dyDescent="0.2"/>
    <row r="150" spans="1:39" s="155" customFormat="1" ht="11.25" x14ac:dyDescent="0.2"/>
    <row r="151" spans="1:39" s="155" customFormat="1" ht="11.25" x14ac:dyDescent="0.2"/>
    <row r="152" spans="1:39" s="155" customFormat="1" ht="11.25" x14ac:dyDescent="0.2"/>
    <row r="153" spans="1:39" s="155" customFormat="1" ht="11.25" x14ac:dyDescent="0.2"/>
    <row r="154" spans="1:39" s="155" customFormat="1" ht="11.25" x14ac:dyDescent="0.2"/>
    <row r="155" spans="1:39" s="155" customFormat="1" ht="11.25" x14ac:dyDescent="0.2"/>
    <row r="156" spans="1:39" s="155" customFormat="1" ht="11.25" x14ac:dyDescent="0.2"/>
    <row r="157" spans="1:39" s="155" customFormat="1" ht="11.25" x14ac:dyDescent="0.2"/>
    <row r="158" spans="1:39" s="155" customFormat="1" ht="11.25" x14ac:dyDescent="0.2"/>
    <row r="159" spans="1:39" s="155" customFormat="1" ht="11.25" x14ac:dyDescent="0.2"/>
    <row r="160" spans="1:39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950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1035216123</v>
      </c>
      <c r="E14" s="432">
        <f>SUM(E15,E16,E33,E54)</f>
        <v>280576276</v>
      </c>
      <c r="F14" s="432">
        <f t="shared" ref="F14:O14" si="0">SUM(F15,F16,F33,F54)</f>
        <v>112432450</v>
      </c>
      <c r="G14" s="432">
        <f t="shared" si="0"/>
        <v>38982819</v>
      </c>
      <c r="H14" s="432">
        <f t="shared" si="0"/>
        <v>47609419</v>
      </c>
      <c r="I14" s="432">
        <f t="shared" si="0"/>
        <v>228741572</v>
      </c>
      <c r="J14" s="432">
        <f t="shared" si="0"/>
        <v>18791957</v>
      </c>
      <c r="K14" s="432">
        <f t="shared" si="0"/>
        <v>97921630</v>
      </c>
      <c r="L14" s="432">
        <f t="shared" si="0"/>
        <v>0</v>
      </c>
      <c r="M14" s="432">
        <f t="shared" si="0"/>
        <v>228987964</v>
      </c>
      <c r="N14" s="432">
        <f t="shared" si="0"/>
        <v>130738225</v>
      </c>
      <c r="O14" s="432">
        <f t="shared" si="0"/>
        <v>1849080</v>
      </c>
      <c r="P14" s="432">
        <f>IF(SUM(Q14:AB14)=SUM(AC14:AM14),SUM(Q14:AB14),"  EROARE ART/CAP")</f>
        <v>1020234906</v>
      </c>
      <c r="Q14" s="432">
        <f t="shared" ref="Q14:AM14" si="1">Q15+Q16+Q33+Q54</f>
        <v>282812036</v>
      </c>
      <c r="R14" s="432">
        <f t="shared" si="1"/>
        <v>152902865</v>
      </c>
      <c r="S14" s="432">
        <f t="shared" si="1"/>
        <v>1570301</v>
      </c>
      <c r="T14" s="432">
        <f t="shared" si="1"/>
        <v>2141632</v>
      </c>
      <c r="U14" s="432">
        <f t="shared" si="1"/>
        <v>33869126</v>
      </c>
      <c r="V14" s="432">
        <f t="shared" si="1"/>
        <v>1482024</v>
      </c>
      <c r="W14" s="432">
        <f t="shared" si="1"/>
        <v>240503432</v>
      </c>
      <c r="X14" s="432">
        <f t="shared" si="1"/>
        <v>83848656</v>
      </c>
      <c r="Y14" s="432">
        <f t="shared" si="1"/>
        <v>10492892</v>
      </c>
      <c r="Z14" s="432">
        <f t="shared" si="1"/>
        <v>203468811</v>
      </c>
      <c r="AA14" s="432">
        <f t="shared" si="1"/>
        <v>7759370</v>
      </c>
      <c r="AB14" s="432">
        <f t="shared" si="1"/>
        <v>-616239</v>
      </c>
      <c r="AC14" s="432">
        <f t="shared" si="1"/>
        <v>98442330</v>
      </c>
      <c r="AD14" s="432">
        <f t="shared" si="1"/>
        <v>8917986</v>
      </c>
      <c r="AE14" s="432">
        <f t="shared" si="1"/>
        <v>278588148</v>
      </c>
      <c r="AF14" s="432">
        <f t="shared" si="1"/>
        <v>43038777</v>
      </c>
      <c r="AG14" s="432">
        <f t="shared" si="1"/>
        <v>63133674</v>
      </c>
      <c r="AH14" s="432">
        <f t="shared" si="1"/>
        <v>117794055</v>
      </c>
      <c r="AI14" s="432">
        <f t="shared" si="1"/>
        <v>91743686</v>
      </c>
      <c r="AJ14" s="432">
        <f t="shared" si="1"/>
        <v>19000816</v>
      </c>
      <c r="AK14" s="432">
        <f t="shared" si="1"/>
        <v>0</v>
      </c>
      <c r="AL14" s="432">
        <f t="shared" si="1"/>
        <v>213330928</v>
      </c>
      <c r="AM14" s="432">
        <f t="shared" si="1"/>
        <v>86244506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278609262</v>
      </c>
      <c r="E15" s="431">
        <v>51764407</v>
      </c>
      <c r="F15" s="431">
        <v>23865382</v>
      </c>
      <c r="G15" s="431">
        <v>20797771</v>
      </c>
      <c r="H15" s="431">
        <v>47609419</v>
      </c>
      <c r="I15" s="452"/>
      <c r="J15" s="431">
        <v>15478390</v>
      </c>
      <c r="K15" s="431">
        <v>42623000</v>
      </c>
      <c r="L15" s="452"/>
      <c r="M15" s="431">
        <v>109084561</v>
      </c>
      <c r="N15" s="431">
        <v>11578601</v>
      </c>
      <c r="O15" s="431">
        <v>470884</v>
      </c>
      <c r="P15" s="432">
        <f>IF(SUM(Q15:AB15)=SUM(AC15:AM15),SUM(Q15:AB15),"  EROARE ART/CAP")</f>
        <v>266107745</v>
      </c>
      <c r="Q15" s="431">
        <v>35002592</v>
      </c>
      <c r="R15" s="431">
        <v>37738924</v>
      </c>
      <c r="S15" s="431"/>
      <c r="T15" s="431"/>
      <c r="U15" s="431">
        <v>20873299</v>
      </c>
      <c r="V15" s="431">
        <v>786737</v>
      </c>
      <c r="W15" s="431">
        <v>31471525</v>
      </c>
      <c r="X15" s="431">
        <v>62154807</v>
      </c>
      <c r="Y15" s="431">
        <v>4220274</v>
      </c>
      <c r="Z15" s="431">
        <v>73945121</v>
      </c>
      <c r="AA15" s="431"/>
      <c r="AB15" s="431">
        <v>-85534</v>
      </c>
      <c r="AC15" s="431">
        <v>9561762</v>
      </c>
      <c r="AD15" s="431">
        <v>1320328</v>
      </c>
      <c r="AE15" s="431">
        <v>26220260</v>
      </c>
      <c r="AF15" s="431">
        <v>35927038</v>
      </c>
      <c r="AG15" s="431">
        <v>14485647</v>
      </c>
      <c r="AH15" s="431">
        <v>78280054</v>
      </c>
      <c r="AI15" s="431">
        <v>1928354</v>
      </c>
      <c r="AJ15" s="431">
        <v>3025370</v>
      </c>
      <c r="AK15" s="431"/>
      <c r="AL15" s="431">
        <v>86478818</v>
      </c>
      <c r="AM15" s="431">
        <v>8880114</v>
      </c>
    </row>
    <row r="16" spans="1:39" s="155" customFormat="1" ht="12" x14ac:dyDescent="0.2">
      <c r="A16" s="156" t="s">
        <v>72</v>
      </c>
      <c r="B16" s="159"/>
      <c r="C16" s="159"/>
      <c r="D16" s="432">
        <f>E16+SUM(H16:O16)</f>
        <v>207607786</v>
      </c>
      <c r="E16" s="433">
        <f>SUM(E18:E32)</f>
        <v>101532670</v>
      </c>
      <c r="F16" s="433">
        <f t="shared" ref="F16:O16" si="2">SUM(F18:F32)</f>
        <v>61054080</v>
      </c>
      <c r="G16" s="433">
        <f t="shared" si="2"/>
        <v>302139</v>
      </c>
      <c r="H16" s="433">
        <f t="shared" si="2"/>
        <v>0</v>
      </c>
      <c r="I16" s="433">
        <f t="shared" si="2"/>
        <v>73872528</v>
      </c>
      <c r="J16" s="433">
        <f t="shared" si="2"/>
        <v>0</v>
      </c>
      <c r="K16" s="433">
        <f t="shared" si="2"/>
        <v>981000</v>
      </c>
      <c r="L16" s="433">
        <f t="shared" si="2"/>
        <v>0</v>
      </c>
      <c r="M16" s="433">
        <f t="shared" si="2"/>
        <v>8563011</v>
      </c>
      <c r="N16" s="433">
        <f t="shared" si="2"/>
        <v>22639735</v>
      </c>
      <c r="O16" s="433">
        <f t="shared" si="2"/>
        <v>18842</v>
      </c>
      <c r="P16" s="432">
        <f t="shared" ref="P16:P54" si="3">IF(SUM(Q16:AB16)=SUM(AC16:AM16),SUM(Q16:AB16),"  EROARE ART/CAP")</f>
        <v>199238452</v>
      </c>
      <c r="Q16" s="432">
        <f>SUM(Q18:Q32)</f>
        <v>81655753</v>
      </c>
      <c r="R16" s="432">
        <f t="shared" ref="R16:AM16" si="4">SUM(R18:R32)</f>
        <v>40734952</v>
      </c>
      <c r="S16" s="432">
        <f t="shared" si="4"/>
        <v>1004472</v>
      </c>
      <c r="T16" s="432">
        <f t="shared" si="4"/>
        <v>2120212</v>
      </c>
      <c r="U16" s="432">
        <f t="shared" si="4"/>
        <v>8455802</v>
      </c>
      <c r="V16" s="432">
        <f t="shared" si="4"/>
        <v>100535</v>
      </c>
      <c r="W16" s="432">
        <f t="shared" si="4"/>
        <v>45323120</v>
      </c>
      <c r="X16" s="432">
        <f t="shared" si="4"/>
        <v>4602705</v>
      </c>
      <c r="Y16" s="432">
        <f t="shared" si="4"/>
        <v>946056</v>
      </c>
      <c r="Z16" s="432">
        <f t="shared" si="4"/>
        <v>12587339</v>
      </c>
      <c r="AA16" s="432">
        <f t="shared" si="4"/>
        <v>1750000</v>
      </c>
      <c r="AB16" s="432">
        <f t="shared" si="4"/>
        <v>-42494</v>
      </c>
      <c r="AC16" s="432">
        <f t="shared" si="4"/>
        <v>15250935</v>
      </c>
      <c r="AD16" s="432">
        <f t="shared" si="4"/>
        <v>5740711</v>
      </c>
      <c r="AE16" s="432">
        <f t="shared" si="4"/>
        <v>80268668</v>
      </c>
      <c r="AF16" s="432">
        <f t="shared" si="4"/>
        <v>1299028</v>
      </c>
      <c r="AG16" s="432">
        <f t="shared" si="4"/>
        <v>19273560</v>
      </c>
      <c r="AH16" s="432">
        <f t="shared" si="4"/>
        <v>10115730</v>
      </c>
      <c r="AI16" s="432">
        <f t="shared" si="4"/>
        <v>54527047</v>
      </c>
      <c r="AJ16" s="432">
        <f t="shared" si="4"/>
        <v>7732443</v>
      </c>
      <c r="AK16" s="432">
        <f t="shared" si="4"/>
        <v>0</v>
      </c>
      <c r="AL16" s="432">
        <f t="shared" si="4"/>
        <v>4880607</v>
      </c>
      <c r="AM16" s="432">
        <f t="shared" si="4"/>
        <v>149723</v>
      </c>
    </row>
    <row r="17" spans="1:39" s="155" customFormat="1" ht="22.5" x14ac:dyDescent="0.2">
      <c r="A17" s="277" t="s">
        <v>2306</v>
      </c>
      <c r="B17" s="281" t="s">
        <v>74</v>
      </c>
      <c r="C17" s="236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146">
        <v>1</v>
      </c>
      <c r="B18" s="507">
        <v>32394</v>
      </c>
      <c r="C18" s="510" t="s">
        <v>2575</v>
      </c>
      <c r="D18" s="432">
        <f t="shared" ref="D18:D41" si="5">E18+SUM(H18:O18)</f>
        <v>207607786</v>
      </c>
      <c r="E18" s="431">
        <v>101532670</v>
      </c>
      <c r="F18" s="431">
        <v>61054080</v>
      </c>
      <c r="G18" s="431">
        <v>302139</v>
      </c>
      <c r="H18" s="431"/>
      <c r="I18" s="431">
        <v>73872528</v>
      </c>
      <c r="J18" s="431"/>
      <c r="K18" s="431">
        <v>981000</v>
      </c>
      <c r="L18" s="431"/>
      <c r="M18" s="431">
        <v>8563011</v>
      </c>
      <c r="N18" s="431">
        <v>22639735</v>
      </c>
      <c r="O18" s="431">
        <v>18842</v>
      </c>
      <c r="P18" s="432">
        <f>IF(SUM(Q18:AB18)=SUM(AC18:AM18),SUM(Q18:AB18),"  EROARE ART/CAP")</f>
        <v>199238452</v>
      </c>
      <c r="Q18" s="431">
        <v>81655753</v>
      </c>
      <c r="R18" s="431">
        <v>40734952</v>
      </c>
      <c r="S18" s="431">
        <v>1004472</v>
      </c>
      <c r="T18" s="431">
        <v>2120212</v>
      </c>
      <c r="U18" s="431">
        <v>8455802</v>
      </c>
      <c r="V18" s="431">
        <v>100535</v>
      </c>
      <c r="W18" s="431">
        <v>45323120</v>
      </c>
      <c r="X18" s="431">
        <v>4602705</v>
      </c>
      <c r="Y18" s="431">
        <v>946056</v>
      </c>
      <c r="Z18" s="431">
        <v>12587339</v>
      </c>
      <c r="AA18" s="431">
        <v>1750000</v>
      </c>
      <c r="AB18" s="431">
        <v>-42494</v>
      </c>
      <c r="AC18" s="431">
        <v>15250935</v>
      </c>
      <c r="AD18" s="431">
        <v>5740711</v>
      </c>
      <c r="AE18" s="431">
        <v>80268668</v>
      </c>
      <c r="AF18" s="431">
        <v>1299028</v>
      </c>
      <c r="AG18" s="431">
        <v>19273560</v>
      </c>
      <c r="AH18" s="431">
        <v>10115730</v>
      </c>
      <c r="AI18" s="431">
        <v>54527047</v>
      </c>
      <c r="AJ18" s="431">
        <v>7732443</v>
      </c>
      <c r="AK18" s="431"/>
      <c r="AL18" s="431">
        <v>4880607</v>
      </c>
      <c r="AM18" s="431">
        <v>149723</v>
      </c>
    </row>
    <row r="19" spans="1:39" s="155" customFormat="1" ht="12" hidden="1" x14ac:dyDescent="0.2">
      <c r="A19" s="146">
        <v>2</v>
      </c>
      <c r="B19" s="507"/>
      <c r="C19" s="511"/>
      <c r="D19" s="432">
        <f t="shared" si="5"/>
        <v>0</v>
      </c>
      <c r="E19" s="434"/>
      <c r="F19" s="434"/>
      <c r="G19" s="434"/>
      <c r="H19" s="434"/>
      <c r="I19" s="434"/>
      <c r="J19" s="434"/>
      <c r="K19" s="434"/>
      <c r="L19" s="434"/>
      <c r="M19" s="434"/>
      <c r="N19" s="434"/>
      <c r="O19" s="434"/>
      <c r="P19" s="432">
        <f t="shared" si="3"/>
        <v>0</v>
      </c>
      <c r="Q19" s="435"/>
      <c r="R19" s="435"/>
      <c r="S19" s="435"/>
      <c r="T19" s="435"/>
      <c r="U19" s="435"/>
      <c r="V19" s="431"/>
      <c r="W19" s="431"/>
      <c r="X19" s="431"/>
      <c r="Y19" s="431"/>
      <c r="Z19" s="431"/>
      <c r="AA19" s="431"/>
      <c r="AB19" s="431"/>
      <c r="AC19" s="434"/>
      <c r="AD19" s="434"/>
      <c r="AE19" s="434"/>
      <c r="AF19" s="434"/>
      <c r="AG19" s="434"/>
      <c r="AH19" s="434"/>
      <c r="AI19" s="434"/>
      <c r="AJ19" s="434"/>
      <c r="AK19" s="434"/>
      <c r="AL19" s="434"/>
      <c r="AM19" s="434"/>
    </row>
    <row r="20" spans="1:39" s="155" customFormat="1" ht="12" hidden="1" x14ac:dyDescent="0.2">
      <c r="A20" s="146">
        <v>3</v>
      </c>
      <c r="B20" s="507"/>
      <c r="C20" s="510"/>
      <c r="D20" s="432">
        <f t="shared" si="5"/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2">
        <f t="shared" si="3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</row>
    <row r="21" spans="1:39" s="155" customFormat="1" ht="12" hidden="1" x14ac:dyDescent="0.2">
      <c r="A21" s="146">
        <v>4</v>
      </c>
      <c r="B21" s="507"/>
      <c r="C21" s="510"/>
      <c r="D21" s="432">
        <f t="shared" si="5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3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146">
        <v>5</v>
      </c>
      <c r="B22" s="507"/>
      <c r="C22" s="510"/>
      <c r="D22" s="432">
        <f t="shared" si="5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3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478"/>
      <c r="C23" s="512"/>
      <c r="D23" s="432">
        <f t="shared" si="5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3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478"/>
      <c r="C24" s="512"/>
      <c r="D24" s="432">
        <f t="shared" si="5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3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478"/>
      <c r="C25" s="513"/>
      <c r="D25" s="432">
        <f t="shared" si="5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3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478"/>
      <c r="C26" s="513"/>
      <c r="D26" s="432">
        <f t="shared" si="5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3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478"/>
      <c r="C27" s="513"/>
      <c r="D27" s="432">
        <f t="shared" si="5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3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478"/>
      <c r="C28" s="513"/>
      <c r="D28" s="432">
        <f t="shared" si="5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3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478"/>
      <c r="C29" s="513"/>
      <c r="D29" s="432">
        <f t="shared" si="5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3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478"/>
      <c r="C30" s="513"/>
      <c r="D30" s="432">
        <f t="shared" si="5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3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478"/>
      <c r="C31" s="513"/>
      <c r="D31" s="432">
        <f t="shared" si="5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3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478"/>
      <c r="C32" s="514"/>
      <c r="D32" s="432">
        <f t="shared" si="5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3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501"/>
      <c r="C33" s="515"/>
      <c r="D33" s="432">
        <f t="shared" si="5"/>
        <v>83389741</v>
      </c>
      <c r="E33" s="432">
        <f>SUM(E34:E53)</f>
        <v>22932491</v>
      </c>
      <c r="F33" s="432">
        <f t="shared" ref="F33:O33" si="6">SUM(F34:F53)</f>
        <v>10304737</v>
      </c>
      <c r="G33" s="432">
        <f t="shared" si="6"/>
        <v>1088064</v>
      </c>
      <c r="H33" s="432">
        <f t="shared" si="6"/>
        <v>0</v>
      </c>
      <c r="I33" s="432">
        <f t="shared" si="6"/>
        <v>35364354</v>
      </c>
      <c r="J33" s="432">
        <f t="shared" si="6"/>
        <v>700000</v>
      </c>
      <c r="K33" s="432">
        <f t="shared" si="6"/>
        <v>3437000</v>
      </c>
      <c r="L33" s="432">
        <f t="shared" si="6"/>
        <v>0</v>
      </c>
      <c r="M33" s="432">
        <f t="shared" si="6"/>
        <v>5704611</v>
      </c>
      <c r="N33" s="432">
        <f t="shared" si="6"/>
        <v>15245085</v>
      </c>
      <c r="O33" s="432">
        <f t="shared" si="6"/>
        <v>6200</v>
      </c>
      <c r="P33" s="432">
        <f t="shared" si="3"/>
        <v>83927441</v>
      </c>
      <c r="Q33" s="432">
        <f>SUM(Q34:Q53)</f>
        <v>35807818</v>
      </c>
      <c r="R33" s="432">
        <f t="shared" ref="R33:AM33" si="7">SUM(R34:R53)</f>
        <v>13076539</v>
      </c>
      <c r="S33" s="432">
        <f t="shared" si="7"/>
        <v>234203</v>
      </c>
      <c r="T33" s="432">
        <f t="shared" si="7"/>
        <v>21420</v>
      </c>
      <c r="U33" s="432">
        <f t="shared" si="7"/>
        <v>2093290</v>
      </c>
      <c r="V33" s="432">
        <f t="shared" si="7"/>
        <v>200000</v>
      </c>
      <c r="W33" s="432">
        <f t="shared" si="7"/>
        <v>19542031</v>
      </c>
      <c r="X33" s="432">
        <f t="shared" si="7"/>
        <v>2413641</v>
      </c>
      <c r="Y33" s="432">
        <f t="shared" si="7"/>
        <v>642434</v>
      </c>
      <c r="Z33" s="432">
        <f t="shared" si="7"/>
        <v>8622168</v>
      </c>
      <c r="AA33" s="432">
        <f t="shared" si="7"/>
        <v>1282173</v>
      </c>
      <c r="AB33" s="432">
        <f t="shared" si="7"/>
        <v>-8276</v>
      </c>
      <c r="AC33" s="432">
        <f t="shared" si="7"/>
        <v>9142366</v>
      </c>
      <c r="AD33" s="432">
        <f t="shared" si="7"/>
        <v>378692</v>
      </c>
      <c r="AE33" s="432">
        <f t="shared" si="7"/>
        <v>50547691</v>
      </c>
      <c r="AF33" s="432">
        <f t="shared" si="7"/>
        <v>3101541</v>
      </c>
      <c r="AG33" s="432">
        <f t="shared" si="7"/>
        <v>5105500</v>
      </c>
      <c r="AH33" s="432">
        <f t="shared" si="7"/>
        <v>3599157</v>
      </c>
      <c r="AI33" s="432">
        <f t="shared" si="7"/>
        <v>3857435</v>
      </c>
      <c r="AJ33" s="432">
        <f t="shared" si="7"/>
        <v>1367156</v>
      </c>
      <c r="AK33" s="432">
        <f t="shared" si="7"/>
        <v>0</v>
      </c>
      <c r="AL33" s="432">
        <f t="shared" si="7"/>
        <v>6664790</v>
      </c>
      <c r="AM33" s="432">
        <f t="shared" si="7"/>
        <v>163113</v>
      </c>
    </row>
    <row r="34" spans="1:39" s="155" customFormat="1" ht="12" x14ac:dyDescent="0.2">
      <c r="A34" s="146">
        <v>1</v>
      </c>
      <c r="B34" s="508">
        <v>32483</v>
      </c>
      <c r="C34" s="516" t="s">
        <v>158</v>
      </c>
      <c r="D34" s="432">
        <f>E34+SUM(H34:O34)</f>
        <v>42312199</v>
      </c>
      <c r="E34" s="431">
        <v>9975276</v>
      </c>
      <c r="F34" s="431">
        <v>4965202</v>
      </c>
      <c r="G34" s="431">
        <v>284696</v>
      </c>
      <c r="H34" s="431"/>
      <c r="I34" s="431">
        <v>14178889</v>
      </c>
      <c r="J34" s="431">
        <v>350000</v>
      </c>
      <c r="K34" s="431">
        <v>666000</v>
      </c>
      <c r="L34" s="431"/>
      <c r="M34" s="431">
        <v>3275321</v>
      </c>
      <c r="N34" s="431">
        <v>13866713</v>
      </c>
      <c r="O34" s="431"/>
      <c r="P34" s="432">
        <f>IF(SUM(Q34:AB34)=SUM(AC34:AM34),SUM(Q34:AB34),"  EROARE ART/CAP")</f>
        <v>43084104</v>
      </c>
      <c r="Q34" s="431">
        <v>14200892</v>
      </c>
      <c r="R34" s="431">
        <v>3384506</v>
      </c>
      <c r="S34" s="431">
        <v>48378</v>
      </c>
      <c r="T34" s="431"/>
      <c r="U34" s="431">
        <v>1320344</v>
      </c>
      <c r="V34" s="431">
        <v>200000</v>
      </c>
      <c r="W34" s="431">
        <v>17737393</v>
      </c>
      <c r="X34" s="431">
        <v>614632</v>
      </c>
      <c r="Y34" s="431">
        <v>352234</v>
      </c>
      <c r="Z34" s="431">
        <v>5010648</v>
      </c>
      <c r="AA34" s="431">
        <v>216667</v>
      </c>
      <c r="AB34" s="431">
        <v>-1590</v>
      </c>
      <c r="AC34" s="431">
        <v>3433871</v>
      </c>
      <c r="AD34" s="431">
        <v>198740</v>
      </c>
      <c r="AE34" s="431">
        <v>30996373</v>
      </c>
      <c r="AF34" s="431">
        <v>1352600</v>
      </c>
      <c r="AG34" s="431">
        <v>3289326</v>
      </c>
      <c r="AH34" s="431">
        <v>921154</v>
      </c>
      <c r="AI34" s="431">
        <v>1256769</v>
      </c>
      <c r="AJ34" s="431">
        <v>410158</v>
      </c>
      <c r="AK34" s="431"/>
      <c r="AL34" s="431">
        <v>1225113</v>
      </c>
      <c r="AM34" s="431"/>
    </row>
    <row r="35" spans="1:39" s="155" customFormat="1" ht="12" x14ac:dyDescent="0.2">
      <c r="A35" s="146">
        <v>2</v>
      </c>
      <c r="B35" s="508">
        <v>32544</v>
      </c>
      <c r="C35" s="516" t="s">
        <v>2576</v>
      </c>
      <c r="D35" s="432">
        <f>E35+SUM(H35:O35)</f>
        <v>24659335</v>
      </c>
      <c r="E35" s="431">
        <v>8241085</v>
      </c>
      <c r="F35" s="431">
        <v>4007223</v>
      </c>
      <c r="G35" s="431">
        <v>291488</v>
      </c>
      <c r="H35" s="431"/>
      <c r="I35" s="431">
        <v>12541447</v>
      </c>
      <c r="J35" s="431"/>
      <c r="K35" s="431">
        <v>820000</v>
      </c>
      <c r="L35" s="431"/>
      <c r="M35" s="431">
        <v>1724733</v>
      </c>
      <c r="N35" s="431">
        <v>1325870</v>
      </c>
      <c r="O35" s="431">
        <v>6200</v>
      </c>
      <c r="P35" s="432">
        <f>IF(SUM(Q35:AB35)=SUM(AC35:AM35),SUM(Q35:AB35),"  EROARE ART/CAP")</f>
        <v>24339090</v>
      </c>
      <c r="Q35" s="431">
        <v>13142228</v>
      </c>
      <c r="R35" s="431">
        <v>5156419</v>
      </c>
      <c r="S35" s="431">
        <v>50899</v>
      </c>
      <c r="T35" s="431">
        <v>21420</v>
      </c>
      <c r="U35" s="431">
        <v>599616</v>
      </c>
      <c r="V35" s="431"/>
      <c r="W35" s="431">
        <v>1804638</v>
      </c>
      <c r="X35" s="431">
        <v>858655</v>
      </c>
      <c r="Y35" s="431">
        <v>189835</v>
      </c>
      <c r="Z35" s="431">
        <v>2311682</v>
      </c>
      <c r="AA35" s="431">
        <v>210384</v>
      </c>
      <c r="AB35" s="431">
        <v>-6686</v>
      </c>
      <c r="AC35" s="431">
        <v>3227863</v>
      </c>
      <c r="AD35" s="431">
        <v>179952</v>
      </c>
      <c r="AE35" s="431">
        <v>11638809</v>
      </c>
      <c r="AF35" s="431">
        <v>1633516</v>
      </c>
      <c r="AG35" s="431">
        <v>1189808</v>
      </c>
      <c r="AH35" s="431">
        <v>1446071</v>
      </c>
      <c r="AI35" s="431">
        <v>948252</v>
      </c>
      <c r="AJ35" s="431">
        <v>398181</v>
      </c>
      <c r="AK35" s="431"/>
      <c r="AL35" s="431">
        <v>3513525</v>
      </c>
      <c r="AM35" s="431">
        <v>163113</v>
      </c>
    </row>
    <row r="36" spans="1:39" s="155" customFormat="1" ht="12" x14ac:dyDescent="0.2">
      <c r="A36" s="146">
        <v>3</v>
      </c>
      <c r="B36" s="508">
        <v>32599</v>
      </c>
      <c r="C36" s="516" t="s">
        <v>2577</v>
      </c>
      <c r="D36" s="432">
        <f>E36+SUM(H36:O36)</f>
        <v>16418207</v>
      </c>
      <c r="E36" s="431">
        <v>4716130</v>
      </c>
      <c r="F36" s="431">
        <v>1332312</v>
      </c>
      <c r="G36" s="431">
        <v>511880</v>
      </c>
      <c r="H36" s="431"/>
      <c r="I36" s="431">
        <v>8644018</v>
      </c>
      <c r="J36" s="431">
        <v>350000</v>
      </c>
      <c r="K36" s="431">
        <v>1951000</v>
      </c>
      <c r="L36" s="431"/>
      <c r="M36" s="431">
        <v>704557</v>
      </c>
      <c r="N36" s="431">
        <v>52502</v>
      </c>
      <c r="O36" s="431"/>
      <c r="P36" s="432">
        <f>IF(SUM(Q36:AB36)=SUM(AC36:AM36),SUM(Q36:AB36),"  EROARE ART/CAP")</f>
        <v>16504247</v>
      </c>
      <c r="Q36" s="431">
        <v>8464698</v>
      </c>
      <c r="R36" s="431">
        <v>4535614</v>
      </c>
      <c r="S36" s="431">
        <v>134926</v>
      </c>
      <c r="T36" s="431"/>
      <c r="U36" s="431">
        <v>173330</v>
      </c>
      <c r="V36" s="431"/>
      <c r="W36" s="431"/>
      <c r="X36" s="431">
        <v>940354</v>
      </c>
      <c r="Y36" s="431">
        <v>100365</v>
      </c>
      <c r="Z36" s="431">
        <v>1299838</v>
      </c>
      <c r="AA36" s="431">
        <v>855122</v>
      </c>
      <c r="AB36" s="431"/>
      <c r="AC36" s="431">
        <v>2480632</v>
      </c>
      <c r="AD36" s="431"/>
      <c r="AE36" s="431">
        <v>7912509</v>
      </c>
      <c r="AF36" s="431">
        <v>115425</v>
      </c>
      <c r="AG36" s="431">
        <v>626366</v>
      </c>
      <c r="AH36" s="431">
        <v>1231932</v>
      </c>
      <c r="AI36" s="431">
        <v>1652414</v>
      </c>
      <c r="AJ36" s="431">
        <v>558817</v>
      </c>
      <c r="AK36" s="431"/>
      <c r="AL36" s="431">
        <v>1926152</v>
      </c>
      <c r="AM36" s="431"/>
    </row>
    <row r="37" spans="1:39" s="155" customFormat="1" ht="12" hidden="1" x14ac:dyDescent="0.2">
      <c r="A37" s="146">
        <v>4</v>
      </c>
      <c r="B37" s="507"/>
      <c r="C37" s="509"/>
      <c r="D37" s="432">
        <f t="shared" si="5"/>
        <v>0</v>
      </c>
      <c r="E37" s="435"/>
      <c r="F37" s="435"/>
      <c r="G37" s="435"/>
      <c r="H37" s="435"/>
      <c r="I37" s="435"/>
      <c r="J37" s="435"/>
      <c r="K37" s="435"/>
      <c r="L37" s="435"/>
      <c r="M37" s="435"/>
      <c r="N37" s="435"/>
      <c r="O37" s="435"/>
      <c r="P37" s="432">
        <f t="shared" si="3"/>
        <v>0</v>
      </c>
      <c r="Q37" s="435"/>
      <c r="R37" s="435"/>
      <c r="S37" s="435"/>
      <c r="T37" s="435"/>
      <c r="U37" s="435"/>
      <c r="V37" s="431"/>
      <c r="W37" s="431"/>
      <c r="X37" s="431"/>
      <c r="Y37" s="431"/>
      <c r="Z37" s="431"/>
      <c r="AA37" s="431"/>
      <c r="AB37" s="431"/>
      <c r="AC37" s="445"/>
      <c r="AD37" s="435"/>
      <c r="AE37" s="435"/>
      <c r="AF37" s="435"/>
      <c r="AG37" s="435"/>
      <c r="AH37" s="435"/>
      <c r="AI37" s="435"/>
      <c r="AJ37" s="435"/>
      <c r="AK37" s="435"/>
      <c r="AL37" s="435"/>
      <c r="AM37" s="435"/>
    </row>
    <row r="38" spans="1:39" s="155" customFormat="1" ht="12" hidden="1" x14ac:dyDescent="0.2">
      <c r="A38" s="146">
        <v>5</v>
      </c>
      <c r="B38" s="478"/>
      <c r="C38" s="481"/>
      <c r="D38" s="432">
        <f t="shared" si="5"/>
        <v>0</v>
      </c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2">
        <f t="shared" si="3"/>
        <v>0</v>
      </c>
      <c r="Q38" s="435"/>
      <c r="R38" s="435"/>
      <c r="S38" s="435"/>
      <c r="T38" s="435"/>
      <c r="U38" s="435"/>
      <c r="V38" s="431"/>
      <c r="W38" s="431"/>
      <c r="X38" s="431"/>
      <c r="Y38" s="431"/>
      <c r="Z38" s="435"/>
      <c r="AA38" s="431"/>
      <c r="AB38" s="431"/>
      <c r="AC38" s="445"/>
      <c r="AD38" s="435"/>
      <c r="AE38" s="435"/>
      <c r="AF38" s="435"/>
      <c r="AG38" s="435"/>
      <c r="AH38" s="435"/>
      <c r="AI38" s="435"/>
      <c r="AJ38" s="435"/>
      <c r="AK38" s="435"/>
      <c r="AL38" s="435"/>
      <c r="AM38" s="435"/>
    </row>
    <row r="39" spans="1:39" s="155" customFormat="1" ht="12" hidden="1" x14ac:dyDescent="0.2">
      <c r="A39" s="146">
        <v>6</v>
      </c>
      <c r="B39" s="478"/>
      <c r="C39" s="481"/>
      <c r="D39" s="432">
        <f t="shared" si="5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3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</row>
    <row r="40" spans="1:39" s="155" customFormat="1" ht="12" hidden="1" x14ac:dyDescent="0.2">
      <c r="A40" s="146">
        <v>7</v>
      </c>
      <c r="B40" s="478"/>
      <c r="C40" s="503"/>
      <c r="D40" s="432">
        <f t="shared" si="5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3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155" customFormat="1" ht="12" hidden="1" x14ac:dyDescent="0.2">
      <c r="A41" s="146">
        <v>8</v>
      </c>
      <c r="B41" s="478"/>
      <c r="C41" s="504"/>
      <c r="D41" s="432">
        <f t="shared" si="5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3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146">
        <v>9</v>
      </c>
      <c r="B42" s="478"/>
      <c r="C42" s="479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3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478"/>
      <c r="C43" s="479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3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478"/>
      <c r="C44" s="479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3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478"/>
      <c r="C45" s="479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3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478"/>
      <c r="C46" s="479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3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478"/>
      <c r="C47" s="479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3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478"/>
      <c r="C48" s="479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3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478"/>
      <c r="C49" s="479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3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478"/>
      <c r="C50" s="479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3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478"/>
      <c r="C51" s="479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3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478"/>
      <c r="C52" s="500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3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478"/>
      <c r="C53" s="500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3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501"/>
      <c r="C54" s="502"/>
      <c r="D54" s="432">
        <f t="shared" ref="D54:D117" si="8">E54+SUM(H54:O54)</f>
        <v>465609334</v>
      </c>
      <c r="E54" s="432">
        <f>SUM(E55:E143)</f>
        <v>104346708</v>
      </c>
      <c r="F54" s="432">
        <f t="shared" ref="F54:O54" si="9">SUM(F55:F143)</f>
        <v>17208251</v>
      </c>
      <c r="G54" s="432">
        <f t="shared" si="9"/>
        <v>16794845</v>
      </c>
      <c r="H54" s="432">
        <f t="shared" si="9"/>
        <v>0</v>
      </c>
      <c r="I54" s="432">
        <f t="shared" si="9"/>
        <v>119504690</v>
      </c>
      <c r="J54" s="432">
        <f t="shared" si="9"/>
        <v>2613567</v>
      </c>
      <c r="K54" s="432">
        <f t="shared" si="9"/>
        <v>50880630</v>
      </c>
      <c r="L54" s="432">
        <f t="shared" si="9"/>
        <v>0</v>
      </c>
      <c r="M54" s="432">
        <f t="shared" si="9"/>
        <v>105635781</v>
      </c>
      <c r="N54" s="432">
        <f t="shared" si="9"/>
        <v>81274804</v>
      </c>
      <c r="O54" s="432">
        <f t="shared" si="9"/>
        <v>1353154</v>
      </c>
      <c r="P54" s="432">
        <f t="shared" si="3"/>
        <v>470961268</v>
      </c>
      <c r="Q54" s="432">
        <f>SUM(Q55:Q143)</f>
        <v>130345873</v>
      </c>
      <c r="R54" s="432">
        <f t="shared" ref="R54:AM54" si="10">SUM(R55:R143)</f>
        <v>61352450</v>
      </c>
      <c r="S54" s="432">
        <f t="shared" si="10"/>
        <v>331626</v>
      </c>
      <c r="T54" s="432">
        <f t="shared" si="10"/>
        <v>0</v>
      </c>
      <c r="U54" s="432">
        <f t="shared" si="10"/>
        <v>2446735</v>
      </c>
      <c r="V54" s="432">
        <f t="shared" si="10"/>
        <v>394752</v>
      </c>
      <c r="W54" s="432">
        <f t="shared" si="10"/>
        <v>144166756</v>
      </c>
      <c r="X54" s="432">
        <f t="shared" si="10"/>
        <v>14677503</v>
      </c>
      <c r="Y54" s="432">
        <f t="shared" si="10"/>
        <v>4684128</v>
      </c>
      <c r="Z54" s="432">
        <f t="shared" si="10"/>
        <v>108314183</v>
      </c>
      <c r="AA54" s="432">
        <f t="shared" si="10"/>
        <v>4727197</v>
      </c>
      <c r="AB54" s="432">
        <f t="shared" si="10"/>
        <v>-479935</v>
      </c>
      <c r="AC54" s="432">
        <f t="shared" si="10"/>
        <v>64487267</v>
      </c>
      <c r="AD54" s="432">
        <f t="shared" si="10"/>
        <v>1478255</v>
      </c>
      <c r="AE54" s="432">
        <f t="shared" si="10"/>
        <v>121551529</v>
      </c>
      <c r="AF54" s="432">
        <f t="shared" si="10"/>
        <v>2711170</v>
      </c>
      <c r="AG54" s="432">
        <f t="shared" si="10"/>
        <v>24268967</v>
      </c>
      <c r="AH54" s="432">
        <f t="shared" si="10"/>
        <v>25799114</v>
      </c>
      <c r="AI54" s="432">
        <f t="shared" si="10"/>
        <v>31430850</v>
      </c>
      <c r="AJ54" s="432">
        <f t="shared" si="10"/>
        <v>6875847</v>
      </c>
      <c r="AK54" s="432">
        <f t="shared" si="10"/>
        <v>0</v>
      </c>
      <c r="AL54" s="432">
        <f>SUM(AL55:AL143)</f>
        <v>115306713</v>
      </c>
      <c r="AM54" s="432">
        <f t="shared" si="10"/>
        <v>77051556</v>
      </c>
    </row>
    <row r="55" spans="1:39" s="155" customFormat="1" ht="12" x14ac:dyDescent="0.2">
      <c r="A55" s="168">
        <v>1</v>
      </c>
      <c r="B55" s="505">
        <v>32633</v>
      </c>
      <c r="C55" s="506" t="s">
        <v>2578</v>
      </c>
      <c r="D55" s="432">
        <f t="shared" ref="D55:D86" si="11">E55+SUM(H55:O55)</f>
        <v>7342789</v>
      </c>
      <c r="E55" s="431">
        <v>2839325</v>
      </c>
      <c r="F55" s="431">
        <v>329861</v>
      </c>
      <c r="G55" s="431">
        <v>332956</v>
      </c>
      <c r="H55" s="431"/>
      <c r="I55" s="431">
        <v>1890857</v>
      </c>
      <c r="J55" s="431"/>
      <c r="K55" s="431">
        <v>991000</v>
      </c>
      <c r="L55" s="431"/>
      <c r="M55" s="431">
        <v>821237</v>
      </c>
      <c r="N55" s="431">
        <v>800370</v>
      </c>
      <c r="O55" s="431"/>
      <c r="P55" s="432">
        <f t="shared" ref="P55:P86" si="12">IF(SUM(Q55:AB55)=SUM(AC55:AM55),SUM(Q55:AB55),"  EROARE ART/CAP")</f>
        <v>6837434</v>
      </c>
      <c r="Q55" s="431">
        <v>2246430</v>
      </c>
      <c r="R55" s="431">
        <v>1704974</v>
      </c>
      <c r="S55" s="431">
        <v>9890</v>
      </c>
      <c r="T55" s="431"/>
      <c r="U55" s="431">
        <v>35318</v>
      </c>
      <c r="V55" s="431">
        <v>22500</v>
      </c>
      <c r="W55" s="431">
        <v>1194327</v>
      </c>
      <c r="X55" s="431">
        <v>310559</v>
      </c>
      <c r="Y55" s="431">
        <v>30936</v>
      </c>
      <c r="Z55" s="431">
        <v>1070500</v>
      </c>
      <c r="AA55" s="431">
        <v>212000</v>
      </c>
      <c r="AB55" s="431"/>
      <c r="AC55" s="431">
        <v>2789915</v>
      </c>
      <c r="AD55" s="431">
        <v>17796</v>
      </c>
      <c r="AE55" s="431">
        <v>1655666</v>
      </c>
      <c r="AF55" s="431"/>
      <c r="AG55" s="431">
        <v>361032</v>
      </c>
      <c r="AH55" s="431">
        <v>501603</v>
      </c>
      <c r="AI55" s="431">
        <v>195496</v>
      </c>
      <c r="AJ55" s="431">
        <v>37051</v>
      </c>
      <c r="AK55" s="431"/>
      <c r="AL55" s="431">
        <v>1278875</v>
      </c>
      <c r="AM55" s="431"/>
    </row>
    <row r="56" spans="1:39" s="155" customFormat="1" ht="12" x14ac:dyDescent="0.2">
      <c r="A56" s="168">
        <v>2</v>
      </c>
      <c r="B56" s="505">
        <v>32660</v>
      </c>
      <c r="C56" s="506" t="s">
        <v>562</v>
      </c>
      <c r="D56" s="432">
        <f t="shared" si="11"/>
        <v>5920586</v>
      </c>
      <c r="E56" s="431">
        <v>911041</v>
      </c>
      <c r="F56" s="431">
        <v>121713</v>
      </c>
      <c r="G56" s="431">
        <v>240684</v>
      </c>
      <c r="H56" s="431"/>
      <c r="I56" s="431">
        <v>1517653</v>
      </c>
      <c r="J56" s="431"/>
      <c r="K56" s="431">
        <v>883000</v>
      </c>
      <c r="L56" s="431"/>
      <c r="M56" s="431">
        <v>620341</v>
      </c>
      <c r="N56" s="431">
        <v>1988551</v>
      </c>
      <c r="O56" s="431"/>
      <c r="P56" s="432">
        <f t="shared" si="12"/>
        <v>8315356</v>
      </c>
      <c r="Q56" s="431">
        <v>1630496</v>
      </c>
      <c r="R56" s="431">
        <v>687061</v>
      </c>
      <c r="S56" s="431"/>
      <c r="T56" s="431"/>
      <c r="U56" s="431"/>
      <c r="V56" s="431"/>
      <c r="W56" s="431">
        <v>5254892</v>
      </c>
      <c r="X56" s="431">
        <v>221164</v>
      </c>
      <c r="Y56" s="431">
        <v>93000</v>
      </c>
      <c r="Z56" s="431">
        <v>431793</v>
      </c>
      <c r="AA56" s="431"/>
      <c r="AB56" s="431">
        <v>-3050</v>
      </c>
      <c r="AC56" s="431">
        <v>545932</v>
      </c>
      <c r="AD56" s="431">
        <v>74519</v>
      </c>
      <c r="AE56" s="431">
        <v>1312885</v>
      </c>
      <c r="AF56" s="431"/>
      <c r="AG56" s="431">
        <v>144098</v>
      </c>
      <c r="AH56" s="431">
        <v>308409</v>
      </c>
      <c r="AI56" s="431">
        <v>561593</v>
      </c>
      <c r="AJ56" s="431">
        <v>81311</v>
      </c>
      <c r="AK56" s="431"/>
      <c r="AL56" s="431">
        <v>439410</v>
      </c>
      <c r="AM56" s="431">
        <v>4847199</v>
      </c>
    </row>
    <row r="57" spans="1:39" s="155" customFormat="1" ht="12" x14ac:dyDescent="0.2">
      <c r="A57" s="168">
        <v>3</v>
      </c>
      <c r="B57" s="505">
        <v>32704</v>
      </c>
      <c r="C57" s="506" t="s">
        <v>2579</v>
      </c>
      <c r="D57" s="432">
        <f t="shared" si="11"/>
        <v>11114544</v>
      </c>
      <c r="E57" s="431">
        <v>1289968</v>
      </c>
      <c r="F57" s="431">
        <v>129015</v>
      </c>
      <c r="G57" s="431">
        <v>296760</v>
      </c>
      <c r="H57" s="431"/>
      <c r="I57" s="431">
        <v>1467313</v>
      </c>
      <c r="J57" s="431"/>
      <c r="K57" s="431">
        <v>909000</v>
      </c>
      <c r="L57" s="431"/>
      <c r="M57" s="431">
        <v>3827314</v>
      </c>
      <c r="N57" s="431">
        <v>3620949</v>
      </c>
      <c r="O57" s="431"/>
      <c r="P57" s="432">
        <f t="shared" si="12"/>
        <v>11107814</v>
      </c>
      <c r="Q57" s="431">
        <v>1544851</v>
      </c>
      <c r="R57" s="431">
        <v>1108387</v>
      </c>
      <c r="S57" s="431"/>
      <c r="T57" s="431"/>
      <c r="U57" s="431"/>
      <c r="V57" s="431">
        <v>20000</v>
      </c>
      <c r="W57" s="431">
        <v>4437285</v>
      </c>
      <c r="X57" s="431">
        <v>396685</v>
      </c>
      <c r="Y57" s="431">
        <v>149278</v>
      </c>
      <c r="Z57" s="431">
        <v>2672491</v>
      </c>
      <c r="AA57" s="431">
        <v>778837</v>
      </c>
      <c r="AB57" s="431"/>
      <c r="AC57" s="431">
        <v>1002720</v>
      </c>
      <c r="AD57" s="431">
        <v>2487</v>
      </c>
      <c r="AE57" s="431">
        <v>1014860</v>
      </c>
      <c r="AF57" s="431"/>
      <c r="AG57" s="431">
        <v>791539</v>
      </c>
      <c r="AH57" s="431">
        <v>515755</v>
      </c>
      <c r="AI57" s="431">
        <v>473505</v>
      </c>
      <c r="AJ57" s="431">
        <v>1052271</v>
      </c>
      <c r="AK57" s="431"/>
      <c r="AL57" s="431">
        <v>1503224</v>
      </c>
      <c r="AM57" s="431">
        <v>4751453</v>
      </c>
    </row>
    <row r="58" spans="1:39" s="155" customFormat="1" ht="12" x14ac:dyDescent="0.2">
      <c r="A58" s="168">
        <v>4</v>
      </c>
      <c r="B58" s="505">
        <v>32768</v>
      </c>
      <c r="C58" s="506" t="s">
        <v>2256</v>
      </c>
      <c r="D58" s="432">
        <f t="shared" si="11"/>
        <v>4096797</v>
      </c>
      <c r="E58" s="431">
        <v>703215</v>
      </c>
      <c r="F58" s="431">
        <v>67327</v>
      </c>
      <c r="G58" s="431">
        <v>289918</v>
      </c>
      <c r="H58" s="431"/>
      <c r="I58" s="431">
        <v>1160126</v>
      </c>
      <c r="J58" s="431"/>
      <c r="K58" s="431">
        <v>1004000</v>
      </c>
      <c r="L58" s="431"/>
      <c r="M58" s="431">
        <v>1229456</v>
      </c>
      <c r="N58" s="431"/>
      <c r="O58" s="431"/>
      <c r="P58" s="432">
        <f t="shared" si="12"/>
        <v>3812577</v>
      </c>
      <c r="Q58" s="431">
        <v>1364835</v>
      </c>
      <c r="R58" s="431">
        <v>620588</v>
      </c>
      <c r="S58" s="431"/>
      <c r="T58" s="431"/>
      <c r="U58" s="431"/>
      <c r="V58" s="431"/>
      <c r="W58" s="431"/>
      <c r="X58" s="431">
        <v>183992</v>
      </c>
      <c r="Y58" s="431">
        <v>30945</v>
      </c>
      <c r="Z58" s="431">
        <v>1612217</v>
      </c>
      <c r="AA58" s="431"/>
      <c r="AB58" s="431"/>
      <c r="AC58" s="431">
        <v>544793</v>
      </c>
      <c r="AD58" s="431">
        <v>56374</v>
      </c>
      <c r="AE58" s="431">
        <v>1333195</v>
      </c>
      <c r="AF58" s="431">
        <v>15210</v>
      </c>
      <c r="AG58" s="431">
        <v>150918</v>
      </c>
      <c r="AH58" s="431">
        <v>282042</v>
      </c>
      <c r="AI58" s="431">
        <v>142973</v>
      </c>
      <c r="AJ58" s="431">
        <v>7546</v>
      </c>
      <c r="AK58" s="431"/>
      <c r="AL58" s="431">
        <v>1278986</v>
      </c>
      <c r="AM58" s="431">
        <v>540</v>
      </c>
    </row>
    <row r="59" spans="1:39" s="155" customFormat="1" ht="12" x14ac:dyDescent="0.2">
      <c r="A59" s="168">
        <v>5</v>
      </c>
      <c r="B59" s="505">
        <v>32811</v>
      </c>
      <c r="C59" s="506" t="s">
        <v>2580</v>
      </c>
      <c r="D59" s="432">
        <f t="shared" si="11"/>
        <v>12852750</v>
      </c>
      <c r="E59" s="431">
        <v>1388428</v>
      </c>
      <c r="F59" s="431">
        <v>226441</v>
      </c>
      <c r="G59" s="431">
        <v>317133</v>
      </c>
      <c r="H59" s="431"/>
      <c r="I59" s="431">
        <v>2824033</v>
      </c>
      <c r="J59" s="431"/>
      <c r="K59" s="431">
        <v>1009000</v>
      </c>
      <c r="L59" s="431"/>
      <c r="M59" s="431">
        <v>2450845</v>
      </c>
      <c r="N59" s="431">
        <v>5180444</v>
      </c>
      <c r="O59" s="431"/>
      <c r="P59" s="432">
        <f t="shared" si="12"/>
        <v>13543490</v>
      </c>
      <c r="Q59" s="431">
        <v>2704957</v>
      </c>
      <c r="R59" s="431">
        <v>1012036</v>
      </c>
      <c r="S59" s="431"/>
      <c r="T59" s="431"/>
      <c r="U59" s="431"/>
      <c r="V59" s="431"/>
      <c r="W59" s="431">
        <v>7524716</v>
      </c>
      <c r="X59" s="431">
        <v>527337</v>
      </c>
      <c r="Y59" s="431">
        <v>5228</v>
      </c>
      <c r="Z59" s="431">
        <v>1813894</v>
      </c>
      <c r="AA59" s="431"/>
      <c r="AB59" s="431">
        <v>-44678</v>
      </c>
      <c r="AC59" s="431">
        <v>651281</v>
      </c>
      <c r="AD59" s="431">
        <v>12818</v>
      </c>
      <c r="AE59" s="431">
        <v>4201651</v>
      </c>
      <c r="AF59" s="431"/>
      <c r="AG59" s="431">
        <v>671506</v>
      </c>
      <c r="AH59" s="431">
        <v>565051</v>
      </c>
      <c r="AI59" s="431">
        <v>142051</v>
      </c>
      <c r="AJ59" s="431">
        <v>11101</v>
      </c>
      <c r="AK59" s="431"/>
      <c r="AL59" s="431">
        <v>574996</v>
      </c>
      <c r="AM59" s="431">
        <v>6713035</v>
      </c>
    </row>
    <row r="60" spans="1:39" s="155" customFormat="1" ht="12" x14ac:dyDescent="0.2">
      <c r="A60" s="168">
        <v>6</v>
      </c>
      <c r="B60" s="505">
        <v>32884</v>
      </c>
      <c r="C60" s="506" t="s">
        <v>1529</v>
      </c>
      <c r="D60" s="432">
        <f t="shared" si="11"/>
        <v>6825877</v>
      </c>
      <c r="E60" s="431">
        <v>2139162</v>
      </c>
      <c r="F60" s="431">
        <v>363046</v>
      </c>
      <c r="G60" s="431">
        <v>117842</v>
      </c>
      <c r="H60" s="431"/>
      <c r="I60" s="431">
        <v>1584751</v>
      </c>
      <c r="J60" s="431">
        <v>250000</v>
      </c>
      <c r="K60" s="431">
        <v>838000</v>
      </c>
      <c r="L60" s="431"/>
      <c r="M60" s="431">
        <v>720042</v>
      </c>
      <c r="N60" s="431">
        <v>1255562</v>
      </c>
      <c r="O60" s="431">
        <v>38360</v>
      </c>
      <c r="P60" s="432">
        <f t="shared" si="12"/>
        <v>5792421</v>
      </c>
      <c r="Q60" s="431">
        <v>1865342</v>
      </c>
      <c r="R60" s="431">
        <v>794248</v>
      </c>
      <c r="S60" s="431">
        <v>12753</v>
      </c>
      <c r="T60" s="431"/>
      <c r="U60" s="431">
        <v>14958</v>
      </c>
      <c r="V60" s="431">
        <v>15000</v>
      </c>
      <c r="W60" s="431">
        <v>1497864</v>
      </c>
      <c r="X60" s="431">
        <v>231380</v>
      </c>
      <c r="Y60" s="431">
        <v>56213</v>
      </c>
      <c r="Z60" s="431">
        <v>1276635</v>
      </c>
      <c r="AA60" s="431">
        <v>28028</v>
      </c>
      <c r="AB60" s="431"/>
      <c r="AC60" s="431">
        <v>1966516</v>
      </c>
      <c r="AD60" s="431">
        <v>596</v>
      </c>
      <c r="AE60" s="431">
        <v>1382415</v>
      </c>
      <c r="AF60" s="431">
        <v>20325</v>
      </c>
      <c r="AG60" s="431">
        <v>661626</v>
      </c>
      <c r="AH60" s="431">
        <v>394167</v>
      </c>
      <c r="AI60" s="431">
        <v>250522</v>
      </c>
      <c r="AJ60" s="431">
        <v>263328</v>
      </c>
      <c r="AK60" s="431"/>
      <c r="AL60" s="431">
        <v>852926</v>
      </c>
      <c r="AM60" s="431"/>
    </row>
    <row r="61" spans="1:39" s="155" customFormat="1" ht="12" x14ac:dyDescent="0.2">
      <c r="A61" s="168">
        <v>7</v>
      </c>
      <c r="B61" s="505">
        <v>32955</v>
      </c>
      <c r="C61" s="506" t="s">
        <v>2581</v>
      </c>
      <c r="D61" s="432">
        <f t="shared" si="11"/>
        <v>4670589</v>
      </c>
      <c r="E61" s="431">
        <v>689225</v>
      </c>
      <c r="F61" s="431">
        <v>66050</v>
      </c>
      <c r="G61" s="431">
        <v>317431</v>
      </c>
      <c r="H61" s="431"/>
      <c r="I61" s="431">
        <v>786156</v>
      </c>
      <c r="J61" s="431"/>
      <c r="K61" s="431">
        <v>1026000</v>
      </c>
      <c r="L61" s="431"/>
      <c r="M61" s="431">
        <v>1712002</v>
      </c>
      <c r="N61" s="431">
        <v>457206</v>
      </c>
      <c r="O61" s="431"/>
      <c r="P61" s="432">
        <f t="shared" si="12"/>
        <v>4666794</v>
      </c>
      <c r="Q61" s="431">
        <v>1133285</v>
      </c>
      <c r="R61" s="431">
        <v>520517</v>
      </c>
      <c r="S61" s="431"/>
      <c r="T61" s="431"/>
      <c r="U61" s="431"/>
      <c r="V61" s="431"/>
      <c r="W61" s="431">
        <v>979976</v>
      </c>
      <c r="X61" s="431">
        <v>93424</v>
      </c>
      <c r="Y61" s="431">
        <v>126844</v>
      </c>
      <c r="Z61" s="431">
        <v>1833858</v>
      </c>
      <c r="AA61" s="431"/>
      <c r="AB61" s="431">
        <v>-21110</v>
      </c>
      <c r="AC61" s="431">
        <v>592393</v>
      </c>
      <c r="AD61" s="431">
        <v>641</v>
      </c>
      <c r="AE61" s="431">
        <v>614036</v>
      </c>
      <c r="AF61" s="431">
        <v>90460</v>
      </c>
      <c r="AG61" s="431">
        <v>204369</v>
      </c>
      <c r="AH61" s="431">
        <v>204144</v>
      </c>
      <c r="AI61" s="431">
        <v>1112077</v>
      </c>
      <c r="AJ61" s="431">
        <v>8003</v>
      </c>
      <c r="AK61" s="431"/>
      <c r="AL61" s="431">
        <v>1806358</v>
      </c>
      <c r="AM61" s="431">
        <v>34313</v>
      </c>
    </row>
    <row r="62" spans="1:39" s="155" customFormat="1" ht="12" x14ac:dyDescent="0.2">
      <c r="A62" s="168">
        <v>8</v>
      </c>
      <c r="B62" s="505">
        <v>179953</v>
      </c>
      <c r="C62" s="506" t="s">
        <v>2582</v>
      </c>
      <c r="D62" s="432">
        <f t="shared" si="11"/>
        <v>5066093</v>
      </c>
      <c r="E62" s="431">
        <v>820934</v>
      </c>
      <c r="F62" s="431">
        <v>163092</v>
      </c>
      <c r="G62" s="431">
        <v>272127</v>
      </c>
      <c r="H62" s="431"/>
      <c r="I62" s="431">
        <v>609928</v>
      </c>
      <c r="J62" s="431"/>
      <c r="K62" s="431">
        <v>930000</v>
      </c>
      <c r="L62" s="431"/>
      <c r="M62" s="431">
        <v>1480104</v>
      </c>
      <c r="N62" s="431">
        <v>1225127</v>
      </c>
      <c r="O62" s="431"/>
      <c r="P62" s="432">
        <f t="shared" si="12"/>
        <v>4278243</v>
      </c>
      <c r="Q62" s="431">
        <v>773995</v>
      </c>
      <c r="R62" s="431">
        <v>341528</v>
      </c>
      <c r="S62" s="431"/>
      <c r="T62" s="431"/>
      <c r="U62" s="431"/>
      <c r="V62" s="431"/>
      <c r="W62" s="431">
        <v>1927713</v>
      </c>
      <c r="X62" s="431">
        <v>83587</v>
      </c>
      <c r="Y62" s="431">
        <v>11150</v>
      </c>
      <c r="Z62" s="431">
        <v>1140270</v>
      </c>
      <c r="AA62" s="431"/>
      <c r="AB62" s="431"/>
      <c r="AC62" s="431">
        <v>380475</v>
      </c>
      <c r="AD62" s="431">
        <v>8471</v>
      </c>
      <c r="AE62" s="431">
        <v>530251</v>
      </c>
      <c r="AF62" s="431"/>
      <c r="AG62" s="431">
        <v>23546</v>
      </c>
      <c r="AH62" s="431">
        <v>121352</v>
      </c>
      <c r="AI62" s="431">
        <v>96560</v>
      </c>
      <c r="AJ62" s="431">
        <v>6287</v>
      </c>
      <c r="AK62" s="431"/>
      <c r="AL62" s="431">
        <v>2190064</v>
      </c>
      <c r="AM62" s="431">
        <v>921237</v>
      </c>
    </row>
    <row r="63" spans="1:39" s="155" customFormat="1" ht="12" x14ac:dyDescent="0.2">
      <c r="A63" s="168">
        <v>9</v>
      </c>
      <c r="B63" s="505">
        <v>33015</v>
      </c>
      <c r="C63" s="506" t="s">
        <v>2583</v>
      </c>
      <c r="D63" s="432">
        <f t="shared" si="11"/>
        <v>12392157</v>
      </c>
      <c r="E63" s="431">
        <v>1046633</v>
      </c>
      <c r="F63" s="431">
        <v>171314</v>
      </c>
      <c r="G63" s="431">
        <v>255935</v>
      </c>
      <c r="H63" s="431"/>
      <c r="I63" s="431">
        <v>1721237</v>
      </c>
      <c r="J63" s="431"/>
      <c r="K63" s="431">
        <v>1003980</v>
      </c>
      <c r="L63" s="431"/>
      <c r="M63" s="431">
        <v>1858535</v>
      </c>
      <c r="N63" s="431">
        <v>6761772</v>
      </c>
      <c r="O63" s="431"/>
      <c r="P63" s="432">
        <f t="shared" si="12"/>
        <v>7590888</v>
      </c>
      <c r="Q63" s="431">
        <v>2031276</v>
      </c>
      <c r="R63" s="431">
        <v>1173039</v>
      </c>
      <c r="S63" s="431">
        <v>14000</v>
      </c>
      <c r="T63" s="431"/>
      <c r="U63" s="431"/>
      <c r="V63" s="431"/>
      <c r="W63" s="431">
        <v>3922129</v>
      </c>
      <c r="X63" s="431">
        <v>180926</v>
      </c>
      <c r="Y63" s="431"/>
      <c r="Z63" s="431">
        <v>190630</v>
      </c>
      <c r="AA63" s="431">
        <v>87324</v>
      </c>
      <c r="AB63" s="431">
        <v>-8436</v>
      </c>
      <c r="AC63" s="431">
        <v>1150000</v>
      </c>
      <c r="AD63" s="431">
        <v>30989</v>
      </c>
      <c r="AE63" s="431">
        <v>1482893</v>
      </c>
      <c r="AF63" s="431">
        <v>35321</v>
      </c>
      <c r="AG63" s="431">
        <v>50801</v>
      </c>
      <c r="AH63" s="431">
        <v>417581</v>
      </c>
      <c r="AI63" s="431">
        <v>174902</v>
      </c>
      <c r="AJ63" s="431">
        <v>43500</v>
      </c>
      <c r="AK63" s="431"/>
      <c r="AL63" s="431">
        <v>1182707</v>
      </c>
      <c r="AM63" s="431">
        <v>3022194</v>
      </c>
    </row>
    <row r="64" spans="1:39" s="155" customFormat="1" ht="12" x14ac:dyDescent="0.2">
      <c r="A64" s="168">
        <v>10</v>
      </c>
      <c r="B64" s="505">
        <v>33122</v>
      </c>
      <c r="C64" s="506" t="s">
        <v>2584</v>
      </c>
      <c r="D64" s="432">
        <f t="shared" si="11"/>
        <v>3791242</v>
      </c>
      <c r="E64" s="431">
        <v>784381</v>
      </c>
      <c r="F64" s="431">
        <v>152889</v>
      </c>
      <c r="G64" s="431">
        <v>271196</v>
      </c>
      <c r="H64" s="431"/>
      <c r="I64" s="431">
        <v>949627</v>
      </c>
      <c r="J64" s="431">
        <v>250000</v>
      </c>
      <c r="K64" s="431">
        <v>956000</v>
      </c>
      <c r="L64" s="431"/>
      <c r="M64" s="431">
        <v>614028</v>
      </c>
      <c r="N64" s="431">
        <v>221166</v>
      </c>
      <c r="O64" s="431">
        <v>16040</v>
      </c>
      <c r="P64" s="432">
        <f t="shared" si="12"/>
        <v>3721386</v>
      </c>
      <c r="Q64" s="431">
        <v>1281682</v>
      </c>
      <c r="R64" s="431">
        <v>557042</v>
      </c>
      <c r="S64" s="431"/>
      <c r="T64" s="431"/>
      <c r="U64" s="431"/>
      <c r="V64" s="431"/>
      <c r="W64" s="431">
        <v>514755</v>
      </c>
      <c r="X64" s="431">
        <v>180694</v>
      </c>
      <c r="Y64" s="431">
        <v>30000</v>
      </c>
      <c r="Z64" s="431">
        <v>1197292</v>
      </c>
      <c r="AA64" s="431"/>
      <c r="AB64" s="431">
        <v>-40079</v>
      </c>
      <c r="AC64" s="431">
        <v>811134</v>
      </c>
      <c r="AD64" s="431"/>
      <c r="AE64" s="431">
        <v>790740</v>
      </c>
      <c r="AF64" s="431">
        <v>18469</v>
      </c>
      <c r="AG64" s="431">
        <v>900539</v>
      </c>
      <c r="AH64" s="431">
        <v>267931</v>
      </c>
      <c r="AI64" s="431">
        <v>74281</v>
      </c>
      <c r="AJ64" s="431"/>
      <c r="AK64" s="431"/>
      <c r="AL64" s="431">
        <v>858292</v>
      </c>
      <c r="AM64" s="431"/>
    </row>
    <row r="65" spans="1:39" s="155" customFormat="1" ht="12" x14ac:dyDescent="0.2">
      <c r="A65" s="168">
        <v>11</v>
      </c>
      <c r="B65" s="505">
        <v>33177</v>
      </c>
      <c r="C65" s="506" t="s">
        <v>2585</v>
      </c>
      <c r="D65" s="432">
        <f t="shared" si="11"/>
        <v>2808913</v>
      </c>
      <c r="E65" s="431">
        <v>632199</v>
      </c>
      <c r="F65" s="431">
        <v>110048</v>
      </c>
      <c r="G65" s="431">
        <v>286918</v>
      </c>
      <c r="H65" s="431"/>
      <c r="I65" s="431">
        <v>854444</v>
      </c>
      <c r="J65" s="431">
        <v>141086</v>
      </c>
      <c r="K65" s="431">
        <v>965000</v>
      </c>
      <c r="L65" s="431"/>
      <c r="M65" s="431">
        <v>64101</v>
      </c>
      <c r="N65" s="431">
        <v>152083</v>
      </c>
      <c r="O65" s="431"/>
      <c r="P65" s="432">
        <f t="shared" si="12"/>
        <v>2851011</v>
      </c>
      <c r="Q65" s="431">
        <v>1207948</v>
      </c>
      <c r="R65" s="431">
        <v>703439</v>
      </c>
      <c r="S65" s="431"/>
      <c r="T65" s="431"/>
      <c r="U65" s="431"/>
      <c r="V65" s="431"/>
      <c r="W65" s="431">
        <v>346512</v>
      </c>
      <c r="X65" s="431">
        <v>92956</v>
      </c>
      <c r="Y65" s="431">
        <v>3000</v>
      </c>
      <c r="Z65" s="431">
        <v>497156</v>
      </c>
      <c r="AA65" s="431"/>
      <c r="AB65" s="431"/>
      <c r="AC65" s="431">
        <v>536362</v>
      </c>
      <c r="AD65" s="431"/>
      <c r="AE65" s="431">
        <v>854312</v>
      </c>
      <c r="AF65" s="431">
        <v>9920</v>
      </c>
      <c r="AG65" s="431">
        <v>217754</v>
      </c>
      <c r="AH65" s="431">
        <v>238797</v>
      </c>
      <c r="AI65" s="431">
        <v>141007</v>
      </c>
      <c r="AJ65" s="431">
        <v>30791</v>
      </c>
      <c r="AK65" s="431"/>
      <c r="AL65" s="431">
        <v>764342</v>
      </c>
      <c r="AM65" s="431">
        <v>57726</v>
      </c>
    </row>
    <row r="66" spans="1:39" s="155" customFormat="1" ht="12" x14ac:dyDescent="0.2">
      <c r="A66" s="168">
        <v>12</v>
      </c>
      <c r="B66" s="505">
        <v>33202</v>
      </c>
      <c r="C66" s="506" t="s">
        <v>2586</v>
      </c>
      <c r="D66" s="432">
        <f t="shared" si="11"/>
        <v>7192008</v>
      </c>
      <c r="E66" s="431">
        <v>1698141</v>
      </c>
      <c r="F66" s="431">
        <v>235456</v>
      </c>
      <c r="G66" s="431">
        <v>517127</v>
      </c>
      <c r="H66" s="431"/>
      <c r="I66" s="431">
        <v>2869732</v>
      </c>
      <c r="J66" s="431">
        <v>35000</v>
      </c>
      <c r="K66" s="431">
        <v>1293000</v>
      </c>
      <c r="L66" s="431"/>
      <c r="M66" s="431">
        <v>740222</v>
      </c>
      <c r="N66" s="431">
        <v>555913</v>
      </c>
      <c r="O66" s="431"/>
      <c r="P66" s="432">
        <f t="shared" si="12"/>
        <v>6720388</v>
      </c>
      <c r="Q66" s="431">
        <v>2972805</v>
      </c>
      <c r="R66" s="431">
        <v>1327703</v>
      </c>
      <c r="S66" s="431">
        <v>40088</v>
      </c>
      <c r="T66" s="431"/>
      <c r="U66" s="431">
        <v>22000</v>
      </c>
      <c r="V66" s="431"/>
      <c r="W66" s="431">
        <v>419802</v>
      </c>
      <c r="X66" s="431">
        <v>336702</v>
      </c>
      <c r="Y66" s="431">
        <v>412888</v>
      </c>
      <c r="Z66" s="431">
        <v>1137202</v>
      </c>
      <c r="AA66" s="431">
        <v>62098</v>
      </c>
      <c r="AB66" s="431">
        <v>-10900</v>
      </c>
      <c r="AC66" s="431">
        <v>1694332</v>
      </c>
      <c r="AD66" s="431"/>
      <c r="AE66" s="431">
        <v>2992923</v>
      </c>
      <c r="AF66" s="431">
        <v>14000</v>
      </c>
      <c r="AG66" s="431">
        <v>385711</v>
      </c>
      <c r="AH66" s="431">
        <v>495649</v>
      </c>
      <c r="AI66" s="431">
        <v>604553</v>
      </c>
      <c r="AJ66" s="431">
        <v>60640</v>
      </c>
      <c r="AK66" s="431"/>
      <c r="AL66" s="431">
        <v>414920</v>
      </c>
      <c r="AM66" s="431">
        <v>57660</v>
      </c>
    </row>
    <row r="67" spans="1:39" s="155" customFormat="1" ht="12" x14ac:dyDescent="0.2">
      <c r="A67" s="168">
        <v>13</v>
      </c>
      <c r="B67" s="505">
        <v>179686</v>
      </c>
      <c r="C67" s="506" t="s">
        <v>2587</v>
      </c>
      <c r="D67" s="432">
        <f t="shared" si="11"/>
        <v>4309422</v>
      </c>
      <c r="E67" s="431">
        <v>942185</v>
      </c>
      <c r="F67" s="431">
        <v>124675</v>
      </c>
      <c r="G67" s="431">
        <v>172867</v>
      </c>
      <c r="H67" s="431"/>
      <c r="I67" s="431">
        <v>2078450</v>
      </c>
      <c r="J67" s="431"/>
      <c r="K67" s="431">
        <v>653000</v>
      </c>
      <c r="L67" s="431"/>
      <c r="M67" s="431">
        <v>254960</v>
      </c>
      <c r="N67" s="431">
        <v>325788</v>
      </c>
      <c r="O67" s="431">
        <v>55039</v>
      </c>
      <c r="P67" s="432">
        <f t="shared" si="12"/>
        <v>3886233</v>
      </c>
      <c r="Q67" s="431">
        <v>2096328</v>
      </c>
      <c r="R67" s="431">
        <v>811929</v>
      </c>
      <c r="S67" s="431">
        <v>6460</v>
      </c>
      <c r="T67" s="431"/>
      <c r="U67" s="431">
        <v>66762</v>
      </c>
      <c r="V67" s="431">
        <v>25000</v>
      </c>
      <c r="W67" s="431">
        <v>227065</v>
      </c>
      <c r="X67" s="431">
        <v>450124</v>
      </c>
      <c r="Y67" s="431">
        <v>1000</v>
      </c>
      <c r="Z67" s="431">
        <v>187366</v>
      </c>
      <c r="AA67" s="431">
        <v>14199</v>
      </c>
      <c r="AB67" s="431"/>
      <c r="AC67" s="431">
        <v>797340</v>
      </c>
      <c r="AD67" s="431">
        <v>25830</v>
      </c>
      <c r="AE67" s="431">
        <v>1754003</v>
      </c>
      <c r="AF67" s="431">
        <v>48201</v>
      </c>
      <c r="AG67" s="431">
        <v>145563</v>
      </c>
      <c r="AH67" s="431">
        <v>450124</v>
      </c>
      <c r="AI67" s="431">
        <v>221050</v>
      </c>
      <c r="AJ67" s="431">
        <v>6696</v>
      </c>
      <c r="AK67" s="431"/>
      <c r="AL67" s="431">
        <v>437426</v>
      </c>
      <c r="AM67" s="431"/>
    </row>
    <row r="68" spans="1:39" s="155" customFormat="1" ht="12" x14ac:dyDescent="0.2">
      <c r="A68" s="168">
        <v>14</v>
      </c>
      <c r="B68" s="505">
        <v>33248</v>
      </c>
      <c r="C68" s="506" t="s">
        <v>2588</v>
      </c>
      <c r="D68" s="432">
        <f t="shared" si="11"/>
        <v>11626613</v>
      </c>
      <c r="E68" s="431">
        <v>3133102</v>
      </c>
      <c r="F68" s="431">
        <v>407656</v>
      </c>
      <c r="G68" s="431">
        <v>696868</v>
      </c>
      <c r="H68" s="431"/>
      <c r="I68" s="431">
        <v>5012816</v>
      </c>
      <c r="J68" s="431"/>
      <c r="K68" s="431">
        <v>1244000</v>
      </c>
      <c r="L68" s="431"/>
      <c r="M68" s="431">
        <v>993666</v>
      </c>
      <c r="N68" s="431">
        <v>1243029</v>
      </c>
      <c r="O68" s="431"/>
      <c r="P68" s="432">
        <f t="shared" si="12"/>
        <v>11160752</v>
      </c>
      <c r="Q68" s="431">
        <v>5139966</v>
      </c>
      <c r="R68" s="431">
        <v>1979928</v>
      </c>
      <c r="S68" s="431"/>
      <c r="T68" s="431"/>
      <c r="U68" s="431"/>
      <c r="V68" s="431"/>
      <c r="W68" s="431">
        <v>2118155</v>
      </c>
      <c r="X68" s="431">
        <v>452778</v>
      </c>
      <c r="Y68" s="431">
        <v>121176</v>
      </c>
      <c r="Z68" s="431">
        <v>1375579</v>
      </c>
      <c r="AA68" s="431"/>
      <c r="AB68" s="431">
        <v>-26830</v>
      </c>
      <c r="AC68" s="431">
        <v>904109</v>
      </c>
      <c r="AD68" s="431">
        <v>57237</v>
      </c>
      <c r="AE68" s="431">
        <v>5397607</v>
      </c>
      <c r="AF68" s="431">
        <v>15861</v>
      </c>
      <c r="AG68" s="431">
        <v>2221742</v>
      </c>
      <c r="AH68" s="431">
        <v>782880</v>
      </c>
      <c r="AI68" s="431">
        <v>299454</v>
      </c>
      <c r="AJ68" s="431">
        <v>141218</v>
      </c>
      <c r="AK68" s="431"/>
      <c r="AL68" s="431">
        <v>1111255</v>
      </c>
      <c r="AM68" s="431">
        <v>229389</v>
      </c>
    </row>
    <row r="69" spans="1:39" s="155" customFormat="1" ht="12" x14ac:dyDescent="0.2">
      <c r="A69" s="168">
        <v>15</v>
      </c>
      <c r="B69" s="505">
        <v>33275</v>
      </c>
      <c r="C69" s="506" t="s">
        <v>2589</v>
      </c>
      <c r="D69" s="432">
        <f t="shared" si="11"/>
        <v>6381277</v>
      </c>
      <c r="E69" s="431">
        <v>1374616</v>
      </c>
      <c r="F69" s="431">
        <v>142787</v>
      </c>
      <c r="G69" s="431">
        <v>226614</v>
      </c>
      <c r="H69" s="431"/>
      <c r="I69" s="431">
        <v>1499542</v>
      </c>
      <c r="J69" s="431"/>
      <c r="K69" s="431">
        <v>823000</v>
      </c>
      <c r="L69" s="431"/>
      <c r="M69" s="431">
        <v>2319398</v>
      </c>
      <c r="N69" s="431">
        <v>364721</v>
      </c>
      <c r="O69" s="431"/>
      <c r="P69" s="432">
        <f t="shared" si="12"/>
        <v>6145911</v>
      </c>
      <c r="Q69" s="431">
        <v>1569029</v>
      </c>
      <c r="R69" s="431">
        <v>850282</v>
      </c>
      <c r="S69" s="431">
        <v>2490</v>
      </c>
      <c r="T69" s="431"/>
      <c r="U69" s="431">
        <v>10848</v>
      </c>
      <c r="V69" s="431"/>
      <c r="W69" s="431">
        <v>644303</v>
      </c>
      <c r="X69" s="431">
        <v>204805</v>
      </c>
      <c r="Y69" s="431">
        <v>171733</v>
      </c>
      <c r="Z69" s="431">
        <v>2683024</v>
      </c>
      <c r="AA69" s="431">
        <v>9397</v>
      </c>
      <c r="AB69" s="431"/>
      <c r="AC69" s="431">
        <v>505864</v>
      </c>
      <c r="AD69" s="431">
        <v>3166</v>
      </c>
      <c r="AE69" s="431">
        <v>1961764</v>
      </c>
      <c r="AF69" s="431">
        <v>14000</v>
      </c>
      <c r="AG69" s="431">
        <v>746202</v>
      </c>
      <c r="AH69" s="431">
        <v>298978</v>
      </c>
      <c r="AI69" s="431">
        <v>296898</v>
      </c>
      <c r="AJ69" s="431">
        <v>8864</v>
      </c>
      <c r="AK69" s="431"/>
      <c r="AL69" s="431">
        <v>2278756</v>
      </c>
      <c r="AM69" s="431">
        <v>31419</v>
      </c>
    </row>
    <row r="70" spans="1:39" s="155" customFormat="1" ht="12" x14ac:dyDescent="0.2">
      <c r="A70" s="168">
        <v>16</v>
      </c>
      <c r="B70" s="505">
        <v>33337</v>
      </c>
      <c r="C70" s="506" t="s">
        <v>2590</v>
      </c>
      <c r="D70" s="432">
        <f t="shared" si="11"/>
        <v>5275250</v>
      </c>
      <c r="E70" s="431">
        <v>1793894</v>
      </c>
      <c r="F70" s="431">
        <v>107911</v>
      </c>
      <c r="G70" s="431">
        <v>217760</v>
      </c>
      <c r="H70" s="431"/>
      <c r="I70" s="431">
        <v>1574983</v>
      </c>
      <c r="J70" s="431">
        <v>150000</v>
      </c>
      <c r="K70" s="431">
        <v>474000</v>
      </c>
      <c r="L70" s="431"/>
      <c r="M70" s="431">
        <v>827522</v>
      </c>
      <c r="N70" s="431">
        <v>454851</v>
      </c>
      <c r="O70" s="431"/>
      <c r="P70" s="432">
        <f t="shared" si="12"/>
        <v>5472968</v>
      </c>
      <c r="Q70" s="431">
        <v>1712278</v>
      </c>
      <c r="R70" s="431">
        <v>856774</v>
      </c>
      <c r="S70" s="431"/>
      <c r="T70" s="431"/>
      <c r="U70" s="431"/>
      <c r="V70" s="431"/>
      <c r="W70" s="431">
        <v>960908</v>
      </c>
      <c r="X70" s="431">
        <v>185815</v>
      </c>
      <c r="Y70" s="431">
        <v>234193</v>
      </c>
      <c r="Z70" s="431">
        <v>1523000</v>
      </c>
      <c r="AA70" s="431"/>
      <c r="AB70" s="431"/>
      <c r="AC70" s="431">
        <v>1615589</v>
      </c>
      <c r="AD70" s="431"/>
      <c r="AE70" s="431">
        <v>1358957</v>
      </c>
      <c r="AF70" s="431">
        <v>23664</v>
      </c>
      <c r="AG70" s="431">
        <v>269708</v>
      </c>
      <c r="AH70" s="431">
        <v>277695</v>
      </c>
      <c r="AI70" s="431">
        <v>156202</v>
      </c>
      <c r="AJ70" s="431">
        <v>405999</v>
      </c>
      <c r="AK70" s="431"/>
      <c r="AL70" s="431">
        <v>1365154</v>
      </c>
      <c r="AM70" s="431"/>
    </row>
    <row r="71" spans="1:39" s="155" customFormat="1" ht="12" x14ac:dyDescent="0.2">
      <c r="A71" s="168">
        <v>17</v>
      </c>
      <c r="B71" s="505">
        <v>33364</v>
      </c>
      <c r="C71" s="506" t="s">
        <v>2591</v>
      </c>
      <c r="D71" s="432">
        <f t="shared" si="11"/>
        <v>10921272</v>
      </c>
      <c r="E71" s="431">
        <v>1382351</v>
      </c>
      <c r="F71" s="431">
        <v>414482</v>
      </c>
      <c r="G71" s="431">
        <v>239437</v>
      </c>
      <c r="H71" s="431"/>
      <c r="I71" s="431">
        <v>2081252</v>
      </c>
      <c r="J71" s="431"/>
      <c r="K71" s="431">
        <v>1405000</v>
      </c>
      <c r="L71" s="431"/>
      <c r="M71" s="431">
        <v>1994523</v>
      </c>
      <c r="N71" s="431">
        <v>4032106</v>
      </c>
      <c r="O71" s="431">
        <v>26040</v>
      </c>
      <c r="P71" s="432">
        <f t="shared" si="12"/>
        <v>12123092</v>
      </c>
      <c r="Q71" s="431">
        <v>2325030</v>
      </c>
      <c r="R71" s="431">
        <v>865273</v>
      </c>
      <c r="S71" s="431">
        <v>12651</v>
      </c>
      <c r="T71" s="431"/>
      <c r="U71" s="431">
        <v>5000</v>
      </c>
      <c r="V71" s="431"/>
      <c r="W71" s="431">
        <v>8058792</v>
      </c>
      <c r="X71" s="431">
        <v>230270</v>
      </c>
      <c r="Y71" s="431">
        <v>114400</v>
      </c>
      <c r="Z71" s="431">
        <v>551016</v>
      </c>
      <c r="AA71" s="431">
        <v>27804</v>
      </c>
      <c r="AB71" s="431">
        <v>-67144</v>
      </c>
      <c r="AC71" s="431">
        <v>1367382</v>
      </c>
      <c r="AD71" s="431">
        <v>55355</v>
      </c>
      <c r="AE71" s="431">
        <v>1886616</v>
      </c>
      <c r="AF71" s="431">
        <v>21016</v>
      </c>
      <c r="AG71" s="431">
        <v>600733</v>
      </c>
      <c r="AH71" s="431">
        <v>367287</v>
      </c>
      <c r="AI71" s="431">
        <v>1184742</v>
      </c>
      <c r="AJ71" s="431">
        <v>-45436</v>
      </c>
      <c r="AK71" s="431"/>
      <c r="AL71" s="431">
        <v>1520363</v>
      </c>
      <c r="AM71" s="431">
        <v>5165034</v>
      </c>
    </row>
    <row r="72" spans="1:39" s="155" customFormat="1" ht="12" x14ac:dyDescent="0.2">
      <c r="A72" s="168">
        <v>18</v>
      </c>
      <c r="B72" s="505">
        <v>33382</v>
      </c>
      <c r="C72" s="506" t="s">
        <v>2592</v>
      </c>
      <c r="D72" s="432">
        <f t="shared" si="11"/>
        <v>9667625</v>
      </c>
      <c r="E72" s="431">
        <v>2461560</v>
      </c>
      <c r="F72" s="431">
        <v>261403</v>
      </c>
      <c r="G72" s="431">
        <v>480665</v>
      </c>
      <c r="H72" s="431"/>
      <c r="I72" s="431">
        <v>2500000</v>
      </c>
      <c r="J72" s="431"/>
      <c r="K72" s="431">
        <v>962000</v>
      </c>
      <c r="L72" s="431"/>
      <c r="M72" s="431">
        <v>3025362</v>
      </c>
      <c r="N72" s="431">
        <v>718703</v>
      </c>
      <c r="O72" s="431"/>
      <c r="P72" s="432">
        <f t="shared" si="12"/>
        <v>9157707</v>
      </c>
      <c r="Q72" s="431">
        <v>2793348</v>
      </c>
      <c r="R72" s="431">
        <v>784682</v>
      </c>
      <c r="S72" s="431"/>
      <c r="T72" s="431"/>
      <c r="U72" s="431">
        <v>56398</v>
      </c>
      <c r="V72" s="431">
        <v>62950</v>
      </c>
      <c r="W72" s="431">
        <v>2623547</v>
      </c>
      <c r="X72" s="431">
        <v>365077</v>
      </c>
      <c r="Y72" s="431"/>
      <c r="Z72" s="431">
        <v>2484484</v>
      </c>
      <c r="AA72" s="431"/>
      <c r="AB72" s="431">
        <v>-12779</v>
      </c>
      <c r="AC72" s="431">
        <v>1110748</v>
      </c>
      <c r="AD72" s="431">
        <v>22051</v>
      </c>
      <c r="AE72" s="431">
        <v>3413996</v>
      </c>
      <c r="AF72" s="431">
        <v>2784</v>
      </c>
      <c r="AG72" s="431">
        <v>935240</v>
      </c>
      <c r="AH72" s="431">
        <v>585586</v>
      </c>
      <c r="AI72" s="431">
        <v>102109</v>
      </c>
      <c r="AJ72" s="431">
        <v>13992</v>
      </c>
      <c r="AK72" s="431"/>
      <c r="AL72" s="431">
        <v>2971201</v>
      </c>
      <c r="AM72" s="431"/>
    </row>
    <row r="73" spans="1:39" s="155" customFormat="1" ht="12" x14ac:dyDescent="0.2">
      <c r="A73" s="168">
        <v>19</v>
      </c>
      <c r="B73" s="505">
        <v>33435</v>
      </c>
      <c r="C73" s="506" t="s">
        <v>2593</v>
      </c>
      <c r="D73" s="432">
        <f t="shared" si="11"/>
        <v>12873058</v>
      </c>
      <c r="E73" s="431">
        <v>3023630</v>
      </c>
      <c r="F73" s="431">
        <v>659043</v>
      </c>
      <c r="G73" s="431">
        <v>601349</v>
      </c>
      <c r="H73" s="431"/>
      <c r="I73" s="431">
        <v>4466502</v>
      </c>
      <c r="J73" s="431"/>
      <c r="K73" s="431">
        <v>1159000</v>
      </c>
      <c r="L73" s="431"/>
      <c r="M73" s="431">
        <v>4172522</v>
      </c>
      <c r="N73" s="431">
        <v>15509</v>
      </c>
      <c r="O73" s="431">
        <v>35895</v>
      </c>
      <c r="P73" s="432">
        <f t="shared" si="12"/>
        <v>12629176</v>
      </c>
      <c r="Q73" s="431">
        <v>4553603</v>
      </c>
      <c r="R73" s="431">
        <v>1509705</v>
      </c>
      <c r="S73" s="431"/>
      <c r="T73" s="431"/>
      <c r="U73" s="431">
        <v>66652</v>
      </c>
      <c r="V73" s="431">
        <v>1542</v>
      </c>
      <c r="W73" s="431"/>
      <c r="X73" s="431">
        <v>293418</v>
      </c>
      <c r="Y73" s="431">
        <v>120359</v>
      </c>
      <c r="Z73" s="431">
        <v>6083897</v>
      </c>
      <c r="AA73" s="431"/>
      <c r="AB73" s="431"/>
      <c r="AC73" s="431">
        <v>1543840</v>
      </c>
      <c r="AD73" s="431">
        <v>24281</v>
      </c>
      <c r="AE73" s="431">
        <v>5257598</v>
      </c>
      <c r="AF73" s="431">
        <v>41989</v>
      </c>
      <c r="AG73" s="431">
        <v>658757</v>
      </c>
      <c r="AH73" s="431">
        <v>550190</v>
      </c>
      <c r="AI73" s="431">
        <v>504422</v>
      </c>
      <c r="AJ73" s="431">
        <v>235050</v>
      </c>
      <c r="AK73" s="431"/>
      <c r="AL73" s="431">
        <v>3793105</v>
      </c>
      <c r="AM73" s="431">
        <v>19944</v>
      </c>
    </row>
    <row r="74" spans="1:39" s="155" customFormat="1" ht="12" x14ac:dyDescent="0.2">
      <c r="A74" s="168">
        <v>20</v>
      </c>
      <c r="B74" s="505">
        <v>33514</v>
      </c>
      <c r="C74" s="506" t="s">
        <v>2594</v>
      </c>
      <c r="D74" s="432">
        <f t="shared" si="11"/>
        <v>5642326</v>
      </c>
      <c r="E74" s="431">
        <v>1088348</v>
      </c>
      <c r="F74" s="431">
        <v>129482</v>
      </c>
      <c r="G74" s="431">
        <v>206449</v>
      </c>
      <c r="H74" s="431"/>
      <c r="I74" s="431">
        <v>1886246</v>
      </c>
      <c r="J74" s="431"/>
      <c r="K74" s="431">
        <v>925000</v>
      </c>
      <c r="L74" s="431"/>
      <c r="M74" s="431">
        <v>1600168</v>
      </c>
      <c r="N74" s="431">
        <v>92564</v>
      </c>
      <c r="O74" s="431">
        <v>50000</v>
      </c>
      <c r="P74" s="432">
        <f t="shared" si="12"/>
        <v>5635260</v>
      </c>
      <c r="Q74" s="431">
        <v>2141107</v>
      </c>
      <c r="R74" s="431">
        <v>1112157</v>
      </c>
      <c r="S74" s="431">
        <v>4620</v>
      </c>
      <c r="T74" s="431"/>
      <c r="U74" s="431"/>
      <c r="V74" s="431"/>
      <c r="W74" s="431">
        <v>1873107</v>
      </c>
      <c r="X74" s="431">
        <v>170303</v>
      </c>
      <c r="Y74" s="431">
        <v>45093</v>
      </c>
      <c r="Z74" s="431">
        <v>366564</v>
      </c>
      <c r="AA74" s="431"/>
      <c r="AB74" s="431">
        <v>-77691</v>
      </c>
      <c r="AC74" s="431">
        <v>952920</v>
      </c>
      <c r="AD74" s="431"/>
      <c r="AE74" s="431">
        <v>1729684</v>
      </c>
      <c r="AF74" s="431">
        <v>18763</v>
      </c>
      <c r="AG74" s="431">
        <v>187298</v>
      </c>
      <c r="AH74" s="431">
        <v>424525</v>
      </c>
      <c r="AI74" s="431">
        <v>75274</v>
      </c>
      <c r="AJ74" s="431">
        <v>12386</v>
      </c>
      <c r="AK74" s="431"/>
      <c r="AL74" s="431">
        <v>2172842</v>
      </c>
      <c r="AM74" s="431">
        <v>61568</v>
      </c>
    </row>
    <row r="75" spans="1:39" s="155" customFormat="1" ht="12" x14ac:dyDescent="0.2">
      <c r="A75" s="168">
        <v>21</v>
      </c>
      <c r="B75" s="505">
        <v>33541</v>
      </c>
      <c r="C75" s="506" t="s">
        <v>537</v>
      </c>
      <c r="D75" s="432">
        <f t="shared" si="11"/>
        <v>11121072</v>
      </c>
      <c r="E75" s="431">
        <v>2102943</v>
      </c>
      <c r="F75" s="431">
        <v>501618</v>
      </c>
      <c r="G75" s="431">
        <v>418893</v>
      </c>
      <c r="H75" s="431"/>
      <c r="I75" s="431">
        <v>2399019</v>
      </c>
      <c r="J75" s="431"/>
      <c r="K75" s="431">
        <v>815000</v>
      </c>
      <c r="L75" s="431"/>
      <c r="M75" s="431">
        <v>2939701</v>
      </c>
      <c r="N75" s="431">
        <v>2864409</v>
      </c>
      <c r="O75" s="431"/>
      <c r="P75" s="432">
        <f t="shared" si="12"/>
        <v>9581300</v>
      </c>
      <c r="Q75" s="431">
        <v>2627083</v>
      </c>
      <c r="R75" s="431">
        <v>1414858</v>
      </c>
      <c r="S75" s="431">
        <v>74062</v>
      </c>
      <c r="T75" s="431"/>
      <c r="U75" s="431"/>
      <c r="V75" s="431"/>
      <c r="W75" s="431">
        <v>3127551</v>
      </c>
      <c r="X75" s="431">
        <v>401910</v>
      </c>
      <c r="Y75" s="431">
        <v>12868</v>
      </c>
      <c r="Z75" s="431">
        <v>1824336</v>
      </c>
      <c r="AA75" s="431">
        <v>98632</v>
      </c>
      <c r="AB75" s="431"/>
      <c r="AC75" s="431">
        <v>1928592</v>
      </c>
      <c r="AD75" s="431">
        <v>129618</v>
      </c>
      <c r="AE75" s="431">
        <v>2314623</v>
      </c>
      <c r="AF75" s="431">
        <v>22208</v>
      </c>
      <c r="AG75" s="431">
        <v>131623</v>
      </c>
      <c r="AH75" s="431">
        <v>579873</v>
      </c>
      <c r="AI75" s="431">
        <v>137228</v>
      </c>
      <c r="AJ75" s="431"/>
      <c r="AK75" s="431"/>
      <c r="AL75" s="431">
        <v>4336292</v>
      </c>
      <c r="AM75" s="431">
        <v>1243</v>
      </c>
    </row>
    <row r="76" spans="1:39" s="155" customFormat="1" ht="12" x14ac:dyDescent="0.2">
      <c r="A76" s="168">
        <v>22</v>
      </c>
      <c r="B76" s="505">
        <v>33603</v>
      </c>
      <c r="C76" s="506" t="s">
        <v>2595</v>
      </c>
      <c r="D76" s="432">
        <f t="shared" si="11"/>
        <v>11453443</v>
      </c>
      <c r="E76" s="431">
        <v>3511411</v>
      </c>
      <c r="F76" s="431">
        <v>505692</v>
      </c>
      <c r="G76" s="431">
        <v>107171</v>
      </c>
      <c r="H76" s="431"/>
      <c r="I76" s="431">
        <v>2031319</v>
      </c>
      <c r="J76" s="431">
        <v>250000</v>
      </c>
      <c r="K76" s="431">
        <v>857330</v>
      </c>
      <c r="L76" s="431"/>
      <c r="M76" s="431">
        <v>1214773</v>
      </c>
      <c r="N76" s="431">
        <v>3588610</v>
      </c>
      <c r="O76" s="431"/>
      <c r="P76" s="432">
        <f t="shared" si="12"/>
        <v>12062670</v>
      </c>
      <c r="Q76" s="431">
        <v>2393786</v>
      </c>
      <c r="R76" s="431">
        <v>2121557</v>
      </c>
      <c r="S76" s="431"/>
      <c r="T76" s="431"/>
      <c r="U76" s="431">
        <v>41500</v>
      </c>
      <c r="V76" s="431"/>
      <c r="W76" s="431">
        <v>5076923</v>
      </c>
      <c r="X76" s="431">
        <v>232020</v>
      </c>
      <c r="Y76" s="431">
        <v>47960</v>
      </c>
      <c r="Z76" s="431">
        <v>2148924</v>
      </c>
      <c r="AA76" s="431"/>
      <c r="AB76" s="431"/>
      <c r="AC76" s="431">
        <v>2108430</v>
      </c>
      <c r="AD76" s="431">
        <v>3071</v>
      </c>
      <c r="AE76" s="431">
        <v>1915169</v>
      </c>
      <c r="AF76" s="431"/>
      <c r="AG76" s="431">
        <v>379209</v>
      </c>
      <c r="AH76" s="431">
        <v>408843</v>
      </c>
      <c r="AI76" s="431">
        <v>5548359</v>
      </c>
      <c r="AJ76" s="431">
        <v>15131</v>
      </c>
      <c r="AK76" s="431"/>
      <c r="AL76" s="431">
        <v>1300763</v>
      </c>
      <c r="AM76" s="431">
        <v>383695</v>
      </c>
    </row>
    <row r="77" spans="1:39" s="155" customFormat="1" ht="12" x14ac:dyDescent="0.2">
      <c r="A77" s="168">
        <v>23</v>
      </c>
      <c r="B77" s="505">
        <v>33621</v>
      </c>
      <c r="C77" s="506" t="s">
        <v>2596</v>
      </c>
      <c r="D77" s="432">
        <f t="shared" si="11"/>
        <v>17898600</v>
      </c>
      <c r="E77" s="431">
        <v>5550002</v>
      </c>
      <c r="F77" s="431">
        <v>1391816</v>
      </c>
      <c r="G77" s="431">
        <v>216203</v>
      </c>
      <c r="H77" s="431"/>
      <c r="I77" s="431">
        <v>6675161</v>
      </c>
      <c r="J77" s="431"/>
      <c r="K77" s="431">
        <v>750000</v>
      </c>
      <c r="L77" s="431"/>
      <c r="M77" s="431">
        <v>1148165</v>
      </c>
      <c r="N77" s="431">
        <v>3439477</v>
      </c>
      <c r="O77" s="431">
        <v>335795</v>
      </c>
      <c r="P77" s="432">
        <f t="shared" si="12"/>
        <v>17125042</v>
      </c>
      <c r="Q77" s="431">
        <v>6506281</v>
      </c>
      <c r="R77" s="431">
        <v>3328579</v>
      </c>
      <c r="S77" s="431"/>
      <c r="T77" s="431"/>
      <c r="U77" s="431">
        <v>3624</v>
      </c>
      <c r="V77" s="431"/>
      <c r="W77" s="431">
        <v>4419651</v>
      </c>
      <c r="X77" s="431">
        <v>570688</v>
      </c>
      <c r="Y77" s="431">
        <v>264616</v>
      </c>
      <c r="Z77" s="431">
        <v>2034035</v>
      </c>
      <c r="AA77" s="431"/>
      <c r="AB77" s="431">
        <v>-2432</v>
      </c>
      <c r="AC77" s="431">
        <v>1628369</v>
      </c>
      <c r="AD77" s="431"/>
      <c r="AE77" s="431">
        <v>6779912</v>
      </c>
      <c r="AF77" s="431">
        <v>15953</v>
      </c>
      <c r="AG77" s="431">
        <v>526933</v>
      </c>
      <c r="AH77" s="431">
        <v>987642</v>
      </c>
      <c r="AI77" s="431">
        <v>589512</v>
      </c>
      <c r="AJ77" s="431">
        <v>393806</v>
      </c>
      <c r="AK77" s="431"/>
      <c r="AL77" s="431">
        <v>2708970</v>
      </c>
      <c r="AM77" s="431">
        <v>3493945</v>
      </c>
    </row>
    <row r="78" spans="1:39" s="155" customFormat="1" ht="12" x14ac:dyDescent="0.2">
      <c r="A78" s="168">
        <v>24</v>
      </c>
      <c r="B78" s="505">
        <v>33658</v>
      </c>
      <c r="C78" s="506" t="s">
        <v>2597</v>
      </c>
      <c r="D78" s="432">
        <f t="shared" si="11"/>
        <v>4168929</v>
      </c>
      <c r="E78" s="431">
        <v>934753</v>
      </c>
      <c r="F78" s="431">
        <v>304230</v>
      </c>
      <c r="G78" s="431">
        <v>181728</v>
      </c>
      <c r="H78" s="431"/>
      <c r="I78" s="431">
        <v>1760973</v>
      </c>
      <c r="J78" s="431"/>
      <c r="K78" s="431">
        <v>712000</v>
      </c>
      <c r="L78" s="431"/>
      <c r="M78" s="431">
        <v>545894</v>
      </c>
      <c r="N78" s="431">
        <v>215309</v>
      </c>
      <c r="O78" s="431"/>
      <c r="P78" s="432">
        <f t="shared" si="12"/>
        <v>4024000</v>
      </c>
      <c r="Q78" s="431">
        <v>1741157</v>
      </c>
      <c r="R78" s="431">
        <v>668901</v>
      </c>
      <c r="S78" s="431"/>
      <c r="T78" s="431"/>
      <c r="U78" s="431"/>
      <c r="V78" s="431"/>
      <c r="W78" s="431">
        <v>525863</v>
      </c>
      <c r="X78" s="431">
        <v>304835</v>
      </c>
      <c r="Y78" s="431">
        <v>6284</v>
      </c>
      <c r="Z78" s="431">
        <v>776960</v>
      </c>
      <c r="AA78" s="431"/>
      <c r="AB78" s="431"/>
      <c r="AC78" s="431">
        <v>496750</v>
      </c>
      <c r="AD78" s="431">
        <v>705</v>
      </c>
      <c r="AE78" s="431">
        <v>1479104</v>
      </c>
      <c r="AF78" s="431"/>
      <c r="AG78" s="431">
        <v>812056</v>
      </c>
      <c r="AH78" s="431">
        <v>416373</v>
      </c>
      <c r="AI78" s="431">
        <v>39359</v>
      </c>
      <c r="AJ78" s="431">
        <v>25603</v>
      </c>
      <c r="AK78" s="431"/>
      <c r="AL78" s="431">
        <v>754050</v>
      </c>
      <c r="AM78" s="431"/>
    </row>
    <row r="79" spans="1:39" s="155" customFormat="1" ht="12" x14ac:dyDescent="0.2">
      <c r="A79" s="168">
        <v>25</v>
      </c>
      <c r="B79" s="505">
        <v>33729</v>
      </c>
      <c r="C79" s="506" t="s">
        <v>2598</v>
      </c>
      <c r="D79" s="432">
        <f t="shared" si="11"/>
        <v>12993445</v>
      </c>
      <c r="E79" s="431">
        <v>2712411</v>
      </c>
      <c r="F79" s="431">
        <v>194185</v>
      </c>
      <c r="G79" s="431">
        <v>169006</v>
      </c>
      <c r="H79" s="431"/>
      <c r="I79" s="431">
        <v>1235975</v>
      </c>
      <c r="J79" s="431"/>
      <c r="K79" s="431">
        <v>659000</v>
      </c>
      <c r="L79" s="431"/>
      <c r="M79" s="431">
        <v>5314230</v>
      </c>
      <c r="N79" s="431">
        <v>3071829</v>
      </c>
      <c r="O79" s="431"/>
      <c r="P79" s="432">
        <f t="shared" si="12"/>
        <v>16246051</v>
      </c>
      <c r="Q79" s="431">
        <v>1543933</v>
      </c>
      <c r="R79" s="431">
        <v>364626</v>
      </c>
      <c r="S79" s="431"/>
      <c r="T79" s="431"/>
      <c r="U79" s="431"/>
      <c r="V79" s="431"/>
      <c r="W79" s="431">
        <v>7994662</v>
      </c>
      <c r="X79" s="431">
        <v>82482</v>
      </c>
      <c r="Y79" s="431">
        <v>142795</v>
      </c>
      <c r="Z79" s="431">
        <v>6117553</v>
      </c>
      <c r="AA79" s="431"/>
      <c r="AB79" s="431"/>
      <c r="AC79" s="431">
        <v>1775688</v>
      </c>
      <c r="AD79" s="431">
        <v>28621</v>
      </c>
      <c r="AE79" s="431">
        <v>1942486</v>
      </c>
      <c r="AF79" s="431">
        <v>595790</v>
      </c>
      <c r="AG79" s="431">
        <v>871687</v>
      </c>
      <c r="AH79" s="431">
        <v>367664</v>
      </c>
      <c r="AI79" s="431">
        <v>1148236</v>
      </c>
      <c r="AJ79" s="431">
        <v>51331</v>
      </c>
      <c r="AK79" s="431"/>
      <c r="AL79" s="431">
        <v>3805388</v>
      </c>
      <c r="AM79" s="431">
        <v>5659160</v>
      </c>
    </row>
    <row r="80" spans="1:39" s="155" customFormat="1" ht="12" x14ac:dyDescent="0.2">
      <c r="A80" s="168">
        <v>26</v>
      </c>
      <c r="B80" s="505">
        <v>33765</v>
      </c>
      <c r="C80" s="506" t="s">
        <v>2599</v>
      </c>
      <c r="D80" s="432">
        <f t="shared" si="11"/>
        <v>5327539</v>
      </c>
      <c r="E80" s="431">
        <v>1592623</v>
      </c>
      <c r="F80" s="431">
        <v>100057</v>
      </c>
      <c r="G80" s="431">
        <v>159335</v>
      </c>
      <c r="H80" s="431"/>
      <c r="I80" s="431">
        <v>1408773</v>
      </c>
      <c r="J80" s="431"/>
      <c r="K80" s="431">
        <v>468000</v>
      </c>
      <c r="L80" s="431"/>
      <c r="M80" s="431">
        <v>1525621</v>
      </c>
      <c r="N80" s="431">
        <v>332522</v>
      </c>
      <c r="O80" s="431"/>
      <c r="P80" s="432">
        <f t="shared" si="12"/>
        <v>6168932</v>
      </c>
      <c r="Q80" s="431">
        <v>1791537</v>
      </c>
      <c r="R80" s="431">
        <v>1079986</v>
      </c>
      <c r="S80" s="431"/>
      <c r="T80" s="431"/>
      <c r="U80" s="431"/>
      <c r="V80" s="431"/>
      <c r="W80" s="431">
        <v>801945</v>
      </c>
      <c r="X80" s="431">
        <v>170203</v>
      </c>
      <c r="Y80" s="431">
        <v>33853</v>
      </c>
      <c r="Z80" s="431">
        <v>2291408</v>
      </c>
      <c r="AA80" s="431"/>
      <c r="AB80" s="431"/>
      <c r="AC80" s="431">
        <v>795230</v>
      </c>
      <c r="AD80" s="431">
        <v>53224</v>
      </c>
      <c r="AE80" s="431">
        <v>1621519</v>
      </c>
      <c r="AF80" s="431">
        <v>42820</v>
      </c>
      <c r="AG80" s="431">
        <v>72640</v>
      </c>
      <c r="AH80" s="431">
        <v>376049</v>
      </c>
      <c r="AI80" s="431">
        <v>215446</v>
      </c>
      <c r="AJ80" s="431">
        <v>14310</v>
      </c>
      <c r="AK80" s="431"/>
      <c r="AL80" s="431">
        <v>2830958</v>
      </c>
      <c r="AM80" s="431">
        <v>146736</v>
      </c>
    </row>
    <row r="81" spans="1:39" s="155" customFormat="1" ht="12" x14ac:dyDescent="0.2">
      <c r="A81" s="168">
        <v>27</v>
      </c>
      <c r="B81" s="505">
        <v>33845</v>
      </c>
      <c r="C81" s="506" t="s">
        <v>2600</v>
      </c>
      <c r="D81" s="432">
        <f t="shared" si="11"/>
        <v>3798526</v>
      </c>
      <c r="E81" s="431">
        <v>617738</v>
      </c>
      <c r="F81" s="431">
        <v>66641</v>
      </c>
      <c r="G81" s="431">
        <v>315361</v>
      </c>
      <c r="H81" s="431"/>
      <c r="I81" s="431">
        <v>822868</v>
      </c>
      <c r="J81" s="431"/>
      <c r="K81" s="431">
        <v>1001000</v>
      </c>
      <c r="L81" s="431"/>
      <c r="M81" s="431">
        <v>1108307</v>
      </c>
      <c r="N81" s="431">
        <v>248613</v>
      </c>
      <c r="O81" s="431"/>
      <c r="P81" s="432">
        <f t="shared" si="12"/>
        <v>3868262</v>
      </c>
      <c r="Q81" s="431">
        <v>1099887</v>
      </c>
      <c r="R81" s="431">
        <v>730238</v>
      </c>
      <c r="S81" s="431"/>
      <c r="T81" s="431"/>
      <c r="U81" s="431">
        <v>14448</v>
      </c>
      <c r="V81" s="431">
        <v>51660</v>
      </c>
      <c r="W81" s="431">
        <v>731545</v>
      </c>
      <c r="X81" s="431">
        <v>67432</v>
      </c>
      <c r="Y81" s="431"/>
      <c r="Z81" s="431">
        <v>1173052</v>
      </c>
      <c r="AA81" s="431"/>
      <c r="AB81" s="431"/>
      <c r="AC81" s="431">
        <v>721529</v>
      </c>
      <c r="AD81" s="431"/>
      <c r="AE81" s="431">
        <v>1453179</v>
      </c>
      <c r="AF81" s="431"/>
      <c r="AG81" s="431">
        <v>140396</v>
      </c>
      <c r="AH81" s="431">
        <v>112760</v>
      </c>
      <c r="AI81" s="431">
        <v>389394</v>
      </c>
      <c r="AJ81" s="431">
        <v>9743</v>
      </c>
      <c r="AK81" s="431"/>
      <c r="AL81" s="431">
        <v>1041261</v>
      </c>
      <c r="AM81" s="431"/>
    </row>
    <row r="82" spans="1:39" s="155" customFormat="1" ht="12" x14ac:dyDescent="0.2">
      <c r="A82" s="168">
        <v>28</v>
      </c>
      <c r="B82" s="505">
        <v>33881</v>
      </c>
      <c r="C82" s="506" t="s">
        <v>2601</v>
      </c>
      <c r="D82" s="432">
        <f t="shared" si="11"/>
        <v>3511982</v>
      </c>
      <c r="E82" s="431">
        <v>805148</v>
      </c>
      <c r="F82" s="431">
        <v>100148</v>
      </c>
      <c r="G82" s="431">
        <v>262405</v>
      </c>
      <c r="H82" s="431"/>
      <c r="I82" s="431">
        <v>747320</v>
      </c>
      <c r="J82" s="431"/>
      <c r="K82" s="431">
        <v>863000</v>
      </c>
      <c r="L82" s="431"/>
      <c r="M82" s="431">
        <v>1096514</v>
      </c>
      <c r="N82" s="431"/>
      <c r="O82" s="431"/>
      <c r="P82" s="432">
        <f t="shared" si="12"/>
        <v>3116522</v>
      </c>
      <c r="Q82" s="431">
        <v>953664</v>
      </c>
      <c r="R82" s="431">
        <v>743854</v>
      </c>
      <c r="S82" s="431"/>
      <c r="T82" s="431"/>
      <c r="U82" s="431"/>
      <c r="V82" s="431"/>
      <c r="W82" s="431"/>
      <c r="X82" s="431">
        <v>89338</v>
      </c>
      <c r="Y82" s="431">
        <v>9906</v>
      </c>
      <c r="Z82" s="431">
        <v>1319760</v>
      </c>
      <c r="AA82" s="431"/>
      <c r="AB82" s="431"/>
      <c r="AC82" s="431">
        <v>578165</v>
      </c>
      <c r="AD82" s="431"/>
      <c r="AE82" s="431">
        <v>607980</v>
      </c>
      <c r="AF82" s="431"/>
      <c r="AG82" s="431">
        <v>166875</v>
      </c>
      <c r="AH82" s="431">
        <v>227970</v>
      </c>
      <c r="AI82" s="431">
        <v>210472</v>
      </c>
      <c r="AJ82" s="431">
        <v>10650</v>
      </c>
      <c r="AK82" s="431"/>
      <c r="AL82" s="431">
        <v>1314410</v>
      </c>
      <c r="AM82" s="431"/>
    </row>
    <row r="83" spans="1:39" s="155" customFormat="1" ht="12" x14ac:dyDescent="0.2">
      <c r="A83" s="168">
        <v>29</v>
      </c>
      <c r="B83" s="505">
        <v>33952</v>
      </c>
      <c r="C83" s="506" t="s">
        <v>2602</v>
      </c>
      <c r="D83" s="432">
        <f t="shared" si="11"/>
        <v>4757400</v>
      </c>
      <c r="E83" s="431">
        <v>2969169</v>
      </c>
      <c r="F83" s="431">
        <v>542248</v>
      </c>
      <c r="G83" s="431">
        <v>127405</v>
      </c>
      <c r="H83" s="431"/>
      <c r="I83" s="431">
        <v>854299</v>
      </c>
      <c r="J83" s="431"/>
      <c r="K83" s="431">
        <v>327000</v>
      </c>
      <c r="L83" s="431"/>
      <c r="M83" s="431">
        <v>594932</v>
      </c>
      <c r="N83" s="431"/>
      <c r="O83" s="431">
        <v>12000</v>
      </c>
      <c r="P83" s="432">
        <f t="shared" si="12"/>
        <v>3244099</v>
      </c>
      <c r="Q83" s="431">
        <v>954719</v>
      </c>
      <c r="R83" s="431">
        <v>1218511</v>
      </c>
      <c r="S83" s="431"/>
      <c r="T83" s="431"/>
      <c r="U83" s="431"/>
      <c r="V83" s="431"/>
      <c r="W83" s="431"/>
      <c r="X83" s="431">
        <v>198210</v>
      </c>
      <c r="Y83" s="431">
        <v>78173</v>
      </c>
      <c r="Z83" s="431">
        <v>795886</v>
      </c>
      <c r="AA83" s="431"/>
      <c r="AB83" s="431">
        <v>-1400</v>
      </c>
      <c r="AC83" s="431">
        <v>600316</v>
      </c>
      <c r="AD83" s="431">
        <v>15885</v>
      </c>
      <c r="AE83" s="431">
        <v>883304</v>
      </c>
      <c r="AF83" s="431"/>
      <c r="AG83" s="431">
        <v>459117</v>
      </c>
      <c r="AH83" s="431">
        <v>233943</v>
      </c>
      <c r="AI83" s="431">
        <v>160250</v>
      </c>
      <c r="AJ83" s="431">
        <v>4650</v>
      </c>
      <c r="AK83" s="431"/>
      <c r="AL83" s="431">
        <v>886634</v>
      </c>
      <c r="AM83" s="431"/>
    </row>
    <row r="84" spans="1:39" s="155" customFormat="1" ht="12" x14ac:dyDescent="0.2">
      <c r="A84" s="168">
        <v>30</v>
      </c>
      <c r="B84" s="505">
        <v>179659</v>
      </c>
      <c r="C84" s="506" t="s">
        <v>2603</v>
      </c>
      <c r="D84" s="432">
        <f t="shared" si="11"/>
        <v>4045853</v>
      </c>
      <c r="E84" s="431">
        <v>832037</v>
      </c>
      <c r="F84" s="431">
        <v>82550</v>
      </c>
      <c r="G84" s="431">
        <v>301709</v>
      </c>
      <c r="H84" s="431"/>
      <c r="I84" s="431">
        <v>1222797</v>
      </c>
      <c r="J84" s="431"/>
      <c r="K84" s="431">
        <v>1024000</v>
      </c>
      <c r="L84" s="431"/>
      <c r="M84" s="431">
        <v>687794</v>
      </c>
      <c r="N84" s="431">
        <v>266644</v>
      </c>
      <c r="O84" s="431">
        <v>12581</v>
      </c>
      <c r="P84" s="432">
        <f t="shared" si="12"/>
        <v>4131448</v>
      </c>
      <c r="Q84" s="431">
        <v>1372660</v>
      </c>
      <c r="R84" s="431">
        <v>550656</v>
      </c>
      <c r="S84" s="431"/>
      <c r="T84" s="431"/>
      <c r="U84" s="431"/>
      <c r="V84" s="431"/>
      <c r="W84" s="431">
        <v>798162</v>
      </c>
      <c r="X84" s="431">
        <v>219397</v>
      </c>
      <c r="Y84" s="431">
        <v>26058</v>
      </c>
      <c r="Z84" s="431">
        <v>1164515</v>
      </c>
      <c r="AA84" s="431"/>
      <c r="AB84" s="431"/>
      <c r="AC84" s="431">
        <v>916710</v>
      </c>
      <c r="AD84" s="431">
        <v>2688</v>
      </c>
      <c r="AE84" s="431">
        <v>1399202</v>
      </c>
      <c r="AF84" s="431">
        <v>195639</v>
      </c>
      <c r="AG84" s="431">
        <v>39190</v>
      </c>
      <c r="AH84" s="431">
        <v>427935</v>
      </c>
      <c r="AI84" s="431">
        <v>50823</v>
      </c>
      <c r="AJ84" s="431">
        <v>3478</v>
      </c>
      <c r="AK84" s="431"/>
      <c r="AL84" s="431">
        <v>222471</v>
      </c>
      <c r="AM84" s="431">
        <v>873312</v>
      </c>
    </row>
    <row r="85" spans="1:39" s="155" customFormat="1" ht="12" x14ac:dyDescent="0.2">
      <c r="A85" s="168">
        <v>31</v>
      </c>
      <c r="B85" s="505">
        <v>33989</v>
      </c>
      <c r="C85" s="506" t="s">
        <v>2604</v>
      </c>
      <c r="D85" s="432">
        <f t="shared" si="11"/>
        <v>15627580</v>
      </c>
      <c r="E85" s="431">
        <v>2825390</v>
      </c>
      <c r="F85" s="431">
        <v>298347</v>
      </c>
      <c r="G85" s="431">
        <v>455868</v>
      </c>
      <c r="H85" s="431"/>
      <c r="I85" s="431">
        <v>2990949</v>
      </c>
      <c r="J85" s="431"/>
      <c r="K85" s="431">
        <v>1149000</v>
      </c>
      <c r="L85" s="431"/>
      <c r="M85" s="431">
        <v>6477016</v>
      </c>
      <c r="N85" s="431">
        <v>2185225</v>
      </c>
      <c r="O85" s="431"/>
      <c r="P85" s="432">
        <f t="shared" si="12"/>
        <v>17321435</v>
      </c>
      <c r="Q85" s="431">
        <v>3126381</v>
      </c>
      <c r="R85" s="431">
        <v>1523878</v>
      </c>
      <c r="S85" s="431">
        <v>41418</v>
      </c>
      <c r="T85" s="431"/>
      <c r="U85" s="431">
        <v>18792</v>
      </c>
      <c r="V85" s="431"/>
      <c r="W85" s="431">
        <v>3173832</v>
      </c>
      <c r="X85" s="431">
        <v>413087</v>
      </c>
      <c r="Y85" s="431">
        <v>13995</v>
      </c>
      <c r="Z85" s="431">
        <v>6353504</v>
      </c>
      <c r="AA85" s="431">
        <v>2656548</v>
      </c>
      <c r="AB85" s="431"/>
      <c r="AC85" s="431">
        <v>853575</v>
      </c>
      <c r="AD85" s="431">
        <v>68066</v>
      </c>
      <c r="AE85" s="431">
        <v>3613755</v>
      </c>
      <c r="AF85" s="431"/>
      <c r="AG85" s="431">
        <v>590603</v>
      </c>
      <c r="AH85" s="431">
        <v>777259</v>
      </c>
      <c r="AI85" s="431">
        <v>342796</v>
      </c>
      <c r="AJ85" s="431">
        <v>13717</v>
      </c>
      <c r="AK85" s="431"/>
      <c r="AL85" s="431">
        <v>10665132</v>
      </c>
      <c r="AM85" s="431">
        <v>396532</v>
      </c>
    </row>
    <row r="86" spans="1:39" s="155" customFormat="1" ht="12" x14ac:dyDescent="0.2">
      <c r="A86" s="168">
        <v>32</v>
      </c>
      <c r="B86" s="505">
        <v>34075</v>
      </c>
      <c r="C86" s="506" t="s">
        <v>2605</v>
      </c>
      <c r="D86" s="432">
        <f t="shared" si="11"/>
        <v>3908352</v>
      </c>
      <c r="E86" s="431">
        <v>1064729</v>
      </c>
      <c r="F86" s="431">
        <v>209726</v>
      </c>
      <c r="G86" s="431">
        <v>198589</v>
      </c>
      <c r="H86" s="431"/>
      <c r="I86" s="431">
        <v>2010537</v>
      </c>
      <c r="J86" s="431"/>
      <c r="K86" s="431">
        <v>806000</v>
      </c>
      <c r="L86" s="431"/>
      <c r="M86" s="431">
        <v>14246</v>
      </c>
      <c r="N86" s="431">
        <v>12840</v>
      </c>
      <c r="O86" s="431"/>
      <c r="P86" s="432">
        <f t="shared" si="12"/>
        <v>3667476</v>
      </c>
      <c r="Q86" s="431">
        <v>2139940</v>
      </c>
      <c r="R86" s="431">
        <v>691730</v>
      </c>
      <c r="S86" s="431"/>
      <c r="T86" s="431"/>
      <c r="U86" s="431">
        <v>11198</v>
      </c>
      <c r="V86" s="431"/>
      <c r="W86" s="431"/>
      <c r="X86" s="431">
        <v>221833</v>
      </c>
      <c r="Y86" s="431">
        <v>57000</v>
      </c>
      <c r="Z86" s="431">
        <v>545775</v>
      </c>
      <c r="AA86" s="431"/>
      <c r="AB86" s="431"/>
      <c r="AC86" s="431">
        <v>873966</v>
      </c>
      <c r="AD86" s="431"/>
      <c r="AE86" s="431">
        <v>1538031</v>
      </c>
      <c r="AF86" s="431"/>
      <c r="AG86" s="431">
        <v>103007</v>
      </c>
      <c r="AH86" s="431">
        <v>486753</v>
      </c>
      <c r="AI86" s="431">
        <v>90087</v>
      </c>
      <c r="AJ86" s="431"/>
      <c r="AK86" s="431"/>
      <c r="AL86" s="431">
        <v>575632</v>
      </c>
      <c r="AM86" s="431"/>
    </row>
    <row r="87" spans="1:39" s="155" customFormat="1" ht="12" x14ac:dyDescent="0.2">
      <c r="A87" s="168">
        <v>33</v>
      </c>
      <c r="B87" s="505">
        <v>34155</v>
      </c>
      <c r="C87" s="506" t="s">
        <v>2606</v>
      </c>
      <c r="D87" s="432">
        <f t="shared" ref="D87:D112" si="13">E87+SUM(H87:O87)</f>
        <v>8246696</v>
      </c>
      <c r="E87" s="431">
        <v>812908</v>
      </c>
      <c r="F87" s="431">
        <v>92375</v>
      </c>
      <c r="G87" s="431">
        <v>246684</v>
      </c>
      <c r="H87" s="431"/>
      <c r="I87" s="431">
        <v>1878468</v>
      </c>
      <c r="J87" s="431"/>
      <c r="K87" s="431">
        <v>891000</v>
      </c>
      <c r="L87" s="431"/>
      <c r="M87" s="431">
        <v>2159685</v>
      </c>
      <c r="N87" s="431">
        <v>2504635</v>
      </c>
      <c r="O87" s="431"/>
      <c r="P87" s="432">
        <f t="shared" ref="P87:P112" si="14">IF(SUM(Q87:AB87)=SUM(AC87:AM87),SUM(Q87:AB87),"  EROARE ART/CAP")</f>
        <v>10149338</v>
      </c>
      <c r="Q87" s="431">
        <v>2131429</v>
      </c>
      <c r="R87" s="431">
        <v>583281</v>
      </c>
      <c r="S87" s="431">
        <v>9359</v>
      </c>
      <c r="T87" s="431"/>
      <c r="U87" s="431"/>
      <c r="V87" s="431"/>
      <c r="W87" s="431">
        <v>5787099</v>
      </c>
      <c r="X87" s="431">
        <v>86480</v>
      </c>
      <c r="Y87" s="431">
        <v>283312</v>
      </c>
      <c r="Z87" s="431">
        <v>1248033</v>
      </c>
      <c r="AA87" s="431">
        <v>20345</v>
      </c>
      <c r="AB87" s="431"/>
      <c r="AC87" s="431">
        <v>592608</v>
      </c>
      <c r="AD87" s="431"/>
      <c r="AE87" s="431">
        <v>1822052</v>
      </c>
      <c r="AF87" s="431"/>
      <c r="AG87" s="431">
        <v>537755</v>
      </c>
      <c r="AH87" s="431">
        <v>388374</v>
      </c>
      <c r="AI87" s="431">
        <v>205500</v>
      </c>
      <c r="AJ87" s="431">
        <v>145925</v>
      </c>
      <c r="AK87" s="431"/>
      <c r="AL87" s="431">
        <v>813227</v>
      </c>
      <c r="AM87" s="431">
        <v>5643897</v>
      </c>
    </row>
    <row r="88" spans="1:39" s="155" customFormat="1" ht="12" x14ac:dyDescent="0.2">
      <c r="A88" s="168">
        <v>34</v>
      </c>
      <c r="B88" s="505">
        <v>34173</v>
      </c>
      <c r="C88" s="506" t="s">
        <v>2607</v>
      </c>
      <c r="D88" s="432">
        <f t="shared" si="13"/>
        <v>4503158</v>
      </c>
      <c r="E88" s="431">
        <v>1201986</v>
      </c>
      <c r="F88" s="431">
        <v>311167</v>
      </c>
      <c r="G88" s="431">
        <v>295038</v>
      </c>
      <c r="H88" s="431"/>
      <c r="I88" s="431">
        <v>1811329</v>
      </c>
      <c r="J88" s="431">
        <v>250000</v>
      </c>
      <c r="K88" s="431">
        <v>935000</v>
      </c>
      <c r="L88" s="431"/>
      <c r="M88" s="431">
        <v>283189</v>
      </c>
      <c r="N88" s="431">
        <v>21654</v>
      </c>
      <c r="O88" s="431"/>
      <c r="P88" s="432">
        <f t="shared" si="14"/>
        <v>3469936</v>
      </c>
      <c r="Q88" s="431">
        <v>2064795</v>
      </c>
      <c r="R88" s="431">
        <v>575863</v>
      </c>
      <c r="S88" s="431"/>
      <c r="T88" s="431"/>
      <c r="U88" s="431">
        <v>21472</v>
      </c>
      <c r="V88" s="431"/>
      <c r="W88" s="431"/>
      <c r="X88" s="431">
        <v>200911</v>
      </c>
      <c r="Y88" s="431">
        <v>35000</v>
      </c>
      <c r="Z88" s="431">
        <v>589439</v>
      </c>
      <c r="AA88" s="431"/>
      <c r="AB88" s="431">
        <v>-17544</v>
      </c>
      <c r="AC88" s="431">
        <v>909185</v>
      </c>
      <c r="AD88" s="431">
        <v>6656</v>
      </c>
      <c r="AE88" s="431">
        <v>1528993</v>
      </c>
      <c r="AF88" s="431">
        <v>17417</v>
      </c>
      <c r="AG88" s="431">
        <v>54340</v>
      </c>
      <c r="AH88" s="431">
        <v>390908</v>
      </c>
      <c r="AI88" s="431">
        <v>251880</v>
      </c>
      <c r="AJ88" s="431">
        <v>18462</v>
      </c>
      <c r="AK88" s="431"/>
      <c r="AL88" s="431">
        <v>289625</v>
      </c>
      <c r="AM88" s="431">
        <v>2470</v>
      </c>
    </row>
    <row r="89" spans="1:39" s="155" customFormat="1" ht="12" x14ac:dyDescent="0.2">
      <c r="A89" s="168">
        <v>35</v>
      </c>
      <c r="B89" s="505">
        <v>179720</v>
      </c>
      <c r="C89" s="506" t="s">
        <v>2608</v>
      </c>
      <c r="D89" s="432">
        <f t="shared" si="13"/>
        <v>3715946</v>
      </c>
      <c r="E89" s="431">
        <v>1025465</v>
      </c>
      <c r="F89" s="431">
        <v>126093</v>
      </c>
      <c r="G89" s="431">
        <v>232823</v>
      </c>
      <c r="H89" s="431"/>
      <c r="I89" s="431">
        <v>1315244</v>
      </c>
      <c r="J89" s="431"/>
      <c r="K89" s="431">
        <v>779000</v>
      </c>
      <c r="L89" s="431"/>
      <c r="M89" s="431">
        <v>337729</v>
      </c>
      <c r="N89" s="431">
        <v>258508</v>
      </c>
      <c r="O89" s="431"/>
      <c r="P89" s="432">
        <f t="shared" si="14"/>
        <v>3580120</v>
      </c>
      <c r="Q89" s="431">
        <v>1215929</v>
      </c>
      <c r="R89" s="431">
        <v>463957</v>
      </c>
      <c r="S89" s="431"/>
      <c r="T89" s="431"/>
      <c r="U89" s="431"/>
      <c r="V89" s="431"/>
      <c r="W89" s="431">
        <v>457112</v>
      </c>
      <c r="X89" s="431">
        <v>360654</v>
      </c>
      <c r="Y89" s="431">
        <v>3500</v>
      </c>
      <c r="Z89" s="431">
        <v>1078968</v>
      </c>
      <c r="AA89" s="431"/>
      <c r="AB89" s="431"/>
      <c r="AC89" s="431">
        <v>359649</v>
      </c>
      <c r="AD89" s="431">
        <v>30456</v>
      </c>
      <c r="AE89" s="431">
        <v>1103436</v>
      </c>
      <c r="AF89" s="431">
        <v>2060</v>
      </c>
      <c r="AG89" s="431">
        <v>144956</v>
      </c>
      <c r="AH89" s="431">
        <v>537241</v>
      </c>
      <c r="AI89" s="431">
        <v>808304</v>
      </c>
      <c r="AJ89" s="431">
        <v>462983</v>
      </c>
      <c r="AK89" s="431"/>
      <c r="AL89" s="431">
        <v>131035</v>
      </c>
      <c r="AM89" s="431"/>
    </row>
    <row r="90" spans="1:39" s="155" customFormat="1" ht="12" x14ac:dyDescent="0.2">
      <c r="A90" s="168">
        <v>36</v>
      </c>
      <c r="B90" s="505">
        <v>34235</v>
      </c>
      <c r="C90" s="506" t="s">
        <v>2609</v>
      </c>
      <c r="D90" s="432">
        <f t="shared" si="13"/>
        <v>13864687</v>
      </c>
      <c r="E90" s="431">
        <v>5664207</v>
      </c>
      <c r="F90" s="431">
        <v>2148298</v>
      </c>
      <c r="G90" s="431">
        <v>115823</v>
      </c>
      <c r="H90" s="431"/>
      <c r="I90" s="431">
        <v>4711290</v>
      </c>
      <c r="J90" s="431">
        <v>441050</v>
      </c>
      <c r="K90" s="431">
        <v>523000</v>
      </c>
      <c r="L90" s="431"/>
      <c r="M90" s="431">
        <v>1525420</v>
      </c>
      <c r="N90" s="431">
        <v>999720</v>
      </c>
      <c r="O90" s="431"/>
      <c r="P90" s="432">
        <f t="shared" si="14"/>
        <v>14251960</v>
      </c>
      <c r="Q90" s="431">
        <v>4710355</v>
      </c>
      <c r="R90" s="431">
        <v>2764044</v>
      </c>
      <c r="S90" s="431"/>
      <c r="T90" s="431"/>
      <c r="U90" s="431">
        <v>1272368</v>
      </c>
      <c r="V90" s="431">
        <v>20500</v>
      </c>
      <c r="W90" s="431">
        <v>2374919</v>
      </c>
      <c r="X90" s="431">
        <v>380695</v>
      </c>
      <c r="Y90" s="431">
        <v>478199</v>
      </c>
      <c r="Z90" s="431">
        <v>2250880</v>
      </c>
      <c r="AA90" s="431"/>
      <c r="AB90" s="431"/>
      <c r="AC90" s="431">
        <v>3670267</v>
      </c>
      <c r="AD90" s="431">
        <v>136399</v>
      </c>
      <c r="AE90" s="431">
        <v>4804755</v>
      </c>
      <c r="AF90" s="431">
        <v>951451</v>
      </c>
      <c r="AG90" s="431">
        <v>421555</v>
      </c>
      <c r="AH90" s="431">
        <v>691735</v>
      </c>
      <c r="AI90" s="431">
        <v>1439253</v>
      </c>
      <c r="AJ90" s="431">
        <v>148917</v>
      </c>
      <c r="AK90" s="431"/>
      <c r="AL90" s="431">
        <v>1987628</v>
      </c>
      <c r="AM90" s="431"/>
    </row>
    <row r="91" spans="1:39" s="155" customFormat="1" ht="12" x14ac:dyDescent="0.2">
      <c r="A91" s="168">
        <v>37</v>
      </c>
      <c r="B91" s="505">
        <v>34262</v>
      </c>
      <c r="C91" s="506" t="s">
        <v>2610</v>
      </c>
      <c r="D91" s="432">
        <f t="shared" si="13"/>
        <v>4495230</v>
      </c>
      <c r="E91" s="431">
        <v>913107</v>
      </c>
      <c r="F91" s="431">
        <v>174153</v>
      </c>
      <c r="G91" s="431">
        <v>224962</v>
      </c>
      <c r="H91" s="431"/>
      <c r="I91" s="431">
        <v>1630174</v>
      </c>
      <c r="J91" s="431"/>
      <c r="K91" s="431">
        <v>867000</v>
      </c>
      <c r="L91" s="431"/>
      <c r="M91" s="431">
        <v>803145</v>
      </c>
      <c r="N91" s="431">
        <v>281804</v>
      </c>
      <c r="O91" s="431"/>
      <c r="P91" s="432">
        <f t="shared" si="14"/>
        <v>4369848</v>
      </c>
      <c r="Q91" s="431">
        <v>1988169</v>
      </c>
      <c r="R91" s="431">
        <v>1137097</v>
      </c>
      <c r="S91" s="431"/>
      <c r="T91" s="431"/>
      <c r="U91" s="431"/>
      <c r="V91" s="431"/>
      <c r="W91" s="431">
        <v>880767</v>
      </c>
      <c r="X91" s="431">
        <v>60815</v>
      </c>
      <c r="Y91" s="431">
        <v>19560</v>
      </c>
      <c r="Z91" s="431">
        <v>283440</v>
      </c>
      <c r="AA91" s="431"/>
      <c r="AB91" s="431"/>
      <c r="AC91" s="431">
        <v>702074</v>
      </c>
      <c r="AD91" s="431">
        <v>1287</v>
      </c>
      <c r="AE91" s="431">
        <v>1303184</v>
      </c>
      <c r="AF91" s="431"/>
      <c r="AG91" s="431">
        <v>258687</v>
      </c>
      <c r="AH91" s="431">
        <v>453357</v>
      </c>
      <c r="AI91" s="431">
        <v>300198</v>
      </c>
      <c r="AJ91" s="431">
        <v>118915</v>
      </c>
      <c r="AK91" s="431"/>
      <c r="AL91" s="431">
        <v>1213101</v>
      </c>
      <c r="AM91" s="431">
        <v>19045</v>
      </c>
    </row>
    <row r="92" spans="1:39" s="155" customFormat="1" ht="12" x14ac:dyDescent="0.2">
      <c r="A92" s="168">
        <v>38</v>
      </c>
      <c r="B92" s="505">
        <v>34280</v>
      </c>
      <c r="C92" s="506" t="s">
        <v>2611</v>
      </c>
      <c r="D92" s="432">
        <f t="shared" si="13"/>
        <v>7480877</v>
      </c>
      <c r="E92" s="431">
        <v>2059021</v>
      </c>
      <c r="F92" s="431">
        <v>453084</v>
      </c>
      <c r="G92" s="431">
        <v>403355</v>
      </c>
      <c r="H92" s="431"/>
      <c r="I92" s="431">
        <v>2917155</v>
      </c>
      <c r="J92" s="431"/>
      <c r="K92" s="431">
        <v>874000</v>
      </c>
      <c r="L92" s="431"/>
      <c r="M92" s="431">
        <v>825627</v>
      </c>
      <c r="N92" s="431">
        <v>805074</v>
      </c>
      <c r="O92" s="431"/>
      <c r="P92" s="432">
        <f t="shared" si="14"/>
        <v>6827423</v>
      </c>
      <c r="Q92" s="431">
        <v>3143531</v>
      </c>
      <c r="R92" s="431">
        <v>1047933</v>
      </c>
      <c r="S92" s="431"/>
      <c r="T92" s="431"/>
      <c r="U92" s="431">
        <v>6622</v>
      </c>
      <c r="V92" s="431"/>
      <c r="W92" s="431">
        <v>1799229</v>
      </c>
      <c r="X92" s="431">
        <v>217870</v>
      </c>
      <c r="Y92" s="431">
        <v>28880</v>
      </c>
      <c r="Z92" s="431">
        <v>583358</v>
      </c>
      <c r="AA92" s="431"/>
      <c r="AB92" s="431"/>
      <c r="AC92" s="431">
        <v>1382763</v>
      </c>
      <c r="AD92" s="431">
        <v>4655</v>
      </c>
      <c r="AE92" s="431">
        <v>2514591</v>
      </c>
      <c r="AF92" s="431"/>
      <c r="AG92" s="431">
        <v>587931</v>
      </c>
      <c r="AH92" s="431">
        <v>727454</v>
      </c>
      <c r="AI92" s="431">
        <v>70634</v>
      </c>
      <c r="AJ92" s="431">
        <v>46200</v>
      </c>
      <c r="AK92" s="431"/>
      <c r="AL92" s="431">
        <v>1493195</v>
      </c>
      <c r="AM92" s="431"/>
    </row>
    <row r="93" spans="1:39" s="155" customFormat="1" ht="12" x14ac:dyDescent="0.2">
      <c r="A93" s="168">
        <v>39</v>
      </c>
      <c r="B93" s="505">
        <v>34333</v>
      </c>
      <c r="C93" s="506" t="s">
        <v>2612</v>
      </c>
      <c r="D93" s="432">
        <f t="shared" si="13"/>
        <v>11530966</v>
      </c>
      <c r="E93" s="431">
        <v>2708643</v>
      </c>
      <c r="F93" s="431">
        <v>514955</v>
      </c>
      <c r="G93" s="431">
        <v>373563</v>
      </c>
      <c r="H93" s="431"/>
      <c r="I93" s="431">
        <v>3643462</v>
      </c>
      <c r="J93" s="431">
        <v>150000</v>
      </c>
      <c r="K93" s="431">
        <v>820000</v>
      </c>
      <c r="L93" s="431"/>
      <c r="M93" s="431">
        <v>1056257</v>
      </c>
      <c r="N93" s="431">
        <v>3152604</v>
      </c>
      <c r="O93" s="431"/>
      <c r="P93" s="432">
        <f t="shared" si="14"/>
        <v>13631911</v>
      </c>
      <c r="Q93" s="431">
        <v>3522002</v>
      </c>
      <c r="R93" s="431">
        <v>1621079</v>
      </c>
      <c r="S93" s="431">
        <v>7000</v>
      </c>
      <c r="T93" s="431"/>
      <c r="U93" s="431">
        <v>36120</v>
      </c>
      <c r="V93" s="431"/>
      <c r="W93" s="431">
        <v>6707550</v>
      </c>
      <c r="X93" s="431">
        <v>631602</v>
      </c>
      <c r="Y93" s="431">
        <v>86293</v>
      </c>
      <c r="Z93" s="431">
        <v>820597</v>
      </c>
      <c r="AA93" s="431">
        <v>199668</v>
      </c>
      <c r="AB93" s="431"/>
      <c r="AC93" s="431">
        <v>1626011</v>
      </c>
      <c r="AD93" s="431"/>
      <c r="AE93" s="431">
        <v>3101260</v>
      </c>
      <c r="AF93" s="431">
        <v>43718</v>
      </c>
      <c r="AG93" s="431">
        <v>547020</v>
      </c>
      <c r="AH93" s="431">
        <v>742767</v>
      </c>
      <c r="AI93" s="431">
        <v>379916</v>
      </c>
      <c r="AJ93" s="431">
        <v>160370</v>
      </c>
      <c r="AK93" s="431"/>
      <c r="AL93" s="431">
        <v>299771</v>
      </c>
      <c r="AM93" s="431">
        <v>6731078</v>
      </c>
    </row>
    <row r="94" spans="1:39" s="155" customFormat="1" ht="12" x14ac:dyDescent="0.2">
      <c r="A94" s="168">
        <v>40</v>
      </c>
      <c r="B94" s="505">
        <v>34360</v>
      </c>
      <c r="C94" s="506" t="s">
        <v>2613</v>
      </c>
      <c r="D94" s="432">
        <f t="shared" si="13"/>
        <v>6063483</v>
      </c>
      <c r="E94" s="431">
        <v>1663772</v>
      </c>
      <c r="F94" s="431">
        <v>258048</v>
      </c>
      <c r="G94" s="431">
        <v>141310</v>
      </c>
      <c r="H94" s="431"/>
      <c r="I94" s="431">
        <v>1054718</v>
      </c>
      <c r="J94" s="431">
        <v>500000</v>
      </c>
      <c r="K94" s="431">
        <v>453000</v>
      </c>
      <c r="L94" s="431"/>
      <c r="M94" s="431">
        <v>1228731</v>
      </c>
      <c r="N94" s="431">
        <v>1163262</v>
      </c>
      <c r="O94" s="431"/>
      <c r="P94" s="432">
        <f t="shared" si="14"/>
        <v>6403265</v>
      </c>
      <c r="Q94" s="431">
        <v>1361196</v>
      </c>
      <c r="R94" s="431">
        <v>596540</v>
      </c>
      <c r="S94" s="431">
        <v>4455</v>
      </c>
      <c r="T94" s="431"/>
      <c r="U94" s="431">
        <v>66900</v>
      </c>
      <c r="V94" s="431"/>
      <c r="W94" s="431">
        <v>2843403</v>
      </c>
      <c r="X94" s="431">
        <v>212228</v>
      </c>
      <c r="Y94" s="431"/>
      <c r="Z94" s="431">
        <v>1341338</v>
      </c>
      <c r="AA94" s="431"/>
      <c r="AB94" s="431">
        <v>-22795</v>
      </c>
      <c r="AC94" s="431">
        <v>813257</v>
      </c>
      <c r="AD94" s="431">
        <v>17225</v>
      </c>
      <c r="AE94" s="431">
        <v>1018697</v>
      </c>
      <c r="AF94" s="431"/>
      <c r="AG94" s="431">
        <v>595165</v>
      </c>
      <c r="AH94" s="431">
        <v>239335</v>
      </c>
      <c r="AI94" s="431">
        <v>3069758</v>
      </c>
      <c r="AJ94" s="431">
        <v>71205</v>
      </c>
      <c r="AK94" s="431"/>
      <c r="AL94" s="431">
        <v>534969</v>
      </c>
      <c r="AM94" s="431">
        <v>43654</v>
      </c>
    </row>
    <row r="95" spans="1:39" s="155" customFormat="1" ht="12" x14ac:dyDescent="0.2">
      <c r="A95" s="168">
        <v>41</v>
      </c>
      <c r="B95" s="505">
        <v>179944</v>
      </c>
      <c r="C95" s="506" t="s">
        <v>2614</v>
      </c>
      <c r="D95" s="432">
        <f t="shared" si="13"/>
        <v>6012196</v>
      </c>
      <c r="E95" s="431">
        <v>797506</v>
      </c>
      <c r="F95" s="431">
        <v>57519</v>
      </c>
      <c r="G95" s="431">
        <v>224032</v>
      </c>
      <c r="H95" s="431"/>
      <c r="I95" s="431">
        <v>963727</v>
      </c>
      <c r="J95" s="431"/>
      <c r="K95" s="431">
        <v>870000</v>
      </c>
      <c r="L95" s="431"/>
      <c r="M95" s="431">
        <v>1286240</v>
      </c>
      <c r="N95" s="431">
        <v>2094723</v>
      </c>
      <c r="O95" s="431"/>
      <c r="P95" s="432">
        <f t="shared" si="14"/>
        <v>7255503</v>
      </c>
      <c r="Q95" s="431">
        <v>1095291</v>
      </c>
      <c r="R95" s="431">
        <v>260224</v>
      </c>
      <c r="S95" s="431">
        <v>8142</v>
      </c>
      <c r="T95" s="431"/>
      <c r="U95" s="431">
        <v>4224</v>
      </c>
      <c r="V95" s="431">
        <v>100000</v>
      </c>
      <c r="W95" s="431">
        <v>5511521</v>
      </c>
      <c r="X95" s="431">
        <v>104486</v>
      </c>
      <c r="Y95" s="431">
        <v>43000</v>
      </c>
      <c r="Z95" s="431">
        <v>110915</v>
      </c>
      <c r="AA95" s="431">
        <v>17700</v>
      </c>
      <c r="AB95" s="431"/>
      <c r="AC95" s="431">
        <v>464533</v>
      </c>
      <c r="AD95" s="431"/>
      <c r="AE95" s="431">
        <v>750096</v>
      </c>
      <c r="AF95" s="431"/>
      <c r="AG95" s="431">
        <v>884050</v>
      </c>
      <c r="AH95" s="431">
        <v>273325</v>
      </c>
      <c r="AI95" s="431">
        <v>10923</v>
      </c>
      <c r="AJ95" s="431">
        <v>5833</v>
      </c>
      <c r="AK95" s="431"/>
      <c r="AL95" s="431">
        <v>129161</v>
      </c>
      <c r="AM95" s="431">
        <v>4737582</v>
      </c>
    </row>
    <row r="96" spans="1:39" s="155" customFormat="1" ht="12" x14ac:dyDescent="0.2">
      <c r="A96" s="168">
        <v>42</v>
      </c>
      <c r="B96" s="505">
        <v>34397</v>
      </c>
      <c r="C96" s="506" t="s">
        <v>2615</v>
      </c>
      <c r="D96" s="432">
        <f t="shared" si="13"/>
        <v>7100071</v>
      </c>
      <c r="E96" s="431">
        <v>1368637</v>
      </c>
      <c r="F96" s="431">
        <v>311198</v>
      </c>
      <c r="G96" s="431">
        <v>187519</v>
      </c>
      <c r="H96" s="431"/>
      <c r="I96" s="431">
        <v>1464528</v>
      </c>
      <c r="J96" s="431"/>
      <c r="K96" s="431">
        <v>709000</v>
      </c>
      <c r="L96" s="431"/>
      <c r="M96" s="431">
        <v>2995241</v>
      </c>
      <c r="N96" s="431">
        <v>562665</v>
      </c>
      <c r="O96" s="431"/>
      <c r="P96" s="432">
        <f t="shared" si="14"/>
        <v>7575459</v>
      </c>
      <c r="Q96" s="431">
        <v>1926639</v>
      </c>
      <c r="R96" s="431">
        <v>926310</v>
      </c>
      <c r="S96" s="431">
        <v>38998</v>
      </c>
      <c r="T96" s="431"/>
      <c r="U96" s="431"/>
      <c r="V96" s="431"/>
      <c r="W96" s="431">
        <v>2297222</v>
      </c>
      <c r="X96" s="431">
        <v>205281</v>
      </c>
      <c r="Y96" s="431">
        <v>50000</v>
      </c>
      <c r="Z96" s="431">
        <v>2123941</v>
      </c>
      <c r="AA96" s="431">
        <v>51068</v>
      </c>
      <c r="AB96" s="431">
        <v>-44000</v>
      </c>
      <c r="AC96" s="431">
        <v>835222</v>
      </c>
      <c r="AD96" s="431">
        <v>18170</v>
      </c>
      <c r="AE96" s="431">
        <v>1451086</v>
      </c>
      <c r="AF96" s="431"/>
      <c r="AG96" s="431">
        <v>181293</v>
      </c>
      <c r="AH96" s="431">
        <v>510707</v>
      </c>
      <c r="AI96" s="431">
        <v>320563</v>
      </c>
      <c r="AJ96" s="431">
        <v>8525</v>
      </c>
      <c r="AK96" s="431"/>
      <c r="AL96" s="431">
        <v>4152710</v>
      </c>
      <c r="AM96" s="431">
        <v>97183</v>
      </c>
    </row>
    <row r="97" spans="1:39" s="155" customFormat="1" ht="12" x14ac:dyDescent="0.2">
      <c r="A97" s="168">
        <v>43</v>
      </c>
      <c r="B97" s="505">
        <v>34422</v>
      </c>
      <c r="C97" s="506" t="s">
        <v>2616</v>
      </c>
      <c r="D97" s="432">
        <f t="shared" si="13"/>
        <v>3446838</v>
      </c>
      <c r="E97" s="431">
        <v>537391</v>
      </c>
      <c r="F97" s="431">
        <v>67298</v>
      </c>
      <c r="G97" s="431">
        <v>293618</v>
      </c>
      <c r="H97" s="431"/>
      <c r="I97" s="431">
        <v>738789</v>
      </c>
      <c r="J97" s="431"/>
      <c r="K97" s="431">
        <v>995320</v>
      </c>
      <c r="L97" s="431"/>
      <c r="M97" s="431">
        <v>1159820</v>
      </c>
      <c r="N97" s="431"/>
      <c r="O97" s="431">
        <v>15518</v>
      </c>
      <c r="P97" s="432">
        <f t="shared" si="14"/>
        <v>3449999</v>
      </c>
      <c r="Q97" s="431">
        <v>831820</v>
      </c>
      <c r="R97" s="431">
        <v>522125</v>
      </c>
      <c r="S97" s="431"/>
      <c r="T97" s="431"/>
      <c r="U97" s="431">
        <v>20468</v>
      </c>
      <c r="V97" s="431"/>
      <c r="W97" s="431">
        <v>389357</v>
      </c>
      <c r="X97" s="431">
        <v>179107</v>
      </c>
      <c r="Y97" s="431">
        <v>2800</v>
      </c>
      <c r="Z97" s="431">
        <v>1504322</v>
      </c>
      <c r="AA97" s="431"/>
      <c r="AB97" s="431"/>
      <c r="AC97" s="431">
        <v>681410</v>
      </c>
      <c r="AD97" s="431">
        <v>5027</v>
      </c>
      <c r="AE97" s="431">
        <v>768293</v>
      </c>
      <c r="AF97" s="431"/>
      <c r="AG97" s="431">
        <v>107545</v>
      </c>
      <c r="AH97" s="431">
        <v>208501</v>
      </c>
      <c r="AI97" s="431">
        <v>96262</v>
      </c>
      <c r="AJ97" s="431">
        <v>279957</v>
      </c>
      <c r="AK97" s="431"/>
      <c r="AL97" s="431">
        <v>1303004</v>
      </c>
      <c r="AM97" s="431"/>
    </row>
    <row r="98" spans="1:39" s="155" customFormat="1" ht="12" x14ac:dyDescent="0.2">
      <c r="A98" s="168">
        <v>44</v>
      </c>
      <c r="B98" s="505">
        <v>34477</v>
      </c>
      <c r="C98" s="506" t="s">
        <v>2617</v>
      </c>
      <c r="D98" s="432">
        <f t="shared" si="13"/>
        <v>4833426</v>
      </c>
      <c r="E98" s="431">
        <v>826267</v>
      </c>
      <c r="F98" s="431">
        <v>69363</v>
      </c>
      <c r="G98" s="431">
        <v>247614</v>
      </c>
      <c r="H98" s="431"/>
      <c r="I98" s="431">
        <v>842770</v>
      </c>
      <c r="J98" s="431"/>
      <c r="K98" s="431">
        <v>888000</v>
      </c>
      <c r="L98" s="431"/>
      <c r="M98" s="431">
        <v>1275348</v>
      </c>
      <c r="N98" s="431">
        <v>1001041</v>
      </c>
      <c r="O98" s="431"/>
      <c r="P98" s="432">
        <f t="shared" si="14"/>
        <v>4802037</v>
      </c>
      <c r="Q98" s="431">
        <v>1072030</v>
      </c>
      <c r="R98" s="431">
        <v>566954</v>
      </c>
      <c r="S98" s="431"/>
      <c r="T98" s="431"/>
      <c r="U98" s="431"/>
      <c r="V98" s="431">
        <v>36000</v>
      </c>
      <c r="W98" s="431">
        <v>1644485</v>
      </c>
      <c r="X98" s="431">
        <v>212797</v>
      </c>
      <c r="Y98" s="431">
        <v>7600</v>
      </c>
      <c r="Z98" s="431">
        <v>1273074</v>
      </c>
      <c r="AA98" s="431"/>
      <c r="AB98" s="431">
        <v>-10903</v>
      </c>
      <c r="AC98" s="431">
        <v>629867</v>
      </c>
      <c r="AD98" s="431">
        <v>1268</v>
      </c>
      <c r="AE98" s="431">
        <v>767110</v>
      </c>
      <c r="AF98" s="431"/>
      <c r="AG98" s="431">
        <v>127126</v>
      </c>
      <c r="AH98" s="431">
        <v>276471</v>
      </c>
      <c r="AI98" s="431">
        <v>744543</v>
      </c>
      <c r="AJ98" s="431"/>
      <c r="AK98" s="431"/>
      <c r="AL98" s="431">
        <v>1541995</v>
      </c>
      <c r="AM98" s="431">
        <v>713657</v>
      </c>
    </row>
    <row r="99" spans="1:39" s="155" customFormat="1" ht="12" x14ac:dyDescent="0.2">
      <c r="A99" s="168">
        <v>45</v>
      </c>
      <c r="B99" s="505">
        <v>34547</v>
      </c>
      <c r="C99" s="506" t="s">
        <v>2618</v>
      </c>
      <c r="D99" s="432">
        <f t="shared" si="13"/>
        <v>8034742</v>
      </c>
      <c r="E99" s="431">
        <v>1065364</v>
      </c>
      <c r="F99" s="431">
        <v>118514</v>
      </c>
      <c r="G99" s="431">
        <v>240893</v>
      </c>
      <c r="H99" s="431"/>
      <c r="I99" s="431">
        <v>1814838</v>
      </c>
      <c r="J99" s="431">
        <v>140557</v>
      </c>
      <c r="K99" s="431">
        <v>1031000</v>
      </c>
      <c r="L99" s="431"/>
      <c r="M99" s="431">
        <v>1014533</v>
      </c>
      <c r="N99" s="431">
        <v>2968450</v>
      </c>
      <c r="O99" s="431"/>
      <c r="P99" s="432">
        <f t="shared" si="14"/>
        <v>11673779</v>
      </c>
      <c r="Q99" s="431">
        <v>1869122</v>
      </c>
      <c r="R99" s="431">
        <v>1269981</v>
      </c>
      <c r="S99" s="431"/>
      <c r="T99" s="431"/>
      <c r="U99" s="431">
        <v>6622</v>
      </c>
      <c r="V99" s="431"/>
      <c r="W99" s="431">
        <v>7662023</v>
      </c>
      <c r="X99" s="431">
        <v>389033</v>
      </c>
      <c r="Y99" s="431"/>
      <c r="Z99" s="431">
        <v>476998</v>
      </c>
      <c r="AA99" s="431"/>
      <c r="AB99" s="431"/>
      <c r="AC99" s="431">
        <v>760779</v>
      </c>
      <c r="AD99" s="431">
        <v>168490</v>
      </c>
      <c r="AE99" s="431">
        <v>1543753</v>
      </c>
      <c r="AF99" s="431">
        <v>23712</v>
      </c>
      <c r="AG99" s="431">
        <v>948092</v>
      </c>
      <c r="AH99" s="431">
        <v>576298</v>
      </c>
      <c r="AI99" s="431">
        <v>109372</v>
      </c>
      <c r="AJ99" s="431">
        <v>31020</v>
      </c>
      <c r="AK99" s="431"/>
      <c r="AL99" s="431">
        <v>3090493</v>
      </c>
      <c r="AM99" s="431">
        <v>4421770</v>
      </c>
    </row>
    <row r="100" spans="1:39" s="155" customFormat="1" ht="12" x14ac:dyDescent="0.2">
      <c r="A100" s="168">
        <v>46</v>
      </c>
      <c r="B100" s="505">
        <v>34618</v>
      </c>
      <c r="C100" s="506" t="s">
        <v>2619</v>
      </c>
      <c r="D100" s="432">
        <f t="shared" si="13"/>
        <v>10589849</v>
      </c>
      <c r="E100" s="431">
        <v>4717243</v>
      </c>
      <c r="F100" s="431">
        <v>541709</v>
      </c>
      <c r="G100" s="431">
        <v>93658</v>
      </c>
      <c r="H100" s="431"/>
      <c r="I100" s="431">
        <v>2382299</v>
      </c>
      <c r="J100" s="431"/>
      <c r="K100" s="431">
        <v>367000</v>
      </c>
      <c r="L100" s="431"/>
      <c r="M100" s="431">
        <v>2465788</v>
      </c>
      <c r="N100" s="431">
        <v>523679</v>
      </c>
      <c r="O100" s="431">
        <v>133840</v>
      </c>
      <c r="P100" s="432">
        <f t="shared" si="14"/>
        <v>10646477</v>
      </c>
      <c r="Q100" s="431">
        <v>2679477</v>
      </c>
      <c r="R100" s="431">
        <v>906501</v>
      </c>
      <c r="S100" s="431"/>
      <c r="T100" s="431"/>
      <c r="U100" s="431">
        <v>100000</v>
      </c>
      <c r="V100" s="431"/>
      <c r="W100" s="431">
        <v>433529</v>
      </c>
      <c r="X100" s="431">
        <v>267932</v>
      </c>
      <c r="Y100" s="431">
        <v>302887</v>
      </c>
      <c r="Z100" s="431">
        <v>5957417</v>
      </c>
      <c r="AA100" s="431"/>
      <c r="AB100" s="431">
        <v>-1266</v>
      </c>
      <c r="AC100" s="431">
        <v>1112965</v>
      </c>
      <c r="AD100" s="431">
        <v>27398</v>
      </c>
      <c r="AE100" s="431">
        <v>2530768</v>
      </c>
      <c r="AF100" s="431">
        <v>22854</v>
      </c>
      <c r="AG100" s="431">
        <v>695517</v>
      </c>
      <c r="AH100" s="431">
        <v>671330</v>
      </c>
      <c r="AI100" s="431">
        <v>114166</v>
      </c>
      <c r="AJ100" s="431">
        <v>91783</v>
      </c>
      <c r="AK100" s="431"/>
      <c r="AL100" s="431">
        <v>3452399</v>
      </c>
      <c r="AM100" s="431">
        <v>1927297</v>
      </c>
    </row>
    <row r="101" spans="1:39" s="155" customFormat="1" ht="12" x14ac:dyDescent="0.2">
      <c r="A101" s="168">
        <v>47</v>
      </c>
      <c r="B101" s="505">
        <v>34645</v>
      </c>
      <c r="C101" s="506" t="s">
        <v>2620</v>
      </c>
      <c r="D101" s="432">
        <f t="shared" si="13"/>
        <v>6647655</v>
      </c>
      <c r="E101" s="431">
        <v>1139371</v>
      </c>
      <c r="F101" s="431">
        <v>183154</v>
      </c>
      <c r="G101" s="431">
        <v>205310</v>
      </c>
      <c r="H101" s="431"/>
      <c r="I101" s="431">
        <v>1501755</v>
      </c>
      <c r="J101" s="431">
        <v>55874</v>
      </c>
      <c r="K101" s="431">
        <v>800000</v>
      </c>
      <c r="L101" s="431"/>
      <c r="M101" s="431">
        <v>2789925</v>
      </c>
      <c r="N101" s="431">
        <v>360730</v>
      </c>
      <c r="O101" s="431"/>
      <c r="P101" s="432">
        <f t="shared" si="14"/>
        <v>7662222</v>
      </c>
      <c r="Q101" s="431">
        <v>1746017</v>
      </c>
      <c r="R101" s="431">
        <v>731804</v>
      </c>
      <c r="S101" s="431">
        <v>8129</v>
      </c>
      <c r="T101" s="431"/>
      <c r="U101" s="431">
        <v>7224</v>
      </c>
      <c r="V101" s="431"/>
      <c r="W101" s="431">
        <v>2403970</v>
      </c>
      <c r="X101" s="431">
        <v>142792</v>
      </c>
      <c r="Y101" s="431">
        <v>39598</v>
      </c>
      <c r="Z101" s="431">
        <v>2284821</v>
      </c>
      <c r="AA101" s="431">
        <v>297867</v>
      </c>
      <c r="AB101" s="431"/>
      <c r="AC101" s="431">
        <v>679531</v>
      </c>
      <c r="AD101" s="431">
        <v>4641</v>
      </c>
      <c r="AE101" s="431">
        <v>1355846</v>
      </c>
      <c r="AF101" s="431"/>
      <c r="AG101" s="431">
        <v>180126</v>
      </c>
      <c r="AH101" s="431">
        <v>231848</v>
      </c>
      <c r="AI101" s="431">
        <v>919237</v>
      </c>
      <c r="AJ101" s="431">
        <v>19656</v>
      </c>
      <c r="AK101" s="431"/>
      <c r="AL101" s="431">
        <v>4271337</v>
      </c>
      <c r="AM101" s="431"/>
    </row>
    <row r="102" spans="1:39" s="155" customFormat="1" ht="12" x14ac:dyDescent="0.2">
      <c r="A102" s="168">
        <v>48</v>
      </c>
      <c r="B102" s="505">
        <v>34850</v>
      </c>
      <c r="C102" s="506" t="s">
        <v>2621</v>
      </c>
      <c r="D102" s="432">
        <f t="shared" si="13"/>
        <v>8434408</v>
      </c>
      <c r="E102" s="431">
        <v>1429272</v>
      </c>
      <c r="F102" s="431">
        <v>101981</v>
      </c>
      <c r="G102" s="431">
        <v>292342</v>
      </c>
      <c r="H102" s="431"/>
      <c r="I102" s="431">
        <v>1601991</v>
      </c>
      <c r="J102" s="431"/>
      <c r="K102" s="431">
        <v>832000</v>
      </c>
      <c r="L102" s="431"/>
      <c r="M102" s="431">
        <v>3155979</v>
      </c>
      <c r="N102" s="431">
        <v>1415166</v>
      </c>
      <c r="O102" s="431"/>
      <c r="P102" s="432">
        <f t="shared" si="14"/>
        <v>8392450</v>
      </c>
      <c r="Q102" s="431">
        <v>1880345</v>
      </c>
      <c r="R102" s="431">
        <v>769116</v>
      </c>
      <c r="S102" s="431">
        <v>22547</v>
      </c>
      <c r="T102" s="431"/>
      <c r="U102" s="431"/>
      <c r="V102" s="431"/>
      <c r="W102" s="431">
        <v>1764949</v>
      </c>
      <c r="X102" s="431">
        <v>173970</v>
      </c>
      <c r="Y102" s="431">
        <v>108888</v>
      </c>
      <c r="Z102" s="431">
        <v>3623620</v>
      </c>
      <c r="AA102" s="431">
        <v>49015</v>
      </c>
      <c r="AB102" s="431"/>
      <c r="AC102" s="431">
        <v>857914</v>
      </c>
      <c r="AD102" s="431">
        <v>74988</v>
      </c>
      <c r="AE102" s="431">
        <v>2618000</v>
      </c>
      <c r="AF102" s="431">
        <v>14000</v>
      </c>
      <c r="AG102" s="431">
        <v>407532</v>
      </c>
      <c r="AH102" s="431">
        <v>370908</v>
      </c>
      <c r="AI102" s="431">
        <v>125071</v>
      </c>
      <c r="AJ102" s="431">
        <v>1511310</v>
      </c>
      <c r="AK102" s="431"/>
      <c r="AL102" s="431">
        <v>2412727</v>
      </c>
      <c r="AM102" s="431"/>
    </row>
    <row r="103" spans="1:39" s="155" customFormat="1" ht="12" x14ac:dyDescent="0.2">
      <c r="A103" s="168">
        <v>49</v>
      </c>
      <c r="B103" s="505">
        <v>34690</v>
      </c>
      <c r="C103" s="506" t="s">
        <v>2622</v>
      </c>
      <c r="D103" s="432">
        <f t="shared" si="13"/>
        <v>5565068</v>
      </c>
      <c r="E103" s="431">
        <v>2126839</v>
      </c>
      <c r="F103" s="431">
        <v>682375</v>
      </c>
      <c r="G103" s="431">
        <v>271254</v>
      </c>
      <c r="H103" s="431"/>
      <c r="I103" s="431">
        <v>2201808</v>
      </c>
      <c r="J103" s="431"/>
      <c r="K103" s="431">
        <v>682000</v>
      </c>
      <c r="L103" s="431"/>
      <c r="M103" s="431">
        <v>21875</v>
      </c>
      <c r="N103" s="431"/>
      <c r="O103" s="431">
        <v>532546</v>
      </c>
      <c r="P103" s="432">
        <f t="shared" si="14"/>
        <v>5502300</v>
      </c>
      <c r="Q103" s="431">
        <v>2335413</v>
      </c>
      <c r="R103" s="431">
        <v>862565</v>
      </c>
      <c r="S103" s="431">
        <v>14564</v>
      </c>
      <c r="T103" s="431"/>
      <c r="U103" s="431">
        <v>14448</v>
      </c>
      <c r="V103" s="431"/>
      <c r="W103" s="431"/>
      <c r="X103" s="431">
        <v>264061</v>
      </c>
      <c r="Y103" s="431">
        <v>19947</v>
      </c>
      <c r="Z103" s="431">
        <v>1874635</v>
      </c>
      <c r="AA103" s="431">
        <v>116667</v>
      </c>
      <c r="AB103" s="431"/>
      <c r="AC103" s="431">
        <v>660356</v>
      </c>
      <c r="AD103" s="431">
        <v>1921</v>
      </c>
      <c r="AE103" s="431">
        <v>2762493</v>
      </c>
      <c r="AF103" s="431">
        <v>17014</v>
      </c>
      <c r="AG103" s="431">
        <v>90104</v>
      </c>
      <c r="AH103" s="431">
        <v>441686</v>
      </c>
      <c r="AI103" s="431">
        <v>1108955</v>
      </c>
      <c r="AJ103" s="431">
        <v>9938</v>
      </c>
      <c r="AK103" s="431"/>
      <c r="AL103" s="431">
        <v>409833</v>
      </c>
      <c r="AM103" s="431"/>
    </row>
    <row r="104" spans="1:39" s="155" customFormat="1" ht="12" x14ac:dyDescent="0.2">
      <c r="A104" s="168">
        <v>50</v>
      </c>
      <c r="B104" s="505">
        <v>34770</v>
      </c>
      <c r="C104" s="506" t="s">
        <v>2623</v>
      </c>
      <c r="D104" s="432">
        <f t="shared" si="13"/>
        <v>6940724</v>
      </c>
      <c r="E104" s="431">
        <v>842238</v>
      </c>
      <c r="F104" s="431">
        <v>91700</v>
      </c>
      <c r="G104" s="431">
        <v>249684</v>
      </c>
      <c r="H104" s="431"/>
      <c r="I104" s="431">
        <v>1197388</v>
      </c>
      <c r="J104" s="431"/>
      <c r="K104" s="431">
        <v>895000</v>
      </c>
      <c r="L104" s="431"/>
      <c r="M104" s="431">
        <v>3768242</v>
      </c>
      <c r="N104" s="431">
        <v>237856</v>
      </c>
      <c r="O104" s="431"/>
      <c r="P104" s="432">
        <f t="shared" si="14"/>
        <v>6668674</v>
      </c>
      <c r="Q104" s="431">
        <v>1295695</v>
      </c>
      <c r="R104" s="431">
        <v>495878</v>
      </c>
      <c r="S104" s="431"/>
      <c r="T104" s="431"/>
      <c r="U104" s="431"/>
      <c r="V104" s="431"/>
      <c r="W104" s="431">
        <v>644773</v>
      </c>
      <c r="X104" s="431">
        <v>288685</v>
      </c>
      <c r="Y104" s="431">
        <v>47000</v>
      </c>
      <c r="Z104" s="431">
        <v>3913962</v>
      </c>
      <c r="AA104" s="431"/>
      <c r="AB104" s="431">
        <v>-17319</v>
      </c>
      <c r="AC104" s="431">
        <v>1959040</v>
      </c>
      <c r="AD104" s="431">
        <v>20840</v>
      </c>
      <c r="AE104" s="431">
        <v>978068</v>
      </c>
      <c r="AF104" s="431">
        <v>21399</v>
      </c>
      <c r="AG104" s="431">
        <v>435079</v>
      </c>
      <c r="AH104" s="431">
        <v>327330</v>
      </c>
      <c r="AI104" s="431">
        <v>363908</v>
      </c>
      <c r="AJ104" s="431">
        <v>8188</v>
      </c>
      <c r="AK104" s="431"/>
      <c r="AL104" s="431">
        <v>2552968</v>
      </c>
      <c r="AM104" s="431">
        <v>1854</v>
      </c>
    </row>
    <row r="105" spans="1:39" s="155" customFormat="1" ht="12" x14ac:dyDescent="0.2">
      <c r="A105" s="168">
        <v>51</v>
      </c>
      <c r="B105" s="505">
        <v>34903</v>
      </c>
      <c r="C105" s="506" t="s">
        <v>2624</v>
      </c>
      <c r="D105" s="432">
        <f t="shared" si="13"/>
        <v>4985092</v>
      </c>
      <c r="E105" s="431">
        <v>1489699</v>
      </c>
      <c r="F105" s="431">
        <v>265810</v>
      </c>
      <c r="G105" s="431">
        <v>327766</v>
      </c>
      <c r="H105" s="431"/>
      <c r="I105" s="431">
        <v>1725753</v>
      </c>
      <c r="J105" s="431"/>
      <c r="K105" s="431">
        <v>834000</v>
      </c>
      <c r="L105" s="431"/>
      <c r="M105" s="431">
        <v>510040</v>
      </c>
      <c r="N105" s="431">
        <v>425600</v>
      </c>
      <c r="O105" s="431"/>
      <c r="P105" s="432">
        <f t="shared" si="14"/>
        <v>4819335</v>
      </c>
      <c r="Q105" s="431">
        <v>1986387</v>
      </c>
      <c r="R105" s="431">
        <v>763769</v>
      </c>
      <c r="S105" s="431"/>
      <c r="T105" s="431"/>
      <c r="U105" s="431"/>
      <c r="V105" s="431"/>
      <c r="W105" s="431">
        <v>1457343</v>
      </c>
      <c r="X105" s="431">
        <v>267280</v>
      </c>
      <c r="Y105" s="431">
        <v>7000</v>
      </c>
      <c r="Z105" s="431">
        <v>337556</v>
      </c>
      <c r="AA105" s="431"/>
      <c r="AB105" s="431"/>
      <c r="AC105" s="431">
        <v>853789</v>
      </c>
      <c r="AD105" s="431">
        <v>2192</v>
      </c>
      <c r="AE105" s="431">
        <v>1565918</v>
      </c>
      <c r="AF105" s="431"/>
      <c r="AG105" s="431">
        <v>9470</v>
      </c>
      <c r="AH105" s="431">
        <v>395814</v>
      </c>
      <c r="AI105" s="431">
        <v>195513</v>
      </c>
      <c r="AJ105" s="431">
        <v>9334</v>
      </c>
      <c r="AK105" s="431"/>
      <c r="AL105" s="431">
        <v>953643</v>
      </c>
      <c r="AM105" s="431">
        <v>833662</v>
      </c>
    </row>
    <row r="106" spans="1:39" s="155" customFormat="1" ht="12" x14ac:dyDescent="0.2">
      <c r="A106" s="168">
        <v>52</v>
      </c>
      <c r="B106" s="505">
        <v>34985</v>
      </c>
      <c r="C106" s="506" t="s">
        <v>2625</v>
      </c>
      <c r="D106" s="432">
        <f t="shared" si="13"/>
        <v>14868612</v>
      </c>
      <c r="E106" s="431">
        <v>2737152</v>
      </c>
      <c r="F106" s="431">
        <v>436263</v>
      </c>
      <c r="G106" s="431">
        <v>592627</v>
      </c>
      <c r="H106" s="431"/>
      <c r="I106" s="431">
        <v>3973396</v>
      </c>
      <c r="J106" s="431"/>
      <c r="K106" s="431">
        <v>1133000</v>
      </c>
      <c r="L106" s="431"/>
      <c r="M106" s="431">
        <v>6815568</v>
      </c>
      <c r="N106" s="431">
        <v>209496</v>
      </c>
      <c r="O106" s="431"/>
      <c r="P106" s="432">
        <f t="shared" si="14"/>
        <v>14341938</v>
      </c>
      <c r="Q106" s="431">
        <v>4164119</v>
      </c>
      <c r="R106" s="431">
        <v>1753208</v>
      </c>
      <c r="S106" s="431"/>
      <c r="T106" s="431"/>
      <c r="U106" s="431">
        <v>385568</v>
      </c>
      <c r="V106" s="431"/>
      <c r="W106" s="431">
        <v>527520</v>
      </c>
      <c r="X106" s="431">
        <v>396694</v>
      </c>
      <c r="Y106" s="431">
        <v>90000</v>
      </c>
      <c r="Z106" s="431">
        <v>7024829</v>
      </c>
      <c r="AA106" s="431"/>
      <c r="AB106" s="431"/>
      <c r="AC106" s="431">
        <v>2989626</v>
      </c>
      <c r="AD106" s="431">
        <v>58640</v>
      </c>
      <c r="AE106" s="431">
        <v>3845328</v>
      </c>
      <c r="AF106" s="431">
        <v>233348</v>
      </c>
      <c r="AG106" s="431">
        <v>600732</v>
      </c>
      <c r="AH106" s="431">
        <v>786293</v>
      </c>
      <c r="AI106" s="431">
        <v>515663</v>
      </c>
      <c r="AJ106" s="431">
        <v>29834</v>
      </c>
      <c r="AK106" s="431"/>
      <c r="AL106" s="431">
        <v>4754954</v>
      </c>
      <c r="AM106" s="431">
        <v>527520</v>
      </c>
    </row>
    <row r="107" spans="1:39" s="155" customFormat="1" ht="12" x14ac:dyDescent="0.2">
      <c r="A107" s="168">
        <v>53</v>
      </c>
      <c r="B107" s="505">
        <v>35054</v>
      </c>
      <c r="C107" s="506" t="s">
        <v>2626</v>
      </c>
      <c r="D107" s="432">
        <f t="shared" si="13"/>
        <v>16271348</v>
      </c>
      <c r="E107" s="431">
        <v>5157018</v>
      </c>
      <c r="F107" s="431">
        <v>584694</v>
      </c>
      <c r="G107" s="431">
        <v>388007</v>
      </c>
      <c r="H107" s="431"/>
      <c r="I107" s="431">
        <v>4033112</v>
      </c>
      <c r="J107" s="431"/>
      <c r="K107" s="431">
        <v>925000</v>
      </c>
      <c r="L107" s="431"/>
      <c r="M107" s="431">
        <v>1889625</v>
      </c>
      <c r="N107" s="431">
        <v>4266593</v>
      </c>
      <c r="O107" s="431"/>
      <c r="P107" s="432">
        <f t="shared" si="14"/>
        <v>17805735</v>
      </c>
      <c r="Q107" s="431">
        <v>4178273</v>
      </c>
      <c r="R107" s="431">
        <v>2052385</v>
      </c>
      <c r="S107" s="431"/>
      <c r="T107" s="431"/>
      <c r="U107" s="431"/>
      <c r="V107" s="431"/>
      <c r="W107" s="431">
        <v>8695538</v>
      </c>
      <c r="X107" s="431">
        <v>264227</v>
      </c>
      <c r="Y107" s="431">
        <v>296035</v>
      </c>
      <c r="Z107" s="431">
        <v>2319277</v>
      </c>
      <c r="AA107" s="431"/>
      <c r="AB107" s="431"/>
      <c r="AC107" s="431">
        <v>1256333</v>
      </c>
      <c r="AD107" s="431">
        <v>43154</v>
      </c>
      <c r="AE107" s="431">
        <v>4336864</v>
      </c>
      <c r="AF107" s="431"/>
      <c r="AG107" s="431">
        <v>565691</v>
      </c>
      <c r="AH107" s="431">
        <v>570973</v>
      </c>
      <c r="AI107" s="431">
        <v>1466948</v>
      </c>
      <c r="AJ107" s="431">
        <v>189018</v>
      </c>
      <c r="AK107" s="431"/>
      <c r="AL107" s="431">
        <v>1354813</v>
      </c>
      <c r="AM107" s="431">
        <v>8021941</v>
      </c>
    </row>
    <row r="108" spans="1:39" s="155" customFormat="1" ht="12" x14ac:dyDescent="0.2">
      <c r="A108" s="168">
        <v>54</v>
      </c>
      <c r="B108" s="505">
        <v>35090</v>
      </c>
      <c r="C108" s="506" t="s">
        <v>2627</v>
      </c>
      <c r="D108" s="432">
        <f t="shared" si="13"/>
        <v>12388590</v>
      </c>
      <c r="E108" s="431">
        <v>3537863</v>
      </c>
      <c r="F108" s="431">
        <v>355426</v>
      </c>
      <c r="G108" s="431">
        <v>612861</v>
      </c>
      <c r="H108" s="431"/>
      <c r="I108" s="431">
        <v>3492171</v>
      </c>
      <c r="J108" s="431"/>
      <c r="K108" s="431">
        <v>1199000</v>
      </c>
      <c r="L108" s="431"/>
      <c r="M108" s="431">
        <v>3627947</v>
      </c>
      <c r="N108" s="431">
        <v>531609</v>
      </c>
      <c r="O108" s="431"/>
      <c r="P108" s="432">
        <f t="shared" si="14"/>
        <v>12225636</v>
      </c>
      <c r="Q108" s="431">
        <v>3499056</v>
      </c>
      <c r="R108" s="431">
        <v>2829138</v>
      </c>
      <c r="S108" s="431"/>
      <c r="T108" s="431"/>
      <c r="U108" s="431">
        <v>120027</v>
      </c>
      <c r="V108" s="431">
        <v>39600</v>
      </c>
      <c r="W108" s="431">
        <v>997592</v>
      </c>
      <c r="X108" s="431">
        <v>424425</v>
      </c>
      <c r="Y108" s="431">
        <v>13410</v>
      </c>
      <c r="Z108" s="431">
        <v>4302388</v>
      </c>
      <c r="AA108" s="431"/>
      <c r="AB108" s="431"/>
      <c r="AC108" s="431">
        <v>2335783</v>
      </c>
      <c r="AD108" s="431">
        <v>55481</v>
      </c>
      <c r="AE108" s="431">
        <v>3951537</v>
      </c>
      <c r="AF108" s="431"/>
      <c r="AG108" s="431">
        <v>228033</v>
      </c>
      <c r="AH108" s="431">
        <v>603217</v>
      </c>
      <c r="AI108" s="431">
        <v>240285</v>
      </c>
      <c r="AJ108" s="431">
        <v>396422</v>
      </c>
      <c r="AK108" s="431"/>
      <c r="AL108" s="431">
        <v>4066417</v>
      </c>
      <c r="AM108" s="431">
        <v>348461</v>
      </c>
    </row>
    <row r="109" spans="1:39" s="155" customFormat="1" ht="12" x14ac:dyDescent="0.2">
      <c r="A109" s="168">
        <v>55</v>
      </c>
      <c r="B109" s="505">
        <v>35152</v>
      </c>
      <c r="C109" s="506" t="s">
        <v>2628</v>
      </c>
      <c r="D109" s="432">
        <f t="shared" si="13"/>
        <v>15601809</v>
      </c>
      <c r="E109" s="431">
        <v>834467</v>
      </c>
      <c r="F109" s="431">
        <v>132184</v>
      </c>
      <c r="G109" s="431">
        <v>272127</v>
      </c>
      <c r="H109" s="431"/>
      <c r="I109" s="431">
        <v>2324360</v>
      </c>
      <c r="J109" s="431"/>
      <c r="K109" s="431">
        <v>992000</v>
      </c>
      <c r="L109" s="431"/>
      <c r="M109" s="431">
        <v>5686328</v>
      </c>
      <c r="N109" s="431">
        <v>5685154</v>
      </c>
      <c r="O109" s="431">
        <v>79500</v>
      </c>
      <c r="P109" s="432">
        <f t="shared" si="14"/>
        <v>17277775</v>
      </c>
      <c r="Q109" s="431">
        <v>2492640</v>
      </c>
      <c r="R109" s="431">
        <v>1014241</v>
      </c>
      <c r="S109" s="431"/>
      <c r="T109" s="431"/>
      <c r="U109" s="431">
        <v>12374</v>
      </c>
      <c r="V109" s="431"/>
      <c r="W109" s="431">
        <v>11357965</v>
      </c>
      <c r="X109" s="431">
        <v>200090</v>
      </c>
      <c r="Y109" s="431"/>
      <c r="Z109" s="431">
        <v>2200465</v>
      </c>
      <c r="AA109" s="431"/>
      <c r="AB109" s="431"/>
      <c r="AC109" s="431">
        <v>911083</v>
      </c>
      <c r="AD109" s="431">
        <v>82926</v>
      </c>
      <c r="AE109" s="431">
        <v>2114311</v>
      </c>
      <c r="AF109" s="431">
        <v>28667</v>
      </c>
      <c r="AG109" s="431">
        <v>158629</v>
      </c>
      <c r="AH109" s="431">
        <v>398822</v>
      </c>
      <c r="AI109" s="431">
        <v>560610</v>
      </c>
      <c r="AJ109" s="431">
        <v>45294</v>
      </c>
      <c r="AK109" s="431"/>
      <c r="AL109" s="431">
        <v>12977433</v>
      </c>
      <c r="AM109" s="431"/>
    </row>
    <row r="110" spans="1:39" s="155" customFormat="1" ht="12" x14ac:dyDescent="0.2">
      <c r="A110" s="168">
        <v>56</v>
      </c>
      <c r="B110" s="505">
        <v>35269</v>
      </c>
      <c r="C110" s="506" t="s">
        <v>2629</v>
      </c>
      <c r="D110" s="432">
        <f t="shared" si="13"/>
        <v>6819603</v>
      </c>
      <c r="E110" s="431">
        <v>1439876</v>
      </c>
      <c r="F110" s="431">
        <v>242879</v>
      </c>
      <c r="G110" s="431">
        <v>334810</v>
      </c>
      <c r="H110" s="431"/>
      <c r="I110" s="431">
        <v>2808380</v>
      </c>
      <c r="J110" s="431"/>
      <c r="K110" s="431">
        <v>919000</v>
      </c>
      <c r="L110" s="431"/>
      <c r="M110" s="431">
        <v>993384</v>
      </c>
      <c r="N110" s="431">
        <v>658963</v>
      </c>
      <c r="O110" s="431"/>
      <c r="P110" s="432">
        <f t="shared" si="14"/>
        <v>6716903</v>
      </c>
      <c r="Q110" s="431">
        <v>3214126</v>
      </c>
      <c r="R110" s="431">
        <v>1273481</v>
      </c>
      <c r="S110" s="431"/>
      <c r="T110" s="431"/>
      <c r="U110" s="431"/>
      <c r="V110" s="431"/>
      <c r="W110" s="431">
        <v>563437</v>
      </c>
      <c r="X110" s="431">
        <v>193685</v>
      </c>
      <c r="Y110" s="431">
        <v>62992</v>
      </c>
      <c r="Z110" s="431">
        <v>1418761</v>
      </c>
      <c r="AA110" s="431"/>
      <c r="AB110" s="431">
        <v>-9579</v>
      </c>
      <c r="AC110" s="431">
        <v>1227477</v>
      </c>
      <c r="AD110" s="431">
        <v>2759</v>
      </c>
      <c r="AE110" s="431">
        <v>2599004</v>
      </c>
      <c r="AF110" s="431">
        <v>19267</v>
      </c>
      <c r="AG110" s="431">
        <v>91976</v>
      </c>
      <c r="AH110" s="431">
        <v>582472</v>
      </c>
      <c r="AI110" s="431">
        <v>154728</v>
      </c>
      <c r="AJ110" s="431">
        <v>123955</v>
      </c>
      <c r="AK110" s="431"/>
      <c r="AL110" s="431">
        <v>1353132</v>
      </c>
      <c r="AM110" s="431">
        <v>562133</v>
      </c>
    </row>
    <row r="111" spans="1:39" s="155" customFormat="1" ht="12" x14ac:dyDescent="0.2">
      <c r="A111" s="168">
        <v>57</v>
      </c>
      <c r="B111" s="505">
        <v>35312</v>
      </c>
      <c r="C111" s="506" t="s">
        <v>2630</v>
      </c>
      <c r="D111" s="432">
        <f t="shared" si="13"/>
        <v>6669678</v>
      </c>
      <c r="E111" s="431">
        <v>804882</v>
      </c>
      <c r="F111" s="431">
        <v>116664</v>
      </c>
      <c r="G111" s="431">
        <v>255475</v>
      </c>
      <c r="H111" s="431"/>
      <c r="I111" s="431">
        <v>1287566</v>
      </c>
      <c r="J111" s="431"/>
      <c r="K111" s="431">
        <v>902000</v>
      </c>
      <c r="L111" s="431"/>
      <c r="M111" s="431">
        <v>2109473</v>
      </c>
      <c r="N111" s="431">
        <v>1565757</v>
      </c>
      <c r="O111" s="431"/>
      <c r="P111" s="432">
        <f t="shared" si="14"/>
        <v>4981764</v>
      </c>
      <c r="Q111" s="431">
        <v>1519833</v>
      </c>
      <c r="R111" s="431">
        <v>644815</v>
      </c>
      <c r="S111" s="431"/>
      <c r="T111" s="431"/>
      <c r="U111" s="431">
        <v>4800</v>
      </c>
      <c r="V111" s="431"/>
      <c r="W111" s="431"/>
      <c r="X111" s="431">
        <v>120889</v>
      </c>
      <c r="Y111" s="431">
        <v>104357</v>
      </c>
      <c r="Z111" s="431">
        <v>2587070</v>
      </c>
      <c r="AA111" s="431"/>
      <c r="AB111" s="431"/>
      <c r="AC111" s="431">
        <v>618458</v>
      </c>
      <c r="AD111" s="431">
        <v>5000</v>
      </c>
      <c r="AE111" s="431">
        <v>1564647</v>
      </c>
      <c r="AF111" s="431"/>
      <c r="AG111" s="431">
        <v>400747</v>
      </c>
      <c r="AH111" s="431">
        <v>289858</v>
      </c>
      <c r="AI111" s="431">
        <v>1924795</v>
      </c>
      <c r="AJ111" s="431">
        <v>8300</v>
      </c>
      <c r="AK111" s="431"/>
      <c r="AL111" s="431">
        <v>169959</v>
      </c>
      <c r="AM111" s="431"/>
    </row>
    <row r="112" spans="1:39" s="155" customFormat="1" ht="12" x14ac:dyDescent="0.2">
      <c r="A112" s="168">
        <v>58</v>
      </c>
      <c r="B112" s="505">
        <v>35429</v>
      </c>
      <c r="C112" s="506" t="s">
        <v>2631</v>
      </c>
      <c r="D112" s="432">
        <f t="shared" si="13"/>
        <v>11114673</v>
      </c>
      <c r="E112" s="431">
        <v>1785822</v>
      </c>
      <c r="F112" s="431">
        <v>90398</v>
      </c>
      <c r="G112" s="431">
        <v>399981</v>
      </c>
      <c r="H112" s="431"/>
      <c r="I112" s="431">
        <v>2692581</v>
      </c>
      <c r="J112" s="431"/>
      <c r="K112" s="431">
        <v>881000</v>
      </c>
      <c r="L112" s="431"/>
      <c r="M112" s="431">
        <v>1857101</v>
      </c>
      <c r="N112" s="431">
        <v>3888169</v>
      </c>
      <c r="O112" s="431">
        <v>10000</v>
      </c>
      <c r="P112" s="432">
        <f t="shared" si="14"/>
        <v>10473343</v>
      </c>
      <c r="Q112" s="431">
        <v>3082565</v>
      </c>
      <c r="R112" s="431">
        <v>1161495</v>
      </c>
      <c r="S112" s="431"/>
      <c r="T112" s="431"/>
      <c r="U112" s="431"/>
      <c r="V112" s="431"/>
      <c r="W112" s="431">
        <v>5789471</v>
      </c>
      <c r="X112" s="431">
        <v>267383</v>
      </c>
      <c r="Y112" s="431">
        <v>102926</v>
      </c>
      <c r="Z112" s="431">
        <v>109503</v>
      </c>
      <c r="AA112" s="431"/>
      <c r="AB112" s="431">
        <v>-40000</v>
      </c>
      <c r="AC112" s="431">
        <v>856322</v>
      </c>
      <c r="AD112" s="431">
        <v>14193</v>
      </c>
      <c r="AE112" s="431">
        <v>2377123</v>
      </c>
      <c r="AF112" s="431">
        <v>53870</v>
      </c>
      <c r="AG112" s="431">
        <v>387798</v>
      </c>
      <c r="AH112" s="431">
        <v>659280</v>
      </c>
      <c r="AI112" s="431">
        <v>202232</v>
      </c>
      <c r="AJ112" s="431">
        <v>11486</v>
      </c>
      <c r="AK112" s="431"/>
      <c r="AL112" s="431">
        <v>360021</v>
      </c>
      <c r="AM112" s="431">
        <v>5551018</v>
      </c>
    </row>
    <row r="113" spans="1:39" s="155" customFormat="1" ht="12" hidden="1" x14ac:dyDescent="0.2">
      <c r="A113" s="168">
        <v>59</v>
      </c>
      <c r="B113" s="480"/>
      <c r="C113" s="481"/>
      <c r="D113" s="432">
        <f t="shared" si="8"/>
        <v>0</v>
      </c>
      <c r="E113" s="431"/>
      <c r="F113" s="431"/>
      <c r="G113" s="431"/>
      <c r="H113" s="431"/>
      <c r="I113" s="431"/>
      <c r="J113" s="431"/>
      <c r="K113" s="431"/>
      <c r="L113" s="431"/>
      <c r="M113" s="431"/>
      <c r="N113" s="431"/>
      <c r="O113" s="431"/>
      <c r="P113" s="432">
        <f t="shared" ref="P113:P142" si="15">IF(SUM(Q113:AB113)=SUM(AC113:AM113),SUM(Q113:AB113),"  EROARE ART/CAP")</f>
        <v>0</v>
      </c>
      <c r="Q113" s="431"/>
      <c r="R113" s="431"/>
      <c r="S113" s="431"/>
      <c r="T113" s="431"/>
      <c r="U113" s="431"/>
      <c r="V113" s="431"/>
      <c r="W113" s="431"/>
      <c r="X113" s="431"/>
      <c r="Y113" s="431"/>
      <c r="Z113" s="468"/>
      <c r="AA113" s="431"/>
      <c r="AB113" s="431"/>
      <c r="AC113" s="468"/>
      <c r="AD113" s="431"/>
      <c r="AE113" s="431"/>
      <c r="AF113" s="431"/>
      <c r="AG113" s="431"/>
      <c r="AH113" s="431"/>
      <c r="AI113" s="468"/>
      <c r="AJ113" s="468"/>
      <c r="AK113" s="431"/>
      <c r="AL113" s="431"/>
      <c r="AM113" s="431"/>
    </row>
    <row r="114" spans="1:39" s="155" customFormat="1" ht="12" hidden="1" x14ac:dyDescent="0.2">
      <c r="A114" s="168">
        <v>60</v>
      </c>
      <c r="B114" s="480"/>
      <c r="C114" s="503"/>
      <c r="D114" s="432">
        <f t="shared" si="8"/>
        <v>0</v>
      </c>
      <c r="E114" s="431"/>
      <c r="F114" s="431"/>
      <c r="G114" s="431"/>
      <c r="H114" s="431"/>
      <c r="I114" s="431"/>
      <c r="J114" s="431"/>
      <c r="K114" s="431"/>
      <c r="L114" s="431"/>
      <c r="M114" s="431"/>
      <c r="N114" s="431"/>
      <c r="O114" s="431"/>
      <c r="P114" s="432">
        <f t="shared" si="15"/>
        <v>0</v>
      </c>
      <c r="Q114" s="431"/>
      <c r="R114" s="431"/>
      <c r="S114" s="431"/>
      <c r="T114" s="431"/>
      <c r="U114" s="431"/>
      <c r="V114" s="431"/>
      <c r="W114" s="431"/>
      <c r="X114" s="431"/>
      <c r="Y114" s="431"/>
      <c r="Z114" s="468"/>
      <c r="AA114" s="431"/>
      <c r="AB114" s="431"/>
      <c r="AC114" s="468"/>
      <c r="AD114" s="431"/>
      <c r="AE114" s="431"/>
      <c r="AF114" s="431"/>
      <c r="AG114" s="431"/>
      <c r="AH114" s="431"/>
      <c r="AI114" s="468"/>
      <c r="AJ114" s="468"/>
      <c r="AK114" s="431"/>
      <c r="AL114" s="431"/>
      <c r="AM114" s="431"/>
    </row>
    <row r="115" spans="1:39" s="155" customFormat="1" ht="12" hidden="1" x14ac:dyDescent="0.2">
      <c r="A115" s="168">
        <v>61</v>
      </c>
      <c r="B115" s="480"/>
      <c r="C115" s="481"/>
      <c r="D115" s="432">
        <f t="shared" si="8"/>
        <v>0</v>
      </c>
      <c r="E115" s="431"/>
      <c r="F115" s="431"/>
      <c r="G115" s="431"/>
      <c r="H115" s="431"/>
      <c r="I115" s="431"/>
      <c r="J115" s="431"/>
      <c r="K115" s="431"/>
      <c r="L115" s="431"/>
      <c r="M115" s="431"/>
      <c r="N115" s="431"/>
      <c r="O115" s="431"/>
      <c r="P115" s="432">
        <f t="shared" si="15"/>
        <v>0</v>
      </c>
      <c r="Q115" s="431"/>
      <c r="R115" s="431"/>
      <c r="S115" s="431"/>
      <c r="T115" s="431"/>
      <c r="U115" s="431"/>
      <c r="V115" s="431"/>
      <c r="W115" s="431"/>
      <c r="X115" s="431"/>
      <c r="Y115" s="431"/>
      <c r="Z115" s="468"/>
      <c r="AA115" s="431"/>
      <c r="AB115" s="431"/>
      <c r="AC115" s="468"/>
      <c r="AD115" s="431"/>
      <c r="AE115" s="431"/>
      <c r="AF115" s="431"/>
      <c r="AG115" s="431"/>
      <c r="AH115" s="431"/>
      <c r="AI115" s="468"/>
      <c r="AJ115" s="468"/>
      <c r="AK115" s="431"/>
      <c r="AL115" s="431"/>
      <c r="AM115" s="431"/>
    </row>
    <row r="116" spans="1:39" s="155" customFormat="1" ht="12" hidden="1" x14ac:dyDescent="0.2">
      <c r="A116" s="168">
        <v>62</v>
      </c>
      <c r="B116" s="480"/>
      <c r="C116" s="481"/>
      <c r="D116" s="432">
        <f t="shared" si="8"/>
        <v>0</v>
      </c>
      <c r="E116" s="431"/>
      <c r="F116" s="431"/>
      <c r="G116" s="431"/>
      <c r="H116" s="431"/>
      <c r="I116" s="431"/>
      <c r="J116" s="431"/>
      <c r="K116" s="431"/>
      <c r="L116" s="431"/>
      <c r="M116" s="431"/>
      <c r="N116" s="431"/>
      <c r="O116" s="431"/>
      <c r="P116" s="432">
        <f t="shared" si="15"/>
        <v>0</v>
      </c>
      <c r="Q116" s="431"/>
      <c r="R116" s="431"/>
      <c r="S116" s="431"/>
      <c r="T116" s="431"/>
      <c r="U116" s="431"/>
      <c r="V116" s="431"/>
      <c r="W116" s="431"/>
      <c r="X116" s="431"/>
      <c r="Y116" s="431"/>
      <c r="Z116" s="468"/>
      <c r="AA116" s="431"/>
      <c r="AB116" s="431"/>
      <c r="AC116" s="468"/>
      <c r="AD116" s="431"/>
      <c r="AE116" s="431"/>
      <c r="AF116" s="431"/>
      <c r="AG116" s="431"/>
      <c r="AH116" s="431"/>
      <c r="AI116" s="468"/>
      <c r="AJ116" s="468"/>
      <c r="AK116" s="431"/>
      <c r="AL116" s="431"/>
      <c r="AM116" s="431"/>
    </row>
    <row r="117" spans="1:39" s="155" customFormat="1" ht="12" hidden="1" x14ac:dyDescent="0.2">
      <c r="A117" s="168">
        <v>63</v>
      </c>
      <c r="B117" s="480"/>
      <c r="C117" s="503"/>
      <c r="D117" s="432">
        <f t="shared" si="8"/>
        <v>0</v>
      </c>
      <c r="E117" s="431"/>
      <c r="F117" s="431"/>
      <c r="G117" s="431"/>
      <c r="H117" s="431"/>
      <c r="I117" s="431"/>
      <c r="J117" s="431"/>
      <c r="K117" s="431"/>
      <c r="L117" s="431"/>
      <c r="M117" s="431"/>
      <c r="N117" s="431"/>
      <c r="O117" s="431"/>
      <c r="P117" s="432">
        <f t="shared" si="15"/>
        <v>0</v>
      </c>
      <c r="Q117" s="431"/>
      <c r="R117" s="431"/>
      <c r="S117" s="431"/>
      <c r="T117" s="431"/>
      <c r="U117" s="431"/>
      <c r="V117" s="431"/>
      <c r="W117" s="431"/>
      <c r="X117" s="431"/>
      <c r="Y117" s="431"/>
      <c r="Z117" s="468"/>
      <c r="AA117" s="431"/>
      <c r="AB117" s="431"/>
      <c r="AC117" s="468"/>
      <c r="AD117" s="431"/>
      <c r="AE117" s="431"/>
      <c r="AF117" s="431"/>
      <c r="AG117" s="431"/>
      <c r="AH117" s="431"/>
      <c r="AI117" s="468"/>
      <c r="AJ117" s="468"/>
      <c r="AK117" s="431"/>
      <c r="AL117" s="431"/>
      <c r="AM117" s="431"/>
    </row>
    <row r="118" spans="1:39" s="155" customFormat="1" ht="12" hidden="1" x14ac:dyDescent="0.2">
      <c r="A118" s="168">
        <v>64</v>
      </c>
      <c r="B118" s="480"/>
      <c r="C118" s="481"/>
      <c r="D118" s="432">
        <f t="shared" ref="D118:D143" si="16">E118+SUM(H118:O118)</f>
        <v>0</v>
      </c>
      <c r="E118" s="431"/>
      <c r="F118" s="431"/>
      <c r="G118" s="431"/>
      <c r="H118" s="431"/>
      <c r="I118" s="431"/>
      <c r="J118" s="431"/>
      <c r="K118" s="431"/>
      <c r="L118" s="431"/>
      <c r="M118" s="431"/>
      <c r="N118" s="431"/>
      <c r="O118" s="431"/>
      <c r="P118" s="432">
        <f t="shared" si="15"/>
        <v>0</v>
      </c>
      <c r="Q118" s="431"/>
      <c r="R118" s="431"/>
      <c r="S118" s="431"/>
      <c r="T118" s="431"/>
      <c r="U118" s="431"/>
      <c r="V118" s="431"/>
      <c r="W118" s="431"/>
      <c r="X118" s="431"/>
      <c r="Y118" s="431"/>
      <c r="Z118" s="468"/>
      <c r="AA118" s="431"/>
      <c r="AB118" s="431"/>
      <c r="AC118" s="468"/>
      <c r="AD118" s="431"/>
      <c r="AE118" s="431"/>
      <c r="AF118" s="431"/>
      <c r="AG118" s="431"/>
      <c r="AH118" s="431"/>
      <c r="AI118" s="468"/>
      <c r="AJ118" s="468"/>
      <c r="AK118" s="431"/>
      <c r="AL118" s="431"/>
      <c r="AM118" s="431"/>
    </row>
    <row r="119" spans="1:39" s="155" customFormat="1" ht="12" hidden="1" x14ac:dyDescent="0.2">
      <c r="A119" s="168">
        <v>65</v>
      </c>
      <c r="B119" s="480"/>
      <c r="C119" s="481"/>
      <c r="D119" s="432">
        <f t="shared" si="16"/>
        <v>0</v>
      </c>
      <c r="E119" s="431"/>
      <c r="F119" s="431"/>
      <c r="G119" s="431"/>
      <c r="H119" s="431"/>
      <c r="I119" s="431"/>
      <c r="J119" s="431"/>
      <c r="K119" s="431"/>
      <c r="L119" s="431"/>
      <c r="M119" s="431"/>
      <c r="N119" s="431"/>
      <c r="O119" s="431"/>
      <c r="P119" s="432">
        <f t="shared" si="15"/>
        <v>0</v>
      </c>
      <c r="Q119" s="431"/>
      <c r="R119" s="431"/>
      <c r="S119" s="431"/>
      <c r="T119" s="431"/>
      <c r="U119" s="431"/>
      <c r="V119" s="431"/>
      <c r="W119" s="431"/>
      <c r="X119" s="431"/>
      <c r="Y119" s="431"/>
      <c r="Z119" s="468"/>
      <c r="AA119" s="431"/>
      <c r="AB119" s="431"/>
      <c r="AC119" s="468"/>
      <c r="AD119" s="431"/>
      <c r="AE119" s="431"/>
      <c r="AF119" s="431"/>
      <c r="AG119" s="431"/>
      <c r="AH119" s="431"/>
      <c r="AI119" s="468"/>
      <c r="AJ119" s="468"/>
      <c r="AK119" s="431"/>
      <c r="AL119" s="431"/>
      <c r="AM119" s="431"/>
    </row>
    <row r="120" spans="1:39" s="155" customFormat="1" ht="12" hidden="1" x14ac:dyDescent="0.2">
      <c r="A120" s="168">
        <v>66</v>
      </c>
      <c r="B120" s="480"/>
      <c r="C120" s="481"/>
      <c r="D120" s="432">
        <f t="shared" si="16"/>
        <v>0</v>
      </c>
      <c r="E120" s="431"/>
      <c r="F120" s="431"/>
      <c r="G120" s="431"/>
      <c r="H120" s="431"/>
      <c r="I120" s="431"/>
      <c r="J120" s="431"/>
      <c r="K120" s="431"/>
      <c r="L120" s="431"/>
      <c r="M120" s="431"/>
      <c r="N120" s="431"/>
      <c r="O120" s="431"/>
      <c r="P120" s="432">
        <f t="shared" si="15"/>
        <v>0</v>
      </c>
      <c r="Q120" s="431"/>
      <c r="R120" s="431"/>
      <c r="S120" s="431"/>
      <c r="T120" s="431"/>
      <c r="U120" s="431"/>
      <c r="V120" s="431"/>
      <c r="W120" s="431"/>
      <c r="X120" s="431"/>
      <c r="Y120" s="431"/>
      <c r="Z120" s="468"/>
      <c r="AA120" s="431"/>
      <c r="AB120" s="431"/>
      <c r="AC120" s="468"/>
      <c r="AD120" s="431"/>
      <c r="AE120" s="431"/>
      <c r="AF120" s="431"/>
      <c r="AG120" s="431"/>
      <c r="AH120" s="431"/>
      <c r="AI120" s="468"/>
      <c r="AJ120" s="468"/>
      <c r="AK120" s="431"/>
      <c r="AL120" s="431"/>
      <c r="AM120" s="431"/>
    </row>
    <row r="121" spans="1:39" s="155" customFormat="1" ht="12" hidden="1" x14ac:dyDescent="0.2">
      <c r="A121" s="168">
        <v>67</v>
      </c>
      <c r="B121" s="480"/>
      <c r="C121" s="481"/>
      <c r="D121" s="432">
        <f t="shared" si="16"/>
        <v>0</v>
      </c>
      <c r="E121" s="431"/>
      <c r="F121" s="431"/>
      <c r="G121" s="431"/>
      <c r="H121" s="431"/>
      <c r="I121" s="431"/>
      <c r="J121" s="431"/>
      <c r="K121" s="431"/>
      <c r="L121" s="431"/>
      <c r="M121" s="431"/>
      <c r="N121" s="431"/>
      <c r="O121" s="431"/>
      <c r="P121" s="432">
        <f t="shared" si="15"/>
        <v>0</v>
      </c>
      <c r="Q121" s="431"/>
      <c r="R121" s="431"/>
      <c r="S121" s="431"/>
      <c r="T121" s="431"/>
      <c r="U121" s="431"/>
      <c r="V121" s="431"/>
      <c r="W121" s="431"/>
      <c r="X121" s="431"/>
      <c r="Y121" s="431"/>
      <c r="Z121" s="468"/>
      <c r="AA121" s="431"/>
      <c r="AB121" s="431"/>
      <c r="AC121" s="468"/>
      <c r="AD121" s="431"/>
      <c r="AE121" s="431"/>
      <c r="AF121" s="431"/>
      <c r="AG121" s="431"/>
      <c r="AH121" s="431"/>
      <c r="AI121" s="468"/>
      <c r="AJ121" s="468"/>
      <c r="AK121" s="431"/>
      <c r="AL121" s="431"/>
      <c r="AM121" s="431"/>
    </row>
    <row r="122" spans="1:39" s="155" customFormat="1" ht="12" hidden="1" x14ac:dyDescent="0.2">
      <c r="A122" s="168">
        <v>68</v>
      </c>
      <c r="B122" s="168"/>
      <c r="C122" s="172"/>
      <c r="D122" s="432">
        <f t="shared" si="16"/>
        <v>0</v>
      </c>
      <c r="E122" s="431"/>
      <c r="F122" s="431"/>
      <c r="G122" s="431"/>
      <c r="H122" s="431"/>
      <c r="I122" s="431"/>
      <c r="J122" s="431"/>
      <c r="K122" s="431"/>
      <c r="L122" s="431"/>
      <c r="M122" s="431"/>
      <c r="N122" s="431"/>
      <c r="O122" s="431"/>
      <c r="P122" s="432">
        <f t="shared" si="15"/>
        <v>0</v>
      </c>
      <c r="Q122" s="431"/>
      <c r="R122" s="431"/>
      <c r="S122" s="431"/>
      <c r="T122" s="431"/>
      <c r="U122" s="431"/>
      <c r="V122" s="431"/>
      <c r="W122" s="431"/>
      <c r="X122" s="431"/>
      <c r="Y122" s="431"/>
      <c r="Z122" s="468"/>
      <c r="AA122" s="431"/>
      <c r="AB122" s="431"/>
      <c r="AC122" s="468"/>
      <c r="AD122" s="431"/>
      <c r="AE122" s="431"/>
      <c r="AF122" s="431"/>
      <c r="AG122" s="431"/>
      <c r="AH122" s="431"/>
      <c r="AI122" s="468"/>
      <c r="AJ122" s="468"/>
      <c r="AK122" s="431"/>
      <c r="AL122" s="431"/>
      <c r="AM122" s="431"/>
    </row>
    <row r="123" spans="1:39" s="155" customFormat="1" ht="12" hidden="1" x14ac:dyDescent="0.2">
      <c r="A123" s="168">
        <v>69</v>
      </c>
      <c r="B123" s="168"/>
      <c r="C123" s="172"/>
      <c r="D123" s="432">
        <f t="shared" si="16"/>
        <v>0</v>
      </c>
      <c r="E123" s="431"/>
      <c r="F123" s="431"/>
      <c r="G123" s="431"/>
      <c r="H123" s="431"/>
      <c r="I123" s="431"/>
      <c r="J123" s="431"/>
      <c r="K123" s="431"/>
      <c r="L123" s="431"/>
      <c r="M123" s="431"/>
      <c r="N123" s="431"/>
      <c r="O123" s="431"/>
      <c r="P123" s="432">
        <f t="shared" si="15"/>
        <v>0</v>
      </c>
      <c r="Q123" s="431"/>
      <c r="R123" s="431"/>
      <c r="S123" s="431"/>
      <c r="T123" s="431"/>
      <c r="U123" s="431"/>
      <c r="V123" s="431"/>
      <c r="W123" s="431"/>
      <c r="X123" s="431"/>
      <c r="Y123" s="431"/>
      <c r="Z123" s="468"/>
      <c r="AA123" s="431"/>
      <c r="AB123" s="431"/>
      <c r="AC123" s="468"/>
      <c r="AD123" s="431"/>
      <c r="AE123" s="431"/>
      <c r="AF123" s="431"/>
      <c r="AG123" s="431"/>
      <c r="AH123" s="431"/>
      <c r="AI123" s="468"/>
      <c r="AJ123" s="468"/>
      <c r="AK123" s="431"/>
      <c r="AL123" s="431"/>
      <c r="AM123" s="431"/>
    </row>
    <row r="124" spans="1:39" s="155" customFormat="1" ht="12" hidden="1" x14ac:dyDescent="0.2">
      <c r="A124" s="168">
        <v>70</v>
      </c>
      <c r="B124" s="168"/>
      <c r="C124" s="172"/>
      <c r="D124" s="432">
        <f t="shared" si="16"/>
        <v>0</v>
      </c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32">
        <f t="shared" si="15"/>
        <v>0</v>
      </c>
      <c r="Q124" s="431"/>
      <c r="R124" s="431"/>
      <c r="S124" s="431"/>
      <c r="T124" s="431"/>
      <c r="U124" s="431"/>
      <c r="V124" s="431"/>
      <c r="W124" s="431"/>
      <c r="X124" s="431"/>
      <c r="Y124" s="431"/>
      <c r="Z124" s="468"/>
      <c r="AA124" s="431"/>
      <c r="AB124" s="431"/>
      <c r="AC124" s="468"/>
      <c r="AD124" s="431"/>
      <c r="AE124" s="431"/>
      <c r="AF124" s="431"/>
      <c r="AG124" s="431"/>
      <c r="AH124" s="431"/>
      <c r="AI124" s="468"/>
      <c r="AJ124" s="468"/>
      <c r="AK124" s="431"/>
      <c r="AL124" s="431"/>
      <c r="AM124" s="431"/>
    </row>
    <row r="125" spans="1:39" s="155" customFormat="1" ht="12" hidden="1" x14ac:dyDescent="0.2">
      <c r="A125" s="168">
        <v>71</v>
      </c>
      <c r="B125" s="168"/>
      <c r="C125" s="172"/>
      <c r="D125" s="432">
        <f t="shared" si="16"/>
        <v>0</v>
      </c>
      <c r="E125" s="431"/>
      <c r="F125" s="431"/>
      <c r="G125" s="431"/>
      <c r="H125" s="431"/>
      <c r="I125" s="431"/>
      <c r="J125" s="431"/>
      <c r="K125" s="431"/>
      <c r="L125" s="431"/>
      <c r="M125" s="431"/>
      <c r="N125" s="431"/>
      <c r="O125" s="431"/>
      <c r="P125" s="432">
        <f t="shared" si="15"/>
        <v>0</v>
      </c>
      <c r="Q125" s="431"/>
      <c r="R125" s="431"/>
      <c r="S125" s="431"/>
      <c r="T125" s="431"/>
      <c r="U125" s="431"/>
      <c r="V125" s="431"/>
      <c r="W125" s="431"/>
      <c r="X125" s="431"/>
      <c r="Y125" s="431"/>
      <c r="Z125" s="468"/>
      <c r="AA125" s="431"/>
      <c r="AB125" s="431"/>
      <c r="AC125" s="468"/>
      <c r="AD125" s="431"/>
      <c r="AE125" s="431"/>
      <c r="AF125" s="431"/>
      <c r="AG125" s="431"/>
      <c r="AH125" s="431"/>
      <c r="AI125" s="468"/>
      <c r="AJ125" s="468"/>
      <c r="AK125" s="431"/>
      <c r="AL125" s="431"/>
      <c r="AM125" s="431"/>
    </row>
    <row r="126" spans="1:39" s="155" customFormat="1" ht="12" hidden="1" x14ac:dyDescent="0.2">
      <c r="A126" s="168">
        <v>72</v>
      </c>
      <c r="B126" s="168"/>
      <c r="C126" s="172"/>
      <c r="D126" s="432">
        <f t="shared" si="16"/>
        <v>0</v>
      </c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32">
        <f t="shared" si="15"/>
        <v>0</v>
      </c>
      <c r="Q126" s="431"/>
      <c r="R126" s="431"/>
      <c r="S126" s="431"/>
      <c r="T126" s="431"/>
      <c r="U126" s="431"/>
      <c r="V126" s="431"/>
      <c r="W126" s="431"/>
      <c r="X126" s="431"/>
      <c r="Y126" s="431"/>
      <c r="Z126" s="468"/>
      <c r="AA126" s="431"/>
      <c r="AB126" s="431"/>
      <c r="AC126" s="468"/>
      <c r="AD126" s="431"/>
      <c r="AE126" s="431"/>
      <c r="AF126" s="431"/>
      <c r="AG126" s="431"/>
      <c r="AH126" s="431"/>
      <c r="AI126" s="468"/>
      <c r="AJ126" s="468"/>
      <c r="AK126" s="431"/>
      <c r="AL126" s="431"/>
      <c r="AM126" s="431"/>
    </row>
    <row r="127" spans="1:39" s="155" customFormat="1" ht="12" hidden="1" x14ac:dyDescent="0.2">
      <c r="A127" s="168">
        <v>73</v>
      </c>
      <c r="B127" s="168"/>
      <c r="C127" s="172"/>
      <c r="D127" s="432">
        <f t="shared" si="16"/>
        <v>0</v>
      </c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32">
        <f t="shared" si="15"/>
        <v>0</v>
      </c>
      <c r="Q127" s="431"/>
      <c r="R127" s="431"/>
      <c r="S127" s="431"/>
      <c r="T127" s="431"/>
      <c r="U127" s="431"/>
      <c r="V127" s="431"/>
      <c r="W127" s="431"/>
      <c r="X127" s="431"/>
      <c r="Y127" s="431"/>
      <c r="Z127" s="468"/>
      <c r="AA127" s="431"/>
      <c r="AB127" s="431"/>
      <c r="AC127" s="468"/>
      <c r="AD127" s="431"/>
      <c r="AE127" s="431"/>
      <c r="AF127" s="431"/>
      <c r="AG127" s="431"/>
      <c r="AH127" s="431"/>
      <c r="AI127" s="468"/>
      <c r="AJ127" s="468"/>
      <c r="AK127" s="431"/>
      <c r="AL127" s="431"/>
      <c r="AM127" s="431"/>
    </row>
    <row r="128" spans="1:39" s="155" customFormat="1" ht="12" hidden="1" x14ac:dyDescent="0.2">
      <c r="A128" s="168">
        <v>74</v>
      </c>
      <c r="B128" s="168"/>
      <c r="C128" s="172"/>
      <c r="D128" s="432">
        <f t="shared" si="16"/>
        <v>0</v>
      </c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32">
        <f t="shared" si="15"/>
        <v>0</v>
      </c>
      <c r="Q128" s="431"/>
      <c r="R128" s="431"/>
      <c r="S128" s="431"/>
      <c r="T128" s="431"/>
      <c r="U128" s="431"/>
      <c r="V128" s="431"/>
      <c r="W128" s="431"/>
      <c r="X128" s="431"/>
      <c r="Y128" s="431"/>
      <c r="Z128" s="468"/>
      <c r="AA128" s="431"/>
      <c r="AB128" s="431"/>
      <c r="AC128" s="468"/>
      <c r="AD128" s="431"/>
      <c r="AE128" s="431"/>
      <c r="AF128" s="431"/>
      <c r="AG128" s="431"/>
      <c r="AH128" s="431"/>
      <c r="AI128" s="468"/>
      <c r="AJ128" s="468"/>
      <c r="AK128" s="431"/>
      <c r="AL128" s="431"/>
      <c r="AM128" s="431"/>
    </row>
    <row r="129" spans="1:39" s="155" customFormat="1" ht="12" hidden="1" x14ac:dyDescent="0.2">
      <c r="A129" s="168">
        <v>75</v>
      </c>
      <c r="B129" s="168"/>
      <c r="C129" s="172"/>
      <c r="D129" s="432">
        <f t="shared" si="16"/>
        <v>0</v>
      </c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32">
        <f t="shared" si="15"/>
        <v>0</v>
      </c>
      <c r="Q129" s="431"/>
      <c r="R129" s="431"/>
      <c r="S129" s="431"/>
      <c r="T129" s="431"/>
      <c r="U129" s="431"/>
      <c r="V129" s="431"/>
      <c r="W129" s="431"/>
      <c r="X129" s="431"/>
      <c r="Y129" s="431"/>
      <c r="Z129" s="468"/>
      <c r="AA129" s="431"/>
      <c r="AB129" s="431"/>
      <c r="AC129" s="468"/>
      <c r="AD129" s="431"/>
      <c r="AE129" s="431"/>
      <c r="AF129" s="431"/>
      <c r="AG129" s="431"/>
      <c r="AH129" s="431"/>
      <c r="AI129" s="468"/>
      <c r="AJ129" s="468"/>
      <c r="AK129" s="431"/>
      <c r="AL129" s="431"/>
      <c r="AM129" s="431"/>
    </row>
    <row r="130" spans="1:39" s="155" customFormat="1" ht="12" hidden="1" x14ac:dyDescent="0.2">
      <c r="A130" s="168">
        <v>76</v>
      </c>
      <c r="B130" s="168"/>
      <c r="C130" s="172"/>
      <c r="D130" s="432">
        <f t="shared" si="16"/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32">
        <f t="shared" si="15"/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</row>
    <row r="131" spans="1:39" s="155" customFormat="1" ht="12" hidden="1" x14ac:dyDescent="0.2">
      <c r="A131" s="168">
        <v>77</v>
      </c>
      <c r="B131" s="168"/>
      <c r="C131" s="172"/>
      <c r="D131" s="432">
        <f t="shared" si="16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2">
        <f t="shared" si="15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</row>
    <row r="132" spans="1:39" s="155" customFormat="1" ht="12" hidden="1" x14ac:dyDescent="0.2">
      <c r="A132" s="168">
        <v>78</v>
      </c>
      <c r="B132" s="168"/>
      <c r="C132" s="172"/>
      <c r="D132" s="432">
        <f t="shared" si="16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2">
        <f t="shared" si="15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</row>
    <row r="133" spans="1:39" s="155" customFormat="1" ht="12" hidden="1" x14ac:dyDescent="0.2">
      <c r="A133" s="168">
        <v>79</v>
      </c>
      <c r="B133" s="168"/>
      <c r="C133" s="172"/>
      <c r="D133" s="432">
        <f t="shared" si="16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si="15"/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155" customFormat="1" ht="12" hidden="1" x14ac:dyDescent="0.2">
      <c r="A134" s="168">
        <v>80</v>
      </c>
      <c r="B134" s="168"/>
      <c r="C134" s="172"/>
      <c r="D134" s="432">
        <f t="shared" si="16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si="15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155" customFormat="1" ht="12" hidden="1" x14ac:dyDescent="0.2">
      <c r="A135" s="168">
        <v>81</v>
      </c>
      <c r="B135" s="168"/>
      <c r="C135" s="172"/>
      <c r="D135" s="432">
        <f t="shared" si="16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15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155" customFormat="1" ht="12" hidden="1" x14ac:dyDescent="0.2">
      <c r="A136" s="168">
        <v>82</v>
      </c>
      <c r="B136" s="168"/>
      <c r="C136" s="172"/>
      <c r="D136" s="432">
        <f t="shared" si="16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15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155" customFormat="1" ht="12" hidden="1" x14ac:dyDescent="0.2">
      <c r="A137" s="168">
        <v>83</v>
      </c>
      <c r="B137" s="168"/>
      <c r="C137" s="172"/>
      <c r="D137" s="432">
        <f t="shared" si="16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15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68"/>
      <c r="C138" s="172"/>
      <c r="D138" s="432">
        <f t="shared" si="16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5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68"/>
      <c r="C139" s="172"/>
      <c r="D139" s="432">
        <f t="shared" si="16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5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68"/>
      <c r="C140" s="172"/>
      <c r="D140" s="432">
        <f t="shared" si="16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5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173"/>
      <c r="D141" s="432">
        <f t="shared" si="16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5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6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5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6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pane xSplit="3" ySplit="13" topLeftCell="D14" activePane="bottomRight" state="frozen"/>
      <selection activeCell="L9" sqref="L9:L11"/>
      <selection pane="topRight" activeCell="L9" sqref="L9:L11"/>
      <selection pane="bottomLeft" activeCell="L9" sqref="L9:L11"/>
      <selection pane="bottomRight"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951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1019440341</v>
      </c>
      <c r="E14" s="432">
        <f>SUM(E15,E16,E33,E54)</f>
        <v>239703885</v>
      </c>
      <c r="F14" s="432">
        <f t="shared" ref="F14:O14" si="0">SUM(F15,F16,F33,F54)</f>
        <v>99189444</v>
      </c>
      <c r="G14" s="432">
        <f t="shared" si="0"/>
        <v>34865671</v>
      </c>
      <c r="H14" s="432">
        <f t="shared" si="0"/>
        <v>50674778</v>
      </c>
      <c r="I14" s="432">
        <f t="shared" si="0"/>
        <v>287337687</v>
      </c>
      <c r="J14" s="432">
        <f t="shared" si="0"/>
        <v>22032212</v>
      </c>
      <c r="K14" s="432">
        <f t="shared" si="0"/>
        <v>155256890</v>
      </c>
      <c r="L14" s="432">
        <f t="shared" si="0"/>
        <v>0</v>
      </c>
      <c r="M14" s="432">
        <f t="shared" si="0"/>
        <v>170684371</v>
      </c>
      <c r="N14" s="432">
        <f t="shared" si="0"/>
        <v>85922648</v>
      </c>
      <c r="O14" s="432">
        <f t="shared" si="0"/>
        <v>7827870</v>
      </c>
      <c r="P14" s="432">
        <f>IF(SUM(Q14:AB14)=SUM(AC14:AM14),SUM(Q14:AB14),"  EROARE ART/CAP")</f>
        <v>980432312</v>
      </c>
      <c r="Q14" s="432">
        <f t="shared" ref="Q14:AM14" si="1">Q15+Q16+Q33+Q54</f>
        <v>357811605</v>
      </c>
      <c r="R14" s="432">
        <f t="shared" si="1"/>
        <v>169087429</v>
      </c>
      <c r="S14" s="432">
        <f t="shared" si="1"/>
        <v>4633194</v>
      </c>
      <c r="T14" s="432">
        <f t="shared" si="1"/>
        <v>12451691</v>
      </c>
      <c r="U14" s="432">
        <f t="shared" si="1"/>
        <v>43634179</v>
      </c>
      <c r="V14" s="432">
        <f t="shared" si="1"/>
        <v>4301275</v>
      </c>
      <c r="W14" s="432">
        <f t="shared" si="1"/>
        <v>118708664</v>
      </c>
      <c r="X14" s="432">
        <f t="shared" si="1"/>
        <v>75985789</v>
      </c>
      <c r="Y14" s="432">
        <f t="shared" si="1"/>
        <v>9981338</v>
      </c>
      <c r="Z14" s="432">
        <f t="shared" si="1"/>
        <v>159126720</v>
      </c>
      <c r="AA14" s="432">
        <f t="shared" si="1"/>
        <v>26657568</v>
      </c>
      <c r="AB14" s="432">
        <f t="shared" si="1"/>
        <v>-1947140</v>
      </c>
      <c r="AC14" s="432">
        <f t="shared" si="1"/>
        <v>97741089</v>
      </c>
      <c r="AD14" s="432">
        <f t="shared" si="1"/>
        <v>10663997</v>
      </c>
      <c r="AE14" s="432">
        <f t="shared" si="1"/>
        <v>314046858</v>
      </c>
      <c r="AF14" s="432">
        <f t="shared" si="1"/>
        <v>23010175</v>
      </c>
      <c r="AG14" s="432">
        <f t="shared" si="1"/>
        <v>65997459</v>
      </c>
      <c r="AH14" s="432">
        <f t="shared" si="1"/>
        <v>131022450</v>
      </c>
      <c r="AI14" s="432">
        <f t="shared" si="1"/>
        <v>66174849</v>
      </c>
      <c r="AJ14" s="432">
        <f t="shared" si="1"/>
        <v>53673000</v>
      </c>
      <c r="AK14" s="432">
        <f t="shared" si="1"/>
        <v>14753060</v>
      </c>
      <c r="AL14" s="432">
        <f t="shared" si="1"/>
        <v>196776875</v>
      </c>
      <c r="AM14" s="432">
        <f t="shared" si="1"/>
        <v>6572500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267497103</v>
      </c>
      <c r="E15" s="434">
        <v>39348570</v>
      </c>
      <c r="F15" s="434">
        <v>21282598</v>
      </c>
      <c r="G15" s="434">
        <v>14197822</v>
      </c>
      <c r="H15" s="434">
        <v>50674778</v>
      </c>
      <c r="I15" s="434">
        <v>0</v>
      </c>
      <c r="J15" s="434">
        <v>6350000</v>
      </c>
      <c r="K15" s="434">
        <v>55469000</v>
      </c>
      <c r="L15" s="434">
        <v>0</v>
      </c>
      <c r="M15" s="434">
        <v>68805572</v>
      </c>
      <c r="N15" s="434">
        <v>45748868</v>
      </c>
      <c r="O15" s="434">
        <v>1100315</v>
      </c>
      <c r="P15" s="432">
        <f t="shared" ref="P15:P78" si="2">IF(SUM(Q15:AB15)=SUM(AC15:AM15),SUM(Q15:AB15),"  EROARE ART/CAP")</f>
        <v>245215388</v>
      </c>
      <c r="Q15" s="434">
        <v>43349312</v>
      </c>
      <c r="R15" s="434">
        <v>29257018</v>
      </c>
      <c r="S15" s="434">
        <v>1119396</v>
      </c>
      <c r="T15" s="434">
        <v>0</v>
      </c>
      <c r="U15" s="434">
        <v>21993845</v>
      </c>
      <c r="V15" s="434">
        <v>3055825</v>
      </c>
      <c r="W15" s="434">
        <v>73842509</v>
      </c>
      <c r="X15" s="434">
        <v>58374952</v>
      </c>
      <c r="Y15" s="434">
        <v>3656031</v>
      </c>
      <c r="Z15" s="434">
        <v>4671096</v>
      </c>
      <c r="AA15" s="434">
        <v>6000000</v>
      </c>
      <c r="AB15" s="434">
        <v>-104596</v>
      </c>
      <c r="AC15" s="434">
        <v>10908729</v>
      </c>
      <c r="AD15" s="434">
        <v>691193</v>
      </c>
      <c r="AE15" s="434">
        <v>20833165</v>
      </c>
      <c r="AF15" s="434">
        <v>15315985</v>
      </c>
      <c r="AG15" s="434">
        <v>21865733</v>
      </c>
      <c r="AH15" s="434">
        <v>87004896</v>
      </c>
      <c r="AI15" s="434">
        <v>4183739</v>
      </c>
      <c r="AJ15" s="434">
        <v>26607771</v>
      </c>
      <c r="AK15" s="434">
        <v>0</v>
      </c>
      <c r="AL15" s="434">
        <v>51808715</v>
      </c>
      <c r="AM15" s="434">
        <v>5995462</v>
      </c>
    </row>
    <row r="16" spans="1:39" s="155" customFormat="1" ht="12" x14ac:dyDescent="0.2">
      <c r="A16" s="156" t="s">
        <v>72</v>
      </c>
      <c r="B16" s="157"/>
      <c r="C16" s="159"/>
      <c r="D16" s="432">
        <f>E16+SUM(H16:O16)</f>
        <v>259532609</v>
      </c>
      <c r="E16" s="433">
        <f>SUM(E18:E32)</f>
        <v>109001814</v>
      </c>
      <c r="F16" s="433">
        <f t="shared" ref="F16:O16" si="3">SUM(F18:F32)</f>
        <v>55825948</v>
      </c>
      <c r="G16" s="433">
        <f t="shared" si="3"/>
        <v>1237054</v>
      </c>
      <c r="H16" s="433">
        <f t="shared" si="3"/>
        <v>0</v>
      </c>
      <c r="I16" s="433">
        <f t="shared" si="3"/>
        <v>117218519</v>
      </c>
      <c r="J16" s="433">
        <f t="shared" si="3"/>
        <v>295334</v>
      </c>
      <c r="K16" s="433">
        <f t="shared" si="3"/>
        <v>4454360</v>
      </c>
      <c r="L16" s="433">
        <f t="shared" si="3"/>
        <v>0</v>
      </c>
      <c r="M16" s="433">
        <f t="shared" si="3"/>
        <v>14664412</v>
      </c>
      <c r="N16" s="433">
        <f t="shared" si="3"/>
        <v>12048904</v>
      </c>
      <c r="O16" s="433">
        <f t="shared" si="3"/>
        <v>1849266</v>
      </c>
      <c r="P16" s="432">
        <f t="shared" si="2"/>
        <v>263105579</v>
      </c>
      <c r="Q16" s="432">
        <f>SUM(Q18:Q32)</f>
        <v>118965426</v>
      </c>
      <c r="R16" s="432">
        <f t="shared" ref="R16:AM16" si="4">SUM(R18:R32)</f>
        <v>49505334</v>
      </c>
      <c r="S16" s="432">
        <f t="shared" si="4"/>
        <v>2321230</v>
      </c>
      <c r="T16" s="432">
        <f t="shared" si="4"/>
        <v>12451691</v>
      </c>
      <c r="U16" s="432">
        <f t="shared" si="4"/>
        <v>17866224</v>
      </c>
      <c r="V16" s="432">
        <f t="shared" si="4"/>
        <v>868759</v>
      </c>
      <c r="W16" s="432">
        <f t="shared" si="4"/>
        <v>15308346</v>
      </c>
      <c r="X16" s="432">
        <f t="shared" si="4"/>
        <v>5682218</v>
      </c>
      <c r="Y16" s="432">
        <f t="shared" si="4"/>
        <v>3282941</v>
      </c>
      <c r="Z16" s="432">
        <f t="shared" si="4"/>
        <v>25677843</v>
      </c>
      <c r="AA16" s="432">
        <f t="shared" si="4"/>
        <v>12017984</v>
      </c>
      <c r="AB16" s="432">
        <f t="shared" si="4"/>
        <v>-842417</v>
      </c>
      <c r="AC16" s="432">
        <f t="shared" si="4"/>
        <v>17794454</v>
      </c>
      <c r="AD16" s="432">
        <f t="shared" si="4"/>
        <v>4145829</v>
      </c>
      <c r="AE16" s="432">
        <f t="shared" si="4"/>
        <v>116945868</v>
      </c>
      <c r="AF16" s="432">
        <f t="shared" si="4"/>
        <v>4178856</v>
      </c>
      <c r="AG16" s="432">
        <f t="shared" si="4"/>
        <v>22618642</v>
      </c>
      <c r="AH16" s="432">
        <f t="shared" si="4"/>
        <v>15520173</v>
      </c>
      <c r="AI16" s="432">
        <f t="shared" si="4"/>
        <v>14949338</v>
      </c>
      <c r="AJ16" s="432">
        <f t="shared" si="4"/>
        <v>18361382</v>
      </c>
      <c r="AK16" s="432">
        <f t="shared" si="4"/>
        <v>14753060</v>
      </c>
      <c r="AL16" s="432">
        <f t="shared" si="4"/>
        <v>33837977</v>
      </c>
      <c r="AM16" s="432">
        <f t="shared" si="4"/>
        <v>0</v>
      </c>
    </row>
    <row r="17" spans="1:39" s="155" customFormat="1" ht="22.5" x14ac:dyDescent="0.2">
      <c r="A17" s="277" t="s">
        <v>2306</v>
      </c>
      <c r="B17" s="279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>
        <f t="shared" si="2"/>
        <v>0</v>
      </c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33.75" x14ac:dyDescent="0.2">
      <c r="A18" s="146">
        <v>1</v>
      </c>
      <c r="B18" s="517">
        <v>35731</v>
      </c>
      <c r="C18" s="267" t="s">
        <v>1148</v>
      </c>
      <c r="D18" s="432">
        <f t="shared" ref="D18:D19" si="5">E18+SUM(H18:O18)</f>
        <v>204053959</v>
      </c>
      <c r="E18" s="434">
        <v>90632627</v>
      </c>
      <c r="F18" s="434">
        <v>48699515</v>
      </c>
      <c r="G18" s="434">
        <v>771414</v>
      </c>
      <c r="H18" s="434">
        <v>0</v>
      </c>
      <c r="I18" s="434">
        <v>95670564</v>
      </c>
      <c r="J18" s="434">
        <v>165334</v>
      </c>
      <c r="K18" s="434">
        <v>1156360</v>
      </c>
      <c r="L18" s="434">
        <v>0</v>
      </c>
      <c r="M18" s="434">
        <v>8311034</v>
      </c>
      <c r="N18" s="434">
        <v>6297784</v>
      </c>
      <c r="O18" s="434">
        <v>1820256</v>
      </c>
      <c r="P18" s="432">
        <f t="shared" si="2"/>
        <v>207682227</v>
      </c>
      <c r="Q18" s="435">
        <v>95408454</v>
      </c>
      <c r="R18" s="435">
        <v>38645379</v>
      </c>
      <c r="S18" s="435">
        <v>1842386</v>
      </c>
      <c r="T18" s="435">
        <v>12451691</v>
      </c>
      <c r="U18" s="435">
        <v>15599597</v>
      </c>
      <c r="V18" s="435">
        <v>868759</v>
      </c>
      <c r="W18" s="435">
        <v>9752587</v>
      </c>
      <c r="X18" s="435">
        <v>4879795</v>
      </c>
      <c r="Y18" s="435">
        <v>3115692</v>
      </c>
      <c r="Z18" s="435">
        <v>15002118</v>
      </c>
      <c r="AA18" s="435">
        <v>10946729</v>
      </c>
      <c r="AB18" s="435">
        <v>-830960</v>
      </c>
      <c r="AC18" s="435">
        <v>12831976</v>
      </c>
      <c r="AD18" s="435">
        <v>3789421</v>
      </c>
      <c r="AE18" s="435">
        <v>95795992</v>
      </c>
      <c r="AF18" s="435">
        <v>2229300</v>
      </c>
      <c r="AG18" s="435">
        <v>19096776</v>
      </c>
      <c r="AH18" s="435">
        <v>12254263</v>
      </c>
      <c r="AI18" s="435">
        <v>11498261</v>
      </c>
      <c r="AJ18" s="435">
        <v>14681113</v>
      </c>
      <c r="AK18" s="435">
        <v>14753060</v>
      </c>
      <c r="AL18" s="435">
        <v>20752065</v>
      </c>
      <c r="AM18" s="435">
        <v>0</v>
      </c>
    </row>
    <row r="19" spans="1:39" s="155" customFormat="1" ht="22.5" x14ac:dyDescent="0.2">
      <c r="A19" s="146">
        <v>2</v>
      </c>
      <c r="B19" s="517">
        <v>36006</v>
      </c>
      <c r="C19" s="267" t="s">
        <v>1149</v>
      </c>
      <c r="D19" s="432">
        <f t="shared" si="5"/>
        <v>55478650</v>
      </c>
      <c r="E19" s="434">
        <v>18369187</v>
      </c>
      <c r="F19" s="434">
        <v>7126433</v>
      </c>
      <c r="G19" s="434">
        <v>465640</v>
      </c>
      <c r="H19" s="434">
        <v>0</v>
      </c>
      <c r="I19" s="434">
        <v>21547955</v>
      </c>
      <c r="J19" s="434">
        <v>130000</v>
      </c>
      <c r="K19" s="434">
        <v>3298000</v>
      </c>
      <c r="L19" s="434">
        <v>0</v>
      </c>
      <c r="M19" s="434">
        <v>6353378</v>
      </c>
      <c r="N19" s="434">
        <v>5751120</v>
      </c>
      <c r="O19" s="434">
        <v>29010</v>
      </c>
      <c r="P19" s="432">
        <f t="shared" si="2"/>
        <v>55423352</v>
      </c>
      <c r="Q19" s="435">
        <v>23556972</v>
      </c>
      <c r="R19" s="435">
        <v>10859955</v>
      </c>
      <c r="S19" s="435">
        <v>478844</v>
      </c>
      <c r="T19" s="435">
        <v>0</v>
      </c>
      <c r="U19" s="435">
        <v>2266627</v>
      </c>
      <c r="V19" s="435">
        <v>0</v>
      </c>
      <c r="W19" s="435">
        <v>5555759</v>
      </c>
      <c r="X19" s="435">
        <v>802423</v>
      </c>
      <c r="Y19" s="435">
        <v>167249</v>
      </c>
      <c r="Z19" s="435">
        <v>10675725</v>
      </c>
      <c r="AA19" s="435">
        <v>1071255</v>
      </c>
      <c r="AB19" s="435">
        <v>-11457</v>
      </c>
      <c r="AC19" s="435">
        <v>4962478</v>
      </c>
      <c r="AD19" s="435">
        <v>356408</v>
      </c>
      <c r="AE19" s="435">
        <v>21149876</v>
      </c>
      <c r="AF19" s="435">
        <v>1949556</v>
      </c>
      <c r="AG19" s="435">
        <v>3521866</v>
      </c>
      <c r="AH19" s="435">
        <v>3265910</v>
      </c>
      <c r="AI19" s="435">
        <v>3451077</v>
      </c>
      <c r="AJ19" s="435">
        <v>3680269</v>
      </c>
      <c r="AK19" s="435">
        <v>0</v>
      </c>
      <c r="AL19" s="435">
        <v>13085912</v>
      </c>
      <c r="AM19" s="435">
        <v>0</v>
      </c>
    </row>
    <row r="20" spans="1:39" s="155" customFormat="1" ht="12" hidden="1" x14ac:dyDescent="0.2">
      <c r="A20" s="146">
        <v>3</v>
      </c>
      <c r="B20" s="146"/>
      <c r="C20" s="206"/>
      <c r="D20" s="432">
        <f t="shared" ref="D20:D41" si="6">E20+SUM(H20:O20)</f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2">
        <f t="shared" si="2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</row>
    <row r="21" spans="1:39" s="155" customFormat="1" ht="12" hidden="1" x14ac:dyDescent="0.2">
      <c r="A21" s="146">
        <v>4</v>
      </c>
      <c r="B21" s="146"/>
      <c r="C21" s="206"/>
      <c r="D21" s="432">
        <f t="shared" si="6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2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146">
        <v>5</v>
      </c>
      <c r="B22" s="146"/>
      <c r="C22" s="206"/>
      <c r="D22" s="432">
        <f t="shared" si="6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2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146"/>
      <c r="C23" s="206"/>
      <c r="D23" s="432">
        <f t="shared" si="6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2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46"/>
      <c r="C24" s="206"/>
      <c r="D24" s="432">
        <f t="shared" si="6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2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46"/>
      <c r="C25" s="206"/>
      <c r="D25" s="432">
        <f t="shared" si="6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2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46"/>
      <c r="C26" s="206"/>
      <c r="D26" s="432">
        <f t="shared" si="6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2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46"/>
      <c r="C27" s="206"/>
      <c r="D27" s="432">
        <f t="shared" si="6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2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46"/>
      <c r="C28" s="206"/>
      <c r="D28" s="432">
        <f t="shared" si="6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2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46"/>
      <c r="C29" s="206"/>
      <c r="D29" s="432">
        <f t="shared" si="6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2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46"/>
      <c r="C30" s="206"/>
      <c r="D30" s="432">
        <f t="shared" si="6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2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46"/>
      <c r="C31" s="206"/>
      <c r="D31" s="432">
        <f t="shared" si="6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2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46"/>
      <c r="C32" s="207"/>
      <c r="D32" s="432">
        <f t="shared" si="6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2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4"/>
      <c r="C33" s="208"/>
      <c r="D33" s="432">
        <f t="shared" si="6"/>
        <v>84205979</v>
      </c>
      <c r="E33" s="432">
        <f>SUM(E34:E53)</f>
        <v>16917978</v>
      </c>
      <c r="F33" s="432">
        <f t="shared" ref="F33:O33" si="7">SUM(F34:F53)</f>
        <v>5545148</v>
      </c>
      <c r="G33" s="432">
        <f t="shared" si="7"/>
        <v>2457800</v>
      </c>
      <c r="H33" s="432">
        <f t="shared" si="7"/>
        <v>0</v>
      </c>
      <c r="I33" s="432">
        <f t="shared" si="7"/>
        <v>29433326</v>
      </c>
      <c r="J33" s="432">
        <f t="shared" si="7"/>
        <v>1835878</v>
      </c>
      <c r="K33" s="432">
        <f t="shared" si="7"/>
        <v>17620000</v>
      </c>
      <c r="L33" s="432">
        <f t="shared" si="7"/>
        <v>0</v>
      </c>
      <c r="M33" s="432">
        <f t="shared" si="7"/>
        <v>13895296</v>
      </c>
      <c r="N33" s="432">
        <f t="shared" si="7"/>
        <v>4339424</v>
      </c>
      <c r="O33" s="432">
        <f t="shared" si="7"/>
        <v>164077</v>
      </c>
      <c r="P33" s="432">
        <f t="shared" si="2"/>
        <v>80020757</v>
      </c>
      <c r="Q33" s="432">
        <f>SUM(Q34:Q53)</f>
        <v>33423640</v>
      </c>
      <c r="R33" s="432">
        <f t="shared" ref="R33:AM33" si="8">SUM(R34:R53)</f>
        <v>11623064</v>
      </c>
      <c r="S33" s="432">
        <f t="shared" si="8"/>
        <v>311920</v>
      </c>
      <c r="T33" s="432">
        <f t="shared" si="8"/>
        <v>0</v>
      </c>
      <c r="U33" s="432">
        <f t="shared" si="8"/>
        <v>2557662</v>
      </c>
      <c r="V33" s="432">
        <f t="shared" si="8"/>
        <v>4032</v>
      </c>
      <c r="W33" s="432">
        <f t="shared" si="8"/>
        <v>6620123</v>
      </c>
      <c r="X33" s="432">
        <f t="shared" si="8"/>
        <v>1620813</v>
      </c>
      <c r="Y33" s="432">
        <f t="shared" si="8"/>
        <v>876657</v>
      </c>
      <c r="Z33" s="432">
        <f t="shared" si="8"/>
        <v>22045509</v>
      </c>
      <c r="AA33" s="432">
        <f t="shared" si="8"/>
        <v>972825</v>
      </c>
      <c r="AB33" s="432">
        <f t="shared" si="8"/>
        <v>-35488</v>
      </c>
      <c r="AC33" s="432">
        <f t="shared" si="8"/>
        <v>10924432</v>
      </c>
      <c r="AD33" s="432">
        <f t="shared" si="8"/>
        <v>884968</v>
      </c>
      <c r="AE33" s="432">
        <f t="shared" si="8"/>
        <v>31003588</v>
      </c>
      <c r="AF33" s="432">
        <f t="shared" si="8"/>
        <v>1424527</v>
      </c>
      <c r="AG33" s="432">
        <f t="shared" si="8"/>
        <v>7411437</v>
      </c>
      <c r="AH33" s="432">
        <f t="shared" si="8"/>
        <v>4854867</v>
      </c>
      <c r="AI33" s="432">
        <f t="shared" si="8"/>
        <v>4832498</v>
      </c>
      <c r="AJ33" s="432">
        <f t="shared" si="8"/>
        <v>1519101</v>
      </c>
      <c r="AK33" s="432">
        <f t="shared" si="8"/>
        <v>0</v>
      </c>
      <c r="AL33" s="432">
        <f t="shared" si="8"/>
        <v>17165339</v>
      </c>
      <c r="AM33" s="432">
        <f t="shared" si="8"/>
        <v>0</v>
      </c>
    </row>
    <row r="34" spans="1:39" s="155" customFormat="1" ht="22.5" x14ac:dyDescent="0.2">
      <c r="A34" s="146">
        <v>1</v>
      </c>
      <c r="B34" s="517">
        <v>36453</v>
      </c>
      <c r="C34" s="267" t="s">
        <v>1150</v>
      </c>
      <c r="D34" s="432">
        <f t="shared" ref="D34:D38" si="9">E34+SUM(H34:O34)</f>
        <v>11507544</v>
      </c>
      <c r="E34" s="435">
        <v>2387717</v>
      </c>
      <c r="F34" s="435">
        <v>429920</v>
      </c>
      <c r="G34" s="435">
        <v>644920</v>
      </c>
      <c r="H34" s="435">
        <v>0</v>
      </c>
      <c r="I34" s="435">
        <v>3507996</v>
      </c>
      <c r="J34" s="435">
        <v>238000</v>
      </c>
      <c r="K34" s="435">
        <v>4436000</v>
      </c>
      <c r="L34" s="435">
        <v>0</v>
      </c>
      <c r="M34" s="435">
        <v>926331</v>
      </c>
      <c r="N34" s="435">
        <v>0</v>
      </c>
      <c r="O34" s="435">
        <v>11500</v>
      </c>
      <c r="P34" s="432">
        <f t="shared" si="2"/>
        <v>10534846</v>
      </c>
      <c r="Q34" s="435">
        <v>4085269</v>
      </c>
      <c r="R34" s="435">
        <v>1406157</v>
      </c>
      <c r="S34" s="435">
        <v>14850</v>
      </c>
      <c r="T34" s="435">
        <v>0</v>
      </c>
      <c r="U34" s="435">
        <v>0</v>
      </c>
      <c r="V34" s="435">
        <v>0</v>
      </c>
      <c r="W34" s="435">
        <v>0</v>
      </c>
      <c r="X34" s="435">
        <v>154552</v>
      </c>
      <c r="Y34" s="435">
        <v>207631</v>
      </c>
      <c r="Z34" s="435">
        <v>4596307</v>
      </c>
      <c r="AA34" s="435">
        <v>70080</v>
      </c>
      <c r="AB34" s="435">
        <v>0</v>
      </c>
      <c r="AC34" s="435">
        <v>931346</v>
      </c>
      <c r="AD34" s="435">
        <v>131145</v>
      </c>
      <c r="AE34" s="435">
        <v>3830571</v>
      </c>
      <c r="AF34" s="435">
        <v>85871</v>
      </c>
      <c r="AG34" s="435">
        <v>425351</v>
      </c>
      <c r="AH34" s="435">
        <v>440582</v>
      </c>
      <c r="AI34" s="435">
        <v>1494203</v>
      </c>
      <c r="AJ34" s="435">
        <v>104077</v>
      </c>
      <c r="AK34" s="435">
        <v>0</v>
      </c>
      <c r="AL34" s="435">
        <v>3091700</v>
      </c>
      <c r="AM34" s="435">
        <v>0</v>
      </c>
    </row>
    <row r="35" spans="1:39" s="155" customFormat="1" ht="22.5" x14ac:dyDescent="0.2">
      <c r="A35" s="146">
        <v>2</v>
      </c>
      <c r="B35" s="517">
        <v>35946</v>
      </c>
      <c r="C35" s="267" t="s">
        <v>1151</v>
      </c>
      <c r="D35" s="432">
        <f t="shared" si="9"/>
        <v>19269982</v>
      </c>
      <c r="E35" s="435">
        <v>4766054</v>
      </c>
      <c r="F35" s="435">
        <v>1938199</v>
      </c>
      <c r="G35" s="435">
        <v>339760</v>
      </c>
      <c r="H35" s="435">
        <v>0</v>
      </c>
      <c r="I35" s="435">
        <v>9053877</v>
      </c>
      <c r="J35" s="435">
        <v>142878</v>
      </c>
      <c r="K35" s="435">
        <v>2553000</v>
      </c>
      <c r="L35" s="435">
        <v>0</v>
      </c>
      <c r="M35" s="435">
        <v>2754173</v>
      </c>
      <c r="N35" s="435">
        <v>0</v>
      </c>
      <c r="O35" s="435">
        <v>0</v>
      </c>
      <c r="P35" s="432">
        <f t="shared" si="2"/>
        <v>18829426</v>
      </c>
      <c r="Q35" s="435">
        <v>10343385</v>
      </c>
      <c r="R35" s="435">
        <v>3352066</v>
      </c>
      <c r="S35" s="435">
        <v>53226</v>
      </c>
      <c r="T35" s="435">
        <v>0</v>
      </c>
      <c r="U35" s="435">
        <v>133430</v>
      </c>
      <c r="V35" s="435">
        <v>4032</v>
      </c>
      <c r="W35" s="435">
        <v>0</v>
      </c>
      <c r="X35" s="435">
        <v>343245</v>
      </c>
      <c r="Y35" s="435">
        <v>170000</v>
      </c>
      <c r="Z35" s="435">
        <v>4151681</v>
      </c>
      <c r="AA35" s="435">
        <v>293215</v>
      </c>
      <c r="AB35" s="435">
        <v>-14854</v>
      </c>
      <c r="AC35" s="435">
        <v>2270446</v>
      </c>
      <c r="AD35" s="435">
        <v>274854</v>
      </c>
      <c r="AE35" s="435">
        <v>8626030</v>
      </c>
      <c r="AF35" s="435">
        <v>25295</v>
      </c>
      <c r="AG35" s="435">
        <v>670438</v>
      </c>
      <c r="AH35" s="435">
        <v>1480815</v>
      </c>
      <c r="AI35" s="435">
        <v>706419</v>
      </c>
      <c r="AJ35" s="435">
        <v>505882</v>
      </c>
      <c r="AK35" s="435">
        <v>0</v>
      </c>
      <c r="AL35" s="435">
        <v>4269247</v>
      </c>
      <c r="AM35" s="435">
        <v>0</v>
      </c>
    </row>
    <row r="36" spans="1:39" s="155" customFormat="1" ht="22.5" x14ac:dyDescent="0.2">
      <c r="A36" s="146">
        <v>3</v>
      </c>
      <c r="B36" s="517">
        <v>37280</v>
      </c>
      <c r="C36" s="267" t="s">
        <v>1152</v>
      </c>
      <c r="D36" s="432">
        <f t="shared" si="9"/>
        <v>22044742</v>
      </c>
      <c r="E36" s="435">
        <v>3318156</v>
      </c>
      <c r="F36" s="435">
        <v>886326</v>
      </c>
      <c r="G36" s="435">
        <v>464810</v>
      </c>
      <c r="H36" s="435">
        <v>0</v>
      </c>
      <c r="I36" s="435">
        <v>6839832</v>
      </c>
      <c r="J36" s="435">
        <v>1132000</v>
      </c>
      <c r="K36" s="435">
        <v>3948000</v>
      </c>
      <c r="L36" s="435">
        <v>0</v>
      </c>
      <c r="M36" s="435">
        <v>2314753</v>
      </c>
      <c r="N36" s="435">
        <v>4339424</v>
      </c>
      <c r="O36" s="435">
        <v>152577</v>
      </c>
      <c r="P36" s="432">
        <f t="shared" si="2"/>
        <v>21767455</v>
      </c>
      <c r="Q36" s="435">
        <v>7239115</v>
      </c>
      <c r="R36" s="435">
        <v>2601187</v>
      </c>
      <c r="S36" s="435">
        <v>238844</v>
      </c>
      <c r="T36" s="435">
        <v>0</v>
      </c>
      <c r="U36" s="435">
        <v>986000</v>
      </c>
      <c r="V36" s="435">
        <v>0</v>
      </c>
      <c r="W36" s="435">
        <v>6620123</v>
      </c>
      <c r="X36" s="435">
        <v>564673</v>
      </c>
      <c r="Y36" s="435">
        <v>144532</v>
      </c>
      <c r="Z36" s="435">
        <v>2932451</v>
      </c>
      <c r="AA36" s="435">
        <v>440530</v>
      </c>
      <c r="AB36" s="435">
        <v>0</v>
      </c>
      <c r="AC36" s="435">
        <v>1965438</v>
      </c>
      <c r="AD36" s="435">
        <v>232058</v>
      </c>
      <c r="AE36" s="435">
        <v>8724788</v>
      </c>
      <c r="AF36" s="435">
        <v>490225</v>
      </c>
      <c r="AG36" s="435">
        <v>5038529</v>
      </c>
      <c r="AH36" s="435">
        <v>1221510</v>
      </c>
      <c r="AI36" s="435">
        <v>1163392</v>
      </c>
      <c r="AJ36" s="435">
        <v>644332</v>
      </c>
      <c r="AK36" s="435">
        <v>0</v>
      </c>
      <c r="AL36" s="435">
        <v>2287183</v>
      </c>
      <c r="AM36" s="435">
        <v>0</v>
      </c>
    </row>
    <row r="37" spans="1:39" s="155" customFormat="1" ht="22.5" x14ac:dyDescent="0.2">
      <c r="A37" s="146">
        <v>4</v>
      </c>
      <c r="B37" s="517">
        <v>36060</v>
      </c>
      <c r="C37" s="267" t="s">
        <v>1153</v>
      </c>
      <c r="D37" s="432">
        <f t="shared" si="9"/>
        <v>16497348</v>
      </c>
      <c r="E37" s="435">
        <v>3923997</v>
      </c>
      <c r="F37" s="435">
        <v>1524074</v>
      </c>
      <c r="G37" s="435">
        <v>393800</v>
      </c>
      <c r="H37" s="435">
        <v>0</v>
      </c>
      <c r="I37" s="435">
        <v>6526113</v>
      </c>
      <c r="J37" s="435">
        <v>238000</v>
      </c>
      <c r="K37" s="435">
        <v>2626000</v>
      </c>
      <c r="L37" s="435">
        <v>0</v>
      </c>
      <c r="M37" s="435">
        <v>3183238</v>
      </c>
      <c r="N37" s="435">
        <v>0</v>
      </c>
      <c r="O37" s="435">
        <v>0</v>
      </c>
      <c r="P37" s="432">
        <f t="shared" si="2"/>
        <v>15953593</v>
      </c>
      <c r="Q37" s="435">
        <v>7920028</v>
      </c>
      <c r="R37" s="435">
        <v>2291026</v>
      </c>
      <c r="S37" s="435">
        <v>5000</v>
      </c>
      <c r="T37" s="435">
        <v>0</v>
      </c>
      <c r="U37" s="435">
        <v>736632</v>
      </c>
      <c r="V37" s="435">
        <v>0</v>
      </c>
      <c r="W37" s="435">
        <v>0</v>
      </c>
      <c r="X37" s="435">
        <v>235290</v>
      </c>
      <c r="Y37" s="435">
        <v>70639</v>
      </c>
      <c r="Z37" s="435">
        <v>4546612</v>
      </c>
      <c r="AA37" s="435">
        <v>169000</v>
      </c>
      <c r="AB37" s="435">
        <v>-20634</v>
      </c>
      <c r="AC37" s="435">
        <v>2062185</v>
      </c>
      <c r="AD37" s="435">
        <v>229818</v>
      </c>
      <c r="AE37" s="435">
        <v>6251622</v>
      </c>
      <c r="AF37" s="435">
        <v>516388</v>
      </c>
      <c r="AG37" s="435">
        <v>840763</v>
      </c>
      <c r="AH37" s="435">
        <v>892229</v>
      </c>
      <c r="AI37" s="435">
        <v>1307212</v>
      </c>
      <c r="AJ37" s="435">
        <v>124689</v>
      </c>
      <c r="AK37" s="435">
        <v>0</v>
      </c>
      <c r="AL37" s="435">
        <v>3728687</v>
      </c>
      <c r="AM37" s="435">
        <v>0</v>
      </c>
    </row>
    <row r="38" spans="1:39" s="155" customFormat="1" ht="22.5" x14ac:dyDescent="0.2">
      <c r="A38" s="146">
        <v>5</v>
      </c>
      <c r="B38" s="517">
        <v>39168</v>
      </c>
      <c r="C38" s="267" t="s">
        <v>1154</v>
      </c>
      <c r="D38" s="432">
        <f t="shared" si="9"/>
        <v>14886363</v>
      </c>
      <c r="E38" s="435">
        <v>2522054</v>
      </c>
      <c r="F38" s="435">
        <v>766629</v>
      </c>
      <c r="G38" s="435">
        <v>614510</v>
      </c>
      <c r="H38" s="435">
        <v>0</v>
      </c>
      <c r="I38" s="435">
        <v>3505508</v>
      </c>
      <c r="J38" s="435">
        <v>85000</v>
      </c>
      <c r="K38" s="435">
        <v>4057000</v>
      </c>
      <c r="L38" s="435">
        <v>0</v>
      </c>
      <c r="M38" s="435">
        <v>4716801</v>
      </c>
      <c r="N38" s="435">
        <v>0</v>
      </c>
      <c r="O38" s="435">
        <v>0</v>
      </c>
      <c r="P38" s="432">
        <f t="shared" si="2"/>
        <v>12935437</v>
      </c>
      <c r="Q38" s="435">
        <v>3835843</v>
      </c>
      <c r="R38" s="435">
        <v>1972628</v>
      </c>
      <c r="S38" s="435">
        <v>0</v>
      </c>
      <c r="T38" s="435">
        <v>0</v>
      </c>
      <c r="U38" s="435">
        <v>701600</v>
      </c>
      <c r="V38" s="435">
        <v>0</v>
      </c>
      <c r="W38" s="435">
        <v>0</v>
      </c>
      <c r="X38" s="435">
        <v>323053</v>
      </c>
      <c r="Y38" s="435">
        <v>283855</v>
      </c>
      <c r="Z38" s="435">
        <v>5818458</v>
      </c>
      <c r="AA38" s="435">
        <v>0</v>
      </c>
      <c r="AB38" s="435">
        <v>0</v>
      </c>
      <c r="AC38" s="435">
        <v>3695017</v>
      </c>
      <c r="AD38" s="435">
        <v>17093</v>
      </c>
      <c r="AE38" s="435">
        <v>3570577</v>
      </c>
      <c r="AF38" s="435">
        <v>306748</v>
      </c>
      <c r="AG38" s="435">
        <v>436356</v>
      </c>
      <c r="AH38" s="435">
        <v>819731</v>
      </c>
      <c r="AI38" s="435">
        <v>161272</v>
      </c>
      <c r="AJ38" s="435">
        <v>140121</v>
      </c>
      <c r="AK38" s="435">
        <v>0</v>
      </c>
      <c r="AL38" s="435">
        <v>3788522</v>
      </c>
      <c r="AM38" s="435">
        <v>0</v>
      </c>
    </row>
    <row r="39" spans="1:39" s="155" customFormat="1" ht="12" hidden="1" x14ac:dyDescent="0.2">
      <c r="A39" s="146">
        <v>6</v>
      </c>
      <c r="B39" s="146"/>
      <c r="C39" s="172"/>
      <c r="D39" s="432">
        <f t="shared" si="6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2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</row>
    <row r="40" spans="1:39" s="155" customFormat="1" ht="12" hidden="1" x14ac:dyDescent="0.2">
      <c r="A40" s="146">
        <v>7</v>
      </c>
      <c r="B40" s="146"/>
      <c r="C40" s="182"/>
      <c r="D40" s="432">
        <f t="shared" si="6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2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155" customFormat="1" ht="12" hidden="1" x14ac:dyDescent="0.2">
      <c r="A41" s="146">
        <v>8</v>
      </c>
      <c r="B41" s="146"/>
      <c r="C41" s="173"/>
      <c r="D41" s="432">
        <f t="shared" si="6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2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146">
        <v>9</v>
      </c>
      <c r="B42" s="146"/>
      <c r="C42" s="206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2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146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2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46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2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46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2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46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2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46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2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46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2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46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2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46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2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46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2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46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2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46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2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4"/>
      <c r="C54" s="208"/>
      <c r="D54" s="432">
        <f t="shared" ref="D54:D117" si="10">E54+SUM(H54:O54)</f>
        <v>408204650</v>
      </c>
      <c r="E54" s="432">
        <f>SUM(E55:E143)</f>
        <v>74435523</v>
      </c>
      <c r="F54" s="432">
        <f t="shared" ref="F54:O54" si="11">SUM(F55:F143)</f>
        <v>16535750</v>
      </c>
      <c r="G54" s="432">
        <f t="shared" si="11"/>
        <v>16972995</v>
      </c>
      <c r="H54" s="432">
        <f t="shared" si="11"/>
        <v>0</v>
      </c>
      <c r="I54" s="432">
        <f t="shared" si="11"/>
        <v>140685842</v>
      </c>
      <c r="J54" s="432">
        <f t="shared" si="11"/>
        <v>13551000</v>
      </c>
      <c r="K54" s="432">
        <f t="shared" si="11"/>
        <v>77713530</v>
      </c>
      <c r="L54" s="432">
        <f t="shared" si="11"/>
        <v>0</v>
      </c>
      <c r="M54" s="432">
        <f t="shared" si="11"/>
        <v>73319091</v>
      </c>
      <c r="N54" s="432">
        <f t="shared" si="11"/>
        <v>23785452</v>
      </c>
      <c r="O54" s="432">
        <f t="shared" si="11"/>
        <v>4714212</v>
      </c>
      <c r="P54" s="432">
        <f t="shared" si="2"/>
        <v>392090588</v>
      </c>
      <c r="Q54" s="432">
        <f>SUM(Q55:Q143)</f>
        <v>162073227</v>
      </c>
      <c r="R54" s="432">
        <f t="shared" ref="R54:AM54" si="12">SUM(R55:R143)</f>
        <v>78702013</v>
      </c>
      <c r="S54" s="432">
        <f t="shared" si="12"/>
        <v>880648</v>
      </c>
      <c r="T54" s="432">
        <f t="shared" si="12"/>
        <v>0</v>
      </c>
      <c r="U54" s="432">
        <f t="shared" si="12"/>
        <v>1216448</v>
      </c>
      <c r="V54" s="432">
        <f t="shared" si="12"/>
        <v>372659</v>
      </c>
      <c r="W54" s="432">
        <f t="shared" si="12"/>
        <v>22937686</v>
      </c>
      <c r="X54" s="432">
        <f t="shared" si="12"/>
        <v>10307806</v>
      </c>
      <c r="Y54" s="432">
        <f t="shared" si="12"/>
        <v>2165709</v>
      </c>
      <c r="Z54" s="432">
        <f t="shared" si="12"/>
        <v>106732272</v>
      </c>
      <c r="AA54" s="432">
        <f t="shared" si="12"/>
        <v>7666759</v>
      </c>
      <c r="AB54" s="432">
        <f t="shared" si="12"/>
        <v>-964639</v>
      </c>
      <c r="AC54" s="432">
        <f t="shared" si="12"/>
        <v>58113474</v>
      </c>
      <c r="AD54" s="432">
        <f t="shared" si="12"/>
        <v>4942007</v>
      </c>
      <c r="AE54" s="432">
        <f t="shared" si="12"/>
        <v>145264237</v>
      </c>
      <c r="AF54" s="432">
        <f t="shared" si="12"/>
        <v>2090807</v>
      </c>
      <c r="AG54" s="432">
        <f t="shared" si="12"/>
        <v>14101647</v>
      </c>
      <c r="AH54" s="432">
        <f t="shared" si="12"/>
        <v>23642514</v>
      </c>
      <c r="AI54" s="432">
        <f t="shared" si="12"/>
        <v>42209274</v>
      </c>
      <c r="AJ54" s="432">
        <f t="shared" si="12"/>
        <v>7184746</v>
      </c>
      <c r="AK54" s="432">
        <f t="shared" si="12"/>
        <v>0</v>
      </c>
      <c r="AL54" s="432">
        <f>SUM(AL55:AL143)</f>
        <v>93964844</v>
      </c>
      <c r="AM54" s="432">
        <f t="shared" si="12"/>
        <v>577038</v>
      </c>
    </row>
    <row r="55" spans="1:39" s="155" customFormat="1" ht="22.5" x14ac:dyDescent="0.2">
      <c r="A55" s="168">
        <v>1</v>
      </c>
      <c r="B55" s="519">
        <v>40035</v>
      </c>
      <c r="C55" s="518" t="s">
        <v>1155</v>
      </c>
      <c r="D55" s="432">
        <f t="shared" si="10"/>
        <v>3972719</v>
      </c>
      <c r="E55" s="434">
        <v>476760</v>
      </c>
      <c r="F55" s="434">
        <v>105648</v>
      </c>
      <c r="G55" s="434">
        <v>176610</v>
      </c>
      <c r="H55" s="434">
        <v>0</v>
      </c>
      <c r="I55" s="434">
        <v>789621</v>
      </c>
      <c r="J55" s="434">
        <v>94000</v>
      </c>
      <c r="K55" s="434">
        <v>1307000</v>
      </c>
      <c r="L55" s="434">
        <v>0</v>
      </c>
      <c r="M55" s="434">
        <v>1287332</v>
      </c>
      <c r="N55" s="434">
        <v>0</v>
      </c>
      <c r="O55" s="434">
        <v>18006</v>
      </c>
      <c r="P55" s="432">
        <f t="shared" si="2"/>
        <v>3825264</v>
      </c>
      <c r="Q55" s="434">
        <v>1074205</v>
      </c>
      <c r="R55" s="434">
        <v>1102182</v>
      </c>
      <c r="S55" s="434">
        <v>0</v>
      </c>
      <c r="T55" s="434">
        <v>0</v>
      </c>
      <c r="U55" s="434">
        <v>4000</v>
      </c>
      <c r="V55" s="434">
        <v>0</v>
      </c>
      <c r="W55" s="434">
        <v>0</v>
      </c>
      <c r="X55" s="434">
        <v>52409</v>
      </c>
      <c r="Y55" s="434">
        <v>11395</v>
      </c>
      <c r="Z55" s="434">
        <v>1581073</v>
      </c>
      <c r="AA55" s="434">
        <v>0</v>
      </c>
      <c r="AB55" s="434">
        <v>0</v>
      </c>
      <c r="AC55" s="434">
        <v>593926</v>
      </c>
      <c r="AD55" s="434">
        <v>47791</v>
      </c>
      <c r="AE55" s="434">
        <v>740560</v>
      </c>
      <c r="AF55" s="434">
        <v>150000</v>
      </c>
      <c r="AG55" s="434">
        <v>764144</v>
      </c>
      <c r="AH55" s="434">
        <v>153722</v>
      </c>
      <c r="AI55" s="434">
        <v>59875</v>
      </c>
      <c r="AJ55" s="434">
        <v>13896</v>
      </c>
      <c r="AK55" s="434">
        <v>0</v>
      </c>
      <c r="AL55" s="434">
        <v>1301350</v>
      </c>
      <c r="AM55" s="434">
        <v>0</v>
      </c>
    </row>
    <row r="56" spans="1:39" s="155" customFormat="1" ht="22.5" x14ac:dyDescent="0.2">
      <c r="A56" s="168">
        <v>2</v>
      </c>
      <c r="B56" s="519">
        <v>36131</v>
      </c>
      <c r="C56" s="518" t="s">
        <v>1156</v>
      </c>
      <c r="D56" s="432">
        <f t="shared" si="10"/>
        <v>7772700</v>
      </c>
      <c r="E56" s="434">
        <v>2106784</v>
      </c>
      <c r="F56" s="434">
        <v>208381</v>
      </c>
      <c r="G56" s="434">
        <v>816920</v>
      </c>
      <c r="H56" s="434">
        <v>0</v>
      </c>
      <c r="I56" s="434">
        <v>3906715</v>
      </c>
      <c r="J56" s="434">
        <v>301000</v>
      </c>
      <c r="K56" s="434">
        <v>1203000</v>
      </c>
      <c r="L56" s="434">
        <v>0</v>
      </c>
      <c r="M56" s="434">
        <v>107501</v>
      </c>
      <c r="N56" s="434">
        <v>68828</v>
      </c>
      <c r="O56" s="434">
        <v>78872</v>
      </c>
      <c r="P56" s="432">
        <f t="shared" si="2"/>
        <v>6553821</v>
      </c>
      <c r="Q56" s="434">
        <v>3924198</v>
      </c>
      <c r="R56" s="434">
        <v>1845465</v>
      </c>
      <c r="S56" s="434">
        <v>0</v>
      </c>
      <c r="T56" s="434">
        <v>0</v>
      </c>
      <c r="U56" s="434">
        <v>0</v>
      </c>
      <c r="V56" s="434">
        <v>90000</v>
      </c>
      <c r="W56" s="434">
        <v>0</v>
      </c>
      <c r="X56" s="434">
        <v>300838</v>
      </c>
      <c r="Y56" s="434">
        <v>38000</v>
      </c>
      <c r="Z56" s="434">
        <v>356891</v>
      </c>
      <c r="AA56" s="434">
        <v>0</v>
      </c>
      <c r="AB56" s="434">
        <v>-1571</v>
      </c>
      <c r="AC56" s="434">
        <v>1184066</v>
      </c>
      <c r="AD56" s="434">
        <v>36787</v>
      </c>
      <c r="AE56" s="434">
        <v>3790692</v>
      </c>
      <c r="AF56" s="434">
        <v>22349</v>
      </c>
      <c r="AG56" s="434">
        <v>186500</v>
      </c>
      <c r="AH56" s="434">
        <v>488189</v>
      </c>
      <c r="AI56" s="434">
        <v>315909</v>
      </c>
      <c r="AJ56" s="434">
        <v>79592</v>
      </c>
      <c r="AK56" s="434">
        <v>0</v>
      </c>
      <c r="AL56" s="434">
        <v>449737</v>
      </c>
      <c r="AM56" s="434">
        <v>0</v>
      </c>
    </row>
    <row r="57" spans="1:39" s="155" customFormat="1" ht="22.5" x14ac:dyDescent="0.2">
      <c r="A57" s="168">
        <v>3</v>
      </c>
      <c r="B57" s="519">
        <v>36202</v>
      </c>
      <c r="C57" s="518" t="s">
        <v>1157</v>
      </c>
      <c r="D57" s="432">
        <f t="shared" si="10"/>
        <v>7904891</v>
      </c>
      <c r="E57" s="434">
        <v>1016952</v>
      </c>
      <c r="F57" s="434">
        <v>212310</v>
      </c>
      <c r="G57" s="434">
        <v>124460</v>
      </c>
      <c r="H57" s="434">
        <v>0</v>
      </c>
      <c r="I57" s="434">
        <v>2372023</v>
      </c>
      <c r="J57" s="434">
        <v>84000</v>
      </c>
      <c r="K57" s="434">
        <v>903000</v>
      </c>
      <c r="L57" s="434">
        <v>0</v>
      </c>
      <c r="M57" s="434">
        <v>3334952</v>
      </c>
      <c r="N57" s="434">
        <v>144203</v>
      </c>
      <c r="O57" s="434">
        <v>49761</v>
      </c>
      <c r="P57" s="432">
        <f t="shared" si="2"/>
        <v>7841989</v>
      </c>
      <c r="Q57" s="434">
        <v>2816361</v>
      </c>
      <c r="R57" s="434">
        <v>1077023</v>
      </c>
      <c r="S57" s="434">
        <v>21423</v>
      </c>
      <c r="T57" s="434">
        <v>0</v>
      </c>
      <c r="U57" s="434">
        <v>0</v>
      </c>
      <c r="V57" s="434">
        <v>0</v>
      </c>
      <c r="W57" s="434">
        <v>0</v>
      </c>
      <c r="X57" s="434">
        <v>89890</v>
      </c>
      <c r="Y57" s="434">
        <v>12892</v>
      </c>
      <c r="Z57" s="434">
        <v>3498359</v>
      </c>
      <c r="AA57" s="434">
        <v>336822</v>
      </c>
      <c r="AB57" s="434">
        <v>-10781</v>
      </c>
      <c r="AC57" s="434">
        <v>941067</v>
      </c>
      <c r="AD57" s="434">
        <v>50167</v>
      </c>
      <c r="AE57" s="434">
        <v>2101601</v>
      </c>
      <c r="AF57" s="434">
        <v>14317</v>
      </c>
      <c r="AG57" s="434">
        <v>443318</v>
      </c>
      <c r="AH57" s="434">
        <v>401023</v>
      </c>
      <c r="AI57" s="434">
        <v>256755</v>
      </c>
      <c r="AJ57" s="434">
        <v>45744</v>
      </c>
      <c r="AK57" s="434">
        <v>0</v>
      </c>
      <c r="AL57" s="434">
        <v>3553997</v>
      </c>
      <c r="AM57" s="434">
        <v>34000</v>
      </c>
    </row>
    <row r="58" spans="1:39" s="155" customFormat="1" ht="22.5" x14ac:dyDescent="0.2">
      <c r="A58" s="168">
        <v>4</v>
      </c>
      <c r="B58" s="519">
        <v>36300</v>
      </c>
      <c r="C58" s="518" t="s">
        <v>1158</v>
      </c>
      <c r="D58" s="432">
        <f t="shared" si="10"/>
        <v>7686116</v>
      </c>
      <c r="E58" s="434">
        <v>1139481</v>
      </c>
      <c r="F58" s="434">
        <v>144029</v>
      </c>
      <c r="G58" s="434">
        <v>429250</v>
      </c>
      <c r="H58" s="434">
        <v>0</v>
      </c>
      <c r="I58" s="434">
        <v>2356303</v>
      </c>
      <c r="J58" s="434">
        <v>135000</v>
      </c>
      <c r="K58" s="434">
        <v>1280000</v>
      </c>
      <c r="L58" s="434">
        <v>0</v>
      </c>
      <c r="M58" s="434">
        <v>1428293</v>
      </c>
      <c r="N58" s="434">
        <v>1304770</v>
      </c>
      <c r="O58" s="434">
        <v>42269</v>
      </c>
      <c r="P58" s="432">
        <f t="shared" si="2"/>
        <v>7440537</v>
      </c>
      <c r="Q58" s="434">
        <v>2479657</v>
      </c>
      <c r="R58" s="434">
        <v>1442066</v>
      </c>
      <c r="S58" s="434">
        <v>0</v>
      </c>
      <c r="T58" s="434">
        <v>0</v>
      </c>
      <c r="U58" s="434">
        <v>0</v>
      </c>
      <c r="V58" s="434">
        <v>0</v>
      </c>
      <c r="W58" s="434">
        <v>1532187</v>
      </c>
      <c r="X58" s="434">
        <v>223009</v>
      </c>
      <c r="Y58" s="434">
        <v>107500</v>
      </c>
      <c r="Z58" s="434">
        <v>2032493</v>
      </c>
      <c r="AA58" s="434">
        <v>0</v>
      </c>
      <c r="AB58" s="434">
        <v>-376375</v>
      </c>
      <c r="AC58" s="434">
        <v>706516</v>
      </c>
      <c r="AD58" s="434">
        <v>58558</v>
      </c>
      <c r="AE58" s="434">
        <v>1997803</v>
      </c>
      <c r="AF58" s="434">
        <v>41626</v>
      </c>
      <c r="AG58" s="434">
        <v>159402</v>
      </c>
      <c r="AH58" s="434">
        <v>421214</v>
      </c>
      <c r="AI58" s="434">
        <v>2221594</v>
      </c>
      <c r="AJ58" s="434">
        <v>119992</v>
      </c>
      <c r="AK58" s="434">
        <v>0</v>
      </c>
      <c r="AL58" s="434">
        <v>1713832</v>
      </c>
      <c r="AM58" s="434">
        <v>0</v>
      </c>
    </row>
    <row r="59" spans="1:39" s="155" customFormat="1" ht="22.5" x14ac:dyDescent="0.2">
      <c r="A59" s="168">
        <v>5</v>
      </c>
      <c r="B59" s="519">
        <v>39983</v>
      </c>
      <c r="C59" s="518" t="s">
        <v>1159</v>
      </c>
      <c r="D59" s="432">
        <f t="shared" si="10"/>
        <v>2760269</v>
      </c>
      <c r="E59" s="434">
        <v>478722</v>
      </c>
      <c r="F59" s="434">
        <v>53370</v>
      </c>
      <c r="G59" s="434">
        <v>174950</v>
      </c>
      <c r="H59" s="434">
        <v>0</v>
      </c>
      <c r="I59" s="434">
        <v>923000</v>
      </c>
      <c r="J59" s="434">
        <v>69000</v>
      </c>
      <c r="K59" s="434">
        <v>1248000</v>
      </c>
      <c r="L59" s="434">
        <v>0</v>
      </c>
      <c r="M59" s="434">
        <v>13227</v>
      </c>
      <c r="N59" s="434">
        <v>0</v>
      </c>
      <c r="O59" s="434">
        <v>28320</v>
      </c>
      <c r="P59" s="432">
        <f t="shared" si="2"/>
        <v>2459194</v>
      </c>
      <c r="Q59" s="434">
        <v>1213931</v>
      </c>
      <c r="R59" s="434">
        <v>505986</v>
      </c>
      <c r="S59" s="434">
        <v>0</v>
      </c>
      <c r="T59" s="434">
        <v>0</v>
      </c>
      <c r="U59" s="434">
        <v>0</v>
      </c>
      <c r="V59" s="434">
        <v>0</v>
      </c>
      <c r="W59" s="434">
        <v>0</v>
      </c>
      <c r="X59" s="434">
        <v>47692</v>
      </c>
      <c r="Y59" s="434">
        <v>0</v>
      </c>
      <c r="Z59" s="434">
        <v>693789</v>
      </c>
      <c r="AA59" s="434">
        <v>0</v>
      </c>
      <c r="AB59" s="434">
        <v>-2204</v>
      </c>
      <c r="AC59" s="434">
        <v>772348</v>
      </c>
      <c r="AD59" s="434">
        <v>85147</v>
      </c>
      <c r="AE59" s="434">
        <v>936125</v>
      </c>
      <c r="AF59" s="434">
        <v>0</v>
      </c>
      <c r="AG59" s="434">
        <v>59956</v>
      </c>
      <c r="AH59" s="434">
        <v>104306</v>
      </c>
      <c r="AI59" s="434">
        <v>135799</v>
      </c>
      <c r="AJ59" s="434">
        <v>0</v>
      </c>
      <c r="AK59" s="434">
        <v>0</v>
      </c>
      <c r="AL59" s="434">
        <v>365513</v>
      </c>
      <c r="AM59" s="434">
        <v>0</v>
      </c>
    </row>
    <row r="60" spans="1:39" s="155" customFormat="1" ht="22.5" x14ac:dyDescent="0.2">
      <c r="A60" s="168">
        <v>6</v>
      </c>
      <c r="B60" s="519">
        <v>36373</v>
      </c>
      <c r="C60" s="518" t="s">
        <v>1160</v>
      </c>
      <c r="D60" s="432">
        <f t="shared" si="10"/>
        <v>3703315</v>
      </c>
      <c r="E60" s="434">
        <v>820845</v>
      </c>
      <c r="F60" s="434">
        <v>119662</v>
      </c>
      <c r="G60" s="434">
        <v>132710</v>
      </c>
      <c r="H60" s="434">
        <v>0</v>
      </c>
      <c r="I60" s="434">
        <v>1004443</v>
      </c>
      <c r="J60" s="434">
        <v>288000</v>
      </c>
      <c r="K60" s="434">
        <v>1057000</v>
      </c>
      <c r="L60" s="434">
        <v>0</v>
      </c>
      <c r="M60" s="434">
        <v>501725</v>
      </c>
      <c r="N60" s="434">
        <v>0</v>
      </c>
      <c r="O60" s="434">
        <v>31302</v>
      </c>
      <c r="P60" s="432">
        <f t="shared" si="2"/>
        <v>3187835</v>
      </c>
      <c r="Q60" s="434">
        <v>1276341</v>
      </c>
      <c r="R60" s="434">
        <v>737021</v>
      </c>
      <c r="S60" s="434">
        <v>10864</v>
      </c>
      <c r="T60" s="434">
        <v>0</v>
      </c>
      <c r="U60" s="434">
        <v>0</v>
      </c>
      <c r="V60" s="434">
        <v>9052</v>
      </c>
      <c r="W60" s="434">
        <v>0</v>
      </c>
      <c r="X60" s="434">
        <v>82809</v>
      </c>
      <c r="Y60" s="434">
        <v>13821</v>
      </c>
      <c r="Z60" s="434">
        <v>581267</v>
      </c>
      <c r="AA60" s="434">
        <v>478000</v>
      </c>
      <c r="AB60" s="434">
        <v>-1340</v>
      </c>
      <c r="AC60" s="434">
        <v>714204</v>
      </c>
      <c r="AD60" s="434">
        <v>131880</v>
      </c>
      <c r="AE60" s="434">
        <v>930814</v>
      </c>
      <c r="AF60" s="434">
        <v>25229</v>
      </c>
      <c r="AG60" s="434">
        <v>3000</v>
      </c>
      <c r="AH60" s="434">
        <v>172252</v>
      </c>
      <c r="AI60" s="434">
        <v>269959</v>
      </c>
      <c r="AJ60" s="434">
        <v>49523</v>
      </c>
      <c r="AK60" s="434">
        <v>0</v>
      </c>
      <c r="AL60" s="434">
        <v>890974</v>
      </c>
      <c r="AM60" s="434">
        <v>0</v>
      </c>
    </row>
    <row r="61" spans="1:39" s="155" customFormat="1" ht="22.5" x14ac:dyDescent="0.2">
      <c r="A61" s="168">
        <v>7</v>
      </c>
      <c r="B61" s="519">
        <v>36426</v>
      </c>
      <c r="C61" s="518" t="s">
        <v>1161</v>
      </c>
      <c r="D61" s="432">
        <f t="shared" si="10"/>
        <v>3280759</v>
      </c>
      <c r="E61" s="434">
        <v>781041</v>
      </c>
      <c r="F61" s="434">
        <v>134793</v>
      </c>
      <c r="G61" s="434">
        <v>130210</v>
      </c>
      <c r="H61" s="434">
        <v>0</v>
      </c>
      <c r="I61" s="434">
        <v>1197889</v>
      </c>
      <c r="J61" s="434">
        <v>200000</v>
      </c>
      <c r="K61" s="434">
        <v>1029000</v>
      </c>
      <c r="L61" s="434">
        <v>0</v>
      </c>
      <c r="M61" s="434">
        <v>49123</v>
      </c>
      <c r="N61" s="434">
        <v>0</v>
      </c>
      <c r="O61" s="434">
        <v>23706</v>
      </c>
      <c r="P61" s="432">
        <f t="shared" si="2"/>
        <v>2624032</v>
      </c>
      <c r="Q61" s="434">
        <v>1569390</v>
      </c>
      <c r="R61" s="434">
        <v>825079</v>
      </c>
      <c r="S61" s="434">
        <v>0</v>
      </c>
      <c r="T61" s="434">
        <v>0</v>
      </c>
      <c r="U61" s="434">
        <v>0</v>
      </c>
      <c r="V61" s="434">
        <v>0</v>
      </c>
      <c r="W61" s="434">
        <v>0</v>
      </c>
      <c r="X61" s="434">
        <v>82393</v>
      </c>
      <c r="Y61" s="434">
        <v>58000</v>
      </c>
      <c r="Z61" s="434">
        <v>92609</v>
      </c>
      <c r="AA61" s="434">
        <v>0</v>
      </c>
      <c r="AB61" s="434">
        <v>-3439</v>
      </c>
      <c r="AC61" s="434">
        <v>605875</v>
      </c>
      <c r="AD61" s="434">
        <v>92903</v>
      </c>
      <c r="AE61" s="434">
        <v>1072748</v>
      </c>
      <c r="AF61" s="434">
        <v>23558</v>
      </c>
      <c r="AG61" s="434">
        <v>46561</v>
      </c>
      <c r="AH61" s="434">
        <v>222474</v>
      </c>
      <c r="AI61" s="434">
        <v>206031</v>
      </c>
      <c r="AJ61" s="434">
        <v>70620</v>
      </c>
      <c r="AK61" s="434">
        <v>0</v>
      </c>
      <c r="AL61" s="434">
        <v>283262</v>
      </c>
      <c r="AM61" s="434">
        <v>0</v>
      </c>
    </row>
    <row r="62" spans="1:39" s="155" customFormat="1" ht="22.5" x14ac:dyDescent="0.2">
      <c r="A62" s="168">
        <v>8</v>
      </c>
      <c r="B62" s="519">
        <v>36499</v>
      </c>
      <c r="C62" s="518" t="s">
        <v>1162</v>
      </c>
      <c r="D62" s="432">
        <f t="shared" si="10"/>
        <v>5180773</v>
      </c>
      <c r="E62" s="434">
        <v>758655</v>
      </c>
      <c r="F62" s="434">
        <v>83758</v>
      </c>
      <c r="G62" s="434">
        <v>205150</v>
      </c>
      <c r="H62" s="434">
        <v>0</v>
      </c>
      <c r="I62" s="434">
        <v>1647091</v>
      </c>
      <c r="J62" s="434">
        <v>296000</v>
      </c>
      <c r="K62" s="434">
        <v>1209000</v>
      </c>
      <c r="L62" s="434">
        <v>0</v>
      </c>
      <c r="M62" s="434">
        <v>59791</v>
      </c>
      <c r="N62" s="434">
        <v>0</v>
      </c>
      <c r="O62" s="434">
        <v>1210236</v>
      </c>
      <c r="P62" s="432">
        <f t="shared" si="2"/>
        <v>5053483</v>
      </c>
      <c r="Q62" s="434">
        <v>1811554</v>
      </c>
      <c r="R62" s="434">
        <v>1386376</v>
      </c>
      <c r="S62" s="434">
        <v>0</v>
      </c>
      <c r="T62" s="434">
        <v>0</v>
      </c>
      <c r="U62" s="434">
        <v>0</v>
      </c>
      <c r="V62" s="434">
        <v>0</v>
      </c>
      <c r="W62" s="434">
        <v>0</v>
      </c>
      <c r="X62" s="434">
        <v>180389</v>
      </c>
      <c r="Y62" s="434">
        <v>19740</v>
      </c>
      <c r="Z62" s="434">
        <v>1726474</v>
      </c>
      <c r="AA62" s="434">
        <v>0</v>
      </c>
      <c r="AB62" s="434">
        <v>-71050</v>
      </c>
      <c r="AC62" s="434">
        <v>763352</v>
      </c>
      <c r="AD62" s="434">
        <v>123709</v>
      </c>
      <c r="AE62" s="434">
        <v>1290454</v>
      </c>
      <c r="AF62" s="434">
        <v>0</v>
      </c>
      <c r="AG62" s="434">
        <v>114395</v>
      </c>
      <c r="AH62" s="434">
        <v>527985</v>
      </c>
      <c r="AI62" s="434">
        <v>51929</v>
      </c>
      <c r="AJ62" s="434">
        <v>1573792</v>
      </c>
      <c r="AK62" s="434">
        <v>0</v>
      </c>
      <c r="AL62" s="434">
        <v>572867</v>
      </c>
      <c r="AM62" s="434">
        <v>35000</v>
      </c>
    </row>
    <row r="63" spans="1:39" s="155" customFormat="1" ht="22.5" x14ac:dyDescent="0.2">
      <c r="A63" s="168">
        <v>9</v>
      </c>
      <c r="B63" s="519">
        <v>39967</v>
      </c>
      <c r="C63" s="518" t="s">
        <v>1163</v>
      </c>
      <c r="D63" s="432">
        <f t="shared" si="10"/>
        <v>3203288</v>
      </c>
      <c r="E63" s="434">
        <v>701264</v>
      </c>
      <c r="F63" s="434">
        <v>86757</v>
      </c>
      <c r="G63" s="434">
        <v>155500</v>
      </c>
      <c r="H63" s="434">
        <v>0</v>
      </c>
      <c r="I63" s="434">
        <v>1114281</v>
      </c>
      <c r="J63" s="434">
        <v>79000</v>
      </c>
      <c r="K63" s="434">
        <v>1178000</v>
      </c>
      <c r="L63" s="434">
        <v>0</v>
      </c>
      <c r="M63" s="434">
        <v>110223</v>
      </c>
      <c r="N63" s="434">
        <v>0</v>
      </c>
      <c r="O63" s="434">
        <v>20520</v>
      </c>
      <c r="P63" s="432">
        <f t="shared" si="2"/>
        <v>2845901</v>
      </c>
      <c r="Q63" s="434">
        <v>1323318</v>
      </c>
      <c r="R63" s="434">
        <v>724957</v>
      </c>
      <c r="S63" s="434">
        <v>55976</v>
      </c>
      <c r="T63" s="434">
        <v>0</v>
      </c>
      <c r="U63" s="434">
        <v>0</v>
      </c>
      <c r="V63" s="434">
        <v>0</v>
      </c>
      <c r="W63" s="434">
        <v>0</v>
      </c>
      <c r="X63" s="434">
        <v>105922</v>
      </c>
      <c r="Y63" s="434">
        <v>0</v>
      </c>
      <c r="Z63" s="434">
        <v>571044</v>
      </c>
      <c r="AA63" s="434">
        <v>65184</v>
      </c>
      <c r="AB63" s="434">
        <v>-500</v>
      </c>
      <c r="AC63" s="434">
        <v>782474</v>
      </c>
      <c r="AD63" s="434">
        <v>47679</v>
      </c>
      <c r="AE63" s="434">
        <v>956984</v>
      </c>
      <c r="AF63" s="434">
        <v>0</v>
      </c>
      <c r="AG63" s="434">
        <v>51908</v>
      </c>
      <c r="AH63" s="434">
        <v>398002</v>
      </c>
      <c r="AI63" s="434">
        <v>144773</v>
      </c>
      <c r="AJ63" s="434">
        <v>36145</v>
      </c>
      <c r="AK63" s="434">
        <v>0</v>
      </c>
      <c r="AL63" s="434">
        <v>427936</v>
      </c>
      <c r="AM63" s="434">
        <v>0</v>
      </c>
    </row>
    <row r="64" spans="1:39" s="155" customFormat="1" ht="22.5" x14ac:dyDescent="0.2">
      <c r="A64" s="168">
        <v>10</v>
      </c>
      <c r="B64" s="519">
        <v>36532</v>
      </c>
      <c r="C64" s="518" t="s">
        <v>1164</v>
      </c>
      <c r="D64" s="432">
        <f t="shared" si="10"/>
        <v>3694669</v>
      </c>
      <c r="E64" s="434">
        <v>630600</v>
      </c>
      <c r="F64" s="434">
        <v>94446</v>
      </c>
      <c r="G64" s="434">
        <v>146180</v>
      </c>
      <c r="H64" s="434">
        <v>0</v>
      </c>
      <c r="I64" s="434">
        <v>1159238</v>
      </c>
      <c r="J64" s="434">
        <v>88000</v>
      </c>
      <c r="K64" s="434">
        <v>1160000</v>
      </c>
      <c r="L64" s="434">
        <v>0</v>
      </c>
      <c r="M64" s="434">
        <v>656831</v>
      </c>
      <c r="N64" s="434">
        <v>0</v>
      </c>
      <c r="O64" s="434">
        <v>0</v>
      </c>
      <c r="P64" s="432">
        <f t="shared" si="2"/>
        <v>3281207</v>
      </c>
      <c r="Q64" s="434">
        <v>1446511</v>
      </c>
      <c r="R64" s="434">
        <v>631254</v>
      </c>
      <c r="S64" s="434">
        <v>0</v>
      </c>
      <c r="T64" s="434">
        <v>0</v>
      </c>
      <c r="U64" s="434">
        <v>0</v>
      </c>
      <c r="V64" s="434">
        <v>0</v>
      </c>
      <c r="W64" s="434">
        <v>0</v>
      </c>
      <c r="X64" s="434">
        <v>43436</v>
      </c>
      <c r="Y64" s="434">
        <v>6990</v>
      </c>
      <c r="Z64" s="434">
        <v>1231460</v>
      </c>
      <c r="AA64" s="434">
        <v>0</v>
      </c>
      <c r="AB64" s="434">
        <v>-78444</v>
      </c>
      <c r="AC64" s="434">
        <v>451972</v>
      </c>
      <c r="AD64" s="434">
        <v>24357</v>
      </c>
      <c r="AE64" s="434">
        <v>1123248</v>
      </c>
      <c r="AF64" s="434">
        <v>6593</v>
      </c>
      <c r="AG64" s="434">
        <v>307542</v>
      </c>
      <c r="AH64" s="434">
        <v>215453</v>
      </c>
      <c r="AI64" s="434">
        <v>263409</v>
      </c>
      <c r="AJ64" s="434">
        <v>1630</v>
      </c>
      <c r="AK64" s="434">
        <v>0</v>
      </c>
      <c r="AL64" s="434">
        <v>887003</v>
      </c>
      <c r="AM64" s="434">
        <v>0</v>
      </c>
    </row>
    <row r="65" spans="1:39" s="155" customFormat="1" ht="22.5" x14ac:dyDescent="0.2">
      <c r="A65" s="168">
        <v>11</v>
      </c>
      <c r="B65" s="519">
        <v>36569</v>
      </c>
      <c r="C65" s="518" t="s">
        <v>1165</v>
      </c>
      <c r="D65" s="432">
        <f t="shared" si="10"/>
        <v>5795090</v>
      </c>
      <c r="E65" s="434">
        <v>795468</v>
      </c>
      <c r="F65" s="434">
        <v>121613</v>
      </c>
      <c r="G65" s="434">
        <v>186120</v>
      </c>
      <c r="H65" s="434">
        <v>0</v>
      </c>
      <c r="I65" s="434">
        <v>1913000</v>
      </c>
      <c r="J65" s="434">
        <v>308000</v>
      </c>
      <c r="K65" s="434">
        <v>1231000</v>
      </c>
      <c r="L65" s="434">
        <v>0</v>
      </c>
      <c r="M65" s="434">
        <v>380342</v>
      </c>
      <c r="N65" s="434">
        <v>1114218</v>
      </c>
      <c r="O65" s="434">
        <v>53062</v>
      </c>
      <c r="P65" s="432">
        <f t="shared" si="2"/>
        <v>5250706</v>
      </c>
      <c r="Q65" s="434">
        <v>2382393</v>
      </c>
      <c r="R65" s="434">
        <v>945647</v>
      </c>
      <c r="S65" s="434">
        <v>0</v>
      </c>
      <c r="T65" s="434">
        <v>0</v>
      </c>
      <c r="U65" s="434">
        <v>0</v>
      </c>
      <c r="V65" s="434">
        <v>12000</v>
      </c>
      <c r="W65" s="434">
        <v>1304530</v>
      </c>
      <c r="X65" s="434">
        <v>78097</v>
      </c>
      <c r="Y65" s="434">
        <v>10934</v>
      </c>
      <c r="Z65" s="434">
        <v>519755</v>
      </c>
      <c r="AA65" s="434">
        <v>0</v>
      </c>
      <c r="AB65" s="434">
        <v>-2650</v>
      </c>
      <c r="AC65" s="434">
        <v>774881</v>
      </c>
      <c r="AD65" s="434">
        <v>8434</v>
      </c>
      <c r="AE65" s="434">
        <v>1956576</v>
      </c>
      <c r="AF65" s="434">
        <v>29818</v>
      </c>
      <c r="AG65" s="434">
        <v>93432</v>
      </c>
      <c r="AH65" s="434">
        <v>364664</v>
      </c>
      <c r="AI65" s="434">
        <v>304925</v>
      </c>
      <c r="AJ65" s="434">
        <v>90882</v>
      </c>
      <c r="AK65" s="434">
        <v>0</v>
      </c>
      <c r="AL65" s="434">
        <v>1619393</v>
      </c>
      <c r="AM65" s="434">
        <v>7701</v>
      </c>
    </row>
    <row r="66" spans="1:39" s="155" customFormat="1" ht="22.5" x14ac:dyDescent="0.2">
      <c r="A66" s="168">
        <v>12</v>
      </c>
      <c r="B66" s="519">
        <v>36649</v>
      </c>
      <c r="C66" s="518" t="s">
        <v>1166</v>
      </c>
      <c r="D66" s="432">
        <f t="shared" si="10"/>
        <v>3884913</v>
      </c>
      <c r="E66" s="434">
        <v>550035</v>
      </c>
      <c r="F66" s="434">
        <v>56476</v>
      </c>
      <c r="G66" s="434">
        <v>155500</v>
      </c>
      <c r="H66" s="434">
        <v>0</v>
      </c>
      <c r="I66" s="434">
        <v>773918</v>
      </c>
      <c r="J66" s="434">
        <v>264000</v>
      </c>
      <c r="K66" s="434">
        <v>1246000</v>
      </c>
      <c r="L66" s="434">
        <v>0</v>
      </c>
      <c r="M66" s="434">
        <v>744068</v>
      </c>
      <c r="N66" s="434">
        <v>281956</v>
      </c>
      <c r="O66" s="434">
        <v>24936</v>
      </c>
      <c r="P66" s="432">
        <f t="shared" si="2"/>
        <v>3461725</v>
      </c>
      <c r="Q66" s="434">
        <v>1080403</v>
      </c>
      <c r="R66" s="434">
        <v>691533</v>
      </c>
      <c r="S66" s="434">
        <v>7226</v>
      </c>
      <c r="T66" s="434">
        <v>0</v>
      </c>
      <c r="U66" s="434">
        <v>0</v>
      </c>
      <c r="V66" s="434">
        <v>0</v>
      </c>
      <c r="W66" s="434">
        <v>0</v>
      </c>
      <c r="X66" s="434">
        <v>122075</v>
      </c>
      <c r="Y66" s="434">
        <v>3325</v>
      </c>
      <c r="Z66" s="434">
        <v>1199995</v>
      </c>
      <c r="AA66" s="434">
        <v>357168</v>
      </c>
      <c r="AB66" s="434">
        <v>0</v>
      </c>
      <c r="AC66" s="434">
        <v>652920</v>
      </c>
      <c r="AD66" s="434">
        <v>61758</v>
      </c>
      <c r="AE66" s="434">
        <v>707667</v>
      </c>
      <c r="AF66" s="434">
        <v>21053</v>
      </c>
      <c r="AG66" s="434">
        <v>25360</v>
      </c>
      <c r="AH66" s="434">
        <v>153135</v>
      </c>
      <c r="AI66" s="434">
        <v>318267</v>
      </c>
      <c r="AJ66" s="434">
        <v>25093</v>
      </c>
      <c r="AK66" s="434">
        <v>0</v>
      </c>
      <c r="AL66" s="434">
        <v>1496472</v>
      </c>
      <c r="AM66" s="434">
        <v>0</v>
      </c>
    </row>
    <row r="67" spans="1:39" s="155" customFormat="1" ht="22.5" x14ac:dyDescent="0.2">
      <c r="A67" s="168">
        <v>13</v>
      </c>
      <c r="B67" s="519">
        <v>36676</v>
      </c>
      <c r="C67" s="518" t="s">
        <v>1167</v>
      </c>
      <c r="D67" s="432">
        <f t="shared" si="10"/>
        <v>3072058</v>
      </c>
      <c r="E67" s="434">
        <v>568040</v>
      </c>
      <c r="F67" s="434">
        <v>78164</v>
      </c>
      <c r="G67" s="434">
        <v>161480</v>
      </c>
      <c r="H67" s="434">
        <v>0</v>
      </c>
      <c r="I67" s="434">
        <v>1137968</v>
      </c>
      <c r="J67" s="434">
        <v>61000</v>
      </c>
      <c r="K67" s="434">
        <v>1235000</v>
      </c>
      <c r="L67" s="434">
        <v>0</v>
      </c>
      <c r="M67" s="434">
        <v>39714</v>
      </c>
      <c r="N67" s="434">
        <v>0</v>
      </c>
      <c r="O67" s="434">
        <v>30336</v>
      </c>
      <c r="P67" s="432">
        <f t="shared" si="2"/>
        <v>3004061</v>
      </c>
      <c r="Q67" s="434">
        <v>1412427</v>
      </c>
      <c r="R67" s="434">
        <v>1046240</v>
      </c>
      <c r="S67" s="434">
        <v>0</v>
      </c>
      <c r="T67" s="434">
        <v>0</v>
      </c>
      <c r="U67" s="434">
        <v>0</v>
      </c>
      <c r="V67" s="434">
        <v>9052</v>
      </c>
      <c r="W67" s="434">
        <v>0</v>
      </c>
      <c r="X67" s="434">
        <v>104230</v>
      </c>
      <c r="Y67" s="434">
        <v>14285</v>
      </c>
      <c r="Z67" s="434">
        <v>417827</v>
      </c>
      <c r="AA67" s="434">
        <v>0</v>
      </c>
      <c r="AB67" s="434">
        <v>0</v>
      </c>
      <c r="AC67" s="434">
        <v>825379</v>
      </c>
      <c r="AD67" s="434">
        <v>92314</v>
      </c>
      <c r="AE67" s="434">
        <v>1443841</v>
      </c>
      <c r="AF67" s="434">
        <v>21489</v>
      </c>
      <c r="AG67" s="434">
        <v>72208</v>
      </c>
      <c r="AH67" s="434">
        <v>129229</v>
      </c>
      <c r="AI67" s="434">
        <v>203601</v>
      </c>
      <c r="AJ67" s="434">
        <v>0</v>
      </c>
      <c r="AK67" s="434">
        <v>0</v>
      </c>
      <c r="AL67" s="434">
        <v>216000</v>
      </c>
      <c r="AM67" s="434">
        <v>0</v>
      </c>
    </row>
    <row r="68" spans="1:39" s="155" customFormat="1" ht="22.5" x14ac:dyDescent="0.2">
      <c r="A68" s="168">
        <v>14</v>
      </c>
      <c r="B68" s="519">
        <v>36756</v>
      </c>
      <c r="C68" s="518" t="s">
        <v>1168</v>
      </c>
      <c r="D68" s="432">
        <f t="shared" si="10"/>
        <v>7310382</v>
      </c>
      <c r="E68" s="434">
        <v>1590862</v>
      </c>
      <c r="F68" s="434">
        <v>203933</v>
      </c>
      <c r="G68" s="434">
        <v>805340</v>
      </c>
      <c r="H68" s="434">
        <v>0</v>
      </c>
      <c r="I68" s="434">
        <v>3671070</v>
      </c>
      <c r="J68" s="434">
        <v>97000</v>
      </c>
      <c r="K68" s="434">
        <v>1437000</v>
      </c>
      <c r="L68" s="434">
        <v>0</v>
      </c>
      <c r="M68" s="434">
        <v>514450</v>
      </c>
      <c r="N68" s="434">
        <v>0</v>
      </c>
      <c r="O68" s="434">
        <v>0</v>
      </c>
      <c r="P68" s="432">
        <f t="shared" si="2"/>
        <v>7034744</v>
      </c>
      <c r="Q68" s="434">
        <v>3680652</v>
      </c>
      <c r="R68" s="434">
        <v>1449695</v>
      </c>
      <c r="S68" s="434">
        <v>7960</v>
      </c>
      <c r="T68" s="434">
        <v>0</v>
      </c>
      <c r="U68" s="434">
        <v>0</v>
      </c>
      <c r="V68" s="434">
        <v>0</v>
      </c>
      <c r="W68" s="434">
        <v>0</v>
      </c>
      <c r="X68" s="434">
        <v>357187</v>
      </c>
      <c r="Y68" s="434">
        <v>21263</v>
      </c>
      <c r="Z68" s="434">
        <v>1079634</v>
      </c>
      <c r="AA68" s="434">
        <v>438353</v>
      </c>
      <c r="AB68" s="434">
        <v>0</v>
      </c>
      <c r="AC68" s="434">
        <v>933984</v>
      </c>
      <c r="AD68" s="434">
        <v>4200</v>
      </c>
      <c r="AE68" s="434">
        <v>3571301</v>
      </c>
      <c r="AF68" s="434">
        <v>0</v>
      </c>
      <c r="AG68" s="434">
        <v>75345</v>
      </c>
      <c r="AH68" s="434">
        <v>653116</v>
      </c>
      <c r="AI68" s="434">
        <v>229412</v>
      </c>
      <c r="AJ68" s="434">
        <v>3996</v>
      </c>
      <c r="AK68" s="434">
        <v>0</v>
      </c>
      <c r="AL68" s="434">
        <v>1487290</v>
      </c>
      <c r="AM68" s="434">
        <v>76100</v>
      </c>
    </row>
    <row r="69" spans="1:39" s="155" customFormat="1" ht="22.5" x14ac:dyDescent="0.2">
      <c r="A69" s="168">
        <v>15</v>
      </c>
      <c r="B69" s="519">
        <v>39975</v>
      </c>
      <c r="C69" s="518" t="s">
        <v>1169</v>
      </c>
      <c r="D69" s="432">
        <f t="shared" si="10"/>
        <v>7132267</v>
      </c>
      <c r="E69" s="434">
        <v>558510</v>
      </c>
      <c r="F69" s="434">
        <v>117523</v>
      </c>
      <c r="G69" s="434">
        <v>175780</v>
      </c>
      <c r="H69" s="434">
        <v>0</v>
      </c>
      <c r="I69" s="434">
        <v>1692000</v>
      </c>
      <c r="J69" s="434">
        <v>61000</v>
      </c>
      <c r="K69" s="434">
        <v>1474000</v>
      </c>
      <c r="L69" s="434">
        <v>0</v>
      </c>
      <c r="M69" s="434">
        <v>3317651</v>
      </c>
      <c r="N69" s="434">
        <v>0</v>
      </c>
      <c r="O69" s="434">
        <v>29106</v>
      </c>
      <c r="P69" s="432">
        <f t="shared" si="2"/>
        <v>7132164</v>
      </c>
      <c r="Q69" s="434">
        <v>2181847</v>
      </c>
      <c r="R69" s="434">
        <v>974933</v>
      </c>
      <c r="S69" s="434">
        <v>3364</v>
      </c>
      <c r="T69" s="434">
        <v>0</v>
      </c>
      <c r="U69" s="434">
        <v>39043</v>
      </c>
      <c r="V69" s="434">
        <v>55434</v>
      </c>
      <c r="W69" s="434">
        <v>0</v>
      </c>
      <c r="X69" s="434">
        <v>110175</v>
      </c>
      <c r="Y69" s="434">
        <v>2417</v>
      </c>
      <c r="Z69" s="434">
        <v>3753664</v>
      </c>
      <c r="AA69" s="434">
        <v>15000</v>
      </c>
      <c r="AB69" s="434">
        <v>-3713</v>
      </c>
      <c r="AC69" s="434">
        <v>1037700</v>
      </c>
      <c r="AD69" s="434">
        <v>44016</v>
      </c>
      <c r="AE69" s="434">
        <v>1522159</v>
      </c>
      <c r="AF69" s="434">
        <v>20740</v>
      </c>
      <c r="AG69" s="434">
        <v>192502</v>
      </c>
      <c r="AH69" s="434">
        <v>247704</v>
      </c>
      <c r="AI69" s="434">
        <v>1863672</v>
      </c>
      <c r="AJ69" s="434">
        <v>792764</v>
      </c>
      <c r="AK69" s="434">
        <v>0</v>
      </c>
      <c r="AL69" s="434">
        <v>1410907</v>
      </c>
      <c r="AM69" s="434">
        <v>0</v>
      </c>
    </row>
    <row r="70" spans="1:39" s="155" customFormat="1" ht="22.5" x14ac:dyDescent="0.2">
      <c r="A70" s="168">
        <v>16</v>
      </c>
      <c r="B70" s="519">
        <v>36809</v>
      </c>
      <c r="C70" s="518" t="s">
        <v>1170</v>
      </c>
      <c r="D70" s="432">
        <f t="shared" si="10"/>
        <v>7051993</v>
      </c>
      <c r="E70" s="434">
        <v>1429696</v>
      </c>
      <c r="F70" s="434">
        <v>274641</v>
      </c>
      <c r="G70" s="434">
        <v>352410</v>
      </c>
      <c r="H70" s="434">
        <v>0</v>
      </c>
      <c r="I70" s="434">
        <v>4064470</v>
      </c>
      <c r="J70" s="434">
        <v>310000</v>
      </c>
      <c r="K70" s="434">
        <v>1093000</v>
      </c>
      <c r="L70" s="434">
        <v>0</v>
      </c>
      <c r="M70" s="434">
        <v>80589</v>
      </c>
      <c r="N70" s="434">
        <v>0</v>
      </c>
      <c r="O70" s="434">
        <v>74238</v>
      </c>
      <c r="P70" s="432">
        <f t="shared" si="2"/>
        <v>6116056</v>
      </c>
      <c r="Q70" s="434">
        <v>4355216</v>
      </c>
      <c r="R70" s="434">
        <v>1405383</v>
      </c>
      <c r="S70" s="434">
        <v>0</v>
      </c>
      <c r="T70" s="434">
        <v>0</v>
      </c>
      <c r="U70" s="434">
        <v>0</v>
      </c>
      <c r="V70" s="434">
        <v>0</v>
      </c>
      <c r="W70" s="434">
        <v>0</v>
      </c>
      <c r="X70" s="434">
        <v>164076</v>
      </c>
      <c r="Y70" s="434">
        <v>10558</v>
      </c>
      <c r="Z70" s="434">
        <v>213538</v>
      </c>
      <c r="AA70" s="434">
        <v>0</v>
      </c>
      <c r="AB70" s="434">
        <v>-32715</v>
      </c>
      <c r="AC70" s="434">
        <v>738164</v>
      </c>
      <c r="AD70" s="434">
        <v>100210</v>
      </c>
      <c r="AE70" s="434">
        <v>4175958</v>
      </c>
      <c r="AF70" s="434">
        <v>70834</v>
      </c>
      <c r="AG70" s="434">
        <v>45893</v>
      </c>
      <c r="AH70" s="434">
        <v>395874</v>
      </c>
      <c r="AI70" s="434">
        <v>367013</v>
      </c>
      <c r="AJ70" s="434">
        <v>0</v>
      </c>
      <c r="AK70" s="434">
        <v>0</v>
      </c>
      <c r="AL70" s="434">
        <v>222110</v>
      </c>
      <c r="AM70" s="434">
        <v>0</v>
      </c>
    </row>
    <row r="71" spans="1:39" s="155" customFormat="1" ht="22.5" x14ac:dyDescent="0.2">
      <c r="A71" s="168">
        <v>17</v>
      </c>
      <c r="B71" s="519">
        <v>36907</v>
      </c>
      <c r="C71" s="518" t="s">
        <v>1171</v>
      </c>
      <c r="D71" s="432">
        <f t="shared" si="10"/>
        <v>4942644</v>
      </c>
      <c r="E71" s="434">
        <v>817004</v>
      </c>
      <c r="F71" s="434">
        <v>226759</v>
      </c>
      <c r="G71" s="434">
        <v>142020</v>
      </c>
      <c r="H71" s="434">
        <v>0</v>
      </c>
      <c r="I71" s="434">
        <v>2701762</v>
      </c>
      <c r="J71" s="434">
        <v>204000</v>
      </c>
      <c r="K71" s="434">
        <v>1128000</v>
      </c>
      <c r="L71" s="434">
        <v>0</v>
      </c>
      <c r="M71" s="434">
        <v>91878</v>
      </c>
      <c r="N71" s="434">
        <v>0</v>
      </c>
      <c r="O71" s="434">
        <v>0</v>
      </c>
      <c r="P71" s="432">
        <f t="shared" si="2"/>
        <v>4410527</v>
      </c>
      <c r="Q71" s="434">
        <v>2966305</v>
      </c>
      <c r="R71" s="434">
        <v>1074334</v>
      </c>
      <c r="S71" s="434">
        <v>0</v>
      </c>
      <c r="T71" s="434">
        <v>0</v>
      </c>
      <c r="U71" s="434">
        <v>0</v>
      </c>
      <c r="V71" s="434">
        <v>0</v>
      </c>
      <c r="W71" s="434">
        <v>0</v>
      </c>
      <c r="X71" s="434">
        <v>255630</v>
      </c>
      <c r="Y71" s="434">
        <v>47957</v>
      </c>
      <c r="Z71" s="434">
        <v>67933</v>
      </c>
      <c r="AA71" s="434">
        <v>0</v>
      </c>
      <c r="AB71" s="434">
        <v>-1632</v>
      </c>
      <c r="AC71" s="434">
        <v>759610</v>
      </c>
      <c r="AD71" s="434">
        <v>487</v>
      </c>
      <c r="AE71" s="434">
        <v>2436875</v>
      </c>
      <c r="AF71" s="434">
        <v>76155</v>
      </c>
      <c r="AG71" s="434">
        <v>91563</v>
      </c>
      <c r="AH71" s="434">
        <v>489266</v>
      </c>
      <c r="AI71" s="434">
        <v>113175</v>
      </c>
      <c r="AJ71" s="434">
        <v>77314</v>
      </c>
      <c r="AK71" s="434">
        <v>0</v>
      </c>
      <c r="AL71" s="434">
        <v>366082</v>
      </c>
      <c r="AM71" s="434">
        <v>0</v>
      </c>
    </row>
    <row r="72" spans="1:39" s="155" customFormat="1" ht="22.5" x14ac:dyDescent="0.2">
      <c r="A72" s="168">
        <v>18</v>
      </c>
      <c r="B72" s="519">
        <v>36952</v>
      </c>
      <c r="C72" s="518" t="s">
        <v>1172</v>
      </c>
      <c r="D72" s="432">
        <f t="shared" si="10"/>
        <v>4702059</v>
      </c>
      <c r="E72" s="434">
        <v>932720</v>
      </c>
      <c r="F72" s="434">
        <v>220913</v>
      </c>
      <c r="G72" s="434">
        <v>117590</v>
      </c>
      <c r="H72" s="434">
        <v>0</v>
      </c>
      <c r="I72" s="434">
        <v>1922356</v>
      </c>
      <c r="J72" s="434">
        <v>60000</v>
      </c>
      <c r="K72" s="434">
        <v>1049000</v>
      </c>
      <c r="L72" s="434">
        <v>0</v>
      </c>
      <c r="M72" s="434">
        <v>197570</v>
      </c>
      <c r="N72" s="434">
        <v>503207</v>
      </c>
      <c r="O72" s="434">
        <v>37206</v>
      </c>
      <c r="P72" s="432">
        <f t="shared" si="2"/>
        <v>4169741</v>
      </c>
      <c r="Q72" s="434">
        <v>2006428</v>
      </c>
      <c r="R72" s="434">
        <v>919648</v>
      </c>
      <c r="S72" s="434">
        <v>9685</v>
      </c>
      <c r="T72" s="434">
        <v>0</v>
      </c>
      <c r="U72" s="434">
        <v>0</v>
      </c>
      <c r="V72" s="434">
        <v>92000</v>
      </c>
      <c r="W72" s="434">
        <v>66055</v>
      </c>
      <c r="X72" s="434">
        <v>289113</v>
      </c>
      <c r="Y72" s="434">
        <v>5000</v>
      </c>
      <c r="Z72" s="434">
        <v>224396</v>
      </c>
      <c r="AA72" s="434">
        <v>560000</v>
      </c>
      <c r="AB72" s="434">
        <v>-2584</v>
      </c>
      <c r="AC72" s="434">
        <v>696346</v>
      </c>
      <c r="AD72" s="434">
        <v>129323</v>
      </c>
      <c r="AE72" s="434">
        <v>1925308</v>
      </c>
      <c r="AF72" s="434">
        <v>26603</v>
      </c>
      <c r="AG72" s="434">
        <v>46727</v>
      </c>
      <c r="AH72" s="434">
        <v>289113</v>
      </c>
      <c r="AI72" s="434">
        <v>175891</v>
      </c>
      <c r="AJ72" s="434">
        <v>48071</v>
      </c>
      <c r="AK72" s="434">
        <v>0</v>
      </c>
      <c r="AL72" s="434">
        <v>832359</v>
      </c>
      <c r="AM72" s="434">
        <v>0</v>
      </c>
    </row>
    <row r="73" spans="1:39" s="155" customFormat="1" ht="22.5" x14ac:dyDescent="0.2">
      <c r="A73" s="168">
        <v>19</v>
      </c>
      <c r="B73" s="519">
        <v>35759</v>
      </c>
      <c r="C73" s="518" t="s">
        <v>1173</v>
      </c>
      <c r="D73" s="432">
        <f t="shared" si="10"/>
        <v>5751131</v>
      </c>
      <c r="E73" s="434">
        <v>1868967</v>
      </c>
      <c r="F73" s="434">
        <v>570591</v>
      </c>
      <c r="G73" s="434">
        <v>339640</v>
      </c>
      <c r="H73" s="434">
        <v>0</v>
      </c>
      <c r="I73" s="434">
        <v>2057350</v>
      </c>
      <c r="J73" s="434">
        <v>68000</v>
      </c>
      <c r="K73" s="434">
        <v>784000</v>
      </c>
      <c r="L73" s="434">
        <v>0</v>
      </c>
      <c r="M73" s="434">
        <v>938170</v>
      </c>
      <c r="N73" s="434">
        <v>0</v>
      </c>
      <c r="O73" s="434">
        <v>34644</v>
      </c>
      <c r="P73" s="432">
        <f t="shared" si="2"/>
        <v>5251050</v>
      </c>
      <c r="Q73" s="434">
        <v>2396206</v>
      </c>
      <c r="R73" s="434">
        <v>1269096</v>
      </c>
      <c r="S73" s="434">
        <v>0</v>
      </c>
      <c r="T73" s="434">
        <v>0</v>
      </c>
      <c r="U73" s="434">
        <v>0</v>
      </c>
      <c r="V73" s="434">
        <v>0</v>
      </c>
      <c r="W73" s="434">
        <v>0</v>
      </c>
      <c r="X73" s="434">
        <v>137534</v>
      </c>
      <c r="Y73" s="434">
        <v>26580</v>
      </c>
      <c r="Z73" s="434">
        <v>1421634</v>
      </c>
      <c r="AA73" s="434">
        <v>0</v>
      </c>
      <c r="AB73" s="434">
        <v>0</v>
      </c>
      <c r="AC73" s="434">
        <v>853498</v>
      </c>
      <c r="AD73" s="434">
        <v>107461</v>
      </c>
      <c r="AE73" s="434">
        <v>1903400</v>
      </c>
      <c r="AF73" s="434">
        <v>15444</v>
      </c>
      <c r="AG73" s="434">
        <v>90334</v>
      </c>
      <c r="AH73" s="434">
        <v>477823</v>
      </c>
      <c r="AI73" s="434">
        <v>480842</v>
      </c>
      <c r="AJ73" s="434">
        <v>119586</v>
      </c>
      <c r="AK73" s="434">
        <v>0</v>
      </c>
      <c r="AL73" s="434">
        <v>1202662</v>
      </c>
      <c r="AM73" s="434">
        <v>0</v>
      </c>
    </row>
    <row r="74" spans="1:39" s="155" customFormat="1" ht="22.5" x14ac:dyDescent="0.2">
      <c r="A74" s="168">
        <v>20</v>
      </c>
      <c r="B74" s="519">
        <v>37057</v>
      </c>
      <c r="C74" s="518" t="s">
        <v>1174</v>
      </c>
      <c r="D74" s="432">
        <f t="shared" si="10"/>
        <v>4205630</v>
      </c>
      <c r="E74" s="434">
        <v>919584</v>
      </c>
      <c r="F74" s="434">
        <v>137232</v>
      </c>
      <c r="G74" s="434">
        <v>213665</v>
      </c>
      <c r="H74" s="434">
        <v>0</v>
      </c>
      <c r="I74" s="434">
        <v>1754800</v>
      </c>
      <c r="J74" s="434">
        <v>290000</v>
      </c>
      <c r="K74" s="434">
        <v>1042000</v>
      </c>
      <c r="L74" s="434">
        <v>0</v>
      </c>
      <c r="M74" s="434">
        <v>71852</v>
      </c>
      <c r="N74" s="434">
        <v>75690</v>
      </c>
      <c r="O74" s="434">
        <v>51704</v>
      </c>
      <c r="P74" s="432">
        <f t="shared" si="2"/>
        <v>4205332</v>
      </c>
      <c r="Q74" s="434">
        <v>2128097</v>
      </c>
      <c r="R74" s="434">
        <v>1359956</v>
      </c>
      <c r="S74" s="434">
        <v>0</v>
      </c>
      <c r="T74" s="434">
        <v>0</v>
      </c>
      <c r="U74" s="434">
        <v>0</v>
      </c>
      <c r="V74" s="434">
        <v>0</v>
      </c>
      <c r="W74" s="434">
        <v>98095</v>
      </c>
      <c r="X74" s="434">
        <v>206222</v>
      </c>
      <c r="Y74" s="434">
        <v>15922</v>
      </c>
      <c r="Z74" s="434">
        <v>397040</v>
      </c>
      <c r="AA74" s="434">
        <v>0</v>
      </c>
      <c r="AB74" s="434">
        <v>0</v>
      </c>
      <c r="AC74" s="434">
        <v>968603</v>
      </c>
      <c r="AD74" s="434">
        <v>148153</v>
      </c>
      <c r="AE74" s="434">
        <v>1544722</v>
      </c>
      <c r="AF74" s="434">
        <v>0</v>
      </c>
      <c r="AG74" s="434">
        <v>201469</v>
      </c>
      <c r="AH74" s="434">
        <v>352390</v>
      </c>
      <c r="AI74" s="434">
        <v>471055</v>
      </c>
      <c r="AJ74" s="434">
        <v>0</v>
      </c>
      <c r="AK74" s="434">
        <v>0</v>
      </c>
      <c r="AL74" s="434">
        <v>419564</v>
      </c>
      <c r="AM74" s="434">
        <v>99376</v>
      </c>
    </row>
    <row r="75" spans="1:39" s="155" customFormat="1" ht="22.5" x14ac:dyDescent="0.2">
      <c r="A75" s="168">
        <v>21</v>
      </c>
      <c r="B75" s="519">
        <v>37011</v>
      </c>
      <c r="C75" s="518" t="s">
        <v>1175</v>
      </c>
      <c r="D75" s="432">
        <f t="shared" si="10"/>
        <v>6534035</v>
      </c>
      <c r="E75" s="434">
        <v>858887</v>
      </c>
      <c r="F75" s="434">
        <v>167632</v>
      </c>
      <c r="G75" s="434">
        <v>120900</v>
      </c>
      <c r="H75" s="434">
        <v>0</v>
      </c>
      <c r="I75" s="434">
        <v>1336890</v>
      </c>
      <c r="J75" s="434">
        <v>227000</v>
      </c>
      <c r="K75" s="434">
        <v>1113000</v>
      </c>
      <c r="L75" s="434">
        <v>0</v>
      </c>
      <c r="M75" s="434">
        <v>735046</v>
      </c>
      <c r="N75" s="434">
        <v>2263212</v>
      </c>
      <c r="O75" s="434">
        <v>0</v>
      </c>
      <c r="P75" s="432">
        <f t="shared" si="2"/>
        <v>6029527</v>
      </c>
      <c r="Q75" s="434">
        <v>1959721</v>
      </c>
      <c r="R75" s="434">
        <v>718846</v>
      </c>
      <c r="S75" s="434">
        <v>2109</v>
      </c>
      <c r="T75" s="434">
        <v>0</v>
      </c>
      <c r="U75" s="434">
        <v>0</v>
      </c>
      <c r="V75" s="434">
        <v>0</v>
      </c>
      <c r="W75" s="434">
        <v>2556187</v>
      </c>
      <c r="X75" s="434">
        <v>57593</v>
      </c>
      <c r="Y75" s="434">
        <v>1000</v>
      </c>
      <c r="Z75" s="434">
        <v>434071</v>
      </c>
      <c r="AA75" s="434">
        <v>300000</v>
      </c>
      <c r="AB75" s="434">
        <v>0</v>
      </c>
      <c r="AC75" s="434">
        <v>692921</v>
      </c>
      <c r="AD75" s="434">
        <v>30588</v>
      </c>
      <c r="AE75" s="434">
        <v>1143198</v>
      </c>
      <c r="AF75" s="434">
        <v>25928</v>
      </c>
      <c r="AG75" s="434">
        <v>55358</v>
      </c>
      <c r="AH75" s="434">
        <v>312294</v>
      </c>
      <c r="AI75" s="434">
        <v>378992</v>
      </c>
      <c r="AJ75" s="434">
        <v>0</v>
      </c>
      <c r="AK75" s="434">
        <v>0</v>
      </c>
      <c r="AL75" s="434">
        <v>3390248</v>
      </c>
      <c r="AM75" s="434">
        <v>0</v>
      </c>
    </row>
    <row r="76" spans="1:39" s="155" customFormat="1" ht="22.5" x14ac:dyDescent="0.2">
      <c r="A76" s="168">
        <v>22</v>
      </c>
      <c r="B76" s="519">
        <v>39959</v>
      </c>
      <c r="C76" s="518" t="s">
        <v>1176</v>
      </c>
      <c r="D76" s="432">
        <f t="shared" si="10"/>
        <v>2511481</v>
      </c>
      <c r="E76" s="434">
        <v>459639</v>
      </c>
      <c r="F76" s="434">
        <v>47124</v>
      </c>
      <c r="G76" s="434">
        <v>159820</v>
      </c>
      <c r="H76" s="434">
        <v>0</v>
      </c>
      <c r="I76" s="434">
        <v>698510</v>
      </c>
      <c r="J76" s="434">
        <v>56000</v>
      </c>
      <c r="K76" s="434">
        <v>1271000</v>
      </c>
      <c r="L76" s="434">
        <v>0</v>
      </c>
      <c r="M76" s="434">
        <v>26332</v>
      </c>
      <c r="N76" s="434">
        <v>0</v>
      </c>
      <c r="O76" s="434">
        <v>0</v>
      </c>
      <c r="P76" s="432">
        <f t="shared" si="2"/>
        <v>8161743</v>
      </c>
      <c r="Q76" s="434">
        <v>1181417</v>
      </c>
      <c r="R76" s="434">
        <v>1249434</v>
      </c>
      <c r="S76" s="434">
        <v>0</v>
      </c>
      <c r="T76" s="434">
        <v>0</v>
      </c>
      <c r="U76" s="434">
        <v>0</v>
      </c>
      <c r="V76" s="434">
        <v>0</v>
      </c>
      <c r="W76" s="434">
        <v>0</v>
      </c>
      <c r="X76" s="434">
        <v>1832</v>
      </c>
      <c r="Y76" s="434">
        <v>20671</v>
      </c>
      <c r="Z76" s="434">
        <v>5709559</v>
      </c>
      <c r="AA76" s="434">
        <v>0</v>
      </c>
      <c r="AB76" s="434">
        <v>-1170</v>
      </c>
      <c r="AC76" s="434">
        <v>903937</v>
      </c>
      <c r="AD76" s="434">
        <v>102685</v>
      </c>
      <c r="AE76" s="434">
        <v>624509</v>
      </c>
      <c r="AF76" s="434">
        <v>27772</v>
      </c>
      <c r="AG76" s="434">
        <v>92671</v>
      </c>
      <c r="AH76" s="434">
        <v>90647</v>
      </c>
      <c r="AI76" s="434">
        <v>78980</v>
      </c>
      <c r="AJ76" s="434">
        <v>28167</v>
      </c>
      <c r="AK76" s="434">
        <v>0</v>
      </c>
      <c r="AL76" s="434">
        <v>6212375</v>
      </c>
      <c r="AM76" s="434">
        <v>0</v>
      </c>
    </row>
    <row r="77" spans="1:39" s="155" customFormat="1" ht="22.5" x14ac:dyDescent="0.2">
      <c r="A77" s="168">
        <v>23</v>
      </c>
      <c r="B77" s="519">
        <v>37100</v>
      </c>
      <c r="C77" s="518" t="s">
        <v>1177</v>
      </c>
      <c r="D77" s="432">
        <f t="shared" si="10"/>
        <v>3709447</v>
      </c>
      <c r="E77" s="434">
        <v>752735</v>
      </c>
      <c r="F77" s="434">
        <v>94409</v>
      </c>
      <c r="G77" s="434">
        <v>141190</v>
      </c>
      <c r="H77" s="434">
        <v>0</v>
      </c>
      <c r="I77" s="434">
        <v>1461537</v>
      </c>
      <c r="J77" s="434">
        <v>278000</v>
      </c>
      <c r="K77" s="434">
        <v>1138000</v>
      </c>
      <c r="L77" s="434">
        <v>0</v>
      </c>
      <c r="M77" s="434">
        <v>38109</v>
      </c>
      <c r="N77" s="434">
        <v>0</v>
      </c>
      <c r="O77" s="434">
        <v>41066</v>
      </c>
      <c r="P77" s="432">
        <f t="shared" si="2"/>
        <v>3017602</v>
      </c>
      <c r="Q77" s="434">
        <v>1839166</v>
      </c>
      <c r="R77" s="434">
        <v>598705</v>
      </c>
      <c r="S77" s="434">
        <v>0</v>
      </c>
      <c r="T77" s="434">
        <v>0</v>
      </c>
      <c r="U77" s="434">
        <v>0</v>
      </c>
      <c r="V77" s="434">
        <v>0</v>
      </c>
      <c r="W77" s="434">
        <v>0</v>
      </c>
      <c r="X77" s="434">
        <v>89161</v>
      </c>
      <c r="Y77" s="434">
        <v>2968</v>
      </c>
      <c r="Z77" s="434">
        <v>487602</v>
      </c>
      <c r="AA77" s="434">
        <v>0</v>
      </c>
      <c r="AB77" s="434">
        <v>0</v>
      </c>
      <c r="AC77" s="434">
        <v>808862</v>
      </c>
      <c r="AD77" s="434">
        <v>24081</v>
      </c>
      <c r="AE77" s="434">
        <v>1328031</v>
      </c>
      <c r="AF77" s="434">
        <v>23907</v>
      </c>
      <c r="AG77" s="434">
        <v>89071</v>
      </c>
      <c r="AH77" s="434">
        <v>201178</v>
      </c>
      <c r="AI77" s="434">
        <v>55707</v>
      </c>
      <c r="AJ77" s="434">
        <v>44950</v>
      </c>
      <c r="AK77" s="434">
        <v>0</v>
      </c>
      <c r="AL77" s="434">
        <v>441815</v>
      </c>
      <c r="AM77" s="434">
        <v>0</v>
      </c>
    </row>
    <row r="78" spans="1:39" s="155" customFormat="1" ht="22.5" x14ac:dyDescent="0.2">
      <c r="A78" s="168">
        <v>24</v>
      </c>
      <c r="B78" s="519">
        <v>37173</v>
      </c>
      <c r="C78" s="518" t="s">
        <v>1178</v>
      </c>
      <c r="D78" s="432">
        <f t="shared" si="10"/>
        <v>7386348</v>
      </c>
      <c r="E78" s="434">
        <v>969848</v>
      </c>
      <c r="F78" s="434">
        <v>230390</v>
      </c>
      <c r="G78" s="434">
        <v>123400</v>
      </c>
      <c r="H78" s="434">
        <v>0</v>
      </c>
      <c r="I78" s="434">
        <v>1423944</v>
      </c>
      <c r="J78" s="434">
        <v>137000</v>
      </c>
      <c r="K78" s="434">
        <v>1058000</v>
      </c>
      <c r="L78" s="434">
        <v>0</v>
      </c>
      <c r="M78" s="434">
        <v>2113571</v>
      </c>
      <c r="N78" s="434">
        <v>1649687</v>
      </c>
      <c r="O78" s="434">
        <v>34298</v>
      </c>
      <c r="P78" s="432">
        <f t="shared" si="2"/>
        <v>5611162</v>
      </c>
      <c r="Q78" s="434">
        <v>1870387</v>
      </c>
      <c r="R78" s="434">
        <v>975664</v>
      </c>
      <c r="S78" s="434">
        <v>0</v>
      </c>
      <c r="T78" s="434">
        <v>0</v>
      </c>
      <c r="U78" s="434">
        <v>18213</v>
      </c>
      <c r="V78" s="434">
        <v>0</v>
      </c>
      <c r="W78" s="434">
        <v>0</v>
      </c>
      <c r="X78" s="434">
        <v>96358</v>
      </c>
      <c r="Y78" s="434">
        <v>21000</v>
      </c>
      <c r="Z78" s="434">
        <v>2629540</v>
      </c>
      <c r="AA78" s="434">
        <v>0</v>
      </c>
      <c r="AB78" s="434">
        <v>0</v>
      </c>
      <c r="AC78" s="434">
        <v>671826</v>
      </c>
      <c r="AD78" s="434">
        <v>19943</v>
      </c>
      <c r="AE78" s="434">
        <v>1363351</v>
      </c>
      <c r="AF78" s="434">
        <v>17503</v>
      </c>
      <c r="AG78" s="434">
        <v>466065</v>
      </c>
      <c r="AH78" s="434">
        <v>306196</v>
      </c>
      <c r="AI78" s="434">
        <v>491732</v>
      </c>
      <c r="AJ78" s="434">
        <v>29292</v>
      </c>
      <c r="AK78" s="434">
        <v>0</v>
      </c>
      <c r="AL78" s="434">
        <v>2245254</v>
      </c>
      <c r="AM78" s="434">
        <v>0</v>
      </c>
    </row>
    <row r="79" spans="1:39" s="155" customFormat="1" ht="22.5" x14ac:dyDescent="0.2">
      <c r="A79" s="168">
        <v>25</v>
      </c>
      <c r="B79" s="519">
        <v>37217</v>
      </c>
      <c r="C79" s="518" t="s">
        <v>1179</v>
      </c>
      <c r="D79" s="432">
        <f t="shared" si="10"/>
        <v>10109921</v>
      </c>
      <c r="E79" s="434">
        <v>963097</v>
      </c>
      <c r="F79" s="434">
        <v>143760</v>
      </c>
      <c r="G79" s="434">
        <v>256460</v>
      </c>
      <c r="H79" s="434">
        <v>0</v>
      </c>
      <c r="I79" s="434">
        <v>1956462</v>
      </c>
      <c r="J79" s="434">
        <v>284000</v>
      </c>
      <c r="K79" s="434">
        <v>1152000</v>
      </c>
      <c r="L79" s="434">
        <v>0</v>
      </c>
      <c r="M79" s="434">
        <v>2652708</v>
      </c>
      <c r="N79" s="434">
        <v>3056768</v>
      </c>
      <c r="O79" s="434">
        <v>44886</v>
      </c>
      <c r="P79" s="432">
        <f t="shared" ref="P79:P132" si="13">IF(SUM(Q79:AB79)=SUM(AC79:AM79),SUM(Q79:AB79),"  EROARE ART/CAP")</f>
        <v>10007986</v>
      </c>
      <c r="Q79" s="434">
        <v>2125373</v>
      </c>
      <c r="R79" s="434">
        <v>897402</v>
      </c>
      <c r="S79" s="434">
        <v>0</v>
      </c>
      <c r="T79" s="434">
        <v>0</v>
      </c>
      <c r="U79" s="434">
        <v>0</v>
      </c>
      <c r="V79" s="434">
        <v>0</v>
      </c>
      <c r="W79" s="434">
        <v>4538849</v>
      </c>
      <c r="X79" s="434">
        <v>190823</v>
      </c>
      <c r="Y79" s="434">
        <v>15104</v>
      </c>
      <c r="Z79" s="434">
        <v>2240435</v>
      </c>
      <c r="AA79" s="434">
        <v>0</v>
      </c>
      <c r="AB79" s="434">
        <v>0</v>
      </c>
      <c r="AC79" s="434">
        <v>877982</v>
      </c>
      <c r="AD79" s="434">
        <v>22166</v>
      </c>
      <c r="AE79" s="434">
        <v>1749447</v>
      </c>
      <c r="AF79" s="434">
        <v>0</v>
      </c>
      <c r="AG79" s="434">
        <v>88165</v>
      </c>
      <c r="AH79" s="434">
        <v>330597</v>
      </c>
      <c r="AI79" s="434">
        <v>4737850</v>
      </c>
      <c r="AJ79" s="434">
        <v>37716</v>
      </c>
      <c r="AK79" s="434">
        <v>0</v>
      </c>
      <c r="AL79" s="434">
        <v>2164063</v>
      </c>
      <c r="AM79" s="434">
        <v>0</v>
      </c>
    </row>
    <row r="80" spans="1:39" s="155" customFormat="1" ht="22.5" x14ac:dyDescent="0.2">
      <c r="A80" s="168">
        <v>26</v>
      </c>
      <c r="B80" s="519">
        <v>37324</v>
      </c>
      <c r="C80" s="518" t="s">
        <v>1180</v>
      </c>
      <c r="D80" s="432">
        <f t="shared" si="10"/>
        <v>6556634</v>
      </c>
      <c r="E80" s="434">
        <v>1599652</v>
      </c>
      <c r="F80" s="434">
        <v>664584</v>
      </c>
      <c r="G80" s="434">
        <v>278670</v>
      </c>
      <c r="H80" s="434">
        <v>0</v>
      </c>
      <c r="I80" s="434">
        <v>3062000</v>
      </c>
      <c r="J80" s="434">
        <v>86000</v>
      </c>
      <c r="K80" s="434">
        <v>1144000</v>
      </c>
      <c r="L80" s="434">
        <v>0</v>
      </c>
      <c r="M80" s="434">
        <v>365620</v>
      </c>
      <c r="N80" s="434">
        <v>248328</v>
      </c>
      <c r="O80" s="434">
        <v>51034</v>
      </c>
      <c r="P80" s="432">
        <f t="shared" si="13"/>
        <v>5953011</v>
      </c>
      <c r="Q80" s="434">
        <v>3375412</v>
      </c>
      <c r="R80" s="434">
        <v>1312782</v>
      </c>
      <c r="S80" s="434">
        <v>0</v>
      </c>
      <c r="T80" s="434">
        <v>0</v>
      </c>
      <c r="U80" s="434">
        <v>0</v>
      </c>
      <c r="V80" s="434">
        <v>17000</v>
      </c>
      <c r="W80" s="434">
        <v>0</v>
      </c>
      <c r="X80" s="434">
        <v>360715</v>
      </c>
      <c r="Y80" s="434">
        <v>76000</v>
      </c>
      <c r="Z80" s="434">
        <v>818999</v>
      </c>
      <c r="AA80" s="434">
        <v>0</v>
      </c>
      <c r="AB80" s="434">
        <v>-7897</v>
      </c>
      <c r="AC80" s="434">
        <v>1081939</v>
      </c>
      <c r="AD80" s="434">
        <v>123951</v>
      </c>
      <c r="AE80" s="434">
        <v>3136397</v>
      </c>
      <c r="AF80" s="434">
        <v>0</v>
      </c>
      <c r="AG80" s="434">
        <v>337709</v>
      </c>
      <c r="AH80" s="434">
        <v>360715</v>
      </c>
      <c r="AI80" s="434">
        <v>376216</v>
      </c>
      <c r="AJ80" s="434">
        <v>0</v>
      </c>
      <c r="AK80" s="434">
        <v>0</v>
      </c>
      <c r="AL80" s="434">
        <v>536084</v>
      </c>
      <c r="AM80" s="434">
        <v>0</v>
      </c>
    </row>
    <row r="81" spans="1:39" s="155" customFormat="1" ht="22.5" x14ac:dyDescent="0.2">
      <c r="A81" s="168">
        <v>27</v>
      </c>
      <c r="B81" s="519">
        <v>37397</v>
      </c>
      <c r="C81" s="518" t="s">
        <v>1181</v>
      </c>
      <c r="D81" s="432">
        <f t="shared" si="10"/>
        <v>3923605</v>
      </c>
      <c r="E81" s="434">
        <v>761923</v>
      </c>
      <c r="F81" s="434">
        <v>109828</v>
      </c>
      <c r="G81" s="434">
        <v>136040</v>
      </c>
      <c r="H81" s="434">
        <v>0</v>
      </c>
      <c r="I81" s="434">
        <v>1646377</v>
      </c>
      <c r="J81" s="434">
        <v>284000</v>
      </c>
      <c r="K81" s="434">
        <v>1230000</v>
      </c>
      <c r="L81" s="434">
        <v>0</v>
      </c>
      <c r="M81" s="434">
        <v>1305</v>
      </c>
      <c r="N81" s="434">
        <v>0</v>
      </c>
      <c r="O81" s="434">
        <v>0</v>
      </c>
      <c r="P81" s="432">
        <f t="shared" si="13"/>
        <v>3304020</v>
      </c>
      <c r="Q81" s="434">
        <v>1829037</v>
      </c>
      <c r="R81" s="434">
        <v>1130409</v>
      </c>
      <c r="S81" s="434">
        <v>0</v>
      </c>
      <c r="T81" s="434">
        <v>0</v>
      </c>
      <c r="U81" s="434">
        <v>0</v>
      </c>
      <c r="V81" s="434">
        <v>0</v>
      </c>
      <c r="W81" s="434">
        <v>0</v>
      </c>
      <c r="X81" s="434">
        <v>77126</v>
      </c>
      <c r="Y81" s="434">
        <v>6400</v>
      </c>
      <c r="Z81" s="434">
        <v>261948</v>
      </c>
      <c r="AA81" s="434">
        <v>0</v>
      </c>
      <c r="AB81" s="434">
        <v>-900</v>
      </c>
      <c r="AC81" s="434">
        <v>747784</v>
      </c>
      <c r="AD81" s="434">
        <v>82085</v>
      </c>
      <c r="AE81" s="434">
        <v>1733411</v>
      </c>
      <c r="AF81" s="434">
        <v>993</v>
      </c>
      <c r="AG81" s="434">
        <v>60817</v>
      </c>
      <c r="AH81" s="434">
        <v>216449</v>
      </c>
      <c r="AI81" s="434">
        <v>182519</v>
      </c>
      <c r="AJ81" s="434">
        <v>49197</v>
      </c>
      <c r="AK81" s="434">
        <v>0</v>
      </c>
      <c r="AL81" s="434">
        <v>230765</v>
      </c>
      <c r="AM81" s="434">
        <v>0</v>
      </c>
    </row>
    <row r="82" spans="1:39" s="155" customFormat="1" ht="22.5" x14ac:dyDescent="0.2">
      <c r="A82" s="168">
        <v>28</v>
      </c>
      <c r="B82" s="519">
        <v>37459</v>
      </c>
      <c r="C82" s="518" t="s">
        <v>1182</v>
      </c>
      <c r="D82" s="432">
        <f t="shared" si="10"/>
        <v>6514595</v>
      </c>
      <c r="E82" s="434">
        <v>802369</v>
      </c>
      <c r="F82" s="434">
        <v>149276</v>
      </c>
      <c r="G82" s="434">
        <v>120900</v>
      </c>
      <c r="H82" s="434">
        <v>0</v>
      </c>
      <c r="I82" s="434">
        <v>2390000</v>
      </c>
      <c r="J82" s="434">
        <v>101000</v>
      </c>
      <c r="K82" s="434">
        <v>957000</v>
      </c>
      <c r="L82" s="434">
        <v>0</v>
      </c>
      <c r="M82" s="434">
        <v>2264226</v>
      </c>
      <c r="N82" s="434">
        <v>0</v>
      </c>
      <c r="O82" s="434">
        <v>0</v>
      </c>
      <c r="P82" s="432">
        <f t="shared" si="13"/>
        <v>6480487</v>
      </c>
      <c r="Q82" s="434">
        <v>2774740</v>
      </c>
      <c r="R82" s="434">
        <v>1007672</v>
      </c>
      <c r="S82" s="434">
        <v>0</v>
      </c>
      <c r="T82" s="434">
        <v>0</v>
      </c>
      <c r="U82" s="434">
        <v>0</v>
      </c>
      <c r="V82" s="434">
        <v>0</v>
      </c>
      <c r="W82" s="434">
        <v>0</v>
      </c>
      <c r="X82" s="434">
        <v>141937</v>
      </c>
      <c r="Y82" s="434">
        <v>18340</v>
      </c>
      <c r="Z82" s="434">
        <v>2537798</v>
      </c>
      <c r="AA82" s="434">
        <v>0</v>
      </c>
      <c r="AB82" s="434">
        <v>0</v>
      </c>
      <c r="AC82" s="434">
        <v>555814</v>
      </c>
      <c r="AD82" s="434">
        <v>128897</v>
      </c>
      <c r="AE82" s="434">
        <v>2325956</v>
      </c>
      <c r="AF82" s="434">
        <v>47877</v>
      </c>
      <c r="AG82" s="434">
        <v>51700</v>
      </c>
      <c r="AH82" s="434">
        <v>417438</v>
      </c>
      <c r="AI82" s="434">
        <v>442450</v>
      </c>
      <c r="AJ82" s="434">
        <v>57958</v>
      </c>
      <c r="AK82" s="434">
        <v>0</v>
      </c>
      <c r="AL82" s="434">
        <v>2452397</v>
      </c>
      <c r="AM82" s="434">
        <v>0</v>
      </c>
    </row>
    <row r="83" spans="1:39" s="155" customFormat="1" ht="22.5" x14ac:dyDescent="0.2">
      <c r="A83" s="168">
        <v>29</v>
      </c>
      <c r="B83" s="519">
        <v>37618</v>
      </c>
      <c r="C83" s="518" t="s">
        <v>1183</v>
      </c>
      <c r="D83" s="432">
        <f t="shared" si="10"/>
        <v>4025383</v>
      </c>
      <c r="E83" s="434">
        <v>850698</v>
      </c>
      <c r="F83" s="434">
        <v>136141</v>
      </c>
      <c r="G83" s="434">
        <v>105600</v>
      </c>
      <c r="H83" s="434">
        <v>0</v>
      </c>
      <c r="I83" s="434">
        <v>1477328</v>
      </c>
      <c r="J83" s="434">
        <v>277000</v>
      </c>
      <c r="K83" s="434">
        <v>898000</v>
      </c>
      <c r="L83" s="434">
        <v>0</v>
      </c>
      <c r="M83" s="434">
        <v>392444</v>
      </c>
      <c r="N83" s="434">
        <v>94075</v>
      </c>
      <c r="O83" s="434">
        <v>35838</v>
      </c>
      <c r="P83" s="432">
        <f t="shared" si="13"/>
        <v>3484138</v>
      </c>
      <c r="Q83" s="434">
        <v>1981485</v>
      </c>
      <c r="R83" s="434">
        <v>840436</v>
      </c>
      <c r="S83" s="434">
        <v>0</v>
      </c>
      <c r="T83" s="434">
        <v>0</v>
      </c>
      <c r="U83" s="434">
        <v>0</v>
      </c>
      <c r="V83" s="434">
        <v>0</v>
      </c>
      <c r="W83" s="434">
        <v>203815</v>
      </c>
      <c r="X83" s="434">
        <v>105459</v>
      </c>
      <c r="Y83" s="434">
        <v>9840</v>
      </c>
      <c r="Z83" s="434">
        <v>351069</v>
      </c>
      <c r="AA83" s="434">
        <v>0</v>
      </c>
      <c r="AB83" s="434">
        <v>-7966</v>
      </c>
      <c r="AC83" s="434">
        <v>904603</v>
      </c>
      <c r="AD83" s="434">
        <v>80938</v>
      </c>
      <c r="AE83" s="434">
        <v>1428117</v>
      </c>
      <c r="AF83" s="434">
        <v>28372</v>
      </c>
      <c r="AG83" s="434">
        <v>275383</v>
      </c>
      <c r="AH83" s="434">
        <v>229536</v>
      </c>
      <c r="AI83" s="434">
        <v>202580</v>
      </c>
      <c r="AJ83" s="434">
        <v>0</v>
      </c>
      <c r="AK83" s="434">
        <v>0</v>
      </c>
      <c r="AL83" s="434">
        <v>334609</v>
      </c>
      <c r="AM83" s="434">
        <v>0</v>
      </c>
    </row>
    <row r="84" spans="1:39" s="155" customFormat="1" ht="22.5" x14ac:dyDescent="0.2">
      <c r="A84" s="168">
        <v>30</v>
      </c>
      <c r="B84" s="519">
        <v>37547</v>
      </c>
      <c r="C84" s="518" t="s">
        <v>1184</v>
      </c>
      <c r="D84" s="432">
        <f t="shared" si="10"/>
        <v>5290360</v>
      </c>
      <c r="E84" s="434">
        <v>1546117</v>
      </c>
      <c r="F84" s="434">
        <v>163898</v>
      </c>
      <c r="G84" s="434">
        <v>393160</v>
      </c>
      <c r="H84" s="434">
        <v>0</v>
      </c>
      <c r="I84" s="434">
        <v>1919807</v>
      </c>
      <c r="J84" s="434">
        <v>102000</v>
      </c>
      <c r="K84" s="434">
        <v>954000</v>
      </c>
      <c r="L84" s="434">
        <v>0</v>
      </c>
      <c r="M84" s="434">
        <v>582720</v>
      </c>
      <c r="N84" s="434">
        <v>128368</v>
      </c>
      <c r="O84" s="434">
        <v>57348</v>
      </c>
      <c r="P84" s="432">
        <f t="shared" si="13"/>
        <v>5134276</v>
      </c>
      <c r="Q84" s="434">
        <v>2188925</v>
      </c>
      <c r="R84" s="434">
        <v>1193494</v>
      </c>
      <c r="S84" s="434">
        <v>0</v>
      </c>
      <c r="T84" s="434">
        <v>0</v>
      </c>
      <c r="U84" s="434">
        <v>0</v>
      </c>
      <c r="V84" s="434">
        <v>0</v>
      </c>
      <c r="W84" s="434">
        <v>383192</v>
      </c>
      <c r="X84" s="434">
        <v>121368</v>
      </c>
      <c r="Y84" s="434">
        <v>18892</v>
      </c>
      <c r="Z84" s="434">
        <v>1236109</v>
      </c>
      <c r="AA84" s="434">
        <v>0</v>
      </c>
      <c r="AB84" s="434">
        <v>-7704</v>
      </c>
      <c r="AC84" s="434">
        <v>691672</v>
      </c>
      <c r="AD84" s="434">
        <v>160855</v>
      </c>
      <c r="AE84" s="434">
        <v>1888747</v>
      </c>
      <c r="AF84" s="434">
        <v>7445</v>
      </c>
      <c r="AG84" s="434">
        <v>541305</v>
      </c>
      <c r="AH84" s="434">
        <v>304930</v>
      </c>
      <c r="AI84" s="434">
        <v>561717</v>
      </c>
      <c r="AJ84" s="434">
        <v>97092</v>
      </c>
      <c r="AK84" s="434">
        <v>0</v>
      </c>
      <c r="AL84" s="434">
        <v>809525</v>
      </c>
      <c r="AM84" s="434">
        <v>70988</v>
      </c>
    </row>
    <row r="85" spans="1:39" s="155" customFormat="1" ht="22.5" x14ac:dyDescent="0.2">
      <c r="A85" s="168">
        <v>31</v>
      </c>
      <c r="B85" s="519">
        <v>37672</v>
      </c>
      <c r="C85" s="518" t="s">
        <v>1185</v>
      </c>
      <c r="D85" s="432">
        <f t="shared" si="10"/>
        <v>5789103</v>
      </c>
      <c r="E85" s="434">
        <v>743648</v>
      </c>
      <c r="F85" s="434">
        <v>139930</v>
      </c>
      <c r="G85" s="434">
        <v>144520</v>
      </c>
      <c r="H85" s="434">
        <v>0</v>
      </c>
      <c r="I85" s="434">
        <v>2272420</v>
      </c>
      <c r="J85" s="434">
        <v>114000</v>
      </c>
      <c r="K85" s="434">
        <v>1238000</v>
      </c>
      <c r="L85" s="434">
        <v>0</v>
      </c>
      <c r="M85" s="434">
        <v>1385953</v>
      </c>
      <c r="N85" s="434">
        <v>0</v>
      </c>
      <c r="O85" s="434">
        <v>35082</v>
      </c>
      <c r="P85" s="432">
        <f t="shared" si="13"/>
        <v>5734428</v>
      </c>
      <c r="Q85" s="434">
        <v>2585287</v>
      </c>
      <c r="R85" s="434">
        <v>1293301</v>
      </c>
      <c r="S85" s="434">
        <v>0</v>
      </c>
      <c r="T85" s="434">
        <v>0</v>
      </c>
      <c r="U85" s="434">
        <v>0</v>
      </c>
      <c r="V85" s="434">
        <v>0</v>
      </c>
      <c r="W85" s="434">
        <v>0</v>
      </c>
      <c r="X85" s="434">
        <v>159231</v>
      </c>
      <c r="Y85" s="434">
        <v>45042</v>
      </c>
      <c r="Z85" s="434">
        <v>1659515</v>
      </c>
      <c r="AA85" s="434">
        <v>0</v>
      </c>
      <c r="AB85" s="434">
        <v>-7948</v>
      </c>
      <c r="AC85" s="434">
        <v>903593</v>
      </c>
      <c r="AD85" s="434">
        <v>83546</v>
      </c>
      <c r="AE85" s="434">
        <v>2021722</v>
      </c>
      <c r="AF85" s="434">
        <v>29455</v>
      </c>
      <c r="AG85" s="434">
        <v>94897</v>
      </c>
      <c r="AH85" s="434">
        <v>474960</v>
      </c>
      <c r="AI85" s="434">
        <v>449038</v>
      </c>
      <c r="AJ85" s="434">
        <v>47071</v>
      </c>
      <c r="AK85" s="434">
        <v>0</v>
      </c>
      <c r="AL85" s="434">
        <v>1630146</v>
      </c>
      <c r="AM85" s="434">
        <v>0</v>
      </c>
    </row>
    <row r="86" spans="1:39" s="155" customFormat="1" ht="22.5" x14ac:dyDescent="0.2">
      <c r="A86" s="168">
        <v>32</v>
      </c>
      <c r="B86" s="519">
        <v>37734</v>
      </c>
      <c r="C86" s="518" t="s">
        <v>1186</v>
      </c>
      <c r="D86" s="432">
        <f t="shared" si="10"/>
        <v>6186587</v>
      </c>
      <c r="E86" s="434">
        <v>1095833</v>
      </c>
      <c r="F86" s="434">
        <v>161142</v>
      </c>
      <c r="G86" s="434">
        <v>312530</v>
      </c>
      <c r="H86" s="434">
        <v>0</v>
      </c>
      <c r="I86" s="434">
        <v>1774633</v>
      </c>
      <c r="J86" s="434">
        <v>209000</v>
      </c>
      <c r="K86" s="434">
        <v>976000</v>
      </c>
      <c r="L86" s="434">
        <v>0</v>
      </c>
      <c r="M86" s="434">
        <v>1877494</v>
      </c>
      <c r="N86" s="434">
        <v>253627</v>
      </c>
      <c r="O86" s="434">
        <v>0</v>
      </c>
      <c r="P86" s="432">
        <f t="shared" si="13"/>
        <v>5984832</v>
      </c>
      <c r="Q86" s="434">
        <v>2012111</v>
      </c>
      <c r="R86" s="434">
        <v>1492703</v>
      </c>
      <c r="S86" s="434">
        <v>5235</v>
      </c>
      <c r="T86" s="434">
        <v>0</v>
      </c>
      <c r="U86" s="434">
        <v>0</v>
      </c>
      <c r="V86" s="434">
        <v>0</v>
      </c>
      <c r="W86" s="434">
        <v>124000</v>
      </c>
      <c r="X86" s="434">
        <v>155680</v>
      </c>
      <c r="Y86" s="434">
        <v>140517</v>
      </c>
      <c r="Z86" s="434">
        <v>2054586</v>
      </c>
      <c r="AA86" s="434">
        <v>0</v>
      </c>
      <c r="AB86" s="434">
        <v>0</v>
      </c>
      <c r="AC86" s="434">
        <v>578875</v>
      </c>
      <c r="AD86" s="434">
        <v>108543</v>
      </c>
      <c r="AE86" s="434">
        <v>1610170</v>
      </c>
      <c r="AF86" s="434">
        <v>0</v>
      </c>
      <c r="AG86" s="434">
        <v>538790</v>
      </c>
      <c r="AH86" s="434">
        <v>327393</v>
      </c>
      <c r="AI86" s="434">
        <v>709168</v>
      </c>
      <c r="AJ86" s="434">
        <v>79198</v>
      </c>
      <c r="AK86" s="434">
        <v>0</v>
      </c>
      <c r="AL86" s="434">
        <v>2006233</v>
      </c>
      <c r="AM86" s="434">
        <v>26462</v>
      </c>
    </row>
    <row r="87" spans="1:39" s="155" customFormat="1" ht="22.5" x14ac:dyDescent="0.2">
      <c r="A87" s="168">
        <v>33</v>
      </c>
      <c r="B87" s="519">
        <v>37770</v>
      </c>
      <c r="C87" s="518" t="s">
        <v>1187</v>
      </c>
      <c r="D87" s="432">
        <f t="shared" si="10"/>
        <v>8908411</v>
      </c>
      <c r="E87" s="434">
        <v>1664792</v>
      </c>
      <c r="F87" s="434">
        <v>235050</v>
      </c>
      <c r="G87" s="434">
        <v>677260</v>
      </c>
      <c r="H87" s="434">
        <v>0</v>
      </c>
      <c r="I87" s="434">
        <v>3591800</v>
      </c>
      <c r="J87" s="434">
        <v>168000</v>
      </c>
      <c r="K87" s="434">
        <v>1403000</v>
      </c>
      <c r="L87" s="434">
        <v>0</v>
      </c>
      <c r="M87" s="434">
        <v>2075819</v>
      </c>
      <c r="N87" s="434">
        <v>0</v>
      </c>
      <c r="O87" s="434">
        <v>5000</v>
      </c>
      <c r="P87" s="432">
        <f t="shared" si="13"/>
        <v>8396894</v>
      </c>
      <c r="Q87" s="434">
        <v>3921237</v>
      </c>
      <c r="R87" s="434">
        <v>1849556</v>
      </c>
      <c r="S87" s="434">
        <v>0</v>
      </c>
      <c r="T87" s="434">
        <v>0</v>
      </c>
      <c r="U87" s="434">
        <v>0</v>
      </c>
      <c r="V87" s="434">
        <v>0</v>
      </c>
      <c r="W87" s="434">
        <v>0</v>
      </c>
      <c r="X87" s="434">
        <v>325157</v>
      </c>
      <c r="Y87" s="434">
        <v>67436</v>
      </c>
      <c r="Z87" s="434">
        <v>2246408</v>
      </c>
      <c r="AA87" s="434">
        <v>0</v>
      </c>
      <c r="AB87" s="434">
        <v>-12900</v>
      </c>
      <c r="AC87" s="434">
        <v>963008</v>
      </c>
      <c r="AD87" s="434">
        <v>128021</v>
      </c>
      <c r="AE87" s="434">
        <v>3336216</v>
      </c>
      <c r="AF87" s="434">
        <v>47326</v>
      </c>
      <c r="AG87" s="434">
        <v>145013</v>
      </c>
      <c r="AH87" s="434">
        <v>653844</v>
      </c>
      <c r="AI87" s="434">
        <v>618116</v>
      </c>
      <c r="AJ87" s="434">
        <v>38062</v>
      </c>
      <c r="AK87" s="434">
        <v>0</v>
      </c>
      <c r="AL87" s="434">
        <v>2467288</v>
      </c>
      <c r="AM87" s="434">
        <v>0</v>
      </c>
    </row>
    <row r="88" spans="1:39" s="155" customFormat="1" ht="22.5" x14ac:dyDescent="0.2">
      <c r="A88" s="168">
        <v>34</v>
      </c>
      <c r="B88" s="519">
        <v>37823</v>
      </c>
      <c r="C88" s="518" t="s">
        <v>1188</v>
      </c>
      <c r="D88" s="432">
        <f t="shared" si="10"/>
        <v>4816453</v>
      </c>
      <c r="E88" s="434">
        <v>760955</v>
      </c>
      <c r="F88" s="434">
        <v>157345</v>
      </c>
      <c r="G88" s="434">
        <v>127950</v>
      </c>
      <c r="H88" s="434">
        <v>0</v>
      </c>
      <c r="I88" s="434">
        <v>2025761</v>
      </c>
      <c r="J88" s="434">
        <v>299000</v>
      </c>
      <c r="K88" s="434">
        <v>1290000</v>
      </c>
      <c r="L88" s="434">
        <v>0</v>
      </c>
      <c r="M88" s="434">
        <v>297159</v>
      </c>
      <c r="N88" s="434">
        <v>143578</v>
      </c>
      <c r="O88" s="434">
        <v>0</v>
      </c>
      <c r="P88" s="432">
        <f t="shared" si="13"/>
        <v>3922810</v>
      </c>
      <c r="Q88" s="434">
        <v>2373939</v>
      </c>
      <c r="R88" s="434">
        <v>1063971</v>
      </c>
      <c r="S88" s="434">
        <v>0</v>
      </c>
      <c r="T88" s="434">
        <v>0</v>
      </c>
      <c r="U88" s="434">
        <v>0</v>
      </c>
      <c r="V88" s="434">
        <v>0</v>
      </c>
      <c r="W88" s="434">
        <v>0</v>
      </c>
      <c r="X88" s="434">
        <v>165333</v>
      </c>
      <c r="Y88" s="434">
        <v>50000</v>
      </c>
      <c r="Z88" s="434">
        <v>269567</v>
      </c>
      <c r="AA88" s="434">
        <v>0</v>
      </c>
      <c r="AB88" s="434">
        <v>0</v>
      </c>
      <c r="AC88" s="434">
        <v>847449</v>
      </c>
      <c r="AD88" s="434">
        <v>29555</v>
      </c>
      <c r="AE88" s="434">
        <v>1818877</v>
      </c>
      <c r="AF88" s="434">
        <v>24426</v>
      </c>
      <c r="AG88" s="434">
        <v>159449</v>
      </c>
      <c r="AH88" s="434">
        <v>451223</v>
      </c>
      <c r="AI88" s="434">
        <v>159845</v>
      </c>
      <c r="AJ88" s="434">
        <v>55846</v>
      </c>
      <c r="AK88" s="434">
        <v>0</v>
      </c>
      <c r="AL88" s="434">
        <v>351781</v>
      </c>
      <c r="AM88" s="434">
        <v>24359</v>
      </c>
    </row>
    <row r="89" spans="1:39" s="155" customFormat="1" ht="22.5" x14ac:dyDescent="0.2">
      <c r="A89" s="168">
        <v>35</v>
      </c>
      <c r="B89" s="519">
        <v>37850</v>
      </c>
      <c r="C89" s="518" t="s">
        <v>1189</v>
      </c>
      <c r="D89" s="432">
        <f t="shared" si="10"/>
        <v>4111480</v>
      </c>
      <c r="E89" s="434">
        <v>628661</v>
      </c>
      <c r="F89" s="434">
        <v>167160</v>
      </c>
      <c r="G89" s="434">
        <v>121740</v>
      </c>
      <c r="H89" s="434">
        <v>0</v>
      </c>
      <c r="I89" s="434">
        <v>1271000</v>
      </c>
      <c r="J89" s="434">
        <v>241000</v>
      </c>
      <c r="K89" s="434">
        <v>1066000</v>
      </c>
      <c r="L89" s="434">
        <v>0</v>
      </c>
      <c r="M89" s="434">
        <v>682750</v>
      </c>
      <c r="N89" s="434">
        <v>185326</v>
      </c>
      <c r="O89" s="434">
        <v>36743</v>
      </c>
      <c r="P89" s="432">
        <f t="shared" si="13"/>
        <v>3941418</v>
      </c>
      <c r="Q89" s="434">
        <v>1713961</v>
      </c>
      <c r="R89" s="434">
        <v>603914</v>
      </c>
      <c r="S89" s="434">
        <v>34771</v>
      </c>
      <c r="T89" s="434">
        <v>0</v>
      </c>
      <c r="U89" s="434">
        <v>0</v>
      </c>
      <c r="V89" s="434">
        <v>9052</v>
      </c>
      <c r="W89" s="434">
        <v>51068</v>
      </c>
      <c r="X89" s="434">
        <v>126079</v>
      </c>
      <c r="Y89" s="434">
        <v>54190</v>
      </c>
      <c r="Z89" s="434">
        <v>527091</v>
      </c>
      <c r="AA89" s="434">
        <v>821292</v>
      </c>
      <c r="AB89" s="434">
        <v>0</v>
      </c>
      <c r="AC89" s="434">
        <v>650946</v>
      </c>
      <c r="AD89" s="434">
        <v>38664</v>
      </c>
      <c r="AE89" s="434">
        <v>1114116</v>
      </c>
      <c r="AF89" s="434">
        <v>2485</v>
      </c>
      <c r="AG89" s="434">
        <v>71983</v>
      </c>
      <c r="AH89" s="434">
        <v>280181</v>
      </c>
      <c r="AI89" s="434">
        <v>324611</v>
      </c>
      <c r="AJ89" s="434">
        <v>49313</v>
      </c>
      <c r="AK89" s="434">
        <v>0</v>
      </c>
      <c r="AL89" s="434">
        <v>1377848</v>
      </c>
      <c r="AM89" s="434">
        <v>31271</v>
      </c>
    </row>
    <row r="90" spans="1:39" s="155" customFormat="1" ht="22.5" x14ac:dyDescent="0.2">
      <c r="A90" s="168">
        <v>36</v>
      </c>
      <c r="B90" s="519">
        <v>39942</v>
      </c>
      <c r="C90" s="518" t="s">
        <v>1190</v>
      </c>
      <c r="D90" s="432">
        <f t="shared" si="10"/>
        <v>4500977</v>
      </c>
      <c r="E90" s="434">
        <v>513612</v>
      </c>
      <c r="F90" s="434">
        <v>90267</v>
      </c>
      <c r="G90" s="434">
        <v>165630</v>
      </c>
      <c r="H90" s="434">
        <v>0</v>
      </c>
      <c r="I90" s="434">
        <v>1253735</v>
      </c>
      <c r="J90" s="434">
        <v>126000</v>
      </c>
      <c r="K90" s="434">
        <v>1342000</v>
      </c>
      <c r="L90" s="434">
        <v>0</v>
      </c>
      <c r="M90" s="434">
        <v>1265630</v>
      </c>
      <c r="N90" s="434">
        <v>0</v>
      </c>
      <c r="O90" s="434">
        <v>0</v>
      </c>
      <c r="P90" s="432">
        <f t="shared" si="13"/>
        <v>4099702</v>
      </c>
      <c r="Q90" s="434">
        <v>1527844</v>
      </c>
      <c r="R90" s="434">
        <v>479509</v>
      </c>
      <c r="S90" s="434">
        <v>0</v>
      </c>
      <c r="T90" s="434">
        <v>0</v>
      </c>
      <c r="U90" s="434">
        <v>0</v>
      </c>
      <c r="V90" s="434">
        <v>0</v>
      </c>
      <c r="W90" s="434">
        <v>0</v>
      </c>
      <c r="X90" s="434">
        <v>46278</v>
      </c>
      <c r="Y90" s="434">
        <v>23800</v>
      </c>
      <c r="Z90" s="434">
        <v>2023809</v>
      </c>
      <c r="AA90" s="434">
        <v>0</v>
      </c>
      <c r="AB90" s="434">
        <v>-1538</v>
      </c>
      <c r="AC90" s="434">
        <v>368292</v>
      </c>
      <c r="AD90" s="434">
        <v>13963</v>
      </c>
      <c r="AE90" s="434">
        <v>1240536</v>
      </c>
      <c r="AF90" s="434">
        <v>0</v>
      </c>
      <c r="AG90" s="434">
        <v>34881</v>
      </c>
      <c r="AH90" s="434">
        <v>187243</v>
      </c>
      <c r="AI90" s="434">
        <v>251392</v>
      </c>
      <c r="AJ90" s="434">
        <v>0</v>
      </c>
      <c r="AK90" s="434">
        <v>0</v>
      </c>
      <c r="AL90" s="434">
        <v>2003395</v>
      </c>
      <c r="AM90" s="434">
        <v>0</v>
      </c>
    </row>
    <row r="91" spans="1:39" s="155" customFormat="1" ht="22.5" x14ac:dyDescent="0.2">
      <c r="A91" s="168">
        <v>37</v>
      </c>
      <c r="B91" s="519">
        <v>37912</v>
      </c>
      <c r="C91" s="518" t="s">
        <v>1191</v>
      </c>
      <c r="D91" s="432">
        <f t="shared" si="10"/>
        <v>6758079</v>
      </c>
      <c r="E91" s="434">
        <v>951830</v>
      </c>
      <c r="F91" s="434">
        <v>145773</v>
      </c>
      <c r="G91" s="434">
        <v>257500</v>
      </c>
      <c r="H91" s="434">
        <v>0</v>
      </c>
      <c r="I91" s="434">
        <v>1924608</v>
      </c>
      <c r="J91" s="434">
        <v>60000</v>
      </c>
      <c r="K91" s="434">
        <v>1281000</v>
      </c>
      <c r="L91" s="434">
        <v>0</v>
      </c>
      <c r="M91" s="434">
        <v>2066828</v>
      </c>
      <c r="N91" s="434">
        <v>473813</v>
      </c>
      <c r="O91" s="434">
        <v>0</v>
      </c>
      <c r="P91" s="432">
        <f t="shared" si="13"/>
        <v>6744769</v>
      </c>
      <c r="Q91" s="434">
        <v>2461819</v>
      </c>
      <c r="R91" s="434">
        <v>1486702</v>
      </c>
      <c r="S91" s="434">
        <v>12462</v>
      </c>
      <c r="T91" s="434">
        <v>0</v>
      </c>
      <c r="U91" s="434">
        <v>0</v>
      </c>
      <c r="V91" s="434">
        <v>0</v>
      </c>
      <c r="W91" s="434">
        <v>119274</v>
      </c>
      <c r="X91" s="434">
        <v>80576</v>
      </c>
      <c r="Y91" s="434">
        <v>7307</v>
      </c>
      <c r="Z91" s="434">
        <v>2053531</v>
      </c>
      <c r="AA91" s="434">
        <v>527069</v>
      </c>
      <c r="AB91" s="434">
        <v>-3971</v>
      </c>
      <c r="AC91" s="434">
        <v>1002339</v>
      </c>
      <c r="AD91" s="434">
        <v>69811</v>
      </c>
      <c r="AE91" s="434">
        <v>1694957</v>
      </c>
      <c r="AF91" s="434">
        <v>34972</v>
      </c>
      <c r="AG91" s="434">
        <v>266949</v>
      </c>
      <c r="AH91" s="434">
        <v>311339</v>
      </c>
      <c r="AI91" s="434">
        <v>969331</v>
      </c>
      <c r="AJ91" s="434">
        <v>117901</v>
      </c>
      <c r="AK91" s="434">
        <v>0</v>
      </c>
      <c r="AL91" s="434">
        <v>2277170</v>
      </c>
      <c r="AM91" s="434">
        <v>0</v>
      </c>
    </row>
    <row r="92" spans="1:39" s="155" customFormat="1" ht="22.5" x14ac:dyDescent="0.2">
      <c r="A92" s="168">
        <v>38</v>
      </c>
      <c r="B92" s="519">
        <v>37958</v>
      </c>
      <c r="C92" s="518" t="s">
        <v>1192</v>
      </c>
      <c r="D92" s="432">
        <f t="shared" si="10"/>
        <v>4166253</v>
      </c>
      <c r="E92" s="434">
        <v>899198</v>
      </c>
      <c r="F92" s="434">
        <v>270762</v>
      </c>
      <c r="G92" s="434">
        <v>117410</v>
      </c>
      <c r="H92" s="434">
        <v>0</v>
      </c>
      <c r="I92" s="434">
        <v>1873444</v>
      </c>
      <c r="J92" s="434">
        <v>272000</v>
      </c>
      <c r="K92" s="434">
        <v>1083000</v>
      </c>
      <c r="L92" s="434">
        <v>0</v>
      </c>
      <c r="M92" s="434">
        <v>38611</v>
      </c>
      <c r="N92" s="434">
        <v>0</v>
      </c>
      <c r="O92" s="434">
        <v>0</v>
      </c>
      <c r="P92" s="432">
        <f t="shared" si="13"/>
        <v>4177762</v>
      </c>
      <c r="Q92" s="434">
        <v>2416860</v>
      </c>
      <c r="R92" s="434">
        <v>1161376</v>
      </c>
      <c r="S92" s="434">
        <v>0</v>
      </c>
      <c r="T92" s="434">
        <v>0</v>
      </c>
      <c r="U92" s="434">
        <v>0</v>
      </c>
      <c r="V92" s="434">
        <v>0</v>
      </c>
      <c r="W92" s="434">
        <v>0</v>
      </c>
      <c r="X92" s="434">
        <v>138495</v>
      </c>
      <c r="Y92" s="434">
        <v>4241</v>
      </c>
      <c r="Z92" s="434">
        <v>448519</v>
      </c>
      <c r="AA92" s="434">
        <v>84527</v>
      </c>
      <c r="AB92" s="434">
        <v>-76256</v>
      </c>
      <c r="AC92" s="434">
        <v>1044685</v>
      </c>
      <c r="AD92" s="434">
        <v>23190</v>
      </c>
      <c r="AE92" s="434">
        <v>1794683</v>
      </c>
      <c r="AF92" s="434">
        <v>0</v>
      </c>
      <c r="AG92" s="434">
        <v>185840</v>
      </c>
      <c r="AH92" s="434">
        <v>317072</v>
      </c>
      <c r="AI92" s="434">
        <v>207792</v>
      </c>
      <c r="AJ92" s="434">
        <v>3888</v>
      </c>
      <c r="AK92" s="434">
        <v>0</v>
      </c>
      <c r="AL92" s="434">
        <v>510712</v>
      </c>
      <c r="AM92" s="434">
        <v>89900</v>
      </c>
    </row>
    <row r="93" spans="1:39" s="155" customFormat="1" ht="22.5" x14ac:dyDescent="0.2">
      <c r="A93" s="168">
        <v>39</v>
      </c>
      <c r="B93" s="519">
        <v>38063</v>
      </c>
      <c r="C93" s="518" t="s">
        <v>1193</v>
      </c>
      <c r="D93" s="432">
        <f t="shared" si="10"/>
        <v>14737625</v>
      </c>
      <c r="E93" s="434">
        <v>4648793</v>
      </c>
      <c r="F93" s="434">
        <v>1858493</v>
      </c>
      <c r="G93" s="434">
        <v>557900</v>
      </c>
      <c r="H93" s="434">
        <v>0</v>
      </c>
      <c r="I93" s="434">
        <v>2610295</v>
      </c>
      <c r="J93" s="434">
        <v>670000</v>
      </c>
      <c r="K93" s="434">
        <v>489000</v>
      </c>
      <c r="L93" s="434">
        <v>0</v>
      </c>
      <c r="M93" s="434">
        <v>6267328</v>
      </c>
      <c r="N93" s="434">
        <v>0</v>
      </c>
      <c r="O93" s="434">
        <v>52209</v>
      </c>
      <c r="P93" s="432">
        <f t="shared" si="13"/>
        <v>15029675</v>
      </c>
      <c r="Q93" s="434">
        <v>2962014</v>
      </c>
      <c r="R93" s="434">
        <v>1757485</v>
      </c>
      <c r="S93" s="434">
        <v>385000</v>
      </c>
      <c r="T93" s="434">
        <v>0</v>
      </c>
      <c r="U93" s="434">
        <v>0</v>
      </c>
      <c r="V93" s="434">
        <v>29420</v>
      </c>
      <c r="W93" s="434">
        <v>0</v>
      </c>
      <c r="X93" s="434">
        <v>275919</v>
      </c>
      <c r="Y93" s="434">
        <v>112864</v>
      </c>
      <c r="Z93" s="434">
        <v>9161183</v>
      </c>
      <c r="AA93" s="434">
        <v>370000</v>
      </c>
      <c r="AB93" s="434">
        <v>-24210</v>
      </c>
      <c r="AC93" s="434">
        <v>1435564</v>
      </c>
      <c r="AD93" s="434">
        <v>109346</v>
      </c>
      <c r="AE93" s="434">
        <v>2418531</v>
      </c>
      <c r="AF93" s="434">
        <v>0</v>
      </c>
      <c r="AG93" s="434">
        <v>443849</v>
      </c>
      <c r="AH93" s="434">
        <v>305323</v>
      </c>
      <c r="AI93" s="434">
        <v>3355484</v>
      </c>
      <c r="AJ93" s="434">
        <v>735763</v>
      </c>
      <c r="AK93" s="434">
        <v>0</v>
      </c>
      <c r="AL93" s="434">
        <v>6225815</v>
      </c>
      <c r="AM93" s="434">
        <v>0</v>
      </c>
    </row>
    <row r="94" spans="1:39" s="155" customFormat="1" ht="22.5" x14ac:dyDescent="0.2">
      <c r="A94" s="168">
        <v>40</v>
      </c>
      <c r="B94" s="519">
        <v>38161</v>
      </c>
      <c r="C94" s="518" t="s">
        <v>1194</v>
      </c>
      <c r="D94" s="432">
        <f t="shared" si="10"/>
        <v>6207224</v>
      </c>
      <c r="E94" s="434">
        <v>703796</v>
      </c>
      <c r="F94" s="434">
        <v>188118</v>
      </c>
      <c r="G94" s="434">
        <v>113250</v>
      </c>
      <c r="H94" s="434">
        <v>0</v>
      </c>
      <c r="I94" s="434">
        <v>1452418</v>
      </c>
      <c r="J94" s="434">
        <v>82000</v>
      </c>
      <c r="K94" s="434">
        <v>974000</v>
      </c>
      <c r="L94" s="434">
        <v>0</v>
      </c>
      <c r="M94" s="434">
        <v>2773024</v>
      </c>
      <c r="N94" s="434">
        <v>204496</v>
      </c>
      <c r="O94" s="434">
        <v>17490</v>
      </c>
      <c r="P94" s="432">
        <f t="shared" si="13"/>
        <v>6236862</v>
      </c>
      <c r="Q94" s="434">
        <v>1691316</v>
      </c>
      <c r="R94" s="434">
        <v>924637</v>
      </c>
      <c r="S94" s="434">
        <v>0</v>
      </c>
      <c r="T94" s="434">
        <v>0</v>
      </c>
      <c r="U94" s="434">
        <v>0</v>
      </c>
      <c r="V94" s="434">
        <v>0</v>
      </c>
      <c r="W94" s="434">
        <v>279083</v>
      </c>
      <c r="X94" s="434">
        <v>114637</v>
      </c>
      <c r="Y94" s="434">
        <v>29000</v>
      </c>
      <c r="Z94" s="434">
        <v>3198189</v>
      </c>
      <c r="AA94" s="434">
        <v>0</v>
      </c>
      <c r="AB94" s="434">
        <v>0</v>
      </c>
      <c r="AC94" s="434">
        <v>527496</v>
      </c>
      <c r="AD94" s="434">
        <v>8729</v>
      </c>
      <c r="AE94" s="434">
        <v>1330388</v>
      </c>
      <c r="AF94" s="434">
        <v>23569</v>
      </c>
      <c r="AG94" s="434">
        <v>71481</v>
      </c>
      <c r="AH94" s="434">
        <v>492639</v>
      </c>
      <c r="AI94" s="434">
        <v>434159</v>
      </c>
      <c r="AJ94" s="434">
        <v>79412</v>
      </c>
      <c r="AK94" s="434">
        <v>0</v>
      </c>
      <c r="AL94" s="434">
        <v>3268989</v>
      </c>
      <c r="AM94" s="434">
        <v>0</v>
      </c>
    </row>
    <row r="95" spans="1:39" s="155" customFormat="1" ht="22.5" x14ac:dyDescent="0.2">
      <c r="A95" s="168">
        <v>41</v>
      </c>
      <c r="B95" s="519">
        <v>38241</v>
      </c>
      <c r="C95" s="518" t="s">
        <v>1195</v>
      </c>
      <c r="D95" s="432">
        <f t="shared" si="10"/>
        <v>3409811</v>
      </c>
      <c r="E95" s="434">
        <v>678653</v>
      </c>
      <c r="F95" s="434">
        <v>111979</v>
      </c>
      <c r="G95" s="434">
        <v>105600</v>
      </c>
      <c r="H95" s="434">
        <v>0</v>
      </c>
      <c r="I95" s="434">
        <v>1073747</v>
      </c>
      <c r="J95" s="434">
        <v>285000</v>
      </c>
      <c r="K95" s="434">
        <v>1248990</v>
      </c>
      <c r="L95" s="434">
        <v>0</v>
      </c>
      <c r="M95" s="434">
        <v>98421</v>
      </c>
      <c r="N95" s="434">
        <v>0</v>
      </c>
      <c r="O95" s="434">
        <v>25000</v>
      </c>
      <c r="P95" s="432">
        <f t="shared" si="13"/>
        <v>3409508</v>
      </c>
      <c r="Q95" s="434">
        <v>1440179</v>
      </c>
      <c r="R95" s="434">
        <v>1649151</v>
      </c>
      <c r="S95" s="434">
        <v>4430</v>
      </c>
      <c r="T95" s="434">
        <v>0</v>
      </c>
      <c r="U95" s="434">
        <v>0</v>
      </c>
      <c r="V95" s="434">
        <v>0</v>
      </c>
      <c r="W95" s="434">
        <v>0</v>
      </c>
      <c r="X95" s="434">
        <v>124250</v>
      </c>
      <c r="Y95" s="434">
        <v>7360</v>
      </c>
      <c r="Z95" s="434">
        <v>164548</v>
      </c>
      <c r="AA95" s="434">
        <v>26528</v>
      </c>
      <c r="AB95" s="434">
        <v>-6938</v>
      </c>
      <c r="AC95" s="434">
        <v>1028989</v>
      </c>
      <c r="AD95" s="434">
        <v>75308</v>
      </c>
      <c r="AE95" s="434">
        <v>919259</v>
      </c>
      <c r="AF95" s="434">
        <v>26271</v>
      </c>
      <c r="AG95" s="434">
        <v>138387</v>
      </c>
      <c r="AH95" s="434">
        <v>302605</v>
      </c>
      <c r="AI95" s="434">
        <v>361691</v>
      </c>
      <c r="AJ95" s="434">
        <v>38643</v>
      </c>
      <c r="AK95" s="434">
        <v>0</v>
      </c>
      <c r="AL95" s="434">
        <v>518355</v>
      </c>
      <c r="AM95" s="434">
        <v>0</v>
      </c>
    </row>
    <row r="96" spans="1:39" s="155" customFormat="1" ht="22.5" x14ac:dyDescent="0.2">
      <c r="A96" s="168">
        <v>42</v>
      </c>
      <c r="B96" s="519">
        <v>38321</v>
      </c>
      <c r="C96" s="518" t="s">
        <v>1196</v>
      </c>
      <c r="D96" s="432">
        <f t="shared" si="10"/>
        <v>4725697</v>
      </c>
      <c r="E96" s="434">
        <v>716412</v>
      </c>
      <c r="F96" s="434">
        <v>115621</v>
      </c>
      <c r="G96" s="434">
        <v>146180</v>
      </c>
      <c r="H96" s="434">
        <v>0</v>
      </c>
      <c r="I96" s="434">
        <v>1759832</v>
      </c>
      <c r="J96" s="434">
        <v>254000</v>
      </c>
      <c r="K96" s="434">
        <v>1261000</v>
      </c>
      <c r="L96" s="434">
        <v>0</v>
      </c>
      <c r="M96" s="434">
        <v>589796</v>
      </c>
      <c r="N96" s="434">
        <v>144657</v>
      </c>
      <c r="O96" s="434">
        <v>0</v>
      </c>
      <c r="P96" s="432">
        <f t="shared" si="13"/>
        <v>4559125</v>
      </c>
      <c r="Q96" s="434">
        <v>2137562</v>
      </c>
      <c r="R96" s="434">
        <v>1003279</v>
      </c>
      <c r="S96" s="434">
        <v>0</v>
      </c>
      <c r="T96" s="434">
        <v>0</v>
      </c>
      <c r="U96" s="434">
        <v>0</v>
      </c>
      <c r="V96" s="434">
        <v>0</v>
      </c>
      <c r="W96" s="434">
        <v>197495</v>
      </c>
      <c r="X96" s="434">
        <v>129856</v>
      </c>
      <c r="Y96" s="434">
        <v>14997</v>
      </c>
      <c r="Z96" s="434">
        <v>1075936</v>
      </c>
      <c r="AA96" s="434">
        <v>0</v>
      </c>
      <c r="AB96" s="434">
        <v>0</v>
      </c>
      <c r="AC96" s="434">
        <v>712063</v>
      </c>
      <c r="AD96" s="434">
        <v>140685</v>
      </c>
      <c r="AE96" s="434">
        <v>1649423</v>
      </c>
      <c r="AF96" s="434">
        <v>116560</v>
      </c>
      <c r="AG96" s="434">
        <v>344980</v>
      </c>
      <c r="AH96" s="434">
        <v>304992</v>
      </c>
      <c r="AI96" s="434">
        <v>268065</v>
      </c>
      <c r="AJ96" s="434">
        <v>98548</v>
      </c>
      <c r="AK96" s="434">
        <v>0</v>
      </c>
      <c r="AL96" s="434">
        <v>923809</v>
      </c>
      <c r="AM96" s="434">
        <v>0</v>
      </c>
    </row>
    <row r="97" spans="1:39" s="155" customFormat="1" ht="22.5" x14ac:dyDescent="0.2">
      <c r="A97" s="168">
        <v>43</v>
      </c>
      <c r="B97" s="519">
        <v>38376</v>
      </c>
      <c r="C97" s="518" t="s">
        <v>1197</v>
      </c>
      <c r="D97" s="432">
        <f t="shared" si="10"/>
        <v>3334149</v>
      </c>
      <c r="E97" s="434">
        <v>710278</v>
      </c>
      <c r="F97" s="434">
        <v>137619</v>
      </c>
      <c r="G97" s="434">
        <v>111590</v>
      </c>
      <c r="H97" s="434">
        <v>0</v>
      </c>
      <c r="I97" s="434">
        <v>1235473</v>
      </c>
      <c r="J97" s="434">
        <v>144000</v>
      </c>
      <c r="K97" s="434">
        <v>904000</v>
      </c>
      <c r="L97" s="434">
        <v>0</v>
      </c>
      <c r="M97" s="434">
        <v>103460</v>
      </c>
      <c r="N97" s="434">
        <v>209914</v>
      </c>
      <c r="O97" s="434">
        <v>27024</v>
      </c>
      <c r="P97" s="432">
        <f t="shared" si="13"/>
        <v>3316347</v>
      </c>
      <c r="Q97" s="434">
        <v>1551379</v>
      </c>
      <c r="R97" s="434">
        <v>1011765</v>
      </c>
      <c r="S97" s="434">
        <v>8448</v>
      </c>
      <c r="T97" s="434">
        <v>0</v>
      </c>
      <c r="U97" s="434">
        <v>0</v>
      </c>
      <c r="V97" s="434">
        <v>0</v>
      </c>
      <c r="W97" s="434">
        <v>0</v>
      </c>
      <c r="X97" s="434">
        <v>42347</v>
      </c>
      <c r="Y97" s="434">
        <v>0</v>
      </c>
      <c r="Z97" s="434">
        <v>487360</v>
      </c>
      <c r="AA97" s="434">
        <v>225353</v>
      </c>
      <c r="AB97" s="434">
        <v>-10305</v>
      </c>
      <c r="AC97" s="434">
        <v>714424</v>
      </c>
      <c r="AD97" s="434">
        <v>33328</v>
      </c>
      <c r="AE97" s="434">
        <v>1149509</v>
      </c>
      <c r="AF97" s="434">
        <v>24158</v>
      </c>
      <c r="AG97" s="434">
        <v>76024</v>
      </c>
      <c r="AH97" s="434">
        <v>183858</v>
      </c>
      <c r="AI97" s="434">
        <v>234665</v>
      </c>
      <c r="AJ97" s="434">
        <v>30757</v>
      </c>
      <c r="AK97" s="434">
        <v>0</v>
      </c>
      <c r="AL97" s="434">
        <v>869624</v>
      </c>
      <c r="AM97" s="434">
        <v>0</v>
      </c>
    </row>
    <row r="98" spans="1:39" s="155" customFormat="1" ht="22.5" x14ac:dyDescent="0.2">
      <c r="A98" s="168">
        <v>44</v>
      </c>
      <c r="B98" s="519">
        <v>38456</v>
      </c>
      <c r="C98" s="518" t="s">
        <v>1198</v>
      </c>
      <c r="D98" s="432">
        <f t="shared" si="10"/>
        <v>3112258</v>
      </c>
      <c r="E98" s="434">
        <v>666160</v>
      </c>
      <c r="F98" s="434">
        <v>73883</v>
      </c>
      <c r="G98" s="434">
        <v>147840</v>
      </c>
      <c r="H98" s="434">
        <v>0</v>
      </c>
      <c r="I98" s="434">
        <v>1254043</v>
      </c>
      <c r="J98" s="434">
        <v>73000</v>
      </c>
      <c r="K98" s="434">
        <v>1110000</v>
      </c>
      <c r="L98" s="434">
        <v>0</v>
      </c>
      <c r="M98" s="434">
        <v>9055</v>
      </c>
      <c r="N98" s="434">
        <v>0</v>
      </c>
      <c r="O98" s="434">
        <v>0</v>
      </c>
      <c r="P98" s="432">
        <f t="shared" si="13"/>
        <v>2831482</v>
      </c>
      <c r="Q98" s="434">
        <v>1398397</v>
      </c>
      <c r="R98" s="434">
        <v>739893</v>
      </c>
      <c r="S98" s="434">
        <v>0</v>
      </c>
      <c r="T98" s="434">
        <v>0</v>
      </c>
      <c r="U98" s="434">
        <v>0</v>
      </c>
      <c r="V98" s="434">
        <v>0</v>
      </c>
      <c r="W98" s="434">
        <v>0</v>
      </c>
      <c r="X98" s="434">
        <v>140125</v>
      </c>
      <c r="Y98" s="434">
        <v>5183</v>
      </c>
      <c r="Z98" s="434">
        <v>547884</v>
      </c>
      <c r="AA98" s="434">
        <v>0</v>
      </c>
      <c r="AB98" s="434">
        <v>0</v>
      </c>
      <c r="AC98" s="434">
        <v>442624</v>
      </c>
      <c r="AD98" s="434">
        <v>91648</v>
      </c>
      <c r="AE98" s="434">
        <v>1729741</v>
      </c>
      <c r="AF98" s="434">
        <v>0</v>
      </c>
      <c r="AG98" s="434">
        <v>30953</v>
      </c>
      <c r="AH98" s="434">
        <v>195782</v>
      </c>
      <c r="AI98" s="434">
        <v>88263</v>
      </c>
      <c r="AJ98" s="434">
        <v>50725</v>
      </c>
      <c r="AK98" s="434">
        <v>0</v>
      </c>
      <c r="AL98" s="434">
        <v>201746</v>
      </c>
      <c r="AM98" s="434">
        <v>0</v>
      </c>
    </row>
    <row r="99" spans="1:39" s="155" customFormat="1" ht="22.5" x14ac:dyDescent="0.2">
      <c r="A99" s="168">
        <v>45</v>
      </c>
      <c r="B99" s="519">
        <v>38492</v>
      </c>
      <c r="C99" s="518" t="s">
        <v>1199</v>
      </c>
      <c r="D99" s="432">
        <f t="shared" si="10"/>
        <v>3555715</v>
      </c>
      <c r="E99" s="434">
        <v>770183</v>
      </c>
      <c r="F99" s="434">
        <v>110315</v>
      </c>
      <c r="G99" s="434">
        <v>117410</v>
      </c>
      <c r="H99" s="434">
        <v>0</v>
      </c>
      <c r="I99" s="434">
        <v>1214604</v>
      </c>
      <c r="J99" s="434">
        <v>305000</v>
      </c>
      <c r="K99" s="434">
        <v>1188000</v>
      </c>
      <c r="L99" s="434">
        <v>0</v>
      </c>
      <c r="M99" s="434">
        <v>32612</v>
      </c>
      <c r="N99" s="434">
        <v>0</v>
      </c>
      <c r="O99" s="434">
        <v>45316</v>
      </c>
      <c r="P99" s="432">
        <f t="shared" si="13"/>
        <v>3153140</v>
      </c>
      <c r="Q99" s="434">
        <v>1562220</v>
      </c>
      <c r="R99" s="434">
        <v>828013</v>
      </c>
      <c r="S99" s="434">
        <v>0</v>
      </c>
      <c r="T99" s="434">
        <v>0</v>
      </c>
      <c r="U99" s="434">
        <v>0</v>
      </c>
      <c r="V99" s="434">
        <v>16549</v>
      </c>
      <c r="W99" s="434">
        <v>0</v>
      </c>
      <c r="X99" s="434">
        <v>99531</v>
      </c>
      <c r="Y99" s="434">
        <v>35000</v>
      </c>
      <c r="Z99" s="434">
        <v>611827</v>
      </c>
      <c r="AA99" s="434">
        <v>0</v>
      </c>
      <c r="AB99" s="434">
        <v>0</v>
      </c>
      <c r="AC99" s="434">
        <v>760440</v>
      </c>
      <c r="AD99" s="434">
        <v>20689</v>
      </c>
      <c r="AE99" s="434">
        <v>1046604</v>
      </c>
      <c r="AF99" s="434">
        <v>25105</v>
      </c>
      <c r="AG99" s="434">
        <v>71851</v>
      </c>
      <c r="AH99" s="434">
        <v>205857</v>
      </c>
      <c r="AI99" s="434">
        <v>439234</v>
      </c>
      <c r="AJ99" s="434">
        <v>87156</v>
      </c>
      <c r="AK99" s="434">
        <v>0</v>
      </c>
      <c r="AL99" s="434">
        <v>496204</v>
      </c>
      <c r="AM99" s="434">
        <v>0</v>
      </c>
    </row>
    <row r="100" spans="1:39" s="155" customFormat="1" ht="22.5" x14ac:dyDescent="0.2">
      <c r="A100" s="168">
        <v>46</v>
      </c>
      <c r="B100" s="519">
        <v>38544</v>
      </c>
      <c r="C100" s="518" t="s">
        <v>1200</v>
      </c>
      <c r="D100" s="432">
        <f t="shared" si="10"/>
        <v>4386886</v>
      </c>
      <c r="E100" s="434">
        <v>856862</v>
      </c>
      <c r="F100" s="434">
        <v>435186</v>
      </c>
      <c r="G100" s="434">
        <v>119240</v>
      </c>
      <c r="H100" s="434">
        <v>0</v>
      </c>
      <c r="I100" s="434">
        <v>1864000</v>
      </c>
      <c r="J100" s="434">
        <v>126000</v>
      </c>
      <c r="K100" s="434">
        <v>918000</v>
      </c>
      <c r="L100" s="434">
        <v>0</v>
      </c>
      <c r="M100" s="434">
        <v>376631</v>
      </c>
      <c r="N100" s="434">
        <v>202777</v>
      </c>
      <c r="O100" s="434">
        <v>42616</v>
      </c>
      <c r="P100" s="432">
        <f t="shared" si="13"/>
        <v>4279441</v>
      </c>
      <c r="Q100" s="434">
        <v>2207290</v>
      </c>
      <c r="R100" s="434">
        <v>940293</v>
      </c>
      <c r="S100" s="434">
        <v>0</v>
      </c>
      <c r="T100" s="434">
        <v>0</v>
      </c>
      <c r="U100" s="434">
        <v>0</v>
      </c>
      <c r="V100" s="434">
        <v>0</v>
      </c>
      <c r="W100" s="434">
        <v>157027</v>
      </c>
      <c r="X100" s="434">
        <v>91796</v>
      </c>
      <c r="Y100" s="434">
        <v>20000</v>
      </c>
      <c r="Z100" s="434">
        <v>863035</v>
      </c>
      <c r="AA100" s="434">
        <v>0</v>
      </c>
      <c r="AB100" s="434">
        <v>0</v>
      </c>
      <c r="AC100" s="434">
        <v>960287</v>
      </c>
      <c r="AD100" s="434">
        <v>65083</v>
      </c>
      <c r="AE100" s="434">
        <v>1692000</v>
      </c>
      <c r="AF100" s="434">
        <v>49105</v>
      </c>
      <c r="AG100" s="434">
        <v>467100</v>
      </c>
      <c r="AH100" s="434">
        <v>230420</v>
      </c>
      <c r="AI100" s="434">
        <v>326492</v>
      </c>
      <c r="AJ100" s="434">
        <v>0</v>
      </c>
      <c r="AK100" s="434">
        <v>0</v>
      </c>
      <c r="AL100" s="434">
        <v>488954</v>
      </c>
      <c r="AM100" s="434">
        <v>0</v>
      </c>
    </row>
    <row r="101" spans="1:39" s="155" customFormat="1" ht="22.5" x14ac:dyDescent="0.2">
      <c r="A101" s="168">
        <v>47</v>
      </c>
      <c r="B101" s="519">
        <v>38580</v>
      </c>
      <c r="C101" s="518" t="s">
        <v>1201</v>
      </c>
      <c r="D101" s="432">
        <f t="shared" si="10"/>
        <v>4243985</v>
      </c>
      <c r="E101" s="434">
        <v>661077</v>
      </c>
      <c r="F101" s="434">
        <v>92270</v>
      </c>
      <c r="G101" s="434">
        <v>136040</v>
      </c>
      <c r="H101" s="434">
        <v>0</v>
      </c>
      <c r="I101" s="434">
        <v>1779319</v>
      </c>
      <c r="J101" s="434">
        <v>222000</v>
      </c>
      <c r="K101" s="434">
        <v>1248000</v>
      </c>
      <c r="L101" s="434">
        <v>0</v>
      </c>
      <c r="M101" s="434">
        <v>113703</v>
      </c>
      <c r="N101" s="434">
        <v>219886</v>
      </c>
      <c r="O101" s="434">
        <v>0</v>
      </c>
      <c r="P101" s="432">
        <f t="shared" si="13"/>
        <v>4038801</v>
      </c>
      <c r="Q101" s="434">
        <v>1972712</v>
      </c>
      <c r="R101" s="434">
        <v>714974</v>
      </c>
      <c r="S101" s="434">
        <v>0</v>
      </c>
      <c r="T101" s="434">
        <v>0</v>
      </c>
      <c r="U101" s="434">
        <v>0</v>
      </c>
      <c r="V101" s="434">
        <v>0</v>
      </c>
      <c r="W101" s="434">
        <v>135426</v>
      </c>
      <c r="X101" s="434">
        <v>96432</v>
      </c>
      <c r="Y101" s="434">
        <v>17820</v>
      </c>
      <c r="Z101" s="434">
        <v>1101437</v>
      </c>
      <c r="AA101" s="434">
        <v>0</v>
      </c>
      <c r="AB101" s="434">
        <v>0</v>
      </c>
      <c r="AC101" s="434">
        <v>443475</v>
      </c>
      <c r="AD101" s="434">
        <v>68001</v>
      </c>
      <c r="AE101" s="434">
        <v>2108909</v>
      </c>
      <c r="AF101" s="434">
        <v>324355</v>
      </c>
      <c r="AG101" s="434">
        <v>41935</v>
      </c>
      <c r="AH101" s="434">
        <v>207175</v>
      </c>
      <c r="AI101" s="434">
        <v>310859</v>
      </c>
      <c r="AJ101" s="434">
        <v>0</v>
      </c>
      <c r="AK101" s="434">
        <v>0</v>
      </c>
      <c r="AL101" s="434">
        <v>534092</v>
      </c>
      <c r="AM101" s="434">
        <v>0</v>
      </c>
    </row>
    <row r="102" spans="1:39" s="155" customFormat="1" ht="22.5" x14ac:dyDescent="0.2">
      <c r="A102" s="168">
        <v>48</v>
      </c>
      <c r="B102" s="519">
        <v>35839</v>
      </c>
      <c r="C102" s="518" t="s">
        <v>1202</v>
      </c>
      <c r="D102" s="432">
        <f t="shared" si="10"/>
        <v>6036333</v>
      </c>
      <c r="E102" s="434">
        <v>2262872</v>
      </c>
      <c r="F102" s="434">
        <v>846630</v>
      </c>
      <c r="G102" s="434">
        <v>425860</v>
      </c>
      <c r="H102" s="434">
        <v>0</v>
      </c>
      <c r="I102" s="434">
        <v>2025654</v>
      </c>
      <c r="J102" s="434">
        <v>65000</v>
      </c>
      <c r="K102" s="434">
        <v>869000</v>
      </c>
      <c r="L102" s="434">
        <v>0</v>
      </c>
      <c r="M102" s="434">
        <v>41970</v>
      </c>
      <c r="N102" s="434">
        <v>0</v>
      </c>
      <c r="O102" s="434">
        <v>771837</v>
      </c>
      <c r="P102" s="432">
        <f t="shared" si="13"/>
        <v>7965482</v>
      </c>
      <c r="Q102" s="434">
        <v>2290068</v>
      </c>
      <c r="R102" s="434">
        <v>1761770</v>
      </c>
      <c r="S102" s="434">
        <v>0</v>
      </c>
      <c r="T102" s="434">
        <v>0</v>
      </c>
      <c r="U102" s="434">
        <v>0</v>
      </c>
      <c r="V102" s="434">
        <v>0</v>
      </c>
      <c r="W102" s="434">
        <v>0</v>
      </c>
      <c r="X102" s="434">
        <v>259087</v>
      </c>
      <c r="Y102" s="434">
        <v>75488</v>
      </c>
      <c r="Z102" s="434">
        <v>3579069</v>
      </c>
      <c r="AA102" s="434">
        <v>0</v>
      </c>
      <c r="AB102" s="434">
        <v>0</v>
      </c>
      <c r="AC102" s="434">
        <v>1133715</v>
      </c>
      <c r="AD102" s="434">
        <v>46348</v>
      </c>
      <c r="AE102" s="434">
        <v>3607414</v>
      </c>
      <c r="AF102" s="434">
        <v>21346</v>
      </c>
      <c r="AG102" s="434">
        <v>254284</v>
      </c>
      <c r="AH102" s="434">
        <v>261250</v>
      </c>
      <c r="AI102" s="434">
        <v>581090</v>
      </c>
      <c r="AJ102" s="434">
        <v>80889</v>
      </c>
      <c r="AK102" s="434">
        <v>0</v>
      </c>
      <c r="AL102" s="434">
        <v>1979146</v>
      </c>
      <c r="AM102" s="434">
        <v>0</v>
      </c>
    </row>
    <row r="103" spans="1:39" s="155" customFormat="1" ht="22.5" x14ac:dyDescent="0.2">
      <c r="A103" s="168">
        <v>49</v>
      </c>
      <c r="B103" s="519">
        <v>38633</v>
      </c>
      <c r="C103" s="518" t="s">
        <v>1203</v>
      </c>
      <c r="D103" s="432">
        <f t="shared" si="10"/>
        <v>3868401</v>
      </c>
      <c r="E103" s="434">
        <v>1398216</v>
      </c>
      <c r="F103" s="434">
        <v>486573</v>
      </c>
      <c r="G103" s="434">
        <v>51550</v>
      </c>
      <c r="H103" s="434">
        <v>0</v>
      </c>
      <c r="I103" s="434">
        <v>1468136</v>
      </c>
      <c r="J103" s="434">
        <v>84000</v>
      </c>
      <c r="K103" s="434">
        <v>573000</v>
      </c>
      <c r="L103" s="434">
        <v>0</v>
      </c>
      <c r="M103" s="434">
        <v>345049</v>
      </c>
      <c r="N103" s="434">
        <v>0</v>
      </c>
      <c r="O103" s="434">
        <v>0</v>
      </c>
      <c r="P103" s="432">
        <f t="shared" si="13"/>
        <v>3764387</v>
      </c>
      <c r="Q103" s="434">
        <v>1793577</v>
      </c>
      <c r="R103" s="434">
        <v>953582</v>
      </c>
      <c r="S103" s="434">
        <v>0</v>
      </c>
      <c r="T103" s="434">
        <v>0</v>
      </c>
      <c r="U103" s="434">
        <v>0</v>
      </c>
      <c r="V103" s="434">
        <v>0</v>
      </c>
      <c r="W103" s="434">
        <v>0</v>
      </c>
      <c r="X103" s="434">
        <v>45224</v>
      </c>
      <c r="Y103" s="434">
        <v>3650</v>
      </c>
      <c r="Z103" s="434">
        <v>980600</v>
      </c>
      <c r="AA103" s="434">
        <v>0</v>
      </c>
      <c r="AB103" s="434">
        <v>-12246</v>
      </c>
      <c r="AC103" s="434">
        <v>655940</v>
      </c>
      <c r="AD103" s="434">
        <v>114683</v>
      </c>
      <c r="AE103" s="434">
        <v>1521020</v>
      </c>
      <c r="AF103" s="434">
        <v>23427</v>
      </c>
      <c r="AG103" s="434">
        <v>135242</v>
      </c>
      <c r="AH103" s="434">
        <v>137440</v>
      </c>
      <c r="AI103" s="434">
        <v>704406</v>
      </c>
      <c r="AJ103" s="434">
        <v>82547</v>
      </c>
      <c r="AK103" s="434">
        <v>0</v>
      </c>
      <c r="AL103" s="434">
        <v>389682</v>
      </c>
      <c r="AM103" s="434">
        <v>0</v>
      </c>
    </row>
    <row r="104" spans="1:39" s="155" customFormat="1" ht="22.5" x14ac:dyDescent="0.2">
      <c r="A104" s="168">
        <v>50</v>
      </c>
      <c r="B104" s="519">
        <v>38679</v>
      </c>
      <c r="C104" s="518" t="s">
        <v>1204</v>
      </c>
      <c r="D104" s="432">
        <f t="shared" si="10"/>
        <v>3803764</v>
      </c>
      <c r="E104" s="434">
        <v>843272</v>
      </c>
      <c r="F104" s="434">
        <v>99530</v>
      </c>
      <c r="G104" s="434">
        <v>164170</v>
      </c>
      <c r="H104" s="434">
        <v>0</v>
      </c>
      <c r="I104" s="434">
        <v>1207444</v>
      </c>
      <c r="J104" s="434">
        <v>218000</v>
      </c>
      <c r="K104" s="434">
        <v>897000</v>
      </c>
      <c r="L104" s="434">
        <v>0</v>
      </c>
      <c r="M104" s="434">
        <v>345974</v>
      </c>
      <c r="N104" s="434">
        <v>261450</v>
      </c>
      <c r="O104" s="434">
        <v>30624</v>
      </c>
      <c r="P104" s="432">
        <f t="shared" si="13"/>
        <v>3463275</v>
      </c>
      <c r="Q104" s="434">
        <v>1346470</v>
      </c>
      <c r="R104" s="434">
        <v>893079</v>
      </c>
      <c r="S104" s="434">
        <v>0</v>
      </c>
      <c r="T104" s="434">
        <v>0</v>
      </c>
      <c r="U104" s="434">
        <v>0</v>
      </c>
      <c r="V104" s="434">
        <v>23100</v>
      </c>
      <c r="W104" s="434">
        <v>552616</v>
      </c>
      <c r="X104" s="434">
        <v>195016</v>
      </c>
      <c r="Y104" s="434">
        <v>0</v>
      </c>
      <c r="Z104" s="434">
        <v>452994</v>
      </c>
      <c r="AA104" s="434">
        <v>0</v>
      </c>
      <c r="AB104" s="434">
        <v>0</v>
      </c>
      <c r="AC104" s="434">
        <v>1153187</v>
      </c>
      <c r="AD104" s="434">
        <v>79036</v>
      </c>
      <c r="AE104" s="434">
        <v>1099143</v>
      </c>
      <c r="AF104" s="434">
        <v>0</v>
      </c>
      <c r="AG104" s="434">
        <v>26292</v>
      </c>
      <c r="AH104" s="434">
        <v>195016</v>
      </c>
      <c r="AI104" s="434">
        <v>106595</v>
      </c>
      <c r="AJ104" s="434">
        <v>51172</v>
      </c>
      <c r="AK104" s="434">
        <v>0</v>
      </c>
      <c r="AL104" s="434">
        <v>752834</v>
      </c>
      <c r="AM104" s="434">
        <v>0</v>
      </c>
    </row>
    <row r="105" spans="1:39" s="155" customFormat="1" ht="22.5" x14ac:dyDescent="0.2">
      <c r="A105" s="168">
        <v>51</v>
      </c>
      <c r="B105" s="519">
        <v>38731</v>
      </c>
      <c r="C105" s="518" t="s">
        <v>1205</v>
      </c>
      <c r="D105" s="432">
        <f t="shared" si="10"/>
        <v>3202249</v>
      </c>
      <c r="E105" s="434">
        <v>503852</v>
      </c>
      <c r="F105" s="434">
        <v>114416</v>
      </c>
      <c r="G105" s="434">
        <v>157990</v>
      </c>
      <c r="H105" s="434">
        <v>0</v>
      </c>
      <c r="I105" s="434">
        <v>886715</v>
      </c>
      <c r="J105" s="434">
        <v>249000</v>
      </c>
      <c r="K105" s="434">
        <v>1259000</v>
      </c>
      <c r="L105" s="434">
        <v>0</v>
      </c>
      <c r="M105" s="434">
        <v>108401</v>
      </c>
      <c r="N105" s="434">
        <v>161669</v>
      </c>
      <c r="O105" s="434">
        <v>33612</v>
      </c>
      <c r="P105" s="432">
        <f t="shared" si="13"/>
        <v>3218779</v>
      </c>
      <c r="Q105" s="434">
        <v>1231365</v>
      </c>
      <c r="R105" s="434">
        <v>1224207</v>
      </c>
      <c r="S105" s="434">
        <v>0</v>
      </c>
      <c r="T105" s="434">
        <v>0</v>
      </c>
      <c r="U105" s="434">
        <v>0</v>
      </c>
      <c r="V105" s="434">
        <v>0</v>
      </c>
      <c r="W105" s="434">
        <v>186443</v>
      </c>
      <c r="X105" s="434">
        <v>100666</v>
      </c>
      <c r="Y105" s="434">
        <v>1260</v>
      </c>
      <c r="Z105" s="434">
        <v>489332</v>
      </c>
      <c r="AA105" s="434">
        <v>0</v>
      </c>
      <c r="AB105" s="434">
        <v>-14494</v>
      </c>
      <c r="AC105" s="434">
        <v>847736</v>
      </c>
      <c r="AD105" s="434">
        <v>168024</v>
      </c>
      <c r="AE105" s="434">
        <v>790884</v>
      </c>
      <c r="AF105" s="434">
        <v>21656</v>
      </c>
      <c r="AG105" s="434">
        <v>320138</v>
      </c>
      <c r="AH105" s="434">
        <v>173385</v>
      </c>
      <c r="AI105" s="434">
        <v>437064</v>
      </c>
      <c r="AJ105" s="434">
        <v>81210</v>
      </c>
      <c r="AK105" s="434">
        <v>0</v>
      </c>
      <c r="AL105" s="434">
        <v>315072</v>
      </c>
      <c r="AM105" s="434">
        <v>63610</v>
      </c>
    </row>
    <row r="106" spans="1:39" s="155" customFormat="1" ht="22.5" x14ac:dyDescent="0.2">
      <c r="A106" s="168">
        <v>52</v>
      </c>
      <c r="B106" s="519">
        <v>38811</v>
      </c>
      <c r="C106" s="518" t="s">
        <v>1206</v>
      </c>
      <c r="D106" s="432">
        <f t="shared" si="10"/>
        <v>5925457</v>
      </c>
      <c r="E106" s="434">
        <v>1274881</v>
      </c>
      <c r="F106" s="434">
        <v>710204</v>
      </c>
      <c r="G106" s="434">
        <v>91300</v>
      </c>
      <c r="H106" s="434">
        <v>0</v>
      </c>
      <c r="I106" s="434">
        <v>1647204</v>
      </c>
      <c r="J106" s="434">
        <v>78000</v>
      </c>
      <c r="K106" s="434">
        <v>662000</v>
      </c>
      <c r="L106" s="434">
        <v>0</v>
      </c>
      <c r="M106" s="434">
        <v>2235082</v>
      </c>
      <c r="N106" s="434">
        <v>0</v>
      </c>
      <c r="O106" s="434">
        <v>28290</v>
      </c>
      <c r="P106" s="432">
        <f t="shared" si="13"/>
        <v>5603109</v>
      </c>
      <c r="Q106" s="434">
        <v>1932470</v>
      </c>
      <c r="R106" s="434">
        <v>740425</v>
      </c>
      <c r="S106" s="434">
        <v>55787</v>
      </c>
      <c r="T106" s="434">
        <v>0</v>
      </c>
      <c r="U106" s="434">
        <v>0</v>
      </c>
      <c r="V106" s="434">
        <v>0</v>
      </c>
      <c r="W106" s="434">
        <v>0</v>
      </c>
      <c r="X106" s="434">
        <v>93354</v>
      </c>
      <c r="Y106" s="434">
        <v>17000</v>
      </c>
      <c r="Z106" s="434">
        <v>2665465</v>
      </c>
      <c r="AA106" s="434">
        <v>98608</v>
      </c>
      <c r="AB106" s="434">
        <v>0</v>
      </c>
      <c r="AC106" s="434">
        <v>895979</v>
      </c>
      <c r="AD106" s="434">
        <v>7526</v>
      </c>
      <c r="AE106" s="434">
        <v>1472204</v>
      </c>
      <c r="AF106" s="434">
        <v>6860</v>
      </c>
      <c r="AG106" s="434">
        <v>49719</v>
      </c>
      <c r="AH106" s="434">
        <v>313723</v>
      </c>
      <c r="AI106" s="434">
        <v>170963</v>
      </c>
      <c r="AJ106" s="434">
        <v>17034</v>
      </c>
      <c r="AK106" s="434">
        <v>0</v>
      </c>
      <c r="AL106" s="434">
        <v>2669101</v>
      </c>
      <c r="AM106" s="434">
        <v>0</v>
      </c>
    </row>
    <row r="107" spans="1:39" s="155" customFormat="1" ht="22.5" x14ac:dyDescent="0.2">
      <c r="A107" s="168">
        <v>53</v>
      </c>
      <c r="B107" s="519">
        <v>38848</v>
      </c>
      <c r="C107" s="518" t="s">
        <v>1207</v>
      </c>
      <c r="D107" s="432">
        <f t="shared" si="10"/>
        <v>3475620</v>
      </c>
      <c r="E107" s="434">
        <v>825315</v>
      </c>
      <c r="F107" s="434">
        <v>302024</v>
      </c>
      <c r="G107" s="434">
        <v>124230</v>
      </c>
      <c r="H107" s="434">
        <v>0</v>
      </c>
      <c r="I107" s="434">
        <v>1147562</v>
      </c>
      <c r="J107" s="434">
        <v>65000</v>
      </c>
      <c r="K107" s="434">
        <v>830000</v>
      </c>
      <c r="L107" s="434">
        <v>0</v>
      </c>
      <c r="M107" s="434">
        <v>387498</v>
      </c>
      <c r="N107" s="434">
        <v>196685</v>
      </c>
      <c r="O107" s="434">
        <v>23560</v>
      </c>
      <c r="P107" s="432">
        <f t="shared" si="13"/>
        <v>2900577</v>
      </c>
      <c r="Q107" s="434">
        <v>1387849</v>
      </c>
      <c r="R107" s="434">
        <v>602373</v>
      </c>
      <c r="S107" s="434">
        <v>0</v>
      </c>
      <c r="T107" s="434">
        <v>0</v>
      </c>
      <c r="U107" s="434">
        <v>52580</v>
      </c>
      <c r="V107" s="434">
        <v>0</v>
      </c>
      <c r="W107" s="434">
        <v>345013</v>
      </c>
      <c r="X107" s="434">
        <v>113810</v>
      </c>
      <c r="Y107" s="434">
        <v>4560</v>
      </c>
      <c r="Z107" s="434">
        <v>394392</v>
      </c>
      <c r="AA107" s="434">
        <v>0</v>
      </c>
      <c r="AB107" s="434">
        <v>0</v>
      </c>
      <c r="AC107" s="434">
        <v>783898</v>
      </c>
      <c r="AD107" s="434">
        <v>45960</v>
      </c>
      <c r="AE107" s="434">
        <v>1341065</v>
      </c>
      <c r="AF107" s="434">
        <v>0</v>
      </c>
      <c r="AG107" s="434">
        <v>23102</v>
      </c>
      <c r="AH107" s="434">
        <v>205773</v>
      </c>
      <c r="AI107" s="434">
        <v>81396</v>
      </c>
      <c r="AJ107" s="434">
        <v>30566</v>
      </c>
      <c r="AK107" s="434">
        <v>0</v>
      </c>
      <c r="AL107" s="434">
        <v>388817</v>
      </c>
      <c r="AM107" s="434">
        <v>0</v>
      </c>
    </row>
    <row r="108" spans="1:39" s="155" customFormat="1" ht="22.5" x14ac:dyDescent="0.2">
      <c r="A108" s="168">
        <v>54</v>
      </c>
      <c r="B108" s="519">
        <v>38893</v>
      </c>
      <c r="C108" s="518" t="s">
        <v>1208</v>
      </c>
      <c r="D108" s="432">
        <f t="shared" si="10"/>
        <v>3947255</v>
      </c>
      <c r="E108" s="434">
        <v>606567</v>
      </c>
      <c r="F108" s="434">
        <v>101305</v>
      </c>
      <c r="G108" s="434">
        <v>157160</v>
      </c>
      <c r="H108" s="434">
        <v>0</v>
      </c>
      <c r="I108" s="434">
        <v>1402515</v>
      </c>
      <c r="J108" s="434">
        <v>284000</v>
      </c>
      <c r="K108" s="434">
        <v>1311000</v>
      </c>
      <c r="L108" s="434">
        <v>0</v>
      </c>
      <c r="M108" s="434">
        <v>107882</v>
      </c>
      <c r="N108" s="434">
        <v>197235</v>
      </c>
      <c r="O108" s="434">
        <v>38056</v>
      </c>
      <c r="P108" s="432">
        <f t="shared" si="13"/>
        <v>3670944</v>
      </c>
      <c r="Q108" s="434">
        <v>1521405</v>
      </c>
      <c r="R108" s="434">
        <v>1369043</v>
      </c>
      <c r="S108" s="434">
        <v>2791</v>
      </c>
      <c r="T108" s="434">
        <v>0</v>
      </c>
      <c r="U108" s="434">
        <v>0</v>
      </c>
      <c r="V108" s="434">
        <v>0</v>
      </c>
      <c r="W108" s="434">
        <v>83692</v>
      </c>
      <c r="X108" s="434">
        <v>254213</v>
      </c>
      <c r="Y108" s="434">
        <v>12700</v>
      </c>
      <c r="Z108" s="434">
        <v>213707</v>
      </c>
      <c r="AA108" s="434">
        <v>213393</v>
      </c>
      <c r="AB108" s="434">
        <v>0</v>
      </c>
      <c r="AC108" s="434">
        <v>869230</v>
      </c>
      <c r="AD108" s="434">
        <v>140061</v>
      </c>
      <c r="AE108" s="434">
        <v>1373774</v>
      </c>
      <c r="AF108" s="434">
        <v>23162</v>
      </c>
      <c r="AG108" s="434">
        <v>49660</v>
      </c>
      <c r="AH108" s="434">
        <v>254213</v>
      </c>
      <c r="AI108" s="434">
        <v>119460</v>
      </c>
      <c r="AJ108" s="434">
        <v>0</v>
      </c>
      <c r="AK108" s="434">
        <v>0</v>
      </c>
      <c r="AL108" s="434">
        <v>841384</v>
      </c>
      <c r="AM108" s="434">
        <v>0</v>
      </c>
    </row>
    <row r="109" spans="1:39" s="155" customFormat="1" ht="22.5" x14ac:dyDescent="0.2">
      <c r="A109" s="168">
        <v>55</v>
      </c>
      <c r="B109" s="519">
        <v>39122</v>
      </c>
      <c r="C109" s="518" t="s">
        <v>1209</v>
      </c>
      <c r="D109" s="432">
        <f t="shared" si="10"/>
        <v>8374132</v>
      </c>
      <c r="E109" s="434">
        <v>1491933</v>
      </c>
      <c r="F109" s="434">
        <v>263846</v>
      </c>
      <c r="G109" s="434">
        <v>439740</v>
      </c>
      <c r="H109" s="434">
        <v>0</v>
      </c>
      <c r="I109" s="434">
        <v>4686961</v>
      </c>
      <c r="J109" s="434">
        <v>233000</v>
      </c>
      <c r="K109" s="434">
        <v>1021000</v>
      </c>
      <c r="L109" s="434">
        <v>0</v>
      </c>
      <c r="M109" s="434">
        <v>931833</v>
      </c>
      <c r="N109" s="434">
        <v>9405</v>
      </c>
      <c r="O109" s="434">
        <v>0</v>
      </c>
      <c r="P109" s="432">
        <f t="shared" si="13"/>
        <v>7834985</v>
      </c>
      <c r="Q109" s="434">
        <v>4708630</v>
      </c>
      <c r="R109" s="434">
        <v>1316296</v>
      </c>
      <c r="S109" s="434">
        <v>0</v>
      </c>
      <c r="T109" s="434">
        <v>0</v>
      </c>
      <c r="U109" s="434">
        <v>0</v>
      </c>
      <c r="V109" s="434">
        <v>0</v>
      </c>
      <c r="W109" s="434">
        <v>0</v>
      </c>
      <c r="X109" s="434">
        <v>174545</v>
      </c>
      <c r="Y109" s="434">
        <v>29921</v>
      </c>
      <c r="Z109" s="434">
        <v>1605593</v>
      </c>
      <c r="AA109" s="434">
        <v>0</v>
      </c>
      <c r="AB109" s="434">
        <v>0</v>
      </c>
      <c r="AC109" s="434">
        <v>551539</v>
      </c>
      <c r="AD109" s="434">
        <v>75452</v>
      </c>
      <c r="AE109" s="434">
        <v>4700698</v>
      </c>
      <c r="AF109" s="434">
        <v>20850</v>
      </c>
      <c r="AG109" s="434">
        <v>178819</v>
      </c>
      <c r="AH109" s="434">
        <v>285718</v>
      </c>
      <c r="AI109" s="434">
        <v>659868</v>
      </c>
      <c r="AJ109" s="434">
        <v>88407</v>
      </c>
      <c r="AK109" s="434">
        <v>0</v>
      </c>
      <c r="AL109" s="434">
        <v>1273634</v>
      </c>
      <c r="AM109" s="434">
        <v>0</v>
      </c>
    </row>
    <row r="110" spans="1:39" s="155" customFormat="1" ht="22.5" x14ac:dyDescent="0.2">
      <c r="A110" s="168">
        <v>56</v>
      </c>
      <c r="B110" s="519">
        <v>35884</v>
      </c>
      <c r="C110" s="518" t="s">
        <v>1210</v>
      </c>
      <c r="D110" s="432">
        <f t="shared" si="10"/>
        <v>6673953</v>
      </c>
      <c r="E110" s="434">
        <v>666790</v>
      </c>
      <c r="F110" s="434">
        <v>142749</v>
      </c>
      <c r="G110" s="434">
        <v>136870</v>
      </c>
      <c r="H110" s="434">
        <v>0</v>
      </c>
      <c r="I110" s="434">
        <v>1891448</v>
      </c>
      <c r="J110" s="434">
        <v>273000</v>
      </c>
      <c r="K110" s="434">
        <v>1218000</v>
      </c>
      <c r="L110" s="434">
        <v>0</v>
      </c>
      <c r="M110" s="434">
        <v>128012</v>
      </c>
      <c r="N110" s="434">
        <v>1642313</v>
      </c>
      <c r="O110" s="434">
        <v>854390</v>
      </c>
      <c r="P110" s="432">
        <f t="shared" si="13"/>
        <v>4945202</v>
      </c>
      <c r="Q110" s="434">
        <v>2183106</v>
      </c>
      <c r="R110" s="434">
        <v>1294633</v>
      </c>
      <c r="S110" s="434">
        <v>15825</v>
      </c>
      <c r="T110" s="434">
        <v>0</v>
      </c>
      <c r="U110" s="434">
        <v>0</v>
      </c>
      <c r="V110" s="434">
        <v>10000</v>
      </c>
      <c r="W110" s="434">
        <v>0</v>
      </c>
      <c r="X110" s="434">
        <v>259739</v>
      </c>
      <c r="Y110" s="434">
        <v>0</v>
      </c>
      <c r="Z110" s="434">
        <v>1138899</v>
      </c>
      <c r="AA110" s="434">
        <v>43000</v>
      </c>
      <c r="AB110" s="434">
        <v>0</v>
      </c>
      <c r="AC110" s="434">
        <v>1095125</v>
      </c>
      <c r="AD110" s="434">
        <v>33908</v>
      </c>
      <c r="AE110" s="434">
        <v>1814579</v>
      </c>
      <c r="AF110" s="434">
        <v>0</v>
      </c>
      <c r="AG110" s="434">
        <v>119367</v>
      </c>
      <c r="AH110" s="434">
        <v>259739</v>
      </c>
      <c r="AI110" s="434">
        <v>344039</v>
      </c>
      <c r="AJ110" s="434">
        <v>898670</v>
      </c>
      <c r="AK110" s="434">
        <v>0</v>
      </c>
      <c r="AL110" s="434">
        <v>361504</v>
      </c>
      <c r="AM110" s="434">
        <v>18271</v>
      </c>
    </row>
    <row r="111" spans="1:39" s="155" customFormat="1" ht="22.5" x14ac:dyDescent="0.2">
      <c r="A111" s="168">
        <v>57</v>
      </c>
      <c r="B111" s="519">
        <v>39220</v>
      </c>
      <c r="C111" s="518" t="s">
        <v>1211</v>
      </c>
      <c r="D111" s="432">
        <f t="shared" si="10"/>
        <v>4036649</v>
      </c>
      <c r="E111" s="434">
        <v>885836</v>
      </c>
      <c r="F111" s="434">
        <v>87239</v>
      </c>
      <c r="G111" s="434">
        <v>124230</v>
      </c>
      <c r="H111" s="434">
        <v>0</v>
      </c>
      <c r="I111" s="434">
        <v>1437541</v>
      </c>
      <c r="J111" s="434">
        <v>586000</v>
      </c>
      <c r="K111" s="434">
        <v>1108000</v>
      </c>
      <c r="L111" s="434">
        <v>0</v>
      </c>
      <c r="M111" s="434">
        <v>19272</v>
      </c>
      <c r="N111" s="434">
        <v>0</v>
      </c>
      <c r="O111" s="434">
        <v>0</v>
      </c>
      <c r="P111" s="432">
        <f t="shared" si="13"/>
        <v>3965469</v>
      </c>
      <c r="Q111" s="434">
        <v>1750011</v>
      </c>
      <c r="R111" s="434">
        <v>1125600</v>
      </c>
      <c r="S111" s="434">
        <v>12835</v>
      </c>
      <c r="T111" s="434">
        <v>0</v>
      </c>
      <c r="U111" s="434">
        <v>0</v>
      </c>
      <c r="V111" s="434">
        <v>0</v>
      </c>
      <c r="W111" s="434">
        <v>0</v>
      </c>
      <c r="X111" s="434">
        <v>116366</v>
      </c>
      <c r="Y111" s="434">
        <v>32295</v>
      </c>
      <c r="Z111" s="434">
        <v>891193</v>
      </c>
      <c r="AA111" s="434">
        <v>40023</v>
      </c>
      <c r="AB111" s="434">
        <v>-2854</v>
      </c>
      <c r="AC111" s="434">
        <v>857048</v>
      </c>
      <c r="AD111" s="434">
        <v>71777</v>
      </c>
      <c r="AE111" s="434">
        <v>1259313</v>
      </c>
      <c r="AF111" s="434">
        <v>0</v>
      </c>
      <c r="AG111" s="434">
        <v>89598</v>
      </c>
      <c r="AH111" s="434">
        <v>272390</v>
      </c>
      <c r="AI111" s="434">
        <v>459540</v>
      </c>
      <c r="AJ111" s="434">
        <v>59950</v>
      </c>
      <c r="AK111" s="434">
        <v>0</v>
      </c>
      <c r="AL111" s="434">
        <v>895853</v>
      </c>
      <c r="AM111" s="434">
        <v>0</v>
      </c>
    </row>
    <row r="112" spans="1:39" s="155" customFormat="1" ht="22.5" x14ac:dyDescent="0.2">
      <c r="A112" s="168">
        <v>58</v>
      </c>
      <c r="B112" s="519">
        <v>38982</v>
      </c>
      <c r="C112" s="518" t="s">
        <v>1212</v>
      </c>
      <c r="D112" s="432">
        <f t="shared" si="10"/>
        <v>6910390</v>
      </c>
      <c r="E112" s="434">
        <v>1134799</v>
      </c>
      <c r="F112" s="434">
        <v>212530</v>
      </c>
      <c r="G112" s="434">
        <v>296980</v>
      </c>
      <c r="H112" s="434">
        <v>0</v>
      </c>
      <c r="I112" s="434">
        <v>3207704</v>
      </c>
      <c r="J112" s="434">
        <v>135000</v>
      </c>
      <c r="K112" s="434">
        <v>1204000</v>
      </c>
      <c r="L112" s="434">
        <v>0</v>
      </c>
      <c r="M112" s="434">
        <v>1067974</v>
      </c>
      <c r="N112" s="434">
        <v>96229</v>
      </c>
      <c r="O112" s="434">
        <v>64684</v>
      </c>
      <c r="P112" s="432">
        <f t="shared" si="13"/>
        <v>6282417</v>
      </c>
      <c r="Q112" s="434">
        <v>3443300</v>
      </c>
      <c r="R112" s="434">
        <v>1185184</v>
      </c>
      <c r="S112" s="434">
        <v>0</v>
      </c>
      <c r="T112" s="434">
        <v>0</v>
      </c>
      <c r="U112" s="434">
        <v>0</v>
      </c>
      <c r="V112" s="434">
        <v>0</v>
      </c>
      <c r="W112" s="434">
        <v>161871</v>
      </c>
      <c r="X112" s="434">
        <v>253971</v>
      </c>
      <c r="Y112" s="434">
        <v>23102</v>
      </c>
      <c r="Z112" s="434">
        <v>1214989</v>
      </c>
      <c r="AA112" s="434">
        <v>0</v>
      </c>
      <c r="AB112" s="434">
        <v>0</v>
      </c>
      <c r="AC112" s="434">
        <v>747249</v>
      </c>
      <c r="AD112" s="434">
        <v>55944</v>
      </c>
      <c r="AE112" s="434">
        <v>3493082</v>
      </c>
      <c r="AF112" s="434">
        <v>22869</v>
      </c>
      <c r="AG112" s="434">
        <v>251108</v>
      </c>
      <c r="AH112" s="434">
        <v>448257</v>
      </c>
      <c r="AI112" s="434">
        <v>288476</v>
      </c>
      <c r="AJ112" s="434">
        <v>26865</v>
      </c>
      <c r="AK112" s="434">
        <v>0</v>
      </c>
      <c r="AL112" s="434">
        <v>948567</v>
      </c>
      <c r="AM112" s="434">
        <v>0</v>
      </c>
    </row>
    <row r="113" spans="1:39" s="155" customFormat="1" ht="22.5" x14ac:dyDescent="0.2">
      <c r="A113" s="168">
        <v>59</v>
      </c>
      <c r="B113" s="519">
        <v>39051</v>
      </c>
      <c r="C113" s="518" t="s">
        <v>1213</v>
      </c>
      <c r="D113" s="432">
        <f t="shared" si="10"/>
        <v>4657426</v>
      </c>
      <c r="E113" s="434">
        <v>946815</v>
      </c>
      <c r="F113" s="434">
        <v>271447</v>
      </c>
      <c r="G113" s="434">
        <v>99020</v>
      </c>
      <c r="H113" s="434">
        <v>0</v>
      </c>
      <c r="I113" s="434">
        <v>1734000</v>
      </c>
      <c r="J113" s="434">
        <v>256000</v>
      </c>
      <c r="K113" s="434">
        <v>963000</v>
      </c>
      <c r="L113" s="434">
        <v>0</v>
      </c>
      <c r="M113" s="434">
        <v>184231</v>
      </c>
      <c r="N113" s="434">
        <v>573380</v>
      </c>
      <c r="O113" s="434">
        <v>0</v>
      </c>
      <c r="P113" s="432">
        <f t="shared" si="13"/>
        <v>4521974</v>
      </c>
      <c r="Q113" s="434">
        <v>2188348</v>
      </c>
      <c r="R113" s="434">
        <v>1291203</v>
      </c>
      <c r="S113" s="434">
        <v>29466</v>
      </c>
      <c r="T113" s="434">
        <v>0</v>
      </c>
      <c r="U113" s="434">
        <v>0</v>
      </c>
      <c r="V113" s="434">
        <v>0</v>
      </c>
      <c r="W113" s="434">
        <v>232619</v>
      </c>
      <c r="X113" s="434">
        <v>100260</v>
      </c>
      <c r="Y113" s="434">
        <v>11340</v>
      </c>
      <c r="Z113" s="434">
        <v>50738</v>
      </c>
      <c r="AA113" s="434">
        <v>618000</v>
      </c>
      <c r="AB113" s="434">
        <v>0</v>
      </c>
      <c r="AC113" s="434">
        <v>899270</v>
      </c>
      <c r="AD113" s="434">
        <v>78928</v>
      </c>
      <c r="AE113" s="434">
        <v>1483015</v>
      </c>
      <c r="AF113" s="434">
        <v>18289</v>
      </c>
      <c r="AG113" s="434">
        <v>30095</v>
      </c>
      <c r="AH113" s="434">
        <v>308099</v>
      </c>
      <c r="AI113" s="434">
        <v>440660</v>
      </c>
      <c r="AJ113" s="434">
        <v>58337</v>
      </c>
      <c r="AK113" s="434">
        <v>0</v>
      </c>
      <c r="AL113" s="434">
        <v>1205281</v>
      </c>
      <c r="AM113" s="434">
        <v>0</v>
      </c>
    </row>
    <row r="114" spans="1:39" s="155" customFormat="1" ht="22.5" x14ac:dyDescent="0.2">
      <c r="A114" s="168">
        <v>60</v>
      </c>
      <c r="B114" s="519">
        <v>39266</v>
      </c>
      <c r="C114" s="518" t="s">
        <v>1214</v>
      </c>
      <c r="D114" s="432">
        <f t="shared" si="10"/>
        <v>5415718</v>
      </c>
      <c r="E114" s="434">
        <v>841066</v>
      </c>
      <c r="F114" s="434">
        <v>179655</v>
      </c>
      <c r="G114" s="434">
        <v>109090</v>
      </c>
      <c r="H114" s="434">
        <v>0</v>
      </c>
      <c r="I114" s="434">
        <v>2575001</v>
      </c>
      <c r="J114" s="434">
        <v>75000</v>
      </c>
      <c r="K114" s="434">
        <v>984000</v>
      </c>
      <c r="L114" s="434">
        <v>0</v>
      </c>
      <c r="M114" s="434">
        <v>683693</v>
      </c>
      <c r="N114" s="434">
        <v>224894</v>
      </c>
      <c r="O114" s="434">
        <v>32064</v>
      </c>
      <c r="P114" s="432">
        <f t="shared" si="13"/>
        <v>4796625</v>
      </c>
      <c r="Q114" s="434">
        <v>2752617</v>
      </c>
      <c r="R114" s="434">
        <v>1172387</v>
      </c>
      <c r="S114" s="434">
        <v>0</v>
      </c>
      <c r="T114" s="434">
        <v>0</v>
      </c>
      <c r="U114" s="434">
        <v>0</v>
      </c>
      <c r="V114" s="434">
        <v>0</v>
      </c>
      <c r="W114" s="434">
        <v>0</v>
      </c>
      <c r="X114" s="434">
        <v>132857</v>
      </c>
      <c r="Y114" s="434">
        <v>16769</v>
      </c>
      <c r="Z114" s="434">
        <v>726231</v>
      </c>
      <c r="AA114" s="434">
        <v>0</v>
      </c>
      <c r="AB114" s="434">
        <v>-4236</v>
      </c>
      <c r="AC114" s="434">
        <v>779080</v>
      </c>
      <c r="AD114" s="434">
        <v>88294</v>
      </c>
      <c r="AE114" s="434">
        <v>2396556</v>
      </c>
      <c r="AF114" s="434">
        <v>24311</v>
      </c>
      <c r="AG114" s="434">
        <v>54119</v>
      </c>
      <c r="AH114" s="434">
        <v>299108</v>
      </c>
      <c r="AI114" s="434">
        <v>165831</v>
      </c>
      <c r="AJ114" s="434">
        <v>106413</v>
      </c>
      <c r="AK114" s="434">
        <v>0</v>
      </c>
      <c r="AL114" s="434">
        <v>882913</v>
      </c>
      <c r="AM114" s="434">
        <v>0</v>
      </c>
    </row>
    <row r="115" spans="1:39" s="155" customFormat="1" ht="22.5" x14ac:dyDescent="0.2">
      <c r="A115" s="168">
        <v>61</v>
      </c>
      <c r="B115" s="519">
        <v>39328</v>
      </c>
      <c r="C115" s="518" t="s">
        <v>1215</v>
      </c>
      <c r="D115" s="432">
        <f t="shared" si="10"/>
        <v>11179840</v>
      </c>
      <c r="E115" s="434">
        <v>2258416</v>
      </c>
      <c r="F115" s="434">
        <v>703061</v>
      </c>
      <c r="G115" s="434">
        <v>379100</v>
      </c>
      <c r="H115" s="434">
        <v>0</v>
      </c>
      <c r="I115" s="434">
        <v>4753702</v>
      </c>
      <c r="J115" s="434">
        <v>319000</v>
      </c>
      <c r="K115" s="434">
        <v>641000</v>
      </c>
      <c r="L115" s="434">
        <v>0</v>
      </c>
      <c r="M115" s="434">
        <v>3099102</v>
      </c>
      <c r="N115" s="434">
        <v>0</v>
      </c>
      <c r="O115" s="434">
        <v>108620</v>
      </c>
      <c r="P115" s="432">
        <f t="shared" si="13"/>
        <v>10247204</v>
      </c>
      <c r="Q115" s="434">
        <v>4986374</v>
      </c>
      <c r="R115" s="434">
        <v>1425607</v>
      </c>
      <c r="S115" s="434">
        <v>41100</v>
      </c>
      <c r="T115" s="434">
        <v>0</v>
      </c>
      <c r="U115" s="434">
        <v>951592</v>
      </c>
      <c r="V115" s="434">
        <v>0</v>
      </c>
      <c r="W115" s="434">
        <v>0</v>
      </c>
      <c r="X115" s="434">
        <v>141516</v>
      </c>
      <c r="Y115" s="434">
        <v>0</v>
      </c>
      <c r="Z115" s="434">
        <v>2089898</v>
      </c>
      <c r="AA115" s="434">
        <v>720003</v>
      </c>
      <c r="AB115" s="434">
        <v>-108886</v>
      </c>
      <c r="AC115" s="434">
        <v>1358476</v>
      </c>
      <c r="AD115" s="434">
        <v>24520</v>
      </c>
      <c r="AE115" s="434">
        <v>5252562</v>
      </c>
      <c r="AF115" s="434">
        <v>37801</v>
      </c>
      <c r="AG115" s="434">
        <v>60880</v>
      </c>
      <c r="AH115" s="434">
        <v>1177958</v>
      </c>
      <c r="AI115" s="434">
        <v>2088790</v>
      </c>
      <c r="AJ115" s="434">
        <v>78974</v>
      </c>
      <c r="AK115" s="434">
        <v>0</v>
      </c>
      <c r="AL115" s="434">
        <v>167243</v>
      </c>
      <c r="AM115" s="434">
        <v>0</v>
      </c>
    </row>
    <row r="116" spans="1:39" s="155" customFormat="1" ht="22.5" x14ac:dyDescent="0.2">
      <c r="A116" s="168">
        <v>62</v>
      </c>
      <c r="B116" s="519">
        <v>39391</v>
      </c>
      <c r="C116" s="518" t="s">
        <v>1216</v>
      </c>
      <c r="D116" s="432">
        <f t="shared" si="10"/>
        <v>8309033</v>
      </c>
      <c r="E116" s="434">
        <v>1143808</v>
      </c>
      <c r="F116" s="434">
        <v>157464</v>
      </c>
      <c r="G116" s="434">
        <v>536320</v>
      </c>
      <c r="H116" s="434">
        <v>0</v>
      </c>
      <c r="I116" s="434">
        <v>2545602</v>
      </c>
      <c r="J116" s="434">
        <v>78000</v>
      </c>
      <c r="K116" s="434">
        <v>1177000</v>
      </c>
      <c r="L116" s="434">
        <v>0</v>
      </c>
      <c r="M116" s="434">
        <v>3298870</v>
      </c>
      <c r="N116" s="434">
        <v>0</v>
      </c>
      <c r="O116" s="434">
        <v>65753</v>
      </c>
      <c r="P116" s="432">
        <f t="shared" si="13"/>
        <v>8309727</v>
      </c>
      <c r="Q116" s="434">
        <v>2799049</v>
      </c>
      <c r="R116" s="434">
        <v>1398407</v>
      </c>
      <c r="S116" s="434">
        <v>0</v>
      </c>
      <c r="T116" s="434">
        <v>0</v>
      </c>
      <c r="U116" s="434">
        <v>0</v>
      </c>
      <c r="V116" s="434">
        <v>0</v>
      </c>
      <c r="W116" s="434">
        <v>0</v>
      </c>
      <c r="X116" s="434">
        <v>235280</v>
      </c>
      <c r="Y116" s="434">
        <v>51400</v>
      </c>
      <c r="Z116" s="434">
        <v>3839137</v>
      </c>
      <c r="AA116" s="434">
        <v>0</v>
      </c>
      <c r="AB116" s="434">
        <v>-13546</v>
      </c>
      <c r="AC116" s="434">
        <v>980133</v>
      </c>
      <c r="AD116" s="434">
        <v>81553</v>
      </c>
      <c r="AE116" s="434">
        <v>2312298</v>
      </c>
      <c r="AF116" s="434">
        <v>79544</v>
      </c>
      <c r="AG116" s="434">
        <v>299771</v>
      </c>
      <c r="AH116" s="434">
        <v>708540</v>
      </c>
      <c r="AI116" s="434">
        <v>176691</v>
      </c>
      <c r="AJ116" s="434">
        <v>66709</v>
      </c>
      <c r="AK116" s="434">
        <v>0</v>
      </c>
      <c r="AL116" s="434">
        <v>3604488</v>
      </c>
      <c r="AM116" s="434">
        <v>0</v>
      </c>
    </row>
    <row r="117" spans="1:39" s="155" customFormat="1" ht="22.5" x14ac:dyDescent="0.2">
      <c r="A117" s="168">
        <v>63</v>
      </c>
      <c r="B117" s="519">
        <v>39417</v>
      </c>
      <c r="C117" s="518" t="s">
        <v>1217</v>
      </c>
      <c r="D117" s="432">
        <f t="shared" si="10"/>
        <v>10443777</v>
      </c>
      <c r="E117" s="434">
        <v>2422713</v>
      </c>
      <c r="F117" s="434">
        <v>286170</v>
      </c>
      <c r="G117" s="434">
        <v>1154930</v>
      </c>
      <c r="H117" s="434">
        <v>0</v>
      </c>
      <c r="I117" s="434">
        <v>4281035</v>
      </c>
      <c r="J117" s="434">
        <v>383000</v>
      </c>
      <c r="K117" s="434">
        <v>1316000</v>
      </c>
      <c r="L117" s="434">
        <v>0</v>
      </c>
      <c r="M117" s="434">
        <v>2041029</v>
      </c>
      <c r="N117" s="434">
        <v>0</v>
      </c>
      <c r="O117" s="434">
        <v>0</v>
      </c>
      <c r="P117" s="432">
        <f t="shared" si="13"/>
        <v>10008210</v>
      </c>
      <c r="Q117" s="434">
        <v>4656250</v>
      </c>
      <c r="R117" s="434">
        <v>1660085</v>
      </c>
      <c r="S117" s="434">
        <v>36550</v>
      </c>
      <c r="T117" s="434">
        <v>0</v>
      </c>
      <c r="U117" s="434">
        <v>0</v>
      </c>
      <c r="V117" s="434">
        <v>0</v>
      </c>
      <c r="W117" s="434">
        <v>0</v>
      </c>
      <c r="X117" s="434">
        <v>177037</v>
      </c>
      <c r="Y117" s="434">
        <v>119703</v>
      </c>
      <c r="Z117" s="434">
        <v>3235868</v>
      </c>
      <c r="AA117" s="434">
        <v>122781</v>
      </c>
      <c r="AB117" s="434">
        <v>-64</v>
      </c>
      <c r="AC117" s="434">
        <v>1233917</v>
      </c>
      <c r="AD117" s="434">
        <v>55425</v>
      </c>
      <c r="AE117" s="434">
        <v>4093459</v>
      </c>
      <c r="AF117" s="434">
        <v>21924</v>
      </c>
      <c r="AG117" s="434">
        <v>1063458</v>
      </c>
      <c r="AH117" s="434">
        <v>480446</v>
      </c>
      <c r="AI117" s="434">
        <v>159252</v>
      </c>
      <c r="AJ117" s="434">
        <v>64081</v>
      </c>
      <c r="AK117" s="434">
        <v>0</v>
      </c>
      <c r="AL117" s="434">
        <v>2836248</v>
      </c>
      <c r="AM117" s="434">
        <v>0</v>
      </c>
    </row>
    <row r="118" spans="1:39" s="155" customFormat="1" ht="22.5" x14ac:dyDescent="0.2">
      <c r="A118" s="168">
        <v>64</v>
      </c>
      <c r="B118" s="519">
        <v>39532</v>
      </c>
      <c r="C118" s="518" t="s">
        <v>1218</v>
      </c>
      <c r="D118" s="432">
        <f t="shared" ref="D118:D125" si="14">E118+SUM(H118:O118)</f>
        <v>3389054</v>
      </c>
      <c r="E118" s="434">
        <v>722293</v>
      </c>
      <c r="F118" s="434">
        <v>89849</v>
      </c>
      <c r="G118" s="434">
        <v>133540</v>
      </c>
      <c r="H118" s="434">
        <v>0</v>
      </c>
      <c r="I118" s="434">
        <v>1410811</v>
      </c>
      <c r="J118" s="434">
        <v>171000</v>
      </c>
      <c r="K118" s="434">
        <v>1025000</v>
      </c>
      <c r="L118" s="434">
        <v>0</v>
      </c>
      <c r="M118" s="434">
        <v>20232</v>
      </c>
      <c r="N118" s="434">
        <v>0</v>
      </c>
      <c r="O118" s="434">
        <v>39718</v>
      </c>
      <c r="P118" s="432">
        <f t="shared" si="13"/>
        <v>2823342</v>
      </c>
      <c r="Q118" s="434">
        <v>1645610</v>
      </c>
      <c r="R118" s="434">
        <v>987222</v>
      </c>
      <c r="S118" s="434">
        <v>0</v>
      </c>
      <c r="T118" s="434">
        <v>0</v>
      </c>
      <c r="U118" s="434">
        <v>0</v>
      </c>
      <c r="V118" s="434">
        <v>0</v>
      </c>
      <c r="W118" s="434">
        <v>0</v>
      </c>
      <c r="X118" s="434">
        <v>92886</v>
      </c>
      <c r="Y118" s="434">
        <v>25447</v>
      </c>
      <c r="Z118" s="434">
        <v>72177</v>
      </c>
      <c r="AA118" s="434">
        <v>0</v>
      </c>
      <c r="AB118" s="434">
        <v>0</v>
      </c>
      <c r="AC118" s="434">
        <v>498461</v>
      </c>
      <c r="AD118" s="434">
        <v>70577</v>
      </c>
      <c r="AE118" s="434">
        <v>1321534</v>
      </c>
      <c r="AF118" s="434">
        <v>22502</v>
      </c>
      <c r="AG118" s="434">
        <v>50638</v>
      </c>
      <c r="AH118" s="434">
        <v>186734</v>
      </c>
      <c r="AI118" s="434">
        <v>120296</v>
      </c>
      <c r="AJ118" s="434">
        <v>40045</v>
      </c>
      <c r="AK118" s="434">
        <v>0</v>
      </c>
      <c r="AL118" s="434">
        <v>512555</v>
      </c>
      <c r="AM118" s="434">
        <v>0</v>
      </c>
    </row>
    <row r="119" spans="1:39" s="155" customFormat="1" ht="22.5" x14ac:dyDescent="0.2">
      <c r="A119" s="168">
        <v>65</v>
      </c>
      <c r="B119" s="519">
        <v>39612</v>
      </c>
      <c r="C119" s="518" t="s">
        <v>1219</v>
      </c>
      <c r="D119" s="432">
        <f t="shared" si="14"/>
        <v>3929932</v>
      </c>
      <c r="E119" s="434">
        <v>690410</v>
      </c>
      <c r="F119" s="434">
        <v>75937</v>
      </c>
      <c r="G119" s="434">
        <v>140360</v>
      </c>
      <c r="H119" s="434">
        <v>0</v>
      </c>
      <c r="I119" s="434">
        <v>912837</v>
      </c>
      <c r="J119" s="434">
        <v>129000</v>
      </c>
      <c r="K119" s="434">
        <v>1076000</v>
      </c>
      <c r="L119" s="434">
        <v>0</v>
      </c>
      <c r="M119" s="434">
        <v>1085421</v>
      </c>
      <c r="N119" s="434">
        <v>0</v>
      </c>
      <c r="O119" s="434">
        <v>36264</v>
      </c>
      <c r="P119" s="432">
        <f t="shared" si="13"/>
        <v>4920521</v>
      </c>
      <c r="Q119" s="434">
        <v>1353085</v>
      </c>
      <c r="R119" s="434">
        <v>983149</v>
      </c>
      <c r="S119" s="434">
        <v>18890</v>
      </c>
      <c r="T119" s="434">
        <v>0</v>
      </c>
      <c r="U119" s="434">
        <v>0</v>
      </c>
      <c r="V119" s="434">
        <v>0</v>
      </c>
      <c r="W119" s="434">
        <v>0</v>
      </c>
      <c r="X119" s="434">
        <v>85117</v>
      </c>
      <c r="Y119" s="434">
        <v>109507</v>
      </c>
      <c r="Z119" s="434">
        <v>1430773</v>
      </c>
      <c r="AA119" s="434">
        <v>940000</v>
      </c>
      <c r="AB119" s="434">
        <v>0</v>
      </c>
      <c r="AC119" s="434">
        <v>1395506</v>
      </c>
      <c r="AD119" s="434">
        <v>162511</v>
      </c>
      <c r="AE119" s="434">
        <v>825235</v>
      </c>
      <c r="AF119" s="434">
        <v>34622</v>
      </c>
      <c r="AG119" s="434">
        <v>530657</v>
      </c>
      <c r="AH119" s="434">
        <v>239247</v>
      </c>
      <c r="AI119" s="434">
        <v>194482</v>
      </c>
      <c r="AJ119" s="434">
        <v>58754</v>
      </c>
      <c r="AK119" s="434">
        <v>0</v>
      </c>
      <c r="AL119" s="434">
        <v>1479507</v>
      </c>
      <c r="AM119" s="434">
        <v>0</v>
      </c>
    </row>
    <row r="120" spans="1:39" s="155" customFormat="1" ht="22.5" x14ac:dyDescent="0.2">
      <c r="A120" s="168">
        <v>66</v>
      </c>
      <c r="B120" s="519">
        <v>39694</v>
      </c>
      <c r="C120" s="518" t="s">
        <v>1220</v>
      </c>
      <c r="D120" s="432">
        <f t="shared" si="14"/>
        <v>4628969</v>
      </c>
      <c r="E120" s="434">
        <v>1132453</v>
      </c>
      <c r="F120" s="434">
        <v>202632</v>
      </c>
      <c r="G120" s="434">
        <v>135980</v>
      </c>
      <c r="H120" s="434">
        <v>0</v>
      </c>
      <c r="I120" s="434">
        <v>1966000</v>
      </c>
      <c r="J120" s="434">
        <v>320000</v>
      </c>
      <c r="K120" s="434">
        <v>1121000</v>
      </c>
      <c r="L120" s="434">
        <v>0</v>
      </c>
      <c r="M120" s="434">
        <v>89516</v>
      </c>
      <c r="N120" s="434">
        <v>0</v>
      </c>
      <c r="O120" s="434">
        <v>0</v>
      </c>
      <c r="P120" s="432">
        <f t="shared" si="13"/>
        <v>4533432</v>
      </c>
      <c r="Q120" s="434">
        <v>2506040</v>
      </c>
      <c r="R120" s="434">
        <v>905275</v>
      </c>
      <c r="S120" s="434">
        <v>20167</v>
      </c>
      <c r="T120" s="434">
        <v>0</v>
      </c>
      <c r="U120" s="434">
        <v>151020</v>
      </c>
      <c r="V120" s="434">
        <v>0</v>
      </c>
      <c r="W120" s="434">
        <v>0</v>
      </c>
      <c r="X120" s="434">
        <v>113750</v>
      </c>
      <c r="Y120" s="434">
        <v>99509</v>
      </c>
      <c r="Z120" s="434">
        <v>488697</v>
      </c>
      <c r="AA120" s="434">
        <v>265655</v>
      </c>
      <c r="AB120" s="434">
        <v>-16681</v>
      </c>
      <c r="AC120" s="434">
        <v>792319</v>
      </c>
      <c r="AD120" s="434">
        <v>85727</v>
      </c>
      <c r="AE120" s="434">
        <v>1776298</v>
      </c>
      <c r="AF120" s="434">
        <v>79681</v>
      </c>
      <c r="AG120" s="434">
        <v>454220</v>
      </c>
      <c r="AH120" s="434">
        <v>410158</v>
      </c>
      <c r="AI120" s="434">
        <v>140218</v>
      </c>
      <c r="AJ120" s="434">
        <v>86533</v>
      </c>
      <c r="AK120" s="434">
        <v>0</v>
      </c>
      <c r="AL120" s="434">
        <v>708278</v>
      </c>
      <c r="AM120" s="434">
        <v>0</v>
      </c>
    </row>
    <row r="121" spans="1:39" s="155" customFormat="1" ht="22.5" x14ac:dyDescent="0.2">
      <c r="A121" s="168">
        <v>67</v>
      </c>
      <c r="B121" s="519">
        <v>39658</v>
      </c>
      <c r="C121" s="518" t="s">
        <v>1221</v>
      </c>
      <c r="D121" s="432">
        <f t="shared" si="14"/>
        <v>3073616</v>
      </c>
      <c r="E121" s="434">
        <v>585188</v>
      </c>
      <c r="F121" s="434">
        <v>83777</v>
      </c>
      <c r="G121" s="434">
        <v>153830</v>
      </c>
      <c r="H121" s="434">
        <v>0</v>
      </c>
      <c r="I121" s="434">
        <v>1091075</v>
      </c>
      <c r="J121" s="434">
        <v>203000</v>
      </c>
      <c r="K121" s="434">
        <v>1181000</v>
      </c>
      <c r="L121" s="434">
        <v>0</v>
      </c>
      <c r="M121" s="434">
        <v>13353</v>
      </c>
      <c r="N121" s="434">
        <v>0</v>
      </c>
      <c r="O121" s="434">
        <v>0</v>
      </c>
      <c r="P121" s="432">
        <f t="shared" si="13"/>
        <v>2355564</v>
      </c>
      <c r="Q121" s="434">
        <v>1492094</v>
      </c>
      <c r="R121" s="434">
        <v>525948</v>
      </c>
      <c r="S121" s="434">
        <v>0</v>
      </c>
      <c r="T121" s="434">
        <v>0</v>
      </c>
      <c r="U121" s="434">
        <v>0</v>
      </c>
      <c r="V121" s="434">
        <v>0</v>
      </c>
      <c r="W121" s="434">
        <v>0</v>
      </c>
      <c r="X121" s="434">
        <v>69349</v>
      </c>
      <c r="Y121" s="434">
        <v>175000</v>
      </c>
      <c r="Z121" s="434">
        <v>96224</v>
      </c>
      <c r="AA121" s="434">
        <v>0</v>
      </c>
      <c r="AB121" s="434">
        <v>-3051</v>
      </c>
      <c r="AC121" s="434">
        <v>516022</v>
      </c>
      <c r="AD121" s="434">
        <v>86622</v>
      </c>
      <c r="AE121" s="434">
        <v>930461</v>
      </c>
      <c r="AF121" s="434">
        <v>1324</v>
      </c>
      <c r="AG121" s="434">
        <v>203750</v>
      </c>
      <c r="AH121" s="434">
        <v>228340</v>
      </c>
      <c r="AI121" s="434">
        <v>150060</v>
      </c>
      <c r="AJ121" s="434">
        <v>42105</v>
      </c>
      <c r="AK121" s="434">
        <v>0</v>
      </c>
      <c r="AL121" s="434">
        <v>196880</v>
      </c>
      <c r="AM121" s="434">
        <v>0</v>
      </c>
    </row>
    <row r="122" spans="1:39" s="155" customFormat="1" ht="22.5" x14ac:dyDescent="0.2">
      <c r="A122" s="168">
        <v>68</v>
      </c>
      <c r="B122" s="519">
        <v>39738</v>
      </c>
      <c r="C122" s="518" t="s">
        <v>1222</v>
      </c>
      <c r="D122" s="432">
        <f t="shared" si="14"/>
        <v>7157415</v>
      </c>
      <c r="E122" s="434">
        <v>1371646</v>
      </c>
      <c r="F122" s="434">
        <v>187829</v>
      </c>
      <c r="G122" s="434">
        <v>535140</v>
      </c>
      <c r="H122" s="434">
        <v>0</v>
      </c>
      <c r="I122" s="434">
        <v>2499602</v>
      </c>
      <c r="J122" s="434">
        <v>83000</v>
      </c>
      <c r="K122" s="434">
        <v>1045000</v>
      </c>
      <c r="L122" s="434">
        <v>0</v>
      </c>
      <c r="M122" s="434">
        <v>2121319</v>
      </c>
      <c r="N122" s="434">
        <v>0</v>
      </c>
      <c r="O122" s="434">
        <v>36848</v>
      </c>
      <c r="P122" s="432">
        <f t="shared" si="13"/>
        <v>6302267</v>
      </c>
      <c r="Q122" s="434">
        <v>2674066</v>
      </c>
      <c r="R122" s="434">
        <v>1268360</v>
      </c>
      <c r="S122" s="434">
        <v>0</v>
      </c>
      <c r="T122" s="434">
        <v>0</v>
      </c>
      <c r="U122" s="434">
        <v>0</v>
      </c>
      <c r="V122" s="434">
        <v>0</v>
      </c>
      <c r="W122" s="434">
        <v>0</v>
      </c>
      <c r="X122" s="434">
        <v>137582</v>
      </c>
      <c r="Y122" s="434">
        <v>18543</v>
      </c>
      <c r="Z122" s="434">
        <v>2203716</v>
      </c>
      <c r="AA122" s="434">
        <v>0</v>
      </c>
      <c r="AB122" s="434">
        <v>0</v>
      </c>
      <c r="AC122" s="434">
        <v>589827</v>
      </c>
      <c r="AD122" s="434">
        <v>20782</v>
      </c>
      <c r="AE122" s="434">
        <v>2301924</v>
      </c>
      <c r="AF122" s="434">
        <v>6208</v>
      </c>
      <c r="AG122" s="434">
        <v>155635</v>
      </c>
      <c r="AH122" s="434">
        <v>335283</v>
      </c>
      <c r="AI122" s="434">
        <v>249763</v>
      </c>
      <c r="AJ122" s="434">
        <v>0</v>
      </c>
      <c r="AK122" s="434">
        <v>0</v>
      </c>
      <c r="AL122" s="434">
        <v>2642845</v>
      </c>
      <c r="AM122" s="434">
        <v>0</v>
      </c>
    </row>
    <row r="123" spans="1:39" s="155" customFormat="1" ht="22.5" x14ac:dyDescent="0.2">
      <c r="A123" s="168">
        <v>69</v>
      </c>
      <c r="B123" s="519">
        <v>39792</v>
      </c>
      <c r="C123" s="518" t="s">
        <v>1223</v>
      </c>
      <c r="D123" s="432">
        <f t="shared" si="14"/>
        <v>4841856</v>
      </c>
      <c r="E123" s="434">
        <v>1435245</v>
      </c>
      <c r="F123" s="434">
        <v>524044</v>
      </c>
      <c r="G123" s="434">
        <v>69350</v>
      </c>
      <c r="H123" s="434">
        <v>0</v>
      </c>
      <c r="I123" s="434">
        <v>1311296</v>
      </c>
      <c r="J123" s="434">
        <v>67000</v>
      </c>
      <c r="K123" s="434">
        <v>580000</v>
      </c>
      <c r="L123" s="434">
        <v>0</v>
      </c>
      <c r="M123" s="434">
        <v>1117346</v>
      </c>
      <c r="N123" s="434">
        <v>266600</v>
      </c>
      <c r="O123" s="434">
        <v>64369</v>
      </c>
      <c r="P123" s="432">
        <f t="shared" si="13"/>
        <v>4727462</v>
      </c>
      <c r="Q123" s="434">
        <v>1711947</v>
      </c>
      <c r="R123" s="434">
        <v>1163475</v>
      </c>
      <c r="S123" s="434">
        <v>0</v>
      </c>
      <c r="T123" s="434">
        <v>0</v>
      </c>
      <c r="U123" s="434">
        <v>0</v>
      </c>
      <c r="V123" s="434">
        <v>0</v>
      </c>
      <c r="W123" s="434">
        <v>250357</v>
      </c>
      <c r="X123" s="434">
        <v>94027</v>
      </c>
      <c r="Y123" s="434">
        <v>22980</v>
      </c>
      <c r="Z123" s="434">
        <v>1484676</v>
      </c>
      <c r="AA123" s="434">
        <v>0</v>
      </c>
      <c r="AB123" s="434">
        <v>0</v>
      </c>
      <c r="AC123" s="434">
        <v>803103</v>
      </c>
      <c r="AD123" s="434">
        <v>30452</v>
      </c>
      <c r="AE123" s="434">
        <v>1443521</v>
      </c>
      <c r="AF123" s="434">
        <v>29663</v>
      </c>
      <c r="AG123" s="434">
        <v>209930</v>
      </c>
      <c r="AH123" s="434">
        <v>155060</v>
      </c>
      <c r="AI123" s="434">
        <v>631176</v>
      </c>
      <c r="AJ123" s="434">
        <v>30255</v>
      </c>
      <c r="AK123" s="434">
        <v>0</v>
      </c>
      <c r="AL123" s="434">
        <v>1394302</v>
      </c>
      <c r="AM123" s="434">
        <v>0</v>
      </c>
    </row>
    <row r="124" spans="1:39" s="155" customFormat="1" ht="22.5" x14ac:dyDescent="0.2">
      <c r="A124" s="168">
        <v>70</v>
      </c>
      <c r="B124" s="520">
        <v>39836</v>
      </c>
      <c r="C124" s="521" t="s">
        <v>1224</v>
      </c>
      <c r="D124" s="432">
        <f t="shared" si="14"/>
        <v>4597127</v>
      </c>
      <c r="E124" s="434">
        <v>662085</v>
      </c>
      <c r="F124" s="434">
        <v>137080</v>
      </c>
      <c r="G124" s="434">
        <v>149670</v>
      </c>
      <c r="H124" s="434">
        <v>0</v>
      </c>
      <c r="I124" s="434">
        <v>2333809</v>
      </c>
      <c r="J124" s="434">
        <v>233000</v>
      </c>
      <c r="K124" s="434">
        <v>1340000</v>
      </c>
      <c r="L124" s="434">
        <v>0</v>
      </c>
      <c r="M124" s="434">
        <v>28233</v>
      </c>
      <c r="N124" s="434">
        <v>0</v>
      </c>
      <c r="O124" s="434">
        <v>0</v>
      </c>
      <c r="P124" s="432">
        <f t="shared" si="13"/>
        <v>4388311</v>
      </c>
      <c r="Q124" s="434">
        <v>2479082</v>
      </c>
      <c r="R124" s="434">
        <v>1293260</v>
      </c>
      <c r="S124" s="434">
        <v>0</v>
      </c>
      <c r="T124" s="434">
        <v>0</v>
      </c>
      <c r="U124" s="434">
        <v>0</v>
      </c>
      <c r="V124" s="434">
        <v>0</v>
      </c>
      <c r="W124" s="434">
        <v>0</v>
      </c>
      <c r="X124" s="434">
        <v>171353</v>
      </c>
      <c r="Y124" s="434">
        <v>53988</v>
      </c>
      <c r="Z124" s="434">
        <v>390628</v>
      </c>
      <c r="AA124" s="434">
        <v>0</v>
      </c>
      <c r="AB124" s="434">
        <v>0</v>
      </c>
      <c r="AC124" s="434">
        <v>594104</v>
      </c>
      <c r="AD124" s="434">
        <v>15418</v>
      </c>
      <c r="AE124" s="434">
        <v>2075616</v>
      </c>
      <c r="AF124" s="434">
        <v>0</v>
      </c>
      <c r="AG124" s="434">
        <v>428779</v>
      </c>
      <c r="AH124" s="434">
        <v>398963</v>
      </c>
      <c r="AI124" s="434">
        <v>110305</v>
      </c>
      <c r="AJ124" s="434">
        <v>36663</v>
      </c>
      <c r="AK124" s="434">
        <v>0</v>
      </c>
      <c r="AL124" s="434">
        <v>728463</v>
      </c>
      <c r="AM124" s="434">
        <v>0</v>
      </c>
    </row>
    <row r="125" spans="1:39" s="155" customFormat="1" ht="22.5" x14ac:dyDescent="0.2">
      <c r="A125" s="168">
        <v>71</v>
      </c>
      <c r="B125" s="519">
        <v>39872</v>
      </c>
      <c r="C125" s="522" t="s">
        <v>1225</v>
      </c>
      <c r="D125" s="432">
        <f t="shared" si="14"/>
        <v>27806516</v>
      </c>
      <c r="E125" s="434">
        <v>2151354</v>
      </c>
      <c r="F125" s="434">
        <v>620805</v>
      </c>
      <c r="G125" s="434">
        <v>749370</v>
      </c>
      <c r="H125" s="434">
        <v>0</v>
      </c>
      <c r="I125" s="434">
        <v>6498903</v>
      </c>
      <c r="J125" s="434">
        <v>125000</v>
      </c>
      <c r="K125" s="434">
        <v>1084540</v>
      </c>
      <c r="L125" s="434">
        <v>0</v>
      </c>
      <c r="M125" s="434">
        <v>10666162</v>
      </c>
      <c r="N125" s="434">
        <v>7184208</v>
      </c>
      <c r="O125" s="434">
        <v>96349</v>
      </c>
      <c r="P125" s="432">
        <f t="shared" si="13"/>
        <v>28351006</v>
      </c>
      <c r="Q125" s="434">
        <v>6653184</v>
      </c>
      <c r="R125" s="434">
        <v>1822203</v>
      </c>
      <c r="S125" s="434">
        <v>78284</v>
      </c>
      <c r="T125" s="434">
        <v>0</v>
      </c>
      <c r="U125" s="434">
        <v>0</v>
      </c>
      <c r="V125" s="434">
        <v>0</v>
      </c>
      <c r="W125" s="434">
        <v>9378792</v>
      </c>
      <c r="X125" s="434">
        <v>303581</v>
      </c>
      <c r="Y125" s="434">
        <v>9996</v>
      </c>
      <c r="Z125" s="434">
        <v>10134846</v>
      </c>
      <c r="AA125" s="434">
        <v>0</v>
      </c>
      <c r="AB125" s="434">
        <v>-29880</v>
      </c>
      <c r="AC125" s="434">
        <v>1003836</v>
      </c>
      <c r="AD125" s="434">
        <v>22846</v>
      </c>
      <c r="AE125" s="434">
        <v>15052941</v>
      </c>
      <c r="AF125" s="434">
        <v>121376</v>
      </c>
      <c r="AG125" s="434">
        <v>748221</v>
      </c>
      <c r="AH125" s="434">
        <v>1048854</v>
      </c>
      <c r="AI125" s="434">
        <v>8158019</v>
      </c>
      <c r="AJ125" s="434">
        <v>93272</v>
      </c>
      <c r="AK125" s="434">
        <v>0</v>
      </c>
      <c r="AL125" s="434">
        <v>2101641</v>
      </c>
      <c r="AM125" s="434">
        <v>0</v>
      </c>
    </row>
    <row r="126" spans="1:39" s="155" customFormat="1" ht="12" hidden="1" x14ac:dyDescent="0.2">
      <c r="A126" s="168">
        <v>72</v>
      </c>
      <c r="B126" s="390"/>
      <c r="C126" s="379"/>
      <c r="D126" s="432">
        <f t="shared" ref="D126:D143" si="15">E126+SUM(H126:O126)</f>
        <v>0</v>
      </c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32">
        <f t="shared" si="13"/>
        <v>0</v>
      </c>
      <c r="Q126" s="431"/>
      <c r="R126" s="431"/>
      <c r="S126" s="431"/>
      <c r="T126" s="431"/>
      <c r="U126" s="431"/>
      <c r="V126" s="431"/>
      <c r="W126" s="431"/>
      <c r="X126" s="431"/>
      <c r="Y126" s="431"/>
      <c r="Z126" s="468"/>
      <c r="AA126" s="431"/>
      <c r="AB126" s="431"/>
      <c r="AC126" s="468"/>
      <c r="AD126" s="431"/>
      <c r="AE126" s="431"/>
      <c r="AF126" s="431"/>
      <c r="AG126" s="431"/>
      <c r="AH126" s="431"/>
      <c r="AI126" s="468"/>
      <c r="AJ126" s="468"/>
      <c r="AK126" s="431"/>
      <c r="AL126" s="431"/>
      <c r="AM126" s="431"/>
    </row>
    <row r="127" spans="1:39" s="155" customFormat="1" ht="12" hidden="1" x14ac:dyDescent="0.2">
      <c r="A127" s="168">
        <v>73</v>
      </c>
      <c r="B127" s="168"/>
      <c r="C127" s="172"/>
      <c r="D127" s="432">
        <f t="shared" si="15"/>
        <v>0</v>
      </c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32">
        <f t="shared" si="13"/>
        <v>0</v>
      </c>
      <c r="Q127" s="431"/>
      <c r="R127" s="431"/>
      <c r="S127" s="431"/>
      <c r="T127" s="431"/>
      <c r="U127" s="431"/>
      <c r="V127" s="431"/>
      <c r="W127" s="431"/>
      <c r="X127" s="431"/>
      <c r="Y127" s="431"/>
      <c r="Z127" s="468"/>
      <c r="AA127" s="431"/>
      <c r="AB127" s="431"/>
      <c r="AC127" s="468"/>
      <c r="AD127" s="431"/>
      <c r="AE127" s="431"/>
      <c r="AF127" s="431"/>
      <c r="AG127" s="431"/>
      <c r="AH127" s="431"/>
      <c r="AI127" s="468"/>
      <c r="AJ127" s="468"/>
      <c r="AK127" s="431"/>
      <c r="AL127" s="431"/>
      <c r="AM127" s="431"/>
    </row>
    <row r="128" spans="1:39" s="155" customFormat="1" ht="12" hidden="1" x14ac:dyDescent="0.2">
      <c r="A128" s="168">
        <v>74</v>
      </c>
      <c r="B128" s="168"/>
      <c r="C128" s="172"/>
      <c r="D128" s="432">
        <f t="shared" si="15"/>
        <v>0</v>
      </c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32">
        <f t="shared" si="13"/>
        <v>0</v>
      </c>
      <c r="Q128" s="431"/>
      <c r="R128" s="431"/>
      <c r="S128" s="431"/>
      <c r="T128" s="431"/>
      <c r="U128" s="431"/>
      <c r="V128" s="431"/>
      <c r="W128" s="431"/>
      <c r="X128" s="431"/>
      <c r="Y128" s="431"/>
      <c r="Z128" s="468"/>
      <c r="AA128" s="431"/>
      <c r="AB128" s="431"/>
      <c r="AC128" s="468"/>
      <c r="AD128" s="431"/>
      <c r="AE128" s="431"/>
      <c r="AF128" s="431"/>
      <c r="AG128" s="431"/>
      <c r="AH128" s="431"/>
      <c r="AI128" s="468"/>
      <c r="AJ128" s="468"/>
      <c r="AK128" s="431"/>
      <c r="AL128" s="431"/>
      <c r="AM128" s="431"/>
    </row>
    <row r="129" spans="1:39" s="155" customFormat="1" ht="12" hidden="1" x14ac:dyDescent="0.2">
      <c r="A129" s="168">
        <v>75</v>
      </c>
      <c r="B129" s="168"/>
      <c r="C129" s="172"/>
      <c r="D129" s="432">
        <f t="shared" si="15"/>
        <v>0</v>
      </c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32">
        <f t="shared" si="13"/>
        <v>0</v>
      </c>
      <c r="Q129" s="431"/>
      <c r="R129" s="431"/>
      <c r="S129" s="431"/>
      <c r="T129" s="431"/>
      <c r="U129" s="431"/>
      <c r="V129" s="431"/>
      <c r="W129" s="431"/>
      <c r="X129" s="431"/>
      <c r="Y129" s="431"/>
      <c r="Z129" s="468"/>
      <c r="AA129" s="431"/>
      <c r="AB129" s="431"/>
      <c r="AC129" s="468"/>
      <c r="AD129" s="431"/>
      <c r="AE129" s="431"/>
      <c r="AF129" s="431"/>
      <c r="AG129" s="431"/>
      <c r="AH129" s="431"/>
      <c r="AI129" s="468"/>
      <c r="AJ129" s="468"/>
      <c r="AK129" s="431"/>
      <c r="AL129" s="431"/>
      <c r="AM129" s="431"/>
    </row>
    <row r="130" spans="1:39" s="155" customFormat="1" ht="12" hidden="1" x14ac:dyDescent="0.2">
      <c r="A130" s="168">
        <v>76</v>
      </c>
      <c r="B130" s="168"/>
      <c r="C130" s="172"/>
      <c r="D130" s="432">
        <f t="shared" si="15"/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32">
        <f t="shared" si="13"/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</row>
    <row r="131" spans="1:39" s="155" customFormat="1" ht="12" hidden="1" x14ac:dyDescent="0.2">
      <c r="A131" s="168">
        <v>77</v>
      </c>
      <c r="B131" s="168"/>
      <c r="C131" s="172"/>
      <c r="D131" s="432">
        <f t="shared" si="15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2">
        <f t="shared" si="13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</row>
    <row r="132" spans="1:39" s="155" customFormat="1" ht="12" hidden="1" x14ac:dyDescent="0.2">
      <c r="A132" s="168">
        <v>78</v>
      </c>
      <c r="B132" s="168"/>
      <c r="C132" s="172"/>
      <c r="D132" s="432">
        <f t="shared" si="15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2">
        <f t="shared" si="13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</row>
    <row r="133" spans="1:39" s="155" customFormat="1" ht="12" hidden="1" x14ac:dyDescent="0.2">
      <c r="A133" s="168">
        <v>79</v>
      </c>
      <c r="B133" s="168"/>
      <c r="C133" s="172"/>
      <c r="D133" s="432">
        <f t="shared" si="15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ref="P133:P142" si="16">IF(SUM(Q133:AB133)=SUM(AC133:AM133),SUM(Q133:AB133),"  EROARE ART/CAP")</f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155" customFormat="1" ht="12" hidden="1" x14ac:dyDescent="0.2">
      <c r="A134" s="168">
        <v>80</v>
      </c>
      <c r="B134" s="168"/>
      <c r="C134" s="172"/>
      <c r="D134" s="432">
        <f t="shared" si="15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si="16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155" customFormat="1" ht="12" hidden="1" x14ac:dyDescent="0.2">
      <c r="A135" s="168">
        <v>81</v>
      </c>
      <c r="B135" s="168"/>
      <c r="C135" s="172"/>
      <c r="D135" s="432">
        <f t="shared" si="15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16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155" customFormat="1" ht="12" hidden="1" x14ac:dyDescent="0.2">
      <c r="A136" s="168">
        <v>82</v>
      </c>
      <c r="B136" s="168"/>
      <c r="C136" s="172"/>
      <c r="D136" s="432">
        <f t="shared" si="15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16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155" customFormat="1" ht="12" hidden="1" x14ac:dyDescent="0.2">
      <c r="A137" s="168">
        <v>83</v>
      </c>
      <c r="B137" s="168"/>
      <c r="C137" s="172"/>
      <c r="D137" s="432">
        <f t="shared" si="15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16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68"/>
      <c r="C138" s="172"/>
      <c r="D138" s="432">
        <f t="shared" si="15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6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68"/>
      <c r="C139" s="172"/>
      <c r="D139" s="432">
        <f t="shared" si="15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6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68"/>
      <c r="C140" s="172"/>
      <c r="D140" s="432">
        <f t="shared" si="15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6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173"/>
      <c r="D141" s="432">
        <f t="shared" si="15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6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5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6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5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topLeftCell="A3"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204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1616622775</v>
      </c>
      <c r="E14" s="432">
        <f>SUM(E15,E16,E33,E54)</f>
        <v>906583763</v>
      </c>
      <c r="F14" s="432">
        <f t="shared" ref="F14:O14" si="0">SUM(F15,F16,F33,F54)</f>
        <v>403340078</v>
      </c>
      <c r="G14" s="432">
        <f t="shared" si="0"/>
        <v>141002168</v>
      </c>
      <c r="H14" s="432">
        <f t="shared" si="0"/>
        <v>60319094</v>
      </c>
      <c r="I14" s="432">
        <f t="shared" si="0"/>
        <v>323910686</v>
      </c>
      <c r="J14" s="432">
        <f t="shared" si="0"/>
        <v>16971300</v>
      </c>
      <c r="K14" s="432">
        <f t="shared" si="0"/>
        <v>74741700</v>
      </c>
      <c r="L14" s="432">
        <f t="shared" si="0"/>
        <v>0</v>
      </c>
      <c r="M14" s="432">
        <f t="shared" si="0"/>
        <v>124271433</v>
      </c>
      <c r="N14" s="432">
        <f t="shared" si="0"/>
        <v>94685849</v>
      </c>
      <c r="O14" s="432">
        <f t="shared" si="0"/>
        <v>15138950</v>
      </c>
      <c r="P14" s="432">
        <f>IF(SUM(Q14:AB14)=SUM(AC14:AM14),SUM(Q14:AB14),"  EROARE ART/CAP")</f>
        <v>1477208111</v>
      </c>
      <c r="Q14" s="432">
        <f t="shared" ref="Q14:AM14" si="1">Q15+Q16+Q33+Q54</f>
        <v>410073190</v>
      </c>
      <c r="R14" s="432">
        <f t="shared" si="1"/>
        <v>365141209</v>
      </c>
      <c r="S14" s="432">
        <f t="shared" si="1"/>
        <v>10415357</v>
      </c>
      <c r="T14" s="432">
        <f t="shared" si="1"/>
        <v>48265447</v>
      </c>
      <c r="U14" s="432">
        <f t="shared" si="1"/>
        <v>56775960</v>
      </c>
      <c r="V14" s="432">
        <f t="shared" si="1"/>
        <v>20846006</v>
      </c>
      <c r="W14" s="432">
        <f t="shared" si="1"/>
        <v>200451784</v>
      </c>
      <c r="X14" s="432">
        <f t="shared" si="1"/>
        <v>95034180</v>
      </c>
      <c r="Y14" s="432">
        <f t="shared" si="1"/>
        <v>30490842</v>
      </c>
      <c r="Z14" s="432">
        <f t="shared" si="1"/>
        <v>205459740</v>
      </c>
      <c r="AA14" s="432">
        <f t="shared" si="1"/>
        <v>39279158</v>
      </c>
      <c r="AB14" s="432">
        <f t="shared" si="1"/>
        <v>-5024762</v>
      </c>
      <c r="AC14" s="432">
        <f t="shared" si="1"/>
        <v>167401618</v>
      </c>
      <c r="AD14" s="432">
        <f t="shared" si="1"/>
        <v>21051517</v>
      </c>
      <c r="AE14" s="432">
        <f t="shared" si="1"/>
        <v>360702970</v>
      </c>
      <c r="AF14" s="432">
        <f t="shared" si="1"/>
        <v>17284099</v>
      </c>
      <c r="AG14" s="432">
        <f t="shared" si="1"/>
        <v>131003897</v>
      </c>
      <c r="AH14" s="432">
        <f t="shared" si="1"/>
        <v>163107641</v>
      </c>
      <c r="AI14" s="432">
        <f t="shared" si="1"/>
        <v>125653699</v>
      </c>
      <c r="AJ14" s="432">
        <f t="shared" si="1"/>
        <v>71321502</v>
      </c>
      <c r="AK14" s="432">
        <f t="shared" si="1"/>
        <v>32978244</v>
      </c>
      <c r="AL14" s="432">
        <f t="shared" si="1"/>
        <v>323619994</v>
      </c>
      <c r="AM14" s="432">
        <f t="shared" si="1"/>
        <v>63082930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277317025</v>
      </c>
      <c r="E15" s="431">
        <v>127245523</v>
      </c>
      <c r="F15" s="431">
        <v>85614643</v>
      </c>
      <c r="G15" s="434">
        <v>36849149</v>
      </c>
      <c r="H15" s="434">
        <v>60319094</v>
      </c>
      <c r="I15" s="431">
        <v>0</v>
      </c>
      <c r="J15" s="434">
        <v>14158200</v>
      </c>
      <c r="K15" s="434">
        <v>15109710</v>
      </c>
      <c r="L15" s="434">
        <v>0</v>
      </c>
      <c r="M15" s="434">
        <v>59344574</v>
      </c>
      <c r="N15" s="434">
        <v>679924</v>
      </c>
      <c r="O15" s="431">
        <v>460000</v>
      </c>
      <c r="P15" s="432">
        <f t="shared" ref="P15:P78" si="2">IF(SUM(Q15:AB15)=SUM(AC15:AM15),SUM(Q15:AB15),"  EROARE ART/CAP")</f>
        <v>235811344</v>
      </c>
      <c r="Q15" s="434">
        <v>53520789</v>
      </c>
      <c r="R15" s="434">
        <v>31452443</v>
      </c>
      <c r="S15" s="434">
        <v>5022128</v>
      </c>
      <c r="T15" s="434">
        <v>0</v>
      </c>
      <c r="U15" s="434">
        <v>24956444</v>
      </c>
      <c r="V15" s="434">
        <v>3442195</v>
      </c>
      <c r="W15" s="434">
        <v>3832691</v>
      </c>
      <c r="X15" s="434">
        <v>68336454</v>
      </c>
      <c r="Y15" s="434">
        <v>5656563</v>
      </c>
      <c r="Z15" s="434">
        <v>25865950</v>
      </c>
      <c r="AA15" s="434">
        <v>15247213</v>
      </c>
      <c r="AB15" s="434">
        <v>-1521526</v>
      </c>
      <c r="AC15" s="434">
        <v>31231593</v>
      </c>
      <c r="AD15" s="434">
        <v>664181</v>
      </c>
      <c r="AE15" s="434">
        <v>29868870</v>
      </c>
      <c r="AF15" s="434">
        <v>6789530</v>
      </c>
      <c r="AG15" s="434">
        <v>18748286</v>
      </c>
      <c r="AH15" s="434">
        <v>97816685</v>
      </c>
      <c r="AI15" s="434">
        <v>3956991</v>
      </c>
      <c r="AJ15" s="434">
        <v>419</v>
      </c>
      <c r="AK15" s="434">
        <v>0</v>
      </c>
      <c r="AL15" s="434">
        <v>41868471</v>
      </c>
      <c r="AM15" s="434">
        <v>4866318</v>
      </c>
    </row>
    <row r="16" spans="1:39" s="155" customFormat="1" ht="12" x14ac:dyDescent="0.2">
      <c r="A16" s="156" t="s">
        <v>72</v>
      </c>
      <c r="B16" s="157"/>
      <c r="C16" s="159"/>
      <c r="D16" s="432">
        <f>E16+SUM(H16:O16)</f>
        <v>804198804</v>
      </c>
      <c r="E16" s="433">
        <f>SUM(E18:E32)</f>
        <v>507682032</v>
      </c>
      <c r="F16" s="433">
        <f t="shared" ref="F16:O16" si="3">SUM(F18:F32)</f>
        <v>240073442</v>
      </c>
      <c r="G16" s="433">
        <f t="shared" si="3"/>
        <v>33772358</v>
      </c>
      <c r="H16" s="433">
        <f t="shared" si="3"/>
        <v>0</v>
      </c>
      <c r="I16" s="433">
        <f t="shared" si="3"/>
        <v>205032469</v>
      </c>
      <c r="J16" s="433">
        <f t="shared" si="3"/>
        <v>0</v>
      </c>
      <c r="K16" s="433">
        <f t="shared" si="3"/>
        <v>11063980</v>
      </c>
      <c r="L16" s="433">
        <f>SUM(L18:L32)</f>
        <v>0</v>
      </c>
      <c r="M16" s="433">
        <f t="shared" si="3"/>
        <v>33233919</v>
      </c>
      <c r="N16" s="433">
        <f t="shared" si="3"/>
        <v>43874954</v>
      </c>
      <c r="O16" s="433">
        <f t="shared" si="3"/>
        <v>3311450</v>
      </c>
      <c r="P16" s="432">
        <f t="shared" si="2"/>
        <v>744126754</v>
      </c>
      <c r="Q16" s="432">
        <f>SUM(Q18:Q32)</f>
        <v>214439591</v>
      </c>
      <c r="R16" s="432">
        <f t="shared" ref="R16:AM16" si="4">SUM(R18:R32)</f>
        <v>207701072</v>
      </c>
      <c r="S16" s="432">
        <f t="shared" si="4"/>
        <v>3583800</v>
      </c>
      <c r="T16" s="432">
        <f t="shared" si="4"/>
        <v>47852655</v>
      </c>
      <c r="U16" s="432">
        <f t="shared" si="4"/>
        <v>29929814</v>
      </c>
      <c r="V16" s="432">
        <f t="shared" si="4"/>
        <v>16131628</v>
      </c>
      <c r="W16" s="432">
        <f t="shared" si="4"/>
        <v>118968605</v>
      </c>
      <c r="X16" s="432">
        <f t="shared" si="4"/>
        <v>16156021</v>
      </c>
      <c r="Y16" s="432">
        <f t="shared" si="4"/>
        <v>15543360</v>
      </c>
      <c r="Z16" s="432">
        <f t="shared" si="4"/>
        <v>56447983</v>
      </c>
      <c r="AA16" s="432">
        <f t="shared" si="4"/>
        <v>19547328</v>
      </c>
      <c r="AB16" s="432">
        <f t="shared" si="4"/>
        <v>-2175103</v>
      </c>
      <c r="AC16" s="432">
        <f t="shared" si="4"/>
        <v>55424686</v>
      </c>
      <c r="AD16" s="432">
        <f t="shared" si="4"/>
        <v>11333266</v>
      </c>
      <c r="AE16" s="432">
        <f t="shared" si="4"/>
        <v>203896380</v>
      </c>
      <c r="AF16" s="432">
        <f t="shared" si="4"/>
        <v>5738633</v>
      </c>
      <c r="AG16" s="432">
        <f t="shared" si="4"/>
        <v>63830323</v>
      </c>
      <c r="AH16" s="432">
        <f t="shared" si="4"/>
        <v>42221645</v>
      </c>
      <c r="AI16" s="432">
        <f t="shared" si="4"/>
        <v>67782074</v>
      </c>
      <c r="AJ16" s="432">
        <f t="shared" si="4"/>
        <v>34597415</v>
      </c>
      <c r="AK16" s="432">
        <f t="shared" si="4"/>
        <v>32978244</v>
      </c>
      <c r="AL16" s="432">
        <f t="shared" si="4"/>
        <v>182956137</v>
      </c>
      <c r="AM16" s="432">
        <f t="shared" si="4"/>
        <v>43367951</v>
      </c>
    </row>
    <row r="17" spans="1:39" s="155" customFormat="1" ht="22.5" x14ac:dyDescent="0.2">
      <c r="A17" s="277" t="s">
        <v>2306</v>
      </c>
      <c r="B17" s="279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203" customFormat="1" ht="12" x14ac:dyDescent="0.2">
      <c r="A18" s="181">
        <v>1</v>
      </c>
      <c r="B18" s="239">
        <v>40198</v>
      </c>
      <c r="C18" s="264" t="s">
        <v>146</v>
      </c>
      <c r="D18" s="432">
        <f t="shared" ref="D18:D41" si="5">E18+SUM(H18:O18)</f>
        <v>633092659</v>
      </c>
      <c r="E18" s="434">
        <v>423525648</v>
      </c>
      <c r="F18" s="434">
        <v>208113937</v>
      </c>
      <c r="G18" s="434">
        <v>19357058</v>
      </c>
      <c r="H18" s="434">
        <v>0</v>
      </c>
      <c r="I18" s="434">
        <v>147597068</v>
      </c>
      <c r="J18" s="434">
        <v>0</v>
      </c>
      <c r="K18" s="434">
        <v>1961480</v>
      </c>
      <c r="L18" s="434"/>
      <c r="M18" s="434">
        <v>28289595</v>
      </c>
      <c r="N18" s="434">
        <v>31718868</v>
      </c>
      <c r="O18" s="434">
        <v>0</v>
      </c>
      <c r="P18" s="432">
        <f t="shared" si="2"/>
        <v>587675137</v>
      </c>
      <c r="Q18" s="435">
        <v>148423340</v>
      </c>
      <c r="R18" s="435">
        <v>166888246</v>
      </c>
      <c r="S18" s="435">
        <v>2793923</v>
      </c>
      <c r="T18" s="435">
        <v>46826456</v>
      </c>
      <c r="U18" s="435">
        <v>22284495</v>
      </c>
      <c r="V18" s="435">
        <v>14067174</v>
      </c>
      <c r="W18" s="435">
        <v>95915171</v>
      </c>
      <c r="X18" s="435">
        <v>12445689</v>
      </c>
      <c r="Y18" s="435">
        <v>14104159</v>
      </c>
      <c r="Z18" s="435">
        <v>47842494</v>
      </c>
      <c r="AA18" s="435">
        <v>17777328</v>
      </c>
      <c r="AB18" s="435">
        <v>-1693338</v>
      </c>
      <c r="AC18" s="435">
        <v>35564011</v>
      </c>
      <c r="AD18" s="435">
        <v>7008725</v>
      </c>
      <c r="AE18" s="435">
        <v>146681224</v>
      </c>
      <c r="AF18" s="435">
        <v>1723063</v>
      </c>
      <c r="AG18" s="435">
        <v>36710372</v>
      </c>
      <c r="AH18" s="435">
        <v>31277309</v>
      </c>
      <c r="AI18" s="435">
        <v>58440768</v>
      </c>
      <c r="AJ18" s="435">
        <v>30265296</v>
      </c>
      <c r="AK18" s="435">
        <v>32568270</v>
      </c>
      <c r="AL18" s="435">
        <v>166622340</v>
      </c>
      <c r="AM18" s="435">
        <v>40813759</v>
      </c>
    </row>
    <row r="19" spans="1:39" s="203" customFormat="1" ht="12" x14ac:dyDescent="0.2">
      <c r="A19" s="181">
        <v>2</v>
      </c>
      <c r="B19" s="239">
        <v>40278</v>
      </c>
      <c r="C19" s="264" t="s">
        <v>147</v>
      </c>
      <c r="D19" s="432">
        <f t="shared" si="5"/>
        <v>64700314</v>
      </c>
      <c r="E19" s="434">
        <v>29912695</v>
      </c>
      <c r="F19" s="434">
        <v>12347846</v>
      </c>
      <c r="G19" s="434">
        <v>5675755</v>
      </c>
      <c r="H19" s="434">
        <v>0</v>
      </c>
      <c r="I19" s="434">
        <v>26449887</v>
      </c>
      <c r="J19" s="434">
        <v>0</v>
      </c>
      <c r="K19" s="434">
        <v>4027740</v>
      </c>
      <c r="L19" s="434"/>
      <c r="M19" s="434">
        <v>1671901</v>
      </c>
      <c r="N19" s="434">
        <v>1487801</v>
      </c>
      <c r="O19" s="434">
        <v>1150290</v>
      </c>
      <c r="P19" s="432">
        <f t="shared" si="2"/>
        <v>57525039</v>
      </c>
      <c r="Q19" s="435">
        <v>29633069</v>
      </c>
      <c r="R19" s="435">
        <v>12859464</v>
      </c>
      <c r="S19" s="435">
        <v>241359</v>
      </c>
      <c r="T19" s="435">
        <v>409974</v>
      </c>
      <c r="U19" s="435">
        <v>6463227</v>
      </c>
      <c r="V19" s="435">
        <v>48539</v>
      </c>
      <c r="W19" s="435">
        <v>2541854</v>
      </c>
      <c r="X19" s="435">
        <v>1342171</v>
      </c>
      <c r="Y19" s="435">
        <v>303634</v>
      </c>
      <c r="Z19" s="435">
        <v>3802107</v>
      </c>
      <c r="AA19" s="435">
        <v>0</v>
      </c>
      <c r="AB19" s="435">
        <v>-120359</v>
      </c>
      <c r="AC19" s="435">
        <v>7766206</v>
      </c>
      <c r="AD19" s="435">
        <v>1301569</v>
      </c>
      <c r="AE19" s="435">
        <v>26479770</v>
      </c>
      <c r="AF19" s="435">
        <v>2767091</v>
      </c>
      <c r="AG19" s="435">
        <v>5049677</v>
      </c>
      <c r="AH19" s="435">
        <v>5129266</v>
      </c>
      <c r="AI19" s="435">
        <v>3833661</v>
      </c>
      <c r="AJ19" s="435">
        <v>1098840</v>
      </c>
      <c r="AK19" s="435">
        <v>409974</v>
      </c>
      <c r="AL19" s="435">
        <v>2674237</v>
      </c>
      <c r="AM19" s="435">
        <v>1014748</v>
      </c>
    </row>
    <row r="20" spans="1:39" s="203" customFormat="1" ht="12" x14ac:dyDescent="0.2">
      <c r="A20" s="181">
        <v>3</v>
      </c>
      <c r="B20" s="239">
        <v>40241</v>
      </c>
      <c r="C20" s="264" t="s">
        <v>148</v>
      </c>
      <c r="D20" s="432">
        <f t="shared" si="5"/>
        <v>51329512</v>
      </c>
      <c r="E20" s="434">
        <v>28158016</v>
      </c>
      <c r="F20" s="434">
        <v>11751990</v>
      </c>
      <c r="G20" s="434">
        <v>4138036</v>
      </c>
      <c r="H20" s="434">
        <v>0</v>
      </c>
      <c r="I20" s="434">
        <v>13669993</v>
      </c>
      <c r="J20" s="434">
        <v>0</v>
      </c>
      <c r="K20" s="434">
        <v>1469280</v>
      </c>
      <c r="L20" s="434"/>
      <c r="M20" s="434">
        <v>1658647</v>
      </c>
      <c r="N20" s="434">
        <v>5364576</v>
      </c>
      <c r="O20" s="434">
        <v>1009000</v>
      </c>
      <c r="P20" s="432">
        <f t="shared" si="2"/>
        <v>47440641</v>
      </c>
      <c r="Q20" s="435">
        <v>17151515</v>
      </c>
      <c r="R20" s="435">
        <v>14802929</v>
      </c>
      <c r="S20" s="435">
        <v>0</v>
      </c>
      <c r="T20" s="435">
        <v>0</v>
      </c>
      <c r="U20" s="435">
        <v>1173360</v>
      </c>
      <c r="V20" s="435">
        <v>91237</v>
      </c>
      <c r="W20" s="435">
        <v>8701286</v>
      </c>
      <c r="X20" s="435">
        <v>833521</v>
      </c>
      <c r="Y20" s="435">
        <v>694147</v>
      </c>
      <c r="Z20" s="435">
        <v>4082821</v>
      </c>
      <c r="AA20" s="435">
        <v>0</v>
      </c>
      <c r="AB20" s="435">
        <v>-90175</v>
      </c>
      <c r="AC20" s="435">
        <v>6378997</v>
      </c>
      <c r="AD20" s="435">
        <v>1553461</v>
      </c>
      <c r="AE20" s="435">
        <v>12880069</v>
      </c>
      <c r="AF20" s="435">
        <v>992443</v>
      </c>
      <c r="AG20" s="435">
        <v>11197807</v>
      </c>
      <c r="AH20" s="435">
        <v>2060011</v>
      </c>
      <c r="AI20" s="435">
        <v>3797533</v>
      </c>
      <c r="AJ20" s="435">
        <v>1033767</v>
      </c>
      <c r="AK20" s="435">
        <v>0</v>
      </c>
      <c r="AL20" s="435">
        <v>7546553</v>
      </c>
      <c r="AM20" s="435">
        <v>0</v>
      </c>
    </row>
    <row r="21" spans="1:39" s="203" customFormat="1" ht="12" x14ac:dyDescent="0.2">
      <c r="A21" s="181">
        <v>4</v>
      </c>
      <c r="B21" s="239">
        <v>40438</v>
      </c>
      <c r="C21" s="264" t="s">
        <v>149</v>
      </c>
      <c r="D21" s="432">
        <f t="shared" si="5"/>
        <v>55076319</v>
      </c>
      <c r="E21" s="434">
        <v>26085673</v>
      </c>
      <c r="F21" s="434">
        <v>7859669</v>
      </c>
      <c r="G21" s="434">
        <v>4601509</v>
      </c>
      <c r="H21" s="434">
        <v>0</v>
      </c>
      <c r="I21" s="434">
        <v>17315521</v>
      </c>
      <c r="J21" s="434">
        <v>0</v>
      </c>
      <c r="K21" s="434">
        <v>3605480</v>
      </c>
      <c r="L21" s="434"/>
      <c r="M21" s="434">
        <v>1613776</v>
      </c>
      <c r="N21" s="434">
        <v>5303709</v>
      </c>
      <c r="O21" s="434">
        <v>1152160</v>
      </c>
      <c r="P21" s="432">
        <f t="shared" si="2"/>
        <v>51485937</v>
      </c>
      <c r="Q21" s="435">
        <v>19231667</v>
      </c>
      <c r="R21" s="435">
        <v>13150433</v>
      </c>
      <c r="S21" s="435">
        <v>548518</v>
      </c>
      <c r="T21" s="435">
        <v>616225</v>
      </c>
      <c r="U21" s="435">
        <v>8732</v>
      </c>
      <c r="V21" s="435">
        <v>1924678</v>
      </c>
      <c r="W21" s="435">
        <v>11810294</v>
      </c>
      <c r="X21" s="435">
        <v>1534640</v>
      </c>
      <c r="Y21" s="435">
        <v>441420</v>
      </c>
      <c r="Z21" s="435">
        <v>720561</v>
      </c>
      <c r="AA21" s="435">
        <v>1770000</v>
      </c>
      <c r="AB21" s="435">
        <v>-271231</v>
      </c>
      <c r="AC21" s="435">
        <v>5715472</v>
      </c>
      <c r="AD21" s="435">
        <v>1469511</v>
      </c>
      <c r="AE21" s="435">
        <v>17855317</v>
      </c>
      <c r="AF21" s="435">
        <v>256036</v>
      </c>
      <c r="AG21" s="435">
        <v>10872467</v>
      </c>
      <c r="AH21" s="435">
        <v>3755059</v>
      </c>
      <c r="AI21" s="435">
        <v>1710112</v>
      </c>
      <c r="AJ21" s="435">
        <v>2199512</v>
      </c>
      <c r="AK21" s="435">
        <v>0</v>
      </c>
      <c r="AL21" s="435">
        <v>6113007</v>
      </c>
      <c r="AM21" s="435">
        <v>1539444</v>
      </c>
    </row>
    <row r="22" spans="1:39" s="155" customFormat="1" ht="12" hidden="1" x14ac:dyDescent="0.2">
      <c r="A22" s="146">
        <v>5</v>
      </c>
      <c r="B22" s="146"/>
      <c r="C22" s="206"/>
      <c r="D22" s="432">
        <f t="shared" si="5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2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146"/>
      <c r="C23" s="206"/>
      <c r="D23" s="432">
        <f t="shared" si="5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2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46"/>
      <c r="C24" s="206"/>
      <c r="D24" s="432">
        <f t="shared" si="5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2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46"/>
      <c r="C25" s="206"/>
      <c r="D25" s="432">
        <f t="shared" si="5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2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46"/>
      <c r="C26" s="206"/>
      <c r="D26" s="432">
        <f t="shared" si="5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2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46"/>
      <c r="C27" s="206"/>
      <c r="D27" s="432">
        <f t="shared" si="5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2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46"/>
      <c r="C28" s="206"/>
      <c r="D28" s="432">
        <f t="shared" si="5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2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46"/>
      <c r="C29" s="206"/>
      <c r="D29" s="432">
        <f t="shared" si="5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2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46"/>
      <c r="C30" s="206"/>
      <c r="D30" s="432">
        <f t="shared" si="5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2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46"/>
      <c r="C31" s="206"/>
      <c r="D31" s="432">
        <f t="shared" si="5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2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46"/>
      <c r="C32" s="207"/>
      <c r="D32" s="432">
        <f t="shared" si="5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2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4"/>
      <c r="C33" s="208"/>
      <c r="D33" s="432">
        <f t="shared" si="5"/>
        <v>179710676</v>
      </c>
      <c r="E33" s="432">
        <f>SUM(E34:E42)</f>
        <v>94205887</v>
      </c>
      <c r="F33" s="432">
        <f t="shared" ref="F33:O33" si="6">SUM(F34:F42)</f>
        <v>33595100</v>
      </c>
      <c r="G33" s="432">
        <f t="shared" si="6"/>
        <v>14591920</v>
      </c>
      <c r="H33" s="432">
        <f t="shared" si="6"/>
        <v>0</v>
      </c>
      <c r="I33" s="432">
        <f t="shared" si="6"/>
        <v>37445030</v>
      </c>
      <c r="J33" s="432">
        <f t="shared" si="6"/>
        <v>0</v>
      </c>
      <c r="K33" s="432">
        <f t="shared" si="6"/>
        <v>12344310</v>
      </c>
      <c r="L33" s="432">
        <f t="shared" si="6"/>
        <v>0</v>
      </c>
      <c r="M33" s="432">
        <f t="shared" si="6"/>
        <v>11199537</v>
      </c>
      <c r="N33" s="432">
        <f t="shared" si="6"/>
        <v>19892512</v>
      </c>
      <c r="O33" s="432">
        <f t="shared" si="6"/>
        <v>4623400</v>
      </c>
      <c r="P33" s="432">
        <f t="shared" si="2"/>
        <v>171428432</v>
      </c>
      <c r="Q33" s="432">
        <f>SUM(Q34:Q42)</f>
        <v>43136002</v>
      </c>
      <c r="R33" s="432">
        <f t="shared" ref="R33:AM33" si="7">SUM(R34:R42)</f>
        <v>40316966</v>
      </c>
      <c r="S33" s="432">
        <f t="shared" si="7"/>
        <v>1647085</v>
      </c>
      <c r="T33" s="432">
        <f t="shared" si="7"/>
        <v>56970</v>
      </c>
      <c r="U33" s="432">
        <f t="shared" si="7"/>
        <v>1889702</v>
      </c>
      <c r="V33" s="432">
        <f t="shared" si="7"/>
        <v>440904</v>
      </c>
      <c r="W33" s="432">
        <f t="shared" si="7"/>
        <v>31153926</v>
      </c>
      <c r="X33" s="432">
        <f t="shared" si="7"/>
        <v>2964104</v>
      </c>
      <c r="Y33" s="432">
        <f t="shared" si="7"/>
        <v>2895939</v>
      </c>
      <c r="Z33" s="432">
        <f t="shared" si="7"/>
        <v>44454393</v>
      </c>
      <c r="AA33" s="432">
        <f t="shared" si="7"/>
        <v>2849274</v>
      </c>
      <c r="AB33" s="432">
        <f t="shared" si="7"/>
        <v>-376833</v>
      </c>
      <c r="AC33" s="432">
        <f t="shared" si="7"/>
        <v>21960430</v>
      </c>
      <c r="AD33" s="432">
        <f t="shared" si="7"/>
        <v>1998245</v>
      </c>
      <c r="AE33" s="432">
        <f t="shared" si="7"/>
        <v>39204718</v>
      </c>
      <c r="AF33" s="432">
        <f t="shared" si="7"/>
        <v>4045039</v>
      </c>
      <c r="AG33" s="432">
        <f t="shared" si="7"/>
        <v>24424524</v>
      </c>
      <c r="AH33" s="432">
        <f t="shared" si="7"/>
        <v>5943416</v>
      </c>
      <c r="AI33" s="432">
        <f t="shared" si="7"/>
        <v>18406505</v>
      </c>
      <c r="AJ33" s="432">
        <f t="shared" si="7"/>
        <v>11099336</v>
      </c>
      <c r="AK33" s="432">
        <f t="shared" si="7"/>
        <v>0</v>
      </c>
      <c r="AL33" s="432">
        <f t="shared" si="7"/>
        <v>37775132</v>
      </c>
      <c r="AM33" s="432">
        <f t="shared" si="7"/>
        <v>6571087</v>
      </c>
    </row>
    <row r="34" spans="1:39" s="203" customFormat="1" ht="12" x14ac:dyDescent="0.2">
      <c r="A34" s="181">
        <v>1</v>
      </c>
      <c r="B34" s="239">
        <v>40394</v>
      </c>
      <c r="C34" s="264" t="s">
        <v>150</v>
      </c>
      <c r="D34" s="432">
        <f t="shared" si="5"/>
        <v>13710201</v>
      </c>
      <c r="E34" s="435">
        <v>6669919</v>
      </c>
      <c r="F34" s="435">
        <v>1753353</v>
      </c>
      <c r="G34" s="435">
        <v>1974829</v>
      </c>
      <c r="H34" s="434">
        <v>0</v>
      </c>
      <c r="I34" s="435">
        <v>5465247</v>
      </c>
      <c r="J34" s="434">
        <v>0</v>
      </c>
      <c r="K34" s="435">
        <v>196090</v>
      </c>
      <c r="L34" s="435">
        <v>0</v>
      </c>
      <c r="M34" s="435">
        <v>91224</v>
      </c>
      <c r="N34" s="435">
        <v>687721</v>
      </c>
      <c r="O34" s="435">
        <v>600000</v>
      </c>
      <c r="P34" s="432">
        <f t="shared" si="2"/>
        <v>13823502</v>
      </c>
      <c r="Q34" s="435">
        <v>6205541</v>
      </c>
      <c r="R34" s="435">
        <v>2743177</v>
      </c>
      <c r="S34" s="435">
        <v>0</v>
      </c>
      <c r="T34" s="435">
        <v>0</v>
      </c>
      <c r="U34" s="435">
        <v>1090270</v>
      </c>
      <c r="V34" s="435">
        <v>7505</v>
      </c>
      <c r="W34" s="435">
        <v>2125022</v>
      </c>
      <c r="X34" s="435">
        <v>139515</v>
      </c>
      <c r="Y34" s="435">
        <v>8880</v>
      </c>
      <c r="Z34" s="435">
        <v>1503592</v>
      </c>
      <c r="AA34" s="435">
        <v>0</v>
      </c>
      <c r="AB34" s="435">
        <v>0</v>
      </c>
      <c r="AC34" s="435">
        <v>1345454</v>
      </c>
      <c r="AD34" s="435">
        <v>231308</v>
      </c>
      <c r="AE34" s="435">
        <v>5195030</v>
      </c>
      <c r="AF34" s="435">
        <v>3125022</v>
      </c>
      <c r="AG34" s="435">
        <v>621484</v>
      </c>
      <c r="AH34" s="435">
        <v>958976</v>
      </c>
      <c r="AI34" s="435">
        <v>400211</v>
      </c>
      <c r="AJ34" s="435">
        <v>822218</v>
      </c>
      <c r="AK34" s="435">
        <v>0</v>
      </c>
      <c r="AL34" s="435">
        <v>1123799</v>
      </c>
      <c r="AM34" s="435">
        <v>0</v>
      </c>
    </row>
    <row r="35" spans="1:39" s="203" customFormat="1" ht="12" x14ac:dyDescent="0.2">
      <c r="A35" s="181">
        <v>2</v>
      </c>
      <c r="B35" s="239">
        <v>40367</v>
      </c>
      <c r="C35" s="264" t="s">
        <v>151</v>
      </c>
      <c r="D35" s="432">
        <f t="shared" si="5"/>
        <v>49174194</v>
      </c>
      <c r="E35" s="435">
        <v>19495001</v>
      </c>
      <c r="F35" s="435">
        <v>4258256</v>
      </c>
      <c r="G35" s="435">
        <v>3046326</v>
      </c>
      <c r="H35" s="434">
        <v>0</v>
      </c>
      <c r="I35" s="435">
        <v>8510359</v>
      </c>
      <c r="J35" s="434">
        <v>0</v>
      </c>
      <c r="K35" s="435">
        <v>5010930</v>
      </c>
      <c r="L35" s="435">
        <v>0</v>
      </c>
      <c r="M35" s="435">
        <v>4591887</v>
      </c>
      <c r="N35" s="435">
        <v>10649767</v>
      </c>
      <c r="O35" s="435">
        <v>916250</v>
      </c>
      <c r="P35" s="432">
        <f t="shared" si="2"/>
        <v>49838522</v>
      </c>
      <c r="Q35" s="435">
        <v>9240814</v>
      </c>
      <c r="R35" s="435">
        <v>7512774</v>
      </c>
      <c r="S35" s="435">
        <v>939364</v>
      </c>
      <c r="T35" s="435">
        <v>0</v>
      </c>
      <c r="U35" s="435">
        <v>0</v>
      </c>
      <c r="V35" s="435">
        <v>147510</v>
      </c>
      <c r="W35" s="435">
        <v>11937561</v>
      </c>
      <c r="X35" s="435">
        <v>867837</v>
      </c>
      <c r="Y35" s="435">
        <v>602038</v>
      </c>
      <c r="Z35" s="435">
        <v>17432926</v>
      </c>
      <c r="AA35" s="435">
        <v>1239530</v>
      </c>
      <c r="AB35" s="435">
        <v>-81832</v>
      </c>
      <c r="AC35" s="435">
        <v>6837936</v>
      </c>
      <c r="AD35" s="435">
        <v>507940</v>
      </c>
      <c r="AE35" s="435">
        <v>10801546</v>
      </c>
      <c r="AF35" s="435">
        <v>155504</v>
      </c>
      <c r="AG35" s="435">
        <v>7451325</v>
      </c>
      <c r="AH35" s="435">
        <v>851947</v>
      </c>
      <c r="AI35" s="435">
        <v>6401131</v>
      </c>
      <c r="AJ35" s="435">
        <v>1020096</v>
      </c>
      <c r="AK35" s="435">
        <v>0</v>
      </c>
      <c r="AL35" s="435">
        <v>11209767</v>
      </c>
      <c r="AM35" s="435">
        <v>4601330</v>
      </c>
    </row>
    <row r="36" spans="1:39" s="203" customFormat="1" ht="12" x14ac:dyDescent="0.2">
      <c r="A36" s="181">
        <v>3</v>
      </c>
      <c r="B36" s="239">
        <v>40303</v>
      </c>
      <c r="C36" s="264" t="s">
        <v>152</v>
      </c>
      <c r="D36" s="432">
        <f t="shared" si="5"/>
        <v>34750498</v>
      </c>
      <c r="E36" s="435">
        <v>13080800</v>
      </c>
      <c r="F36" s="435">
        <v>1360005</v>
      </c>
      <c r="G36" s="435">
        <v>2277347</v>
      </c>
      <c r="H36" s="434">
        <v>0</v>
      </c>
      <c r="I36" s="435">
        <v>2244732</v>
      </c>
      <c r="J36" s="434">
        <v>0</v>
      </c>
      <c r="K36" s="435">
        <v>2424930</v>
      </c>
      <c r="L36" s="435">
        <v>0</v>
      </c>
      <c r="M36" s="435">
        <v>5445012</v>
      </c>
      <c r="N36" s="435">
        <v>8555024</v>
      </c>
      <c r="O36" s="435">
        <v>3000000</v>
      </c>
      <c r="P36" s="432">
        <f t="shared" si="2"/>
        <v>34545915</v>
      </c>
      <c r="Q36" s="435">
        <v>3131615</v>
      </c>
      <c r="R36" s="435">
        <v>6930619</v>
      </c>
      <c r="S36" s="435">
        <v>326164</v>
      </c>
      <c r="T36" s="435">
        <v>0</v>
      </c>
      <c r="U36" s="435">
        <v>23634</v>
      </c>
      <c r="V36" s="435">
        <v>189644</v>
      </c>
      <c r="W36" s="435">
        <v>16097353</v>
      </c>
      <c r="X36" s="435">
        <v>307545</v>
      </c>
      <c r="Y36" s="435">
        <v>35418</v>
      </c>
      <c r="Z36" s="435">
        <v>6440792</v>
      </c>
      <c r="AA36" s="435">
        <v>1118344</v>
      </c>
      <c r="AB36" s="435">
        <v>-55213</v>
      </c>
      <c r="AC36" s="435">
        <v>3587865</v>
      </c>
      <c r="AD36" s="435">
        <v>26490</v>
      </c>
      <c r="AE36" s="435">
        <v>3019174</v>
      </c>
      <c r="AF36" s="435">
        <v>32040</v>
      </c>
      <c r="AG36" s="435">
        <v>6826679</v>
      </c>
      <c r="AH36" s="435">
        <v>523241</v>
      </c>
      <c r="AI36" s="435">
        <v>3695685</v>
      </c>
      <c r="AJ36" s="435">
        <v>733518</v>
      </c>
      <c r="AK36" s="435">
        <v>0</v>
      </c>
      <c r="AL36" s="435">
        <v>15006282</v>
      </c>
      <c r="AM36" s="435">
        <v>1094941</v>
      </c>
    </row>
    <row r="37" spans="1:39" s="203" customFormat="1" ht="12" x14ac:dyDescent="0.2">
      <c r="A37" s="181">
        <v>4</v>
      </c>
      <c r="B37" s="239">
        <v>40465</v>
      </c>
      <c r="C37" s="264" t="s">
        <v>153</v>
      </c>
      <c r="D37" s="432">
        <f t="shared" si="5"/>
        <v>15132710</v>
      </c>
      <c r="E37" s="435">
        <v>8753094</v>
      </c>
      <c r="F37" s="435">
        <v>2619732</v>
      </c>
      <c r="G37" s="435">
        <v>2725690</v>
      </c>
      <c r="H37" s="434">
        <v>0</v>
      </c>
      <c r="I37" s="435">
        <v>5702176</v>
      </c>
      <c r="J37" s="434">
        <v>0</v>
      </c>
      <c r="K37" s="435">
        <v>560940</v>
      </c>
      <c r="L37" s="435">
        <v>0</v>
      </c>
      <c r="M37" s="435">
        <v>116500</v>
      </c>
      <c r="N37" s="435">
        <v>0</v>
      </c>
      <c r="O37" s="435">
        <v>0</v>
      </c>
      <c r="P37" s="432">
        <f t="shared" si="2"/>
        <v>12834027</v>
      </c>
      <c r="Q37" s="435">
        <v>7164803</v>
      </c>
      <c r="R37" s="435">
        <v>3496638</v>
      </c>
      <c r="S37" s="435">
        <v>0</v>
      </c>
      <c r="T37" s="435">
        <v>56970</v>
      </c>
      <c r="U37" s="435">
        <v>477798</v>
      </c>
      <c r="V37" s="435">
        <v>21641</v>
      </c>
      <c r="W37" s="435">
        <v>0</v>
      </c>
      <c r="X37" s="435">
        <v>183669</v>
      </c>
      <c r="Y37" s="435">
        <v>183753</v>
      </c>
      <c r="Z37" s="435">
        <v>1329753</v>
      </c>
      <c r="AA37" s="435">
        <v>0</v>
      </c>
      <c r="AB37" s="435">
        <v>-80998</v>
      </c>
      <c r="AC37" s="435">
        <v>2256972</v>
      </c>
      <c r="AD37" s="435">
        <v>135161</v>
      </c>
      <c r="AE37" s="435">
        <v>5592185</v>
      </c>
      <c r="AF37" s="435">
        <v>310814</v>
      </c>
      <c r="AG37" s="435">
        <v>1684257</v>
      </c>
      <c r="AH37" s="435">
        <v>744007</v>
      </c>
      <c r="AI37" s="435">
        <v>850615</v>
      </c>
      <c r="AJ37" s="435">
        <v>821163</v>
      </c>
      <c r="AK37" s="435">
        <v>0</v>
      </c>
      <c r="AL37" s="435">
        <v>438853</v>
      </c>
      <c r="AM37" s="435">
        <v>0</v>
      </c>
    </row>
    <row r="38" spans="1:39" s="203" customFormat="1" ht="12" x14ac:dyDescent="0.2">
      <c r="A38" s="181">
        <v>5</v>
      </c>
      <c r="B38" s="239">
        <v>40492</v>
      </c>
      <c r="C38" s="264" t="s">
        <v>154</v>
      </c>
      <c r="D38" s="432">
        <f t="shared" si="5"/>
        <v>36458653</v>
      </c>
      <c r="E38" s="435">
        <v>17861423</v>
      </c>
      <c r="F38" s="435">
        <v>5620679</v>
      </c>
      <c r="G38" s="435">
        <v>4140053</v>
      </c>
      <c r="H38" s="434">
        <v>0</v>
      </c>
      <c r="I38" s="435">
        <v>13531862</v>
      </c>
      <c r="J38" s="434">
        <v>0</v>
      </c>
      <c r="K38" s="435">
        <v>4022920</v>
      </c>
      <c r="L38" s="435">
        <v>0</v>
      </c>
      <c r="M38" s="435">
        <v>951298</v>
      </c>
      <c r="N38" s="435">
        <v>0</v>
      </c>
      <c r="O38" s="435">
        <v>91150</v>
      </c>
      <c r="P38" s="432">
        <f t="shared" si="2"/>
        <v>35791189</v>
      </c>
      <c r="Q38" s="435">
        <v>14480220</v>
      </c>
      <c r="R38" s="435">
        <v>7968910</v>
      </c>
      <c r="S38" s="435">
        <v>345713</v>
      </c>
      <c r="T38" s="435">
        <v>0</v>
      </c>
      <c r="U38" s="435">
        <v>298000</v>
      </c>
      <c r="V38" s="435">
        <v>52417</v>
      </c>
      <c r="W38" s="435">
        <v>471218</v>
      </c>
      <c r="X38" s="435">
        <v>1156065</v>
      </c>
      <c r="Y38" s="435">
        <v>829529</v>
      </c>
      <c r="Z38" s="435">
        <v>9765802</v>
      </c>
      <c r="AA38" s="435">
        <v>491400</v>
      </c>
      <c r="AB38" s="435">
        <v>-68085</v>
      </c>
      <c r="AC38" s="435">
        <v>3556110</v>
      </c>
      <c r="AD38" s="435">
        <v>883780</v>
      </c>
      <c r="AE38" s="435">
        <v>12018844</v>
      </c>
      <c r="AF38" s="435">
        <v>421659</v>
      </c>
      <c r="AG38" s="435">
        <v>3270818</v>
      </c>
      <c r="AH38" s="435">
        <v>2285515</v>
      </c>
      <c r="AI38" s="435">
        <v>1452083</v>
      </c>
      <c r="AJ38" s="435">
        <v>2514808</v>
      </c>
      <c r="AK38" s="435">
        <v>0</v>
      </c>
      <c r="AL38" s="435">
        <v>8512756</v>
      </c>
      <c r="AM38" s="435">
        <v>874816</v>
      </c>
    </row>
    <row r="39" spans="1:39" s="203" customFormat="1" ht="12" x14ac:dyDescent="0.2">
      <c r="A39" s="181">
        <v>6</v>
      </c>
      <c r="B39" s="239">
        <v>40214</v>
      </c>
      <c r="C39" s="264" t="s">
        <v>155</v>
      </c>
      <c r="D39" s="432">
        <f t="shared" si="5"/>
        <v>30484420</v>
      </c>
      <c r="E39" s="435">
        <v>28345650</v>
      </c>
      <c r="F39" s="435">
        <v>17983075</v>
      </c>
      <c r="G39" s="435">
        <v>427675</v>
      </c>
      <c r="H39" s="434">
        <v>0</v>
      </c>
      <c r="I39" s="435">
        <v>1990654</v>
      </c>
      <c r="J39" s="434">
        <v>0</v>
      </c>
      <c r="K39" s="435">
        <v>128500</v>
      </c>
      <c r="L39" s="435">
        <v>0</v>
      </c>
      <c r="M39" s="435">
        <v>3616</v>
      </c>
      <c r="N39" s="435">
        <v>0</v>
      </c>
      <c r="O39" s="435">
        <v>16000</v>
      </c>
      <c r="P39" s="432">
        <f t="shared" si="2"/>
        <v>24595277</v>
      </c>
      <c r="Q39" s="435">
        <v>2913009</v>
      </c>
      <c r="R39" s="435">
        <v>11664848</v>
      </c>
      <c r="S39" s="435">
        <v>35844</v>
      </c>
      <c r="T39" s="435">
        <v>0</v>
      </c>
      <c r="U39" s="435">
        <v>0</v>
      </c>
      <c r="V39" s="435">
        <v>22187</v>
      </c>
      <c r="W39" s="435">
        <v>522772</v>
      </c>
      <c r="X39" s="435">
        <v>309473</v>
      </c>
      <c r="Y39" s="435">
        <v>1236321</v>
      </c>
      <c r="Z39" s="435">
        <v>7981528</v>
      </c>
      <c r="AA39" s="435">
        <v>0</v>
      </c>
      <c r="AB39" s="435">
        <v>-90705</v>
      </c>
      <c r="AC39" s="435">
        <v>4376093</v>
      </c>
      <c r="AD39" s="435">
        <v>213566</v>
      </c>
      <c r="AE39" s="435">
        <v>2577939</v>
      </c>
      <c r="AF39" s="435">
        <v>0</v>
      </c>
      <c r="AG39" s="435">
        <v>4569961</v>
      </c>
      <c r="AH39" s="435">
        <v>579730</v>
      </c>
      <c r="AI39" s="435">
        <v>5606780</v>
      </c>
      <c r="AJ39" s="435">
        <v>5187533</v>
      </c>
      <c r="AK39" s="435">
        <v>0</v>
      </c>
      <c r="AL39" s="435">
        <v>1483675</v>
      </c>
      <c r="AM39" s="435">
        <v>0</v>
      </c>
    </row>
    <row r="40" spans="1:39" s="155" customFormat="1" ht="12" hidden="1" x14ac:dyDescent="0.2">
      <c r="A40" s="146">
        <v>7</v>
      </c>
      <c r="B40" s="146"/>
      <c r="C40" s="182"/>
      <c r="D40" s="432">
        <f t="shared" si="5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2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155" customFormat="1" ht="12" hidden="1" x14ac:dyDescent="0.2">
      <c r="A41" s="146">
        <v>8</v>
      </c>
      <c r="B41" s="146"/>
      <c r="C41" s="173"/>
      <c r="D41" s="432">
        <f t="shared" si="5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2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146">
        <v>9</v>
      </c>
      <c r="B42" s="146"/>
      <c r="C42" s="206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2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146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2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46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2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46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2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46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2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46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2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46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2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46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2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46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2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46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2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46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2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46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2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4"/>
      <c r="C54" s="208"/>
      <c r="D54" s="432">
        <f t="shared" ref="D54:D117" si="8">E54+SUM(H54:O54)</f>
        <v>355396270</v>
      </c>
      <c r="E54" s="432">
        <f>SUM(E55:E143)</f>
        <v>177450321</v>
      </c>
      <c r="F54" s="432">
        <f t="shared" ref="F54:O54" si="9">SUM(F55:F143)</f>
        <v>44056893</v>
      </c>
      <c r="G54" s="432">
        <f t="shared" si="9"/>
        <v>55788741</v>
      </c>
      <c r="H54" s="432">
        <f t="shared" si="9"/>
        <v>0</v>
      </c>
      <c r="I54" s="432">
        <f t="shared" si="9"/>
        <v>81433187</v>
      </c>
      <c r="J54" s="432">
        <f t="shared" si="9"/>
        <v>2813100</v>
      </c>
      <c r="K54" s="432">
        <f t="shared" si="9"/>
        <v>36223700</v>
      </c>
      <c r="L54" s="432">
        <f t="shared" si="9"/>
        <v>0</v>
      </c>
      <c r="M54" s="432">
        <f t="shared" si="9"/>
        <v>20493403</v>
      </c>
      <c r="N54" s="432">
        <f t="shared" si="9"/>
        <v>30238459</v>
      </c>
      <c r="O54" s="432">
        <f t="shared" si="9"/>
        <v>6744100</v>
      </c>
      <c r="P54" s="432">
        <f t="shared" si="2"/>
        <v>325841581</v>
      </c>
      <c r="Q54" s="432">
        <f>SUM(Q55:Q143)</f>
        <v>98976808</v>
      </c>
      <c r="R54" s="432">
        <f t="shared" ref="R54:AM54" si="10">SUM(R55:R143)</f>
        <v>85670728</v>
      </c>
      <c r="S54" s="432">
        <f t="shared" si="10"/>
        <v>162344</v>
      </c>
      <c r="T54" s="432">
        <f t="shared" si="10"/>
        <v>355822</v>
      </c>
      <c r="U54" s="432">
        <f t="shared" si="10"/>
        <v>0</v>
      </c>
      <c r="V54" s="432">
        <f t="shared" si="10"/>
        <v>831279</v>
      </c>
      <c r="W54" s="432">
        <f t="shared" si="10"/>
        <v>46496562</v>
      </c>
      <c r="X54" s="432">
        <f t="shared" si="10"/>
        <v>7577601</v>
      </c>
      <c r="Y54" s="432">
        <f t="shared" si="10"/>
        <v>6394980</v>
      </c>
      <c r="Z54" s="432">
        <f t="shared" si="10"/>
        <v>78691414</v>
      </c>
      <c r="AA54" s="432">
        <f t="shared" si="10"/>
        <v>1635343</v>
      </c>
      <c r="AB54" s="432">
        <f t="shared" si="10"/>
        <v>-951300</v>
      </c>
      <c r="AC54" s="432">
        <f t="shared" si="10"/>
        <v>58784909</v>
      </c>
      <c r="AD54" s="432">
        <f t="shared" si="10"/>
        <v>7055825</v>
      </c>
      <c r="AE54" s="432">
        <f t="shared" si="10"/>
        <v>87733002</v>
      </c>
      <c r="AF54" s="432">
        <f t="shared" si="10"/>
        <v>710897</v>
      </c>
      <c r="AG54" s="432">
        <f t="shared" si="10"/>
        <v>24000764</v>
      </c>
      <c r="AH54" s="432">
        <f t="shared" si="10"/>
        <v>17125895</v>
      </c>
      <c r="AI54" s="432">
        <f t="shared" si="10"/>
        <v>35508129</v>
      </c>
      <c r="AJ54" s="432">
        <f t="shared" si="10"/>
        <v>25624332</v>
      </c>
      <c r="AK54" s="432">
        <f t="shared" si="10"/>
        <v>0</v>
      </c>
      <c r="AL54" s="432">
        <f t="shared" si="10"/>
        <v>61020254</v>
      </c>
      <c r="AM54" s="432">
        <f t="shared" si="10"/>
        <v>8277574</v>
      </c>
    </row>
    <row r="55" spans="1:39" s="203" customFormat="1" ht="12" x14ac:dyDescent="0.2">
      <c r="A55" s="205">
        <v>1</v>
      </c>
      <c r="B55" s="240">
        <v>40526</v>
      </c>
      <c r="C55" s="265" t="s">
        <v>156</v>
      </c>
      <c r="D55" s="432">
        <f t="shared" si="8"/>
        <v>5883316</v>
      </c>
      <c r="E55" s="434">
        <v>2083992</v>
      </c>
      <c r="F55" s="434">
        <v>293218</v>
      </c>
      <c r="G55" s="434">
        <v>851994</v>
      </c>
      <c r="H55" s="434">
        <v>0</v>
      </c>
      <c r="I55" s="434">
        <v>1889747</v>
      </c>
      <c r="J55" s="434">
        <v>50000</v>
      </c>
      <c r="K55" s="434">
        <v>1485370</v>
      </c>
      <c r="L55" s="434"/>
      <c r="M55" s="434">
        <v>118950</v>
      </c>
      <c r="N55" s="434">
        <v>127257</v>
      </c>
      <c r="O55" s="434">
        <v>128000</v>
      </c>
      <c r="P55" s="432">
        <f t="shared" si="2"/>
        <v>6602913</v>
      </c>
      <c r="Q55" s="434">
        <v>1941938</v>
      </c>
      <c r="R55" s="434">
        <v>1556108</v>
      </c>
      <c r="S55" s="434">
        <v>100</v>
      </c>
      <c r="T55" s="434">
        <v>0</v>
      </c>
      <c r="U55" s="434">
        <v>0</v>
      </c>
      <c r="V55" s="434">
        <v>0</v>
      </c>
      <c r="W55" s="434">
        <v>166344</v>
      </c>
      <c r="X55" s="434">
        <v>179524</v>
      </c>
      <c r="Y55" s="434">
        <v>11888</v>
      </c>
      <c r="Z55" s="434">
        <v>2749810</v>
      </c>
      <c r="AA55" s="434">
        <v>0</v>
      </c>
      <c r="AB55" s="434">
        <v>-2799</v>
      </c>
      <c r="AC55" s="434">
        <v>760481</v>
      </c>
      <c r="AD55" s="434">
        <v>123727</v>
      </c>
      <c r="AE55" s="434">
        <v>2990997</v>
      </c>
      <c r="AF55" s="434">
        <v>0</v>
      </c>
      <c r="AG55" s="434">
        <v>116374</v>
      </c>
      <c r="AH55" s="434">
        <v>208308</v>
      </c>
      <c r="AI55" s="434">
        <v>395282</v>
      </c>
      <c r="AJ55" s="434">
        <v>1599156</v>
      </c>
      <c r="AK55" s="435">
        <v>0</v>
      </c>
      <c r="AL55" s="434">
        <v>185179</v>
      </c>
      <c r="AM55" s="434">
        <v>223409</v>
      </c>
    </row>
    <row r="56" spans="1:39" s="203" customFormat="1" ht="12" x14ac:dyDescent="0.2">
      <c r="A56" s="205">
        <v>2</v>
      </c>
      <c r="B56" s="240">
        <v>42498</v>
      </c>
      <c r="C56" s="265" t="s">
        <v>157</v>
      </c>
      <c r="D56" s="432">
        <f t="shared" si="8"/>
        <v>3099886</v>
      </c>
      <c r="E56" s="434">
        <v>1628286</v>
      </c>
      <c r="F56" s="434">
        <v>67634</v>
      </c>
      <c r="G56" s="434">
        <v>1395059</v>
      </c>
      <c r="H56" s="434">
        <v>0</v>
      </c>
      <c r="I56" s="434">
        <v>1174074</v>
      </c>
      <c r="J56" s="434">
        <v>0</v>
      </c>
      <c r="K56" s="434">
        <v>107110</v>
      </c>
      <c r="L56" s="434"/>
      <c r="M56" s="434">
        <v>137292</v>
      </c>
      <c r="N56" s="434">
        <v>0</v>
      </c>
      <c r="O56" s="434">
        <v>53124</v>
      </c>
      <c r="P56" s="432">
        <f t="shared" si="2"/>
        <v>3338844</v>
      </c>
      <c r="Q56" s="434">
        <v>1363867</v>
      </c>
      <c r="R56" s="434">
        <v>663674</v>
      </c>
      <c r="S56" s="434">
        <v>0</v>
      </c>
      <c r="T56" s="434">
        <v>0</v>
      </c>
      <c r="U56" s="434">
        <v>0</v>
      </c>
      <c r="V56" s="434">
        <v>0</v>
      </c>
      <c r="W56" s="434">
        <v>32124</v>
      </c>
      <c r="X56" s="434">
        <v>175689</v>
      </c>
      <c r="Y56" s="434">
        <v>81774</v>
      </c>
      <c r="Z56" s="434">
        <v>1045212</v>
      </c>
      <c r="AA56" s="434">
        <v>0</v>
      </c>
      <c r="AB56" s="434">
        <v>-23496</v>
      </c>
      <c r="AC56" s="434">
        <v>749299</v>
      </c>
      <c r="AD56" s="434">
        <v>38162</v>
      </c>
      <c r="AE56" s="434">
        <v>1853613</v>
      </c>
      <c r="AF56" s="434">
        <v>0</v>
      </c>
      <c r="AG56" s="434">
        <v>78845</v>
      </c>
      <c r="AH56" s="434">
        <v>254957</v>
      </c>
      <c r="AI56" s="434">
        <v>90377</v>
      </c>
      <c r="AJ56" s="434">
        <v>268792</v>
      </c>
      <c r="AK56" s="435">
        <v>0</v>
      </c>
      <c r="AL56" s="434">
        <v>4799</v>
      </c>
      <c r="AM56" s="434">
        <v>0</v>
      </c>
    </row>
    <row r="57" spans="1:39" s="203" customFormat="1" ht="12" x14ac:dyDescent="0.2">
      <c r="A57" s="205">
        <v>3</v>
      </c>
      <c r="B57" s="240">
        <v>40544</v>
      </c>
      <c r="C57" s="265" t="s">
        <v>158</v>
      </c>
      <c r="D57" s="432">
        <f t="shared" si="8"/>
        <v>3012634</v>
      </c>
      <c r="E57" s="434">
        <v>2351012</v>
      </c>
      <c r="F57" s="434">
        <v>129601</v>
      </c>
      <c r="G57" s="434">
        <v>1038714</v>
      </c>
      <c r="H57" s="434">
        <v>0</v>
      </c>
      <c r="I57" s="434">
        <v>419896</v>
      </c>
      <c r="J57" s="434">
        <v>0</v>
      </c>
      <c r="K57" s="434">
        <v>130430</v>
      </c>
      <c r="L57" s="434"/>
      <c r="M57" s="434">
        <v>10182</v>
      </c>
      <c r="N57" s="434">
        <v>57316</v>
      </c>
      <c r="O57" s="434">
        <v>43798</v>
      </c>
      <c r="P57" s="432">
        <f t="shared" si="2"/>
        <v>3253731</v>
      </c>
      <c r="Q57" s="434">
        <v>778672</v>
      </c>
      <c r="R57" s="434">
        <v>1034042</v>
      </c>
      <c r="S57" s="434">
        <v>0</v>
      </c>
      <c r="T57" s="434">
        <v>0</v>
      </c>
      <c r="U57" s="434">
        <v>0</v>
      </c>
      <c r="V57" s="434">
        <v>34175</v>
      </c>
      <c r="W57" s="434">
        <v>284498</v>
      </c>
      <c r="X57" s="434">
        <v>81535</v>
      </c>
      <c r="Y57" s="434">
        <v>33260</v>
      </c>
      <c r="Z57" s="434">
        <v>1010941</v>
      </c>
      <c r="AA57" s="434">
        <v>0</v>
      </c>
      <c r="AB57" s="434">
        <v>-3392</v>
      </c>
      <c r="AC57" s="434">
        <v>993392</v>
      </c>
      <c r="AD57" s="434">
        <v>26737</v>
      </c>
      <c r="AE57" s="434">
        <v>343614</v>
      </c>
      <c r="AF57" s="434">
        <v>630</v>
      </c>
      <c r="AG57" s="434">
        <v>408118</v>
      </c>
      <c r="AH57" s="434">
        <v>180855</v>
      </c>
      <c r="AI57" s="434">
        <v>403341</v>
      </c>
      <c r="AJ57" s="434">
        <v>538302</v>
      </c>
      <c r="AK57" s="435">
        <v>0</v>
      </c>
      <c r="AL57" s="434">
        <v>278575</v>
      </c>
      <c r="AM57" s="434">
        <v>80167</v>
      </c>
    </row>
    <row r="58" spans="1:39" s="203" customFormat="1" ht="12" x14ac:dyDescent="0.2">
      <c r="A58" s="205">
        <v>4</v>
      </c>
      <c r="B58" s="240">
        <v>40606</v>
      </c>
      <c r="C58" s="265" t="s">
        <v>159</v>
      </c>
      <c r="D58" s="432">
        <f t="shared" si="8"/>
        <v>6308279</v>
      </c>
      <c r="E58" s="434">
        <v>3627861</v>
      </c>
      <c r="F58" s="434">
        <v>1122355</v>
      </c>
      <c r="G58" s="434">
        <v>745245</v>
      </c>
      <c r="H58" s="434">
        <v>0</v>
      </c>
      <c r="I58" s="434">
        <v>1725972</v>
      </c>
      <c r="J58" s="434">
        <v>100000</v>
      </c>
      <c r="K58" s="434">
        <v>850850</v>
      </c>
      <c r="L58" s="434"/>
      <c r="M58" s="434">
        <v>3596</v>
      </c>
      <c r="N58" s="434">
        <v>0</v>
      </c>
      <c r="O58" s="434">
        <v>0</v>
      </c>
      <c r="P58" s="432">
        <f t="shared" si="2"/>
        <v>5911812</v>
      </c>
      <c r="Q58" s="434">
        <v>2149649</v>
      </c>
      <c r="R58" s="434">
        <v>1383325</v>
      </c>
      <c r="S58" s="434">
        <v>0</v>
      </c>
      <c r="T58" s="434">
        <v>0</v>
      </c>
      <c r="U58" s="434">
        <v>0</v>
      </c>
      <c r="V58" s="434">
        <v>36183</v>
      </c>
      <c r="W58" s="434">
        <v>0</v>
      </c>
      <c r="X58" s="434">
        <v>149600</v>
      </c>
      <c r="Y58" s="434">
        <v>458548</v>
      </c>
      <c r="Z58" s="434">
        <v>1742895</v>
      </c>
      <c r="AA58" s="434">
        <v>0</v>
      </c>
      <c r="AB58" s="434">
        <v>-8388</v>
      </c>
      <c r="AC58" s="434">
        <v>973021</v>
      </c>
      <c r="AD58" s="434">
        <v>157682</v>
      </c>
      <c r="AE58" s="434">
        <v>1529521</v>
      </c>
      <c r="AF58" s="434">
        <v>0</v>
      </c>
      <c r="AG58" s="434">
        <v>1082579</v>
      </c>
      <c r="AH58" s="434">
        <v>428974</v>
      </c>
      <c r="AI58" s="434">
        <v>272313</v>
      </c>
      <c r="AJ58" s="434">
        <v>208333</v>
      </c>
      <c r="AK58" s="435">
        <v>0</v>
      </c>
      <c r="AL58" s="434">
        <v>1259389</v>
      </c>
      <c r="AM58" s="434">
        <v>0</v>
      </c>
    </row>
    <row r="59" spans="1:39" s="203" customFormat="1" ht="12" x14ac:dyDescent="0.2">
      <c r="A59" s="205">
        <v>5</v>
      </c>
      <c r="B59" s="240">
        <v>40633</v>
      </c>
      <c r="C59" s="265" t="s">
        <v>160</v>
      </c>
      <c r="D59" s="432">
        <f t="shared" si="8"/>
        <v>13620466</v>
      </c>
      <c r="E59" s="434">
        <v>5761356</v>
      </c>
      <c r="F59" s="434">
        <v>1409657</v>
      </c>
      <c r="G59" s="434">
        <v>982524</v>
      </c>
      <c r="H59" s="434">
        <v>0</v>
      </c>
      <c r="I59" s="434">
        <v>2508116</v>
      </c>
      <c r="J59" s="434">
        <v>200000</v>
      </c>
      <c r="K59" s="434">
        <v>1029440</v>
      </c>
      <c r="L59" s="434"/>
      <c r="M59" s="434">
        <v>822071</v>
      </c>
      <c r="N59" s="434">
        <v>2999483</v>
      </c>
      <c r="O59" s="434">
        <v>300000</v>
      </c>
      <c r="P59" s="432">
        <f t="shared" si="2"/>
        <v>14106261</v>
      </c>
      <c r="Q59" s="434">
        <v>2990390</v>
      </c>
      <c r="R59" s="434">
        <v>2488834</v>
      </c>
      <c r="S59" s="434">
        <v>1012</v>
      </c>
      <c r="T59" s="434">
        <v>0</v>
      </c>
      <c r="U59" s="434">
        <v>0</v>
      </c>
      <c r="V59" s="434">
        <v>19252</v>
      </c>
      <c r="W59" s="434">
        <v>6513888</v>
      </c>
      <c r="X59" s="434">
        <v>232058</v>
      </c>
      <c r="Y59" s="434">
        <v>437830</v>
      </c>
      <c r="Z59" s="434">
        <v>1349724</v>
      </c>
      <c r="AA59" s="434">
        <v>88889</v>
      </c>
      <c r="AB59" s="434">
        <v>-15616</v>
      </c>
      <c r="AC59" s="434">
        <v>1518303</v>
      </c>
      <c r="AD59" s="434">
        <v>146672</v>
      </c>
      <c r="AE59" s="434">
        <v>2206723</v>
      </c>
      <c r="AF59" s="434">
        <v>22680</v>
      </c>
      <c r="AG59" s="434">
        <v>856752</v>
      </c>
      <c r="AH59" s="434">
        <v>364354</v>
      </c>
      <c r="AI59" s="434">
        <v>1004080</v>
      </c>
      <c r="AJ59" s="434">
        <v>557849</v>
      </c>
      <c r="AK59" s="435">
        <v>0</v>
      </c>
      <c r="AL59" s="434">
        <v>7292783</v>
      </c>
      <c r="AM59" s="434">
        <v>136065</v>
      </c>
    </row>
    <row r="60" spans="1:39" s="203" customFormat="1" ht="12" x14ac:dyDescent="0.2">
      <c r="A60" s="205">
        <v>6</v>
      </c>
      <c r="B60" s="240">
        <v>40688</v>
      </c>
      <c r="C60" s="265" t="s">
        <v>161</v>
      </c>
      <c r="D60" s="432">
        <f t="shared" si="8"/>
        <v>9476142</v>
      </c>
      <c r="E60" s="434">
        <v>2547877</v>
      </c>
      <c r="F60" s="434">
        <v>217965</v>
      </c>
      <c r="G60" s="434">
        <v>1609673</v>
      </c>
      <c r="H60" s="434">
        <v>0</v>
      </c>
      <c r="I60" s="434">
        <v>2297288</v>
      </c>
      <c r="J60" s="434">
        <v>0</v>
      </c>
      <c r="K60" s="434">
        <v>690110</v>
      </c>
      <c r="L60" s="434"/>
      <c r="M60" s="434">
        <v>503313</v>
      </c>
      <c r="N60" s="434">
        <v>3437554</v>
      </c>
      <c r="O60" s="434">
        <v>0</v>
      </c>
      <c r="P60" s="432">
        <f t="shared" si="2"/>
        <v>9108087</v>
      </c>
      <c r="Q60" s="434">
        <v>2383997</v>
      </c>
      <c r="R60" s="434">
        <v>1421753</v>
      </c>
      <c r="S60" s="434">
        <v>0</v>
      </c>
      <c r="T60" s="434">
        <v>0</v>
      </c>
      <c r="U60" s="434">
        <v>0</v>
      </c>
      <c r="V60" s="434">
        <v>32690</v>
      </c>
      <c r="W60" s="434">
        <v>4130024</v>
      </c>
      <c r="X60" s="434">
        <v>563689</v>
      </c>
      <c r="Y60" s="434">
        <v>44783</v>
      </c>
      <c r="Z60" s="434">
        <v>558252</v>
      </c>
      <c r="AA60" s="434">
        <v>0</v>
      </c>
      <c r="AB60" s="434">
        <v>-27101</v>
      </c>
      <c r="AC60" s="434">
        <v>1370558</v>
      </c>
      <c r="AD60" s="434">
        <v>127074</v>
      </c>
      <c r="AE60" s="434">
        <v>1879248</v>
      </c>
      <c r="AF60" s="434">
        <v>0</v>
      </c>
      <c r="AG60" s="434">
        <v>70053</v>
      </c>
      <c r="AH60" s="434">
        <v>709023</v>
      </c>
      <c r="AI60" s="434">
        <v>76035</v>
      </c>
      <c r="AJ60" s="434">
        <v>209014</v>
      </c>
      <c r="AK60" s="435">
        <v>0</v>
      </c>
      <c r="AL60" s="434">
        <v>4657082</v>
      </c>
      <c r="AM60" s="434">
        <v>10000</v>
      </c>
    </row>
    <row r="61" spans="1:39" s="203" customFormat="1" ht="12" x14ac:dyDescent="0.2">
      <c r="A61" s="205">
        <v>7</v>
      </c>
      <c r="B61" s="240">
        <v>40704</v>
      </c>
      <c r="C61" s="265" t="s">
        <v>162</v>
      </c>
      <c r="D61" s="432">
        <f t="shared" si="8"/>
        <v>7853244</v>
      </c>
      <c r="E61" s="434">
        <v>2968183</v>
      </c>
      <c r="F61" s="434">
        <v>186638</v>
      </c>
      <c r="G61" s="434">
        <v>839092</v>
      </c>
      <c r="H61" s="434">
        <v>0</v>
      </c>
      <c r="I61" s="434">
        <v>1599224</v>
      </c>
      <c r="J61" s="434">
        <v>0</v>
      </c>
      <c r="K61" s="434">
        <v>1210550</v>
      </c>
      <c r="L61" s="434"/>
      <c r="M61" s="434">
        <v>112618</v>
      </c>
      <c r="N61" s="434">
        <v>556727</v>
      </c>
      <c r="O61" s="434">
        <v>1405942</v>
      </c>
      <c r="P61" s="432">
        <f t="shared" si="2"/>
        <v>9642124</v>
      </c>
      <c r="Q61" s="434">
        <v>1861555</v>
      </c>
      <c r="R61" s="434">
        <v>1933546</v>
      </c>
      <c r="S61" s="434">
        <v>0</v>
      </c>
      <c r="T61" s="434">
        <v>0</v>
      </c>
      <c r="U61" s="434">
        <v>0</v>
      </c>
      <c r="V61" s="434">
        <v>0</v>
      </c>
      <c r="W61" s="434">
        <v>2545917</v>
      </c>
      <c r="X61" s="434">
        <v>60685</v>
      </c>
      <c r="Y61" s="434">
        <v>0</v>
      </c>
      <c r="Z61" s="434">
        <v>3250773</v>
      </c>
      <c r="AA61" s="434">
        <v>0</v>
      </c>
      <c r="AB61" s="434">
        <v>-10352</v>
      </c>
      <c r="AC61" s="434">
        <v>1134587</v>
      </c>
      <c r="AD61" s="434">
        <v>191581</v>
      </c>
      <c r="AE61" s="434">
        <v>2587032</v>
      </c>
      <c r="AF61" s="434">
        <v>0</v>
      </c>
      <c r="AG61" s="434">
        <v>452257</v>
      </c>
      <c r="AH61" s="434">
        <v>156083</v>
      </c>
      <c r="AI61" s="434">
        <v>468057</v>
      </c>
      <c r="AJ61" s="434">
        <v>57671</v>
      </c>
      <c r="AK61" s="435">
        <v>0</v>
      </c>
      <c r="AL61" s="434">
        <v>428934</v>
      </c>
      <c r="AM61" s="434">
        <v>4165922</v>
      </c>
    </row>
    <row r="62" spans="1:39" s="203" customFormat="1" ht="12" x14ac:dyDescent="0.2">
      <c r="A62" s="205">
        <v>8</v>
      </c>
      <c r="B62" s="240">
        <v>40768</v>
      </c>
      <c r="C62" s="265" t="s">
        <v>163</v>
      </c>
      <c r="D62" s="432">
        <f t="shared" si="8"/>
        <v>5972181</v>
      </c>
      <c r="E62" s="434">
        <v>2091548</v>
      </c>
      <c r="F62" s="434">
        <v>185772</v>
      </c>
      <c r="G62" s="434">
        <v>815101</v>
      </c>
      <c r="H62" s="434">
        <v>0</v>
      </c>
      <c r="I62" s="434">
        <v>1593624</v>
      </c>
      <c r="J62" s="434">
        <v>200000</v>
      </c>
      <c r="K62" s="434">
        <v>339650</v>
      </c>
      <c r="L62" s="434"/>
      <c r="M62" s="434">
        <v>286297</v>
      </c>
      <c r="N62" s="434">
        <v>1324062</v>
      </c>
      <c r="O62" s="434">
        <v>137000</v>
      </c>
      <c r="P62" s="432">
        <f t="shared" si="2"/>
        <v>4997628</v>
      </c>
      <c r="Q62" s="434">
        <v>1831410</v>
      </c>
      <c r="R62" s="434">
        <v>796532</v>
      </c>
      <c r="S62" s="434">
        <v>0</v>
      </c>
      <c r="T62" s="434">
        <v>0</v>
      </c>
      <c r="U62" s="434">
        <v>0</v>
      </c>
      <c r="V62" s="434">
        <v>0</v>
      </c>
      <c r="W62" s="434">
        <v>1523428</v>
      </c>
      <c r="X62" s="434">
        <v>76171</v>
      </c>
      <c r="Y62" s="434">
        <v>0</v>
      </c>
      <c r="Z62" s="434">
        <v>841156</v>
      </c>
      <c r="AA62" s="434">
        <v>0</v>
      </c>
      <c r="AB62" s="434">
        <v>-71069</v>
      </c>
      <c r="AC62" s="434">
        <v>1620640</v>
      </c>
      <c r="AD62" s="434">
        <v>750</v>
      </c>
      <c r="AE62" s="434">
        <v>1600499</v>
      </c>
      <c r="AF62" s="434">
        <v>15536</v>
      </c>
      <c r="AG62" s="434">
        <v>1007039</v>
      </c>
      <c r="AH62" s="434">
        <v>183147</v>
      </c>
      <c r="AI62" s="434">
        <v>336576</v>
      </c>
      <c r="AJ62" s="434">
        <v>0</v>
      </c>
      <c r="AK62" s="435">
        <v>0</v>
      </c>
      <c r="AL62" s="434">
        <v>201971</v>
      </c>
      <c r="AM62" s="434">
        <v>31470</v>
      </c>
    </row>
    <row r="63" spans="1:39" s="203" customFormat="1" ht="12" x14ac:dyDescent="0.2">
      <c r="A63" s="205">
        <v>9</v>
      </c>
      <c r="B63" s="240">
        <v>40820</v>
      </c>
      <c r="C63" s="265" t="s">
        <v>164</v>
      </c>
      <c r="D63" s="432">
        <f t="shared" si="8"/>
        <v>4266242</v>
      </c>
      <c r="E63" s="434">
        <v>2035896</v>
      </c>
      <c r="F63" s="434">
        <v>443519</v>
      </c>
      <c r="G63" s="434">
        <v>395179</v>
      </c>
      <c r="H63" s="434">
        <v>0</v>
      </c>
      <c r="I63" s="434">
        <v>1059946</v>
      </c>
      <c r="J63" s="434">
        <v>0</v>
      </c>
      <c r="K63" s="434">
        <v>540280</v>
      </c>
      <c r="L63" s="434"/>
      <c r="M63" s="434">
        <v>301225</v>
      </c>
      <c r="N63" s="434">
        <v>323795</v>
      </c>
      <c r="O63" s="434">
        <v>5100</v>
      </c>
      <c r="P63" s="432">
        <f t="shared" si="2"/>
        <v>4677491</v>
      </c>
      <c r="Q63" s="434">
        <v>1520911</v>
      </c>
      <c r="R63" s="434">
        <v>1474327</v>
      </c>
      <c r="S63" s="434">
        <v>0</v>
      </c>
      <c r="T63" s="434">
        <v>0</v>
      </c>
      <c r="U63" s="434">
        <v>0</v>
      </c>
      <c r="V63" s="434">
        <v>3635</v>
      </c>
      <c r="W63" s="434">
        <v>530569</v>
      </c>
      <c r="X63" s="434">
        <v>113150</v>
      </c>
      <c r="Y63" s="434">
        <v>77933</v>
      </c>
      <c r="Z63" s="434">
        <v>957629</v>
      </c>
      <c r="AA63" s="434">
        <v>0</v>
      </c>
      <c r="AB63" s="434">
        <v>-663</v>
      </c>
      <c r="AC63" s="434">
        <v>780678</v>
      </c>
      <c r="AD63" s="434">
        <v>216556</v>
      </c>
      <c r="AE63" s="434">
        <v>1052166</v>
      </c>
      <c r="AF63" s="434">
        <v>1599</v>
      </c>
      <c r="AG63" s="434">
        <v>282528</v>
      </c>
      <c r="AH63" s="434">
        <v>697567</v>
      </c>
      <c r="AI63" s="434">
        <v>1092972</v>
      </c>
      <c r="AJ63" s="434">
        <v>222395</v>
      </c>
      <c r="AK63" s="435">
        <v>0</v>
      </c>
      <c r="AL63" s="434">
        <v>260030</v>
      </c>
      <c r="AM63" s="434">
        <v>71000</v>
      </c>
    </row>
    <row r="64" spans="1:39" s="203" customFormat="1" ht="12" x14ac:dyDescent="0.2">
      <c r="A64" s="205">
        <v>10</v>
      </c>
      <c r="B64" s="240">
        <v>40857</v>
      </c>
      <c r="C64" s="265" t="s">
        <v>165</v>
      </c>
      <c r="D64" s="432">
        <f t="shared" si="8"/>
        <v>5759804</v>
      </c>
      <c r="E64" s="434">
        <v>3076768</v>
      </c>
      <c r="F64" s="434">
        <v>154260</v>
      </c>
      <c r="G64" s="434">
        <v>1569553</v>
      </c>
      <c r="H64" s="434">
        <v>0</v>
      </c>
      <c r="I64" s="434">
        <v>1843750</v>
      </c>
      <c r="J64" s="434">
        <v>0</v>
      </c>
      <c r="K64" s="434">
        <v>755610</v>
      </c>
      <c r="L64" s="434"/>
      <c r="M64" s="434">
        <v>19806</v>
      </c>
      <c r="N64" s="434">
        <v>0</v>
      </c>
      <c r="O64" s="434">
        <v>63870</v>
      </c>
      <c r="P64" s="432">
        <f t="shared" si="2"/>
        <v>5654131</v>
      </c>
      <c r="Q64" s="434">
        <v>2078925</v>
      </c>
      <c r="R64" s="434">
        <v>2726649</v>
      </c>
      <c r="S64" s="434">
        <v>0</v>
      </c>
      <c r="T64" s="434">
        <v>0</v>
      </c>
      <c r="U64" s="434">
        <v>0</v>
      </c>
      <c r="V64" s="434">
        <v>0</v>
      </c>
      <c r="W64" s="434">
        <v>0</v>
      </c>
      <c r="X64" s="434">
        <v>79235</v>
      </c>
      <c r="Y64" s="434">
        <v>68000</v>
      </c>
      <c r="Z64" s="434">
        <v>764862</v>
      </c>
      <c r="AA64" s="434">
        <v>0</v>
      </c>
      <c r="AB64" s="434">
        <v>-63540</v>
      </c>
      <c r="AC64" s="434">
        <v>854341</v>
      </c>
      <c r="AD64" s="434">
        <v>239388</v>
      </c>
      <c r="AE64" s="434">
        <v>1867972</v>
      </c>
      <c r="AF64" s="434">
        <v>15326</v>
      </c>
      <c r="AG64" s="434">
        <v>498532</v>
      </c>
      <c r="AH64" s="434">
        <v>282451</v>
      </c>
      <c r="AI64" s="434">
        <v>537217</v>
      </c>
      <c r="AJ64" s="434">
        <v>0</v>
      </c>
      <c r="AK64" s="435">
        <v>0</v>
      </c>
      <c r="AL64" s="434">
        <v>1178330</v>
      </c>
      <c r="AM64" s="434">
        <v>180574</v>
      </c>
    </row>
    <row r="65" spans="1:39" s="203" customFormat="1" ht="12" x14ac:dyDescent="0.2">
      <c r="A65" s="205">
        <v>11</v>
      </c>
      <c r="B65" s="240">
        <v>42456</v>
      </c>
      <c r="C65" s="265" t="s">
        <v>166</v>
      </c>
      <c r="D65" s="432">
        <f t="shared" si="8"/>
        <v>5890466</v>
      </c>
      <c r="E65" s="434">
        <v>2092095</v>
      </c>
      <c r="F65" s="434">
        <v>189576</v>
      </c>
      <c r="G65" s="434">
        <v>896331</v>
      </c>
      <c r="H65" s="434">
        <v>0</v>
      </c>
      <c r="I65" s="434">
        <v>1600173</v>
      </c>
      <c r="J65" s="434">
        <v>0</v>
      </c>
      <c r="K65" s="434">
        <v>350460</v>
      </c>
      <c r="L65" s="434"/>
      <c r="M65" s="434">
        <v>1582808</v>
      </c>
      <c r="N65" s="434">
        <v>244930</v>
      </c>
      <c r="O65" s="434">
        <v>20000</v>
      </c>
      <c r="P65" s="432">
        <f t="shared" si="2"/>
        <v>6000274</v>
      </c>
      <c r="Q65" s="434">
        <v>2013713</v>
      </c>
      <c r="R65" s="434">
        <v>1286575</v>
      </c>
      <c r="S65" s="434">
        <v>0</v>
      </c>
      <c r="T65" s="434">
        <v>0</v>
      </c>
      <c r="U65" s="434">
        <v>0</v>
      </c>
      <c r="V65" s="434">
        <v>27664</v>
      </c>
      <c r="W65" s="434">
        <v>20000</v>
      </c>
      <c r="X65" s="434">
        <v>95370</v>
      </c>
      <c r="Y65" s="434">
        <v>15000</v>
      </c>
      <c r="Z65" s="434">
        <v>2541952</v>
      </c>
      <c r="AA65" s="434">
        <v>0</v>
      </c>
      <c r="AB65" s="434">
        <v>0</v>
      </c>
      <c r="AC65" s="434">
        <v>1172280</v>
      </c>
      <c r="AD65" s="434">
        <v>223332</v>
      </c>
      <c r="AE65" s="434">
        <v>1435775</v>
      </c>
      <c r="AF65" s="434">
        <v>0</v>
      </c>
      <c r="AG65" s="434">
        <v>599277</v>
      </c>
      <c r="AH65" s="434">
        <v>278338</v>
      </c>
      <c r="AI65" s="434">
        <v>61946</v>
      </c>
      <c r="AJ65" s="434">
        <v>1802744</v>
      </c>
      <c r="AK65" s="435">
        <v>0</v>
      </c>
      <c r="AL65" s="434">
        <v>426582</v>
      </c>
      <c r="AM65" s="434">
        <v>0</v>
      </c>
    </row>
    <row r="66" spans="1:39" s="203" customFormat="1" ht="12" x14ac:dyDescent="0.2">
      <c r="A66" s="205">
        <v>12</v>
      </c>
      <c r="B66" s="240">
        <v>40900</v>
      </c>
      <c r="C66" s="265" t="s">
        <v>167</v>
      </c>
      <c r="D66" s="432">
        <f t="shared" si="8"/>
        <v>25317009</v>
      </c>
      <c r="E66" s="434">
        <v>23737141</v>
      </c>
      <c r="F66" s="434">
        <v>16168993</v>
      </c>
      <c r="G66" s="434">
        <v>918186</v>
      </c>
      <c r="H66" s="434">
        <v>0</v>
      </c>
      <c r="I66" s="434">
        <v>1494939</v>
      </c>
      <c r="J66" s="434">
        <v>0</v>
      </c>
      <c r="K66" s="434">
        <v>74060</v>
      </c>
      <c r="L66" s="434"/>
      <c r="M66" s="434">
        <v>10869</v>
      </c>
      <c r="N66" s="434">
        <v>0</v>
      </c>
      <c r="O66" s="434">
        <v>0</v>
      </c>
      <c r="P66" s="432">
        <f t="shared" si="2"/>
        <v>13866136</v>
      </c>
      <c r="Q66" s="434">
        <v>2245251</v>
      </c>
      <c r="R66" s="434">
        <v>5502766</v>
      </c>
      <c r="S66" s="434">
        <v>0</v>
      </c>
      <c r="T66" s="434">
        <v>355822</v>
      </c>
      <c r="U66" s="434">
        <v>0</v>
      </c>
      <c r="V66" s="434">
        <v>153405</v>
      </c>
      <c r="W66" s="434">
        <v>0</v>
      </c>
      <c r="X66" s="434">
        <v>127767</v>
      </c>
      <c r="Y66" s="434">
        <v>2955878</v>
      </c>
      <c r="Z66" s="434">
        <v>2533652</v>
      </c>
      <c r="AA66" s="434">
        <v>0</v>
      </c>
      <c r="AB66" s="434">
        <v>-8405</v>
      </c>
      <c r="AC66" s="434">
        <v>1975128</v>
      </c>
      <c r="AD66" s="434">
        <v>205181</v>
      </c>
      <c r="AE66" s="434">
        <v>1664766</v>
      </c>
      <c r="AF66" s="434">
        <v>34488</v>
      </c>
      <c r="AG66" s="434">
        <v>4480460</v>
      </c>
      <c r="AH66" s="434">
        <v>425011</v>
      </c>
      <c r="AI66" s="434">
        <v>3178893</v>
      </c>
      <c r="AJ66" s="434">
        <v>838848</v>
      </c>
      <c r="AK66" s="435">
        <v>0</v>
      </c>
      <c r="AL66" s="434">
        <v>824976</v>
      </c>
      <c r="AM66" s="434">
        <v>238385</v>
      </c>
    </row>
    <row r="67" spans="1:39" s="203" customFormat="1" ht="12" x14ac:dyDescent="0.2">
      <c r="A67" s="205">
        <v>13</v>
      </c>
      <c r="B67" s="240">
        <v>42480</v>
      </c>
      <c r="C67" s="265" t="s">
        <v>168</v>
      </c>
      <c r="D67" s="432">
        <f t="shared" si="8"/>
        <v>4642948</v>
      </c>
      <c r="E67" s="434">
        <v>2406503</v>
      </c>
      <c r="F67" s="434">
        <v>120061</v>
      </c>
      <c r="G67" s="434">
        <v>1478939</v>
      </c>
      <c r="H67" s="434">
        <v>0</v>
      </c>
      <c r="I67" s="434">
        <v>740402</v>
      </c>
      <c r="J67" s="434">
        <v>0</v>
      </c>
      <c r="K67" s="434">
        <v>172090</v>
      </c>
      <c r="L67" s="434"/>
      <c r="M67" s="434">
        <v>885358</v>
      </c>
      <c r="N67" s="434">
        <v>247449</v>
      </c>
      <c r="O67" s="434">
        <v>191146</v>
      </c>
      <c r="P67" s="432">
        <f t="shared" si="2"/>
        <v>4831299</v>
      </c>
      <c r="Q67" s="434">
        <v>999117</v>
      </c>
      <c r="R67" s="434">
        <v>2016682</v>
      </c>
      <c r="S67" s="434">
        <v>0</v>
      </c>
      <c r="T67" s="434">
        <v>0</v>
      </c>
      <c r="U67" s="434">
        <v>0</v>
      </c>
      <c r="V67" s="434">
        <v>3824</v>
      </c>
      <c r="W67" s="434">
        <v>313300</v>
      </c>
      <c r="X67" s="434">
        <v>6938</v>
      </c>
      <c r="Y67" s="434">
        <v>30167</v>
      </c>
      <c r="Z67" s="434">
        <v>1461271</v>
      </c>
      <c r="AA67" s="434">
        <v>0</v>
      </c>
      <c r="AB67" s="434">
        <v>0</v>
      </c>
      <c r="AC67" s="434">
        <v>1377949</v>
      </c>
      <c r="AD67" s="434">
        <v>139000</v>
      </c>
      <c r="AE67" s="434">
        <v>662284</v>
      </c>
      <c r="AF67" s="434">
        <v>0</v>
      </c>
      <c r="AG67" s="434">
        <v>755575</v>
      </c>
      <c r="AH67" s="434">
        <v>136412</v>
      </c>
      <c r="AI67" s="434">
        <v>298821</v>
      </c>
      <c r="AJ67" s="434">
        <v>50000</v>
      </c>
      <c r="AK67" s="435">
        <v>0</v>
      </c>
      <c r="AL67" s="434">
        <v>1411258</v>
      </c>
      <c r="AM67" s="434">
        <v>0</v>
      </c>
    </row>
    <row r="68" spans="1:39" s="203" customFormat="1" ht="12" x14ac:dyDescent="0.2">
      <c r="A68" s="205">
        <v>14</v>
      </c>
      <c r="B68" s="240">
        <v>40928</v>
      </c>
      <c r="C68" s="265" t="s">
        <v>169</v>
      </c>
      <c r="D68" s="432">
        <f t="shared" si="8"/>
        <v>9438001</v>
      </c>
      <c r="E68" s="434">
        <v>3663226</v>
      </c>
      <c r="F68" s="434">
        <v>244236</v>
      </c>
      <c r="G68" s="434">
        <v>1372749</v>
      </c>
      <c r="H68" s="434">
        <v>0</v>
      </c>
      <c r="I68" s="434">
        <v>2100696</v>
      </c>
      <c r="J68" s="434">
        <v>0</v>
      </c>
      <c r="K68" s="434">
        <v>1329090</v>
      </c>
      <c r="L68" s="434"/>
      <c r="M68" s="434">
        <v>933937</v>
      </c>
      <c r="N68" s="434">
        <v>1411052</v>
      </c>
      <c r="O68" s="434">
        <v>0</v>
      </c>
      <c r="P68" s="432">
        <f t="shared" si="2"/>
        <v>7823140</v>
      </c>
      <c r="Q68" s="434">
        <v>2549566</v>
      </c>
      <c r="R68" s="434">
        <v>1555988</v>
      </c>
      <c r="S68" s="434">
        <v>0</v>
      </c>
      <c r="T68" s="434">
        <v>0</v>
      </c>
      <c r="U68" s="434">
        <v>0</v>
      </c>
      <c r="V68" s="434">
        <v>2340</v>
      </c>
      <c r="W68" s="434">
        <v>1997816</v>
      </c>
      <c r="X68" s="434">
        <v>142273</v>
      </c>
      <c r="Y68" s="434">
        <v>0</v>
      </c>
      <c r="Z68" s="434">
        <v>1602644</v>
      </c>
      <c r="AA68" s="434">
        <v>0</v>
      </c>
      <c r="AB68" s="434">
        <v>-27487</v>
      </c>
      <c r="AC68" s="434">
        <v>1205488</v>
      </c>
      <c r="AD68" s="434">
        <v>205094</v>
      </c>
      <c r="AE68" s="434">
        <v>1876660</v>
      </c>
      <c r="AF68" s="434">
        <v>0</v>
      </c>
      <c r="AG68" s="434">
        <v>833239</v>
      </c>
      <c r="AH68" s="434">
        <v>309834</v>
      </c>
      <c r="AI68" s="434">
        <v>620127</v>
      </c>
      <c r="AJ68" s="434">
        <v>255243</v>
      </c>
      <c r="AK68" s="435">
        <v>0</v>
      </c>
      <c r="AL68" s="434">
        <v>2517455</v>
      </c>
      <c r="AM68" s="434">
        <v>0</v>
      </c>
    </row>
    <row r="69" spans="1:39" s="203" customFormat="1" ht="12" x14ac:dyDescent="0.2">
      <c r="A69" s="205">
        <v>15</v>
      </c>
      <c r="B69" s="240">
        <v>40955</v>
      </c>
      <c r="C69" s="265" t="s">
        <v>170</v>
      </c>
      <c r="D69" s="432">
        <f t="shared" si="8"/>
        <v>16494050</v>
      </c>
      <c r="E69" s="434">
        <v>8261647</v>
      </c>
      <c r="F69" s="434">
        <v>2235584</v>
      </c>
      <c r="G69" s="434">
        <v>2311128</v>
      </c>
      <c r="H69" s="434">
        <v>0</v>
      </c>
      <c r="I69" s="434">
        <v>2950738</v>
      </c>
      <c r="J69" s="434">
        <v>0</v>
      </c>
      <c r="K69" s="434">
        <v>898330</v>
      </c>
      <c r="L69" s="434"/>
      <c r="M69" s="434">
        <v>1235726</v>
      </c>
      <c r="N69" s="434">
        <v>3008958</v>
      </c>
      <c r="O69" s="434">
        <v>138651</v>
      </c>
      <c r="P69" s="432">
        <f t="shared" si="2"/>
        <v>14249190</v>
      </c>
      <c r="Q69" s="434">
        <v>3039266</v>
      </c>
      <c r="R69" s="434">
        <v>3510719</v>
      </c>
      <c r="S69" s="434">
        <v>0</v>
      </c>
      <c r="T69" s="434">
        <v>0</v>
      </c>
      <c r="U69" s="434">
        <v>0</v>
      </c>
      <c r="V69" s="434">
        <v>0</v>
      </c>
      <c r="W69" s="434">
        <v>4066326</v>
      </c>
      <c r="X69" s="434">
        <v>447065</v>
      </c>
      <c r="Y69" s="434">
        <v>149000</v>
      </c>
      <c r="Z69" s="434">
        <v>3036814</v>
      </c>
      <c r="AA69" s="434">
        <v>0</v>
      </c>
      <c r="AB69" s="434">
        <v>0</v>
      </c>
      <c r="AC69" s="434">
        <v>1491336</v>
      </c>
      <c r="AD69" s="434">
        <v>72877</v>
      </c>
      <c r="AE69" s="434">
        <v>7855869</v>
      </c>
      <c r="AF69" s="434">
        <v>22586</v>
      </c>
      <c r="AG69" s="434">
        <v>1212685</v>
      </c>
      <c r="AH69" s="434">
        <v>447065</v>
      </c>
      <c r="AI69" s="434">
        <v>1309149</v>
      </c>
      <c r="AJ69" s="434">
        <v>831903</v>
      </c>
      <c r="AK69" s="435">
        <v>0</v>
      </c>
      <c r="AL69" s="434">
        <v>969539</v>
      </c>
      <c r="AM69" s="434">
        <v>36181</v>
      </c>
    </row>
    <row r="70" spans="1:39" s="203" customFormat="1" ht="12" x14ac:dyDescent="0.2">
      <c r="A70" s="205">
        <v>16</v>
      </c>
      <c r="B70" s="240">
        <v>40991</v>
      </c>
      <c r="C70" s="265" t="s">
        <v>171</v>
      </c>
      <c r="D70" s="432">
        <f t="shared" si="8"/>
        <v>4356479</v>
      </c>
      <c r="E70" s="434">
        <v>2099563</v>
      </c>
      <c r="F70" s="434">
        <v>146802</v>
      </c>
      <c r="G70" s="434">
        <v>851889</v>
      </c>
      <c r="H70" s="434">
        <v>0</v>
      </c>
      <c r="I70" s="434">
        <v>605928</v>
      </c>
      <c r="J70" s="434">
        <v>0</v>
      </c>
      <c r="K70" s="434">
        <v>663440</v>
      </c>
      <c r="L70" s="434"/>
      <c r="M70" s="434">
        <v>106829</v>
      </c>
      <c r="N70" s="434">
        <v>580719</v>
      </c>
      <c r="O70" s="434">
        <v>300000</v>
      </c>
      <c r="P70" s="432">
        <f t="shared" si="2"/>
        <v>4063597</v>
      </c>
      <c r="Q70" s="434">
        <v>868997</v>
      </c>
      <c r="R70" s="434">
        <v>1221739</v>
      </c>
      <c r="S70" s="434">
        <v>0</v>
      </c>
      <c r="T70" s="434">
        <v>0</v>
      </c>
      <c r="U70" s="434">
        <v>0</v>
      </c>
      <c r="V70" s="434">
        <v>12788</v>
      </c>
      <c r="W70" s="434">
        <v>1281606</v>
      </c>
      <c r="X70" s="434">
        <v>44615</v>
      </c>
      <c r="Y70" s="434">
        <v>0</v>
      </c>
      <c r="Z70" s="434">
        <v>646266</v>
      </c>
      <c r="AA70" s="434">
        <v>0</v>
      </c>
      <c r="AB70" s="434">
        <v>-12414</v>
      </c>
      <c r="AC70" s="434">
        <v>483063</v>
      </c>
      <c r="AD70" s="434">
        <v>67658</v>
      </c>
      <c r="AE70" s="434">
        <v>606188</v>
      </c>
      <c r="AF70" s="434">
        <v>0</v>
      </c>
      <c r="AG70" s="434">
        <v>189637</v>
      </c>
      <c r="AH70" s="434">
        <v>80853</v>
      </c>
      <c r="AI70" s="434">
        <v>640176</v>
      </c>
      <c r="AJ70" s="434">
        <v>130611</v>
      </c>
      <c r="AK70" s="435">
        <v>0</v>
      </c>
      <c r="AL70" s="434">
        <v>1821728</v>
      </c>
      <c r="AM70" s="434">
        <v>43683</v>
      </c>
    </row>
    <row r="71" spans="1:39" s="203" customFormat="1" ht="12" x14ac:dyDescent="0.2">
      <c r="A71" s="205">
        <v>17</v>
      </c>
      <c r="B71" s="240">
        <v>41033</v>
      </c>
      <c r="C71" s="265" t="s">
        <v>172</v>
      </c>
      <c r="D71" s="432">
        <f t="shared" si="8"/>
        <v>10342794</v>
      </c>
      <c r="E71" s="434">
        <v>4892238</v>
      </c>
      <c r="F71" s="434">
        <v>1506617</v>
      </c>
      <c r="G71" s="434">
        <v>837105</v>
      </c>
      <c r="H71" s="434">
        <v>0</v>
      </c>
      <c r="I71" s="434">
        <v>2328409</v>
      </c>
      <c r="J71" s="434">
        <v>0</v>
      </c>
      <c r="K71" s="434">
        <v>1011680</v>
      </c>
      <c r="L71" s="434"/>
      <c r="M71" s="434">
        <v>564433</v>
      </c>
      <c r="N71" s="434">
        <v>1341034</v>
      </c>
      <c r="O71" s="434">
        <v>205000</v>
      </c>
      <c r="P71" s="432">
        <f t="shared" si="2"/>
        <v>7977211</v>
      </c>
      <c r="Q71" s="434">
        <v>2864595</v>
      </c>
      <c r="R71" s="434">
        <v>2301591</v>
      </c>
      <c r="S71" s="434">
        <v>0</v>
      </c>
      <c r="T71" s="434">
        <v>0</v>
      </c>
      <c r="U71" s="434">
        <v>0</v>
      </c>
      <c r="V71" s="434">
        <v>101156</v>
      </c>
      <c r="W71" s="434">
        <v>1965867</v>
      </c>
      <c r="X71" s="434">
        <v>162195</v>
      </c>
      <c r="Y71" s="434">
        <v>69640</v>
      </c>
      <c r="Z71" s="434">
        <v>522156</v>
      </c>
      <c r="AA71" s="434">
        <v>0</v>
      </c>
      <c r="AB71" s="434">
        <v>-9989</v>
      </c>
      <c r="AC71" s="434">
        <v>1993193</v>
      </c>
      <c r="AD71" s="434">
        <v>139382</v>
      </c>
      <c r="AE71" s="434">
        <v>2320704</v>
      </c>
      <c r="AF71" s="434">
        <v>1100</v>
      </c>
      <c r="AG71" s="434">
        <v>338038</v>
      </c>
      <c r="AH71" s="434">
        <v>551222</v>
      </c>
      <c r="AI71" s="434">
        <v>234012</v>
      </c>
      <c r="AJ71" s="434">
        <v>324930</v>
      </c>
      <c r="AK71" s="435">
        <v>0</v>
      </c>
      <c r="AL71" s="434">
        <v>2049513</v>
      </c>
      <c r="AM71" s="434">
        <v>25117</v>
      </c>
    </row>
    <row r="72" spans="1:39" s="203" customFormat="1" ht="12" x14ac:dyDescent="0.2">
      <c r="A72" s="205">
        <v>18</v>
      </c>
      <c r="B72" s="240">
        <v>41088</v>
      </c>
      <c r="C72" s="265" t="s">
        <v>173</v>
      </c>
      <c r="D72" s="432">
        <f t="shared" si="8"/>
        <v>10754004</v>
      </c>
      <c r="E72" s="434">
        <v>8031044</v>
      </c>
      <c r="F72" s="434">
        <v>2273761</v>
      </c>
      <c r="G72" s="434">
        <v>1379731</v>
      </c>
      <c r="H72" s="434">
        <v>0</v>
      </c>
      <c r="I72" s="434">
        <v>1741769</v>
      </c>
      <c r="J72" s="434">
        <v>0</v>
      </c>
      <c r="K72" s="434">
        <v>301300</v>
      </c>
      <c r="L72" s="434"/>
      <c r="M72" s="434">
        <v>163020</v>
      </c>
      <c r="N72" s="434">
        <v>516871</v>
      </c>
      <c r="O72" s="434">
        <v>0</v>
      </c>
      <c r="P72" s="432">
        <f t="shared" si="2"/>
        <v>10466245</v>
      </c>
      <c r="Q72" s="434">
        <v>2128564</v>
      </c>
      <c r="R72" s="434">
        <v>2961187</v>
      </c>
      <c r="S72" s="434">
        <v>0</v>
      </c>
      <c r="T72" s="434">
        <v>0</v>
      </c>
      <c r="U72" s="434">
        <v>0</v>
      </c>
      <c r="V72" s="434">
        <v>36618</v>
      </c>
      <c r="W72" s="434">
        <v>838199</v>
      </c>
      <c r="X72" s="434">
        <v>194369</v>
      </c>
      <c r="Y72" s="434">
        <v>382525</v>
      </c>
      <c r="Z72" s="434">
        <v>3924783</v>
      </c>
      <c r="AA72" s="434">
        <v>0</v>
      </c>
      <c r="AB72" s="434">
        <v>0</v>
      </c>
      <c r="AC72" s="434">
        <v>1145923</v>
      </c>
      <c r="AD72" s="434">
        <v>200461</v>
      </c>
      <c r="AE72" s="434">
        <v>3095410</v>
      </c>
      <c r="AF72" s="434">
        <v>0</v>
      </c>
      <c r="AG72" s="434">
        <v>1614340</v>
      </c>
      <c r="AH72" s="434">
        <v>445158</v>
      </c>
      <c r="AI72" s="434">
        <v>2105013</v>
      </c>
      <c r="AJ72" s="434">
        <v>485834</v>
      </c>
      <c r="AK72" s="435">
        <v>0</v>
      </c>
      <c r="AL72" s="434">
        <v>1348839</v>
      </c>
      <c r="AM72" s="434">
        <v>25267</v>
      </c>
    </row>
    <row r="73" spans="1:39" s="203" customFormat="1" ht="12" x14ac:dyDescent="0.2">
      <c r="A73" s="205">
        <v>19</v>
      </c>
      <c r="B73" s="240">
        <v>41113</v>
      </c>
      <c r="C73" s="265" t="s">
        <v>174</v>
      </c>
      <c r="D73" s="432">
        <f t="shared" si="8"/>
        <v>7210879</v>
      </c>
      <c r="E73" s="434">
        <v>2453581</v>
      </c>
      <c r="F73" s="434">
        <v>107315</v>
      </c>
      <c r="G73" s="434">
        <v>1132997</v>
      </c>
      <c r="H73" s="434">
        <v>0</v>
      </c>
      <c r="I73" s="434">
        <v>1036109</v>
      </c>
      <c r="J73" s="434">
        <v>123000</v>
      </c>
      <c r="K73" s="434">
        <v>469630</v>
      </c>
      <c r="L73" s="434"/>
      <c r="M73" s="434">
        <v>3128559</v>
      </c>
      <c r="N73" s="434">
        <v>0</v>
      </c>
      <c r="O73" s="434">
        <v>0</v>
      </c>
      <c r="P73" s="432">
        <f t="shared" si="2"/>
        <v>6359924</v>
      </c>
      <c r="Q73" s="434">
        <v>1432001</v>
      </c>
      <c r="R73" s="434">
        <v>1383825</v>
      </c>
      <c r="S73" s="434">
        <v>0</v>
      </c>
      <c r="T73" s="434">
        <v>0</v>
      </c>
      <c r="U73" s="434">
        <v>0</v>
      </c>
      <c r="V73" s="434">
        <v>6841</v>
      </c>
      <c r="W73" s="434">
        <v>0</v>
      </c>
      <c r="X73" s="434">
        <v>107970</v>
      </c>
      <c r="Y73" s="434">
        <v>74090</v>
      </c>
      <c r="Z73" s="434">
        <v>3362351</v>
      </c>
      <c r="AA73" s="434">
        <v>0</v>
      </c>
      <c r="AB73" s="434">
        <v>-7154</v>
      </c>
      <c r="AC73" s="434">
        <v>959257</v>
      </c>
      <c r="AD73" s="434">
        <v>134586</v>
      </c>
      <c r="AE73" s="434">
        <v>1068644</v>
      </c>
      <c r="AF73" s="434">
        <v>3797</v>
      </c>
      <c r="AG73" s="434">
        <v>703432</v>
      </c>
      <c r="AH73" s="434">
        <v>285259</v>
      </c>
      <c r="AI73" s="434">
        <v>2585663</v>
      </c>
      <c r="AJ73" s="434">
        <v>318154</v>
      </c>
      <c r="AK73" s="435">
        <v>0</v>
      </c>
      <c r="AL73" s="434">
        <v>208283</v>
      </c>
      <c r="AM73" s="434">
        <v>92849</v>
      </c>
    </row>
    <row r="74" spans="1:39" s="203" customFormat="1" ht="12" x14ac:dyDescent="0.2">
      <c r="A74" s="205">
        <v>20</v>
      </c>
      <c r="B74" s="240">
        <v>41177</v>
      </c>
      <c r="C74" s="265" t="s">
        <v>175</v>
      </c>
      <c r="D74" s="432">
        <f t="shared" si="8"/>
        <v>9248008</v>
      </c>
      <c r="E74" s="434">
        <v>4660159</v>
      </c>
      <c r="F74" s="434">
        <v>891054</v>
      </c>
      <c r="G74" s="434">
        <v>1337247</v>
      </c>
      <c r="H74" s="434">
        <v>0</v>
      </c>
      <c r="I74" s="434">
        <v>3264848</v>
      </c>
      <c r="J74" s="434">
        <v>0</v>
      </c>
      <c r="K74" s="434">
        <v>965540</v>
      </c>
      <c r="L74" s="434"/>
      <c r="M74" s="434">
        <v>128641</v>
      </c>
      <c r="N74" s="434">
        <v>228820</v>
      </c>
      <c r="O74" s="434">
        <v>0</v>
      </c>
      <c r="P74" s="432">
        <f t="shared" si="2"/>
        <v>7950934</v>
      </c>
      <c r="Q74" s="434">
        <v>3416197</v>
      </c>
      <c r="R74" s="434">
        <v>2609728</v>
      </c>
      <c r="S74" s="434">
        <v>0</v>
      </c>
      <c r="T74" s="434">
        <v>0</v>
      </c>
      <c r="U74" s="434">
        <v>0</v>
      </c>
      <c r="V74" s="434">
        <v>0</v>
      </c>
      <c r="W74" s="434">
        <v>76258</v>
      </c>
      <c r="X74" s="434">
        <v>186406</v>
      </c>
      <c r="Y74" s="434">
        <v>142000</v>
      </c>
      <c r="Z74" s="434">
        <v>1549498</v>
      </c>
      <c r="AA74" s="434">
        <v>0</v>
      </c>
      <c r="AB74" s="434">
        <v>-29153</v>
      </c>
      <c r="AC74" s="434">
        <v>1431671</v>
      </c>
      <c r="AD74" s="434">
        <v>207704</v>
      </c>
      <c r="AE74" s="434">
        <v>3380849</v>
      </c>
      <c r="AF74" s="434">
        <v>15652</v>
      </c>
      <c r="AG74" s="434">
        <v>863492</v>
      </c>
      <c r="AH74" s="434">
        <v>485882</v>
      </c>
      <c r="AI74" s="434">
        <v>457729</v>
      </c>
      <c r="AJ74" s="434">
        <v>0</v>
      </c>
      <c r="AK74" s="435">
        <v>0</v>
      </c>
      <c r="AL74" s="434">
        <v>1107955</v>
      </c>
      <c r="AM74" s="434">
        <v>0</v>
      </c>
    </row>
    <row r="75" spans="1:39" s="203" customFormat="1" ht="12" x14ac:dyDescent="0.2">
      <c r="A75" s="205">
        <v>21</v>
      </c>
      <c r="B75" s="240">
        <v>42472</v>
      </c>
      <c r="C75" s="265" t="s">
        <v>176</v>
      </c>
      <c r="D75" s="432">
        <f t="shared" si="8"/>
        <v>3033573</v>
      </c>
      <c r="E75" s="434">
        <v>1585221</v>
      </c>
      <c r="F75" s="434">
        <v>58450</v>
      </c>
      <c r="G75" s="434">
        <v>1181048</v>
      </c>
      <c r="H75" s="434">
        <v>0</v>
      </c>
      <c r="I75" s="434">
        <v>914170</v>
      </c>
      <c r="J75" s="434">
        <v>0</v>
      </c>
      <c r="K75" s="434">
        <v>111960</v>
      </c>
      <c r="L75" s="434"/>
      <c r="M75" s="434">
        <v>422222</v>
      </c>
      <c r="N75" s="434">
        <v>0</v>
      </c>
      <c r="O75" s="434">
        <v>0</v>
      </c>
      <c r="P75" s="432">
        <f t="shared" si="2"/>
        <v>2832613</v>
      </c>
      <c r="Q75" s="434">
        <v>1185984</v>
      </c>
      <c r="R75" s="434">
        <v>440490</v>
      </c>
      <c r="S75" s="434">
        <v>0</v>
      </c>
      <c r="T75" s="434">
        <v>0</v>
      </c>
      <c r="U75" s="434">
        <v>0</v>
      </c>
      <c r="V75" s="434">
        <v>0</v>
      </c>
      <c r="W75" s="434">
        <v>0</v>
      </c>
      <c r="X75" s="434">
        <v>17964</v>
      </c>
      <c r="Y75" s="434">
        <v>15000</v>
      </c>
      <c r="Z75" s="434">
        <v>1174343</v>
      </c>
      <c r="AA75" s="434">
        <v>0</v>
      </c>
      <c r="AB75" s="434">
        <v>-1168</v>
      </c>
      <c r="AC75" s="434">
        <v>596111</v>
      </c>
      <c r="AD75" s="434">
        <v>12826</v>
      </c>
      <c r="AE75" s="434">
        <v>901646</v>
      </c>
      <c r="AF75" s="434">
        <v>0</v>
      </c>
      <c r="AG75" s="434">
        <v>34807</v>
      </c>
      <c r="AH75" s="434">
        <v>168933</v>
      </c>
      <c r="AI75" s="434">
        <v>502451</v>
      </c>
      <c r="AJ75" s="434">
        <v>22563</v>
      </c>
      <c r="AK75" s="435">
        <v>0</v>
      </c>
      <c r="AL75" s="434">
        <v>584276</v>
      </c>
      <c r="AM75" s="434">
        <v>9000</v>
      </c>
    </row>
    <row r="76" spans="1:39" s="203" customFormat="1" ht="12" x14ac:dyDescent="0.2">
      <c r="A76" s="205">
        <v>22</v>
      </c>
      <c r="B76" s="240">
        <v>41248</v>
      </c>
      <c r="C76" s="265" t="s">
        <v>177</v>
      </c>
      <c r="D76" s="432">
        <f t="shared" si="8"/>
        <v>6145020</v>
      </c>
      <c r="E76" s="434">
        <v>2562320</v>
      </c>
      <c r="F76" s="434">
        <v>174079</v>
      </c>
      <c r="G76" s="434">
        <v>747183</v>
      </c>
      <c r="H76" s="434">
        <v>0</v>
      </c>
      <c r="I76" s="434">
        <v>1112903</v>
      </c>
      <c r="J76" s="434">
        <v>0</v>
      </c>
      <c r="K76" s="434">
        <v>812140</v>
      </c>
      <c r="L76" s="434"/>
      <c r="M76" s="434">
        <v>175194</v>
      </c>
      <c r="N76" s="434">
        <v>1367463</v>
      </c>
      <c r="O76" s="434">
        <v>115000</v>
      </c>
      <c r="P76" s="432">
        <f t="shared" si="2"/>
        <v>5841463</v>
      </c>
      <c r="Q76" s="434">
        <v>1343815</v>
      </c>
      <c r="R76" s="434">
        <v>2577085</v>
      </c>
      <c r="S76" s="434">
        <v>0</v>
      </c>
      <c r="T76" s="434">
        <v>0</v>
      </c>
      <c r="U76" s="434">
        <v>0</v>
      </c>
      <c r="V76" s="434">
        <v>80098</v>
      </c>
      <c r="W76" s="434">
        <v>1368033</v>
      </c>
      <c r="X76" s="434">
        <v>143975</v>
      </c>
      <c r="Y76" s="434">
        <v>0</v>
      </c>
      <c r="Z76" s="434">
        <v>372057</v>
      </c>
      <c r="AA76" s="434">
        <v>0</v>
      </c>
      <c r="AB76" s="434">
        <v>-43600</v>
      </c>
      <c r="AC76" s="434">
        <v>758291</v>
      </c>
      <c r="AD76" s="434">
        <v>0</v>
      </c>
      <c r="AE76" s="434">
        <v>1080439</v>
      </c>
      <c r="AF76" s="434">
        <v>15119</v>
      </c>
      <c r="AG76" s="434">
        <v>391749</v>
      </c>
      <c r="AH76" s="434">
        <v>261511</v>
      </c>
      <c r="AI76" s="434">
        <v>227472</v>
      </c>
      <c r="AJ76" s="434">
        <v>824950</v>
      </c>
      <c r="AK76" s="435">
        <v>0</v>
      </c>
      <c r="AL76" s="434">
        <v>1740689</v>
      </c>
      <c r="AM76" s="434">
        <v>541243</v>
      </c>
    </row>
    <row r="77" spans="1:39" s="203" customFormat="1" ht="12" x14ac:dyDescent="0.2">
      <c r="A77" s="205">
        <v>23</v>
      </c>
      <c r="B77" s="240">
        <v>41284</v>
      </c>
      <c r="C77" s="265" t="s">
        <v>178</v>
      </c>
      <c r="D77" s="432">
        <f t="shared" si="8"/>
        <v>6055925</v>
      </c>
      <c r="E77" s="434">
        <v>2888198</v>
      </c>
      <c r="F77" s="434">
        <v>140736</v>
      </c>
      <c r="G77" s="434">
        <v>1294447</v>
      </c>
      <c r="H77" s="434">
        <v>0</v>
      </c>
      <c r="I77" s="434">
        <v>1447631</v>
      </c>
      <c r="J77" s="434">
        <v>0</v>
      </c>
      <c r="K77" s="434">
        <v>874260</v>
      </c>
      <c r="L77" s="434"/>
      <c r="M77" s="434">
        <v>206025</v>
      </c>
      <c r="N77" s="434">
        <v>639811</v>
      </c>
      <c r="O77" s="434">
        <v>0</v>
      </c>
      <c r="P77" s="432">
        <f t="shared" si="2"/>
        <v>5983158</v>
      </c>
      <c r="Q77" s="434">
        <v>1724315</v>
      </c>
      <c r="R77" s="434">
        <v>2694733</v>
      </c>
      <c r="S77" s="434">
        <v>0</v>
      </c>
      <c r="T77" s="434">
        <v>0</v>
      </c>
      <c r="U77" s="434">
        <v>0</v>
      </c>
      <c r="V77" s="434">
        <v>0</v>
      </c>
      <c r="W77" s="434">
        <v>430280</v>
      </c>
      <c r="X77" s="434">
        <v>109436</v>
      </c>
      <c r="Y77" s="434">
        <v>203100</v>
      </c>
      <c r="Z77" s="434">
        <v>845812</v>
      </c>
      <c r="AA77" s="434">
        <v>0</v>
      </c>
      <c r="AB77" s="434">
        <v>-24518</v>
      </c>
      <c r="AC77" s="434">
        <v>1923221</v>
      </c>
      <c r="AD77" s="434">
        <v>13497</v>
      </c>
      <c r="AE77" s="434">
        <v>1699221</v>
      </c>
      <c r="AF77" s="434">
        <v>0</v>
      </c>
      <c r="AG77" s="434">
        <v>751833</v>
      </c>
      <c r="AH77" s="434">
        <v>314737</v>
      </c>
      <c r="AI77" s="434">
        <v>374792</v>
      </c>
      <c r="AJ77" s="434">
        <v>83787</v>
      </c>
      <c r="AK77" s="435">
        <v>0</v>
      </c>
      <c r="AL77" s="434">
        <v>792712</v>
      </c>
      <c r="AM77" s="434">
        <v>29358</v>
      </c>
    </row>
    <row r="78" spans="1:39" s="203" customFormat="1" ht="12" x14ac:dyDescent="0.2">
      <c r="A78" s="205">
        <v>24</v>
      </c>
      <c r="B78" s="240">
        <v>41346</v>
      </c>
      <c r="C78" s="265" t="s">
        <v>179</v>
      </c>
      <c r="D78" s="432">
        <f t="shared" si="8"/>
        <v>10157811</v>
      </c>
      <c r="E78" s="434">
        <v>2365682</v>
      </c>
      <c r="F78" s="434">
        <v>96369</v>
      </c>
      <c r="G78" s="434">
        <v>1563194</v>
      </c>
      <c r="H78" s="434">
        <v>0</v>
      </c>
      <c r="I78" s="434">
        <v>1176215</v>
      </c>
      <c r="J78" s="434">
        <v>260000</v>
      </c>
      <c r="K78" s="434">
        <v>184060</v>
      </c>
      <c r="L78" s="434"/>
      <c r="M78" s="434">
        <v>1312778</v>
      </c>
      <c r="N78" s="434">
        <v>4608032</v>
      </c>
      <c r="O78" s="434">
        <v>251044</v>
      </c>
      <c r="P78" s="432">
        <f t="shared" si="2"/>
        <v>9445093</v>
      </c>
      <c r="Q78" s="434">
        <v>1690515</v>
      </c>
      <c r="R78" s="434">
        <v>1207622</v>
      </c>
      <c r="S78" s="434">
        <v>3102</v>
      </c>
      <c r="T78" s="434">
        <v>0</v>
      </c>
      <c r="U78" s="434">
        <v>0</v>
      </c>
      <c r="V78" s="434">
        <v>20386</v>
      </c>
      <c r="W78" s="434">
        <v>5123034</v>
      </c>
      <c r="X78" s="434">
        <v>137046</v>
      </c>
      <c r="Y78" s="434">
        <v>3240</v>
      </c>
      <c r="Z78" s="434">
        <v>1397774</v>
      </c>
      <c r="AA78" s="434">
        <v>0</v>
      </c>
      <c r="AB78" s="434">
        <v>-137626</v>
      </c>
      <c r="AC78" s="434">
        <v>1208419</v>
      </c>
      <c r="AD78" s="434">
        <v>489587</v>
      </c>
      <c r="AE78" s="434">
        <v>860922</v>
      </c>
      <c r="AF78" s="434">
        <v>0</v>
      </c>
      <c r="AG78" s="434">
        <v>108387</v>
      </c>
      <c r="AH78" s="434">
        <v>387582</v>
      </c>
      <c r="AI78" s="434">
        <v>248135</v>
      </c>
      <c r="AJ78" s="434">
        <v>158674</v>
      </c>
      <c r="AK78" s="435">
        <v>0</v>
      </c>
      <c r="AL78" s="434">
        <v>5788785</v>
      </c>
      <c r="AM78" s="434">
        <v>194602</v>
      </c>
    </row>
    <row r="79" spans="1:39" s="203" customFormat="1" ht="12" x14ac:dyDescent="0.2">
      <c r="A79" s="205">
        <v>25</v>
      </c>
      <c r="B79" s="240">
        <v>41382</v>
      </c>
      <c r="C79" s="265" t="s">
        <v>180</v>
      </c>
      <c r="D79" s="432">
        <f t="shared" si="8"/>
        <v>5892090</v>
      </c>
      <c r="E79" s="434">
        <v>2494931</v>
      </c>
      <c r="F79" s="434">
        <v>251723</v>
      </c>
      <c r="G79" s="434">
        <v>985857</v>
      </c>
      <c r="H79" s="434">
        <v>0</v>
      </c>
      <c r="I79" s="434">
        <v>1527933</v>
      </c>
      <c r="J79" s="434">
        <v>0</v>
      </c>
      <c r="K79" s="434">
        <v>535440</v>
      </c>
      <c r="L79" s="434"/>
      <c r="M79" s="434">
        <v>1018452</v>
      </c>
      <c r="N79" s="434">
        <v>315334</v>
      </c>
      <c r="O79" s="434">
        <v>0</v>
      </c>
      <c r="P79" s="432">
        <f t="shared" ref="P79:P142" si="11">IF(SUM(Q79:AB79)=SUM(AC79:AM79),SUM(Q79:AB79),"  EROARE ART/CAP")</f>
        <v>4799960</v>
      </c>
      <c r="Q79" s="434">
        <v>1707839</v>
      </c>
      <c r="R79" s="434">
        <v>914030</v>
      </c>
      <c r="S79" s="434">
        <v>0</v>
      </c>
      <c r="T79" s="434">
        <v>0</v>
      </c>
      <c r="U79" s="434">
        <v>0</v>
      </c>
      <c r="V79" s="434">
        <v>1334</v>
      </c>
      <c r="W79" s="434">
        <v>0</v>
      </c>
      <c r="X79" s="434">
        <v>281113</v>
      </c>
      <c r="Y79" s="434">
        <v>16500</v>
      </c>
      <c r="Z79" s="434">
        <v>1893924</v>
      </c>
      <c r="AA79" s="434">
        <v>0</v>
      </c>
      <c r="AB79" s="434">
        <v>-14780</v>
      </c>
      <c r="AC79" s="434">
        <v>836695</v>
      </c>
      <c r="AD79" s="434">
        <v>75605</v>
      </c>
      <c r="AE79" s="434">
        <v>1313889</v>
      </c>
      <c r="AF79" s="434">
        <v>9990</v>
      </c>
      <c r="AG79" s="434">
        <v>86017</v>
      </c>
      <c r="AH79" s="434">
        <v>314591</v>
      </c>
      <c r="AI79" s="434">
        <v>1905952</v>
      </c>
      <c r="AJ79" s="434">
        <v>123306</v>
      </c>
      <c r="AK79" s="435">
        <v>0</v>
      </c>
      <c r="AL79" s="434">
        <v>37108</v>
      </c>
      <c r="AM79" s="434">
        <v>96807</v>
      </c>
    </row>
    <row r="80" spans="1:39" s="203" customFormat="1" ht="12" x14ac:dyDescent="0.2">
      <c r="A80" s="205">
        <v>26</v>
      </c>
      <c r="B80" s="240">
        <v>41417</v>
      </c>
      <c r="C80" s="265" t="s">
        <v>181</v>
      </c>
      <c r="D80" s="432">
        <f t="shared" si="8"/>
        <v>6820577</v>
      </c>
      <c r="E80" s="434">
        <v>2343219</v>
      </c>
      <c r="F80" s="434">
        <v>427277</v>
      </c>
      <c r="G80" s="434">
        <v>983582</v>
      </c>
      <c r="H80" s="434">
        <v>0</v>
      </c>
      <c r="I80" s="434">
        <v>1008856</v>
      </c>
      <c r="J80" s="434">
        <v>0</v>
      </c>
      <c r="K80" s="434">
        <v>1627440</v>
      </c>
      <c r="L80" s="434"/>
      <c r="M80" s="434">
        <v>77872</v>
      </c>
      <c r="N80" s="434">
        <v>1466956</v>
      </c>
      <c r="O80" s="434">
        <v>296234</v>
      </c>
      <c r="P80" s="432">
        <f t="shared" si="11"/>
        <v>5768586</v>
      </c>
      <c r="Q80" s="434">
        <v>1447459</v>
      </c>
      <c r="R80" s="434">
        <v>2239306</v>
      </c>
      <c r="S80" s="434">
        <v>0</v>
      </c>
      <c r="T80" s="434">
        <v>0</v>
      </c>
      <c r="U80" s="434">
        <v>0</v>
      </c>
      <c r="V80" s="434">
        <v>10705</v>
      </c>
      <c r="W80" s="434">
        <v>0</v>
      </c>
      <c r="X80" s="434">
        <v>45473</v>
      </c>
      <c r="Y80" s="434">
        <v>0</v>
      </c>
      <c r="Z80" s="434">
        <v>2025643</v>
      </c>
      <c r="AA80" s="434">
        <v>0</v>
      </c>
      <c r="AB80" s="434">
        <v>0</v>
      </c>
      <c r="AC80" s="434">
        <v>1025250</v>
      </c>
      <c r="AD80" s="434">
        <v>231947</v>
      </c>
      <c r="AE80" s="434">
        <v>817855</v>
      </c>
      <c r="AF80" s="434">
        <v>14140</v>
      </c>
      <c r="AG80" s="434">
        <v>705786</v>
      </c>
      <c r="AH80" s="434">
        <v>249823</v>
      </c>
      <c r="AI80" s="434">
        <v>417194</v>
      </c>
      <c r="AJ80" s="434">
        <v>180280</v>
      </c>
      <c r="AK80" s="435">
        <v>0</v>
      </c>
      <c r="AL80" s="434">
        <v>1708333</v>
      </c>
      <c r="AM80" s="434">
        <v>417978</v>
      </c>
    </row>
    <row r="81" spans="1:39" s="203" customFormat="1" ht="12" x14ac:dyDescent="0.2">
      <c r="A81" s="205">
        <v>27</v>
      </c>
      <c r="B81" s="240">
        <v>41471</v>
      </c>
      <c r="C81" s="265" t="s">
        <v>182</v>
      </c>
      <c r="D81" s="432">
        <f t="shared" si="8"/>
        <v>8374744</v>
      </c>
      <c r="E81" s="434">
        <v>3999169</v>
      </c>
      <c r="F81" s="434">
        <v>556688</v>
      </c>
      <c r="G81" s="434">
        <v>1225945</v>
      </c>
      <c r="H81" s="434">
        <v>0</v>
      </c>
      <c r="I81" s="434">
        <v>2105281</v>
      </c>
      <c r="J81" s="434">
        <v>80000</v>
      </c>
      <c r="K81" s="434">
        <v>1409930</v>
      </c>
      <c r="L81" s="434"/>
      <c r="M81" s="434">
        <v>177892</v>
      </c>
      <c r="N81" s="434">
        <v>602472</v>
      </c>
      <c r="O81" s="434">
        <v>0</v>
      </c>
      <c r="P81" s="432">
        <f t="shared" si="11"/>
        <v>6737100</v>
      </c>
      <c r="Q81" s="434">
        <v>2446500</v>
      </c>
      <c r="R81" s="434">
        <v>1775170</v>
      </c>
      <c r="S81" s="434">
        <v>2961</v>
      </c>
      <c r="T81" s="434">
        <v>0</v>
      </c>
      <c r="U81" s="434">
        <v>0</v>
      </c>
      <c r="V81" s="434">
        <v>13320</v>
      </c>
      <c r="W81" s="434">
        <v>779232</v>
      </c>
      <c r="X81" s="434">
        <v>263360</v>
      </c>
      <c r="Y81" s="434">
        <v>30700</v>
      </c>
      <c r="Z81" s="434">
        <v>931940</v>
      </c>
      <c r="AA81" s="434">
        <v>493917</v>
      </c>
      <c r="AB81" s="434">
        <v>0</v>
      </c>
      <c r="AC81" s="434">
        <v>1291701</v>
      </c>
      <c r="AD81" s="434">
        <v>392948</v>
      </c>
      <c r="AE81" s="434">
        <v>1991057</v>
      </c>
      <c r="AF81" s="434">
        <v>0</v>
      </c>
      <c r="AG81" s="434">
        <v>201674</v>
      </c>
      <c r="AH81" s="434">
        <v>322161</v>
      </c>
      <c r="AI81" s="434">
        <v>1464185</v>
      </c>
      <c r="AJ81" s="434">
        <v>211240</v>
      </c>
      <c r="AK81" s="435">
        <v>0</v>
      </c>
      <c r="AL81" s="434">
        <v>803389</v>
      </c>
      <c r="AM81" s="434">
        <v>58745</v>
      </c>
    </row>
    <row r="82" spans="1:39" s="203" customFormat="1" ht="12" x14ac:dyDescent="0.2">
      <c r="A82" s="205">
        <v>28</v>
      </c>
      <c r="B82" s="240">
        <v>41541</v>
      </c>
      <c r="C82" s="265" t="s">
        <v>183</v>
      </c>
      <c r="D82" s="432">
        <f t="shared" si="8"/>
        <v>3998462</v>
      </c>
      <c r="E82" s="434">
        <v>1916989</v>
      </c>
      <c r="F82" s="434">
        <v>130659</v>
      </c>
      <c r="G82" s="434">
        <v>1389563</v>
      </c>
      <c r="H82" s="434">
        <v>0</v>
      </c>
      <c r="I82" s="434">
        <v>1442526</v>
      </c>
      <c r="J82" s="434">
        <v>0</v>
      </c>
      <c r="K82" s="434">
        <v>525550</v>
      </c>
      <c r="L82" s="434"/>
      <c r="M82" s="434">
        <v>29797</v>
      </c>
      <c r="N82" s="434">
        <v>83600</v>
      </c>
      <c r="O82" s="434">
        <v>0</v>
      </c>
      <c r="P82" s="432">
        <f t="shared" si="11"/>
        <v>4828816</v>
      </c>
      <c r="Q82" s="434">
        <v>1745863</v>
      </c>
      <c r="R82" s="434">
        <v>805976</v>
      </c>
      <c r="S82" s="434">
        <v>0</v>
      </c>
      <c r="T82" s="434">
        <v>0</v>
      </c>
      <c r="U82" s="434">
        <v>0</v>
      </c>
      <c r="V82" s="434">
        <v>0</v>
      </c>
      <c r="W82" s="434">
        <v>56743</v>
      </c>
      <c r="X82" s="434">
        <v>137162</v>
      </c>
      <c r="Y82" s="434">
        <v>0</v>
      </c>
      <c r="Z82" s="434">
        <v>2083072</v>
      </c>
      <c r="AA82" s="434">
        <v>0</v>
      </c>
      <c r="AB82" s="434">
        <v>0</v>
      </c>
      <c r="AC82" s="434">
        <v>780043</v>
      </c>
      <c r="AD82" s="434">
        <v>124221</v>
      </c>
      <c r="AE82" s="434">
        <v>1193773</v>
      </c>
      <c r="AF82" s="434">
        <v>0</v>
      </c>
      <c r="AG82" s="434">
        <v>346550</v>
      </c>
      <c r="AH82" s="434">
        <v>377619</v>
      </c>
      <c r="AI82" s="434">
        <v>204156</v>
      </c>
      <c r="AJ82" s="434">
        <v>118450</v>
      </c>
      <c r="AK82" s="435">
        <v>0</v>
      </c>
      <c r="AL82" s="434">
        <v>1600932</v>
      </c>
      <c r="AM82" s="434">
        <v>83072</v>
      </c>
    </row>
    <row r="83" spans="1:39" s="203" customFormat="1" ht="12" x14ac:dyDescent="0.2">
      <c r="A83" s="205">
        <v>29</v>
      </c>
      <c r="B83" s="240">
        <v>41578</v>
      </c>
      <c r="C83" s="265" t="s">
        <v>184</v>
      </c>
      <c r="D83" s="432">
        <f t="shared" si="8"/>
        <v>4726973</v>
      </c>
      <c r="E83" s="434">
        <v>2603583</v>
      </c>
      <c r="F83" s="434">
        <v>135463</v>
      </c>
      <c r="G83" s="434">
        <v>739954</v>
      </c>
      <c r="H83" s="434">
        <v>0</v>
      </c>
      <c r="I83" s="434">
        <v>1278634</v>
      </c>
      <c r="J83" s="434">
        <v>100000</v>
      </c>
      <c r="K83" s="434">
        <v>667470</v>
      </c>
      <c r="L83" s="434"/>
      <c r="M83" s="434">
        <v>19026</v>
      </c>
      <c r="N83" s="434">
        <v>0</v>
      </c>
      <c r="O83" s="434">
        <v>58260</v>
      </c>
      <c r="P83" s="432">
        <f t="shared" si="11"/>
        <v>4938864</v>
      </c>
      <c r="Q83" s="434">
        <v>1511281</v>
      </c>
      <c r="R83" s="434">
        <v>1281785</v>
      </c>
      <c r="S83" s="434">
        <v>0</v>
      </c>
      <c r="T83" s="434">
        <v>0</v>
      </c>
      <c r="U83" s="434">
        <v>0</v>
      </c>
      <c r="V83" s="434">
        <v>3300</v>
      </c>
      <c r="W83" s="434">
        <v>0</v>
      </c>
      <c r="X83" s="434">
        <v>102296</v>
      </c>
      <c r="Y83" s="434">
        <v>20000</v>
      </c>
      <c r="Z83" s="434">
        <v>2067651</v>
      </c>
      <c r="AA83" s="434">
        <v>0</v>
      </c>
      <c r="AB83" s="434">
        <v>-47449</v>
      </c>
      <c r="AC83" s="434">
        <v>1036109</v>
      </c>
      <c r="AD83" s="434">
        <v>188695</v>
      </c>
      <c r="AE83" s="434">
        <v>1079669</v>
      </c>
      <c r="AF83" s="434">
        <v>16923</v>
      </c>
      <c r="AG83" s="434">
        <v>261584</v>
      </c>
      <c r="AH83" s="434">
        <v>264003</v>
      </c>
      <c r="AI83" s="434">
        <v>217666</v>
      </c>
      <c r="AJ83" s="434">
        <v>173540</v>
      </c>
      <c r="AK83" s="435">
        <v>0</v>
      </c>
      <c r="AL83" s="434">
        <v>1682445</v>
      </c>
      <c r="AM83" s="434">
        <v>18230</v>
      </c>
    </row>
    <row r="84" spans="1:39" s="203" customFormat="1" ht="12" x14ac:dyDescent="0.2">
      <c r="A84" s="205">
        <v>30</v>
      </c>
      <c r="B84" s="240">
        <v>41621</v>
      </c>
      <c r="C84" s="265" t="s">
        <v>185</v>
      </c>
      <c r="D84" s="432">
        <f t="shared" si="8"/>
        <v>5612067</v>
      </c>
      <c r="E84" s="434">
        <v>3339438</v>
      </c>
      <c r="F84" s="434">
        <v>1079405</v>
      </c>
      <c r="G84" s="434">
        <v>880805</v>
      </c>
      <c r="H84" s="434">
        <v>0</v>
      </c>
      <c r="I84" s="434">
        <v>1701871</v>
      </c>
      <c r="J84" s="434">
        <v>150000</v>
      </c>
      <c r="K84" s="434">
        <v>405070</v>
      </c>
      <c r="L84" s="434"/>
      <c r="M84" s="434">
        <v>15688</v>
      </c>
      <c r="N84" s="434">
        <v>0</v>
      </c>
      <c r="O84" s="434">
        <v>0</v>
      </c>
      <c r="P84" s="432">
        <f t="shared" si="11"/>
        <v>3872067</v>
      </c>
      <c r="Q84" s="434">
        <v>1987504</v>
      </c>
      <c r="R84" s="434">
        <v>1517979</v>
      </c>
      <c r="S84" s="434">
        <v>0</v>
      </c>
      <c r="T84" s="434">
        <v>0</v>
      </c>
      <c r="U84" s="434">
        <v>0</v>
      </c>
      <c r="V84" s="434">
        <v>3626</v>
      </c>
      <c r="W84" s="434">
        <v>0</v>
      </c>
      <c r="X84" s="434">
        <v>78189</v>
      </c>
      <c r="Y84" s="434">
        <v>0</v>
      </c>
      <c r="Z84" s="434">
        <v>324956</v>
      </c>
      <c r="AA84" s="434">
        <v>0</v>
      </c>
      <c r="AB84" s="434">
        <v>-40187</v>
      </c>
      <c r="AC84" s="434">
        <v>772559</v>
      </c>
      <c r="AD84" s="434">
        <v>0</v>
      </c>
      <c r="AE84" s="434">
        <v>1563760</v>
      </c>
      <c r="AF84" s="434">
        <v>6175</v>
      </c>
      <c r="AG84" s="434">
        <v>146809</v>
      </c>
      <c r="AH84" s="434">
        <v>386971</v>
      </c>
      <c r="AI84" s="434">
        <v>132635</v>
      </c>
      <c r="AJ84" s="434">
        <v>169007</v>
      </c>
      <c r="AK84" s="435">
        <v>0</v>
      </c>
      <c r="AL84" s="434">
        <v>694151</v>
      </c>
      <c r="AM84" s="434">
        <v>0</v>
      </c>
    </row>
    <row r="85" spans="1:39" s="203" customFormat="1" ht="12" x14ac:dyDescent="0.2">
      <c r="A85" s="205">
        <v>31</v>
      </c>
      <c r="B85" s="240">
        <v>41667</v>
      </c>
      <c r="C85" s="265" t="s">
        <v>186</v>
      </c>
      <c r="D85" s="432">
        <f t="shared" si="8"/>
        <v>14561481</v>
      </c>
      <c r="E85" s="434">
        <v>7662620</v>
      </c>
      <c r="F85" s="434">
        <v>3676172</v>
      </c>
      <c r="G85" s="434">
        <v>1041147</v>
      </c>
      <c r="H85" s="434">
        <v>0</v>
      </c>
      <c r="I85" s="434">
        <v>5560349</v>
      </c>
      <c r="J85" s="434">
        <v>0</v>
      </c>
      <c r="K85" s="434">
        <v>811710</v>
      </c>
      <c r="L85" s="434"/>
      <c r="M85" s="434">
        <v>57823</v>
      </c>
      <c r="N85" s="434">
        <v>113979</v>
      </c>
      <c r="O85" s="434">
        <v>355000</v>
      </c>
      <c r="P85" s="432">
        <f t="shared" si="11"/>
        <v>13959993</v>
      </c>
      <c r="Q85" s="434">
        <v>5729385</v>
      </c>
      <c r="R85" s="434">
        <v>3327932</v>
      </c>
      <c r="S85" s="434">
        <v>0</v>
      </c>
      <c r="T85" s="434">
        <v>0</v>
      </c>
      <c r="U85" s="434">
        <v>0</v>
      </c>
      <c r="V85" s="434">
        <v>87977</v>
      </c>
      <c r="W85" s="434">
        <v>964222</v>
      </c>
      <c r="X85" s="434">
        <v>484637</v>
      </c>
      <c r="Y85" s="434">
        <v>100800</v>
      </c>
      <c r="Z85" s="434">
        <v>3355785</v>
      </c>
      <c r="AA85" s="434">
        <v>0</v>
      </c>
      <c r="AB85" s="434">
        <v>-90745</v>
      </c>
      <c r="AC85" s="434">
        <v>1499013</v>
      </c>
      <c r="AD85" s="434">
        <v>242219</v>
      </c>
      <c r="AE85" s="434">
        <v>5270879</v>
      </c>
      <c r="AF85" s="434">
        <v>0</v>
      </c>
      <c r="AG85" s="434">
        <v>518526</v>
      </c>
      <c r="AH85" s="434">
        <v>800030</v>
      </c>
      <c r="AI85" s="434">
        <v>1048809</v>
      </c>
      <c r="AJ85" s="434">
        <v>4247927</v>
      </c>
      <c r="AK85" s="435">
        <v>0</v>
      </c>
      <c r="AL85" s="434">
        <v>311517</v>
      </c>
      <c r="AM85" s="434">
        <v>21073</v>
      </c>
    </row>
    <row r="86" spans="1:39" s="203" customFormat="1" ht="12" x14ac:dyDescent="0.2">
      <c r="A86" s="205">
        <v>32</v>
      </c>
      <c r="B86" s="240">
        <v>41701</v>
      </c>
      <c r="C86" s="265" t="s">
        <v>187</v>
      </c>
      <c r="D86" s="432">
        <f t="shared" si="8"/>
        <v>5269366</v>
      </c>
      <c r="E86" s="434">
        <v>2139648</v>
      </c>
      <c r="F86" s="434">
        <v>291020</v>
      </c>
      <c r="G86" s="434">
        <v>1304880</v>
      </c>
      <c r="H86" s="434">
        <v>0</v>
      </c>
      <c r="I86" s="434">
        <v>2518589</v>
      </c>
      <c r="J86" s="434">
        <v>0</v>
      </c>
      <c r="K86" s="434">
        <v>577530</v>
      </c>
      <c r="L86" s="434"/>
      <c r="M86" s="434">
        <v>33599</v>
      </c>
      <c r="N86" s="434">
        <v>0</v>
      </c>
      <c r="O86" s="434">
        <v>0</v>
      </c>
      <c r="P86" s="432">
        <f t="shared" si="11"/>
        <v>4490549</v>
      </c>
      <c r="Q86" s="434">
        <v>3159321</v>
      </c>
      <c r="R86" s="434">
        <v>867600</v>
      </c>
      <c r="S86" s="434">
        <v>0</v>
      </c>
      <c r="T86" s="434">
        <v>0</v>
      </c>
      <c r="U86" s="434">
        <v>0</v>
      </c>
      <c r="V86" s="434">
        <v>2498</v>
      </c>
      <c r="W86" s="434">
        <v>0</v>
      </c>
      <c r="X86" s="434">
        <v>129960</v>
      </c>
      <c r="Y86" s="434">
        <v>25000</v>
      </c>
      <c r="Z86" s="434">
        <v>324917</v>
      </c>
      <c r="AA86" s="434">
        <v>0</v>
      </c>
      <c r="AB86" s="434">
        <v>-18747</v>
      </c>
      <c r="AC86" s="434">
        <v>1023010</v>
      </c>
      <c r="AD86" s="434">
        <v>191995</v>
      </c>
      <c r="AE86" s="434">
        <v>2183432</v>
      </c>
      <c r="AF86" s="434">
        <v>0</v>
      </c>
      <c r="AG86" s="434">
        <v>64938</v>
      </c>
      <c r="AH86" s="434">
        <v>666689</v>
      </c>
      <c r="AI86" s="434">
        <v>295354</v>
      </c>
      <c r="AJ86" s="434">
        <v>3850</v>
      </c>
      <c r="AK86" s="435">
        <v>0</v>
      </c>
      <c r="AL86" s="434">
        <v>61281</v>
      </c>
      <c r="AM86" s="434">
        <v>0</v>
      </c>
    </row>
    <row r="87" spans="1:39" s="203" customFormat="1" ht="12" x14ac:dyDescent="0.2">
      <c r="A87" s="205">
        <v>33</v>
      </c>
      <c r="B87" s="240">
        <v>41738</v>
      </c>
      <c r="C87" s="265" t="s">
        <v>188</v>
      </c>
      <c r="D87" s="432">
        <f t="shared" si="8"/>
        <v>4875754</v>
      </c>
      <c r="E87" s="434">
        <v>2066768</v>
      </c>
      <c r="F87" s="434">
        <v>168661</v>
      </c>
      <c r="G87" s="434">
        <v>999909</v>
      </c>
      <c r="H87" s="434">
        <v>0</v>
      </c>
      <c r="I87" s="434">
        <v>1632492</v>
      </c>
      <c r="J87" s="434">
        <v>298560</v>
      </c>
      <c r="K87" s="434">
        <v>770640</v>
      </c>
      <c r="L87" s="434"/>
      <c r="M87" s="434">
        <v>10224</v>
      </c>
      <c r="N87" s="434">
        <v>0</v>
      </c>
      <c r="O87" s="434">
        <v>97070</v>
      </c>
      <c r="P87" s="432">
        <f t="shared" si="11"/>
        <v>5034490</v>
      </c>
      <c r="Q87" s="434">
        <v>1952731</v>
      </c>
      <c r="R87" s="434">
        <v>2524825</v>
      </c>
      <c r="S87" s="434">
        <v>0</v>
      </c>
      <c r="T87" s="434">
        <v>0</v>
      </c>
      <c r="U87" s="434">
        <v>0</v>
      </c>
      <c r="V87" s="434">
        <v>22700</v>
      </c>
      <c r="W87" s="434">
        <v>0</v>
      </c>
      <c r="X87" s="434">
        <v>107493</v>
      </c>
      <c r="Y87" s="434">
        <v>41123</v>
      </c>
      <c r="Z87" s="434">
        <v>390505</v>
      </c>
      <c r="AA87" s="434">
        <v>0</v>
      </c>
      <c r="AB87" s="434">
        <v>-4887</v>
      </c>
      <c r="AC87" s="434">
        <v>1142692</v>
      </c>
      <c r="AD87" s="434">
        <v>149161</v>
      </c>
      <c r="AE87" s="434">
        <v>1957558</v>
      </c>
      <c r="AF87" s="434">
        <v>0</v>
      </c>
      <c r="AG87" s="434">
        <v>298834</v>
      </c>
      <c r="AH87" s="434">
        <v>342907</v>
      </c>
      <c r="AI87" s="434">
        <v>587231</v>
      </c>
      <c r="AJ87" s="434">
        <v>178690</v>
      </c>
      <c r="AK87" s="435">
        <v>0</v>
      </c>
      <c r="AL87" s="434">
        <v>369017</v>
      </c>
      <c r="AM87" s="434">
        <v>8400</v>
      </c>
    </row>
    <row r="88" spans="1:39" s="203" customFormat="1" ht="12" x14ac:dyDescent="0.2">
      <c r="A88" s="205">
        <v>34</v>
      </c>
      <c r="B88" s="240">
        <v>41818</v>
      </c>
      <c r="C88" s="265" t="s">
        <v>189</v>
      </c>
      <c r="D88" s="432">
        <f t="shared" si="8"/>
        <v>7233229</v>
      </c>
      <c r="E88" s="434">
        <v>3413604</v>
      </c>
      <c r="F88" s="434">
        <v>635683</v>
      </c>
      <c r="G88" s="434">
        <v>1275826</v>
      </c>
      <c r="H88" s="434">
        <v>0</v>
      </c>
      <c r="I88" s="434">
        <v>996021</v>
      </c>
      <c r="J88" s="434">
        <v>100000</v>
      </c>
      <c r="K88" s="434">
        <v>726630</v>
      </c>
      <c r="L88" s="434"/>
      <c r="M88" s="434">
        <v>105225</v>
      </c>
      <c r="N88" s="434">
        <v>1816931</v>
      </c>
      <c r="O88" s="434">
        <v>74818</v>
      </c>
      <c r="P88" s="432">
        <f t="shared" si="11"/>
        <v>5614294</v>
      </c>
      <c r="Q88" s="434">
        <v>1384511</v>
      </c>
      <c r="R88" s="434">
        <v>1739199</v>
      </c>
      <c r="S88" s="434">
        <v>95169</v>
      </c>
      <c r="T88" s="434">
        <v>0</v>
      </c>
      <c r="U88" s="434">
        <v>0</v>
      </c>
      <c r="V88" s="434">
        <v>0</v>
      </c>
      <c r="W88" s="434">
        <v>360297</v>
      </c>
      <c r="X88" s="434">
        <v>60877</v>
      </c>
      <c r="Y88" s="434">
        <v>0</v>
      </c>
      <c r="Z88" s="434">
        <v>1310804</v>
      </c>
      <c r="AA88" s="434">
        <v>692837</v>
      </c>
      <c r="AB88" s="434">
        <v>-29400</v>
      </c>
      <c r="AC88" s="434">
        <v>1576282</v>
      </c>
      <c r="AD88" s="434">
        <v>35732</v>
      </c>
      <c r="AE88" s="434">
        <v>1182099</v>
      </c>
      <c r="AF88" s="434">
        <v>0</v>
      </c>
      <c r="AG88" s="434">
        <v>61702</v>
      </c>
      <c r="AH88" s="434">
        <v>143953</v>
      </c>
      <c r="AI88" s="434">
        <v>1722148</v>
      </c>
      <c r="AJ88" s="434">
        <v>445838</v>
      </c>
      <c r="AK88" s="435">
        <v>0</v>
      </c>
      <c r="AL88" s="434">
        <v>446540</v>
      </c>
      <c r="AM88" s="434">
        <v>0</v>
      </c>
    </row>
    <row r="89" spans="1:39" s="203" customFormat="1" ht="12" x14ac:dyDescent="0.2">
      <c r="A89" s="205">
        <v>35</v>
      </c>
      <c r="B89" s="240">
        <v>42464</v>
      </c>
      <c r="C89" s="265" t="s">
        <v>190</v>
      </c>
      <c r="D89" s="432">
        <f t="shared" si="8"/>
        <v>4374415</v>
      </c>
      <c r="E89" s="434">
        <v>2224229</v>
      </c>
      <c r="F89" s="434">
        <v>183206</v>
      </c>
      <c r="G89" s="434">
        <v>1226934</v>
      </c>
      <c r="H89" s="434">
        <v>0</v>
      </c>
      <c r="I89" s="434">
        <v>589691</v>
      </c>
      <c r="J89" s="434">
        <v>0</v>
      </c>
      <c r="K89" s="434">
        <v>684560</v>
      </c>
      <c r="L89" s="434"/>
      <c r="M89" s="434">
        <v>601909</v>
      </c>
      <c r="N89" s="434">
        <v>272018</v>
      </c>
      <c r="O89" s="434">
        <v>2008</v>
      </c>
      <c r="P89" s="432">
        <f t="shared" si="11"/>
        <v>3705418</v>
      </c>
      <c r="Q89" s="434">
        <v>1169449</v>
      </c>
      <c r="R89" s="434">
        <v>1054452</v>
      </c>
      <c r="S89" s="434">
        <v>0</v>
      </c>
      <c r="T89" s="434">
        <v>0</v>
      </c>
      <c r="U89" s="434">
        <v>0</v>
      </c>
      <c r="V89" s="434">
        <v>0</v>
      </c>
      <c r="W89" s="434">
        <v>355056</v>
      </c>
      <c r="X89" s="434">
        <v>115931</v>
      </c>
      <c r="Y89" s="434">
        <v>0</v>
      </c>
      <c r="Z89" s="434">
        <v>1027092</v>
      </c>
      <c r="AA89" s="434">
        <v>0</v>
      </c>
      <c r="AB89" s="434">
        <v>-16562</v>
      </c>
      <c r="AC89" s="434">
        <v>1541659</v>
      </c>
      <c r="AD89" s="434">
        <v>386490</v>
      </c>
      <c r="AE89" s="434">
        <v>476441</v>
      </c>
      <c r="AF89" s="434">
        <v>384726</v>
      </c>
      <c r="AG89" s="434">
        <v>94976</v>
      </c>
      <c r="AH89" s="434">
        <v>141868</v>
      </c>
      <c r="AI89" s="434">
        <v>635452</v>
      </c>
      <c r="AJ89" s="434">
        <v>24325</v>
      </c>
      <c r="AK89" s="435">
        <v>0</v>
      </c>
      <c r="AL89" s="434">
        <v>19481</v>
      </c>
      <c r="AM89" s="434">
        <v>0</v>
      </c>
    </row>
    <row r="90" spans="1:39" s="203" customFormat="1" ht="12" x14ac:dyDescent="0.2">
      <c r="A90" s="205">
        <v>36</v>
      </c>
      <c r="B90" s="240">
        <v>41854</v>
      </c>
      <c r="C90" s="265" t="s">
        <v>191</v>
      </c>
      <c r="D90" s="432">
        <f t="shared" si="8"/>
        <v>6108044</v>
      </c>
      <c r="E90" s="434">
        <v>3227105</v>
      </c>
      <c r="F90" s="434">
        <v>408481</v>
      </c>
      <c r="G90" s="434">
        <v>732606</v>
      </c>
      <c r="H90" s="434">
        <v>0</v>
      </c>
      <c r="I90" s="434">
        <v>1809079</v>
      </c>
      <c r="J90" s="434">
        <v>0</v>
      </c>
      <c r="K90" s="434">
        <v>969740</v>
      </c>
      <c r="L90" s="434"/>
      <c r="M90" s="434">
        <v>43880</v>
      </c>
      <c r="N90" s="434">
        <v>0</v>
      </c>
      <c r="O90" s="434">
        <v>58240</v>
      </c>
      <c r="P90" s="432">
        <f t="shared" si="11"/>
        <v>4669921</v>
      </c>
      <c r="Q90" s="434">
        <v>2238758</v>
      </c>
      <c r="R90" s="434">
        <v>1201425</v>
      </c>
      <c r="S90" s="434">
        <v>0</v>
      </c>
      <c r="T90" s="434">
        <v>0</v>
      </c>
      <c r="U90" s="434">
        <v>0</v>
      </c>
      <c r="V90" s="434">
        <v>9600</v>
      </c>
      <c r="W90" s="434">
        <v>0</v>
      </c>
      <c r="X90" s="434">
        <v>189664</v>
      </c>
      <c r="Y90" s="434">
        <v>35000</v>
      </c>
      <c r="Z90" s="434">
        <v>1003838</v>
      </c>
      <c r="AA90" s="434">
        <v>0</v>
      </c>
      <c r="AB90" s="434">
        <v>-8364</v>
      </c>
      <c r="AC90" s="434">
        <v>1061192</v>
      </c>
      <c r="AD90" s="434">
        <v>12933</v>
      </c>
      <c r="AE90" s="434">
        <v>1855785</v>
      </c>
      <c r="AF90" s="434">
        <v>0</v>
      </c>
      <c r="AG90" s="434">
        <v>259853</v>
      </c>
      <c r="AH90" s="434">
        <v>430881</v>
      </c>
      <c r="AI90" s="434">
        <v>608812</v>
      </c>
      <c r="AJ90" s="434">
        <v>43654</v>
      </c>
      <c r="AK90" s="435">
        <v>0</v>
      </c>
      <c r="AL90" s="434">
        <v>53468</v>
      </c>
      <c r="AM90" s="434">
        <v>343343</v>
      </c>
    </row>
    <row r="91" spans="1:39" s="203" customFormat="1" ht="12" x14ac:dyDescent="0.2">
      <c r="A91" s="205">
        <v>37</v>
      </c>
      <c r="B91" s="240">
        <v>42449</v>
      </c>
      <c r="C91" s="265" t="s">
        <v>192</v>
      </c>
      <c r="D91" s="432">
        <f t="shared" si="8"/>
        <v>5937355</v>
      </c>
      <c r="E91" s="434">
        <v>3430740</v>
      </c>
      <c r="F91" s="434">
        <v>546167</v>
      </c>
      <c r="G91" s="434">
        <v>2070664</v>
      </c>
      <c r="H91" s="434">
        <v>0</v>
      </c>
      <c r="I91" s="434">
        <v>947790</v>
      </c>
      <c r="J91" s="434">
        <v>200000</v>
      </c>
      <c r="K91" s="434">
        <v>245150</v>
      </c>
      <c r="L91" s="434"/>
      <c r="M91" s="434">
        <v>898145</v>
      </c>
      <c r="N91" s="434">
        <v>0</v>
      </c>
      <c r="O91" s="434">
        <v>215530</v>
      </c>
      <c r="P91" s="432">
        <f t="shared" si="11"/>
        <v>11006640</v>
      </c>
      <c r="Q91" s="434">
        <v>1343941</v>
      </c>
      <c r="R91" s="434">
        <v>1205422</v>
      </c>
      <c r="S91" s="434">
        <v>0</v>
      </c>
      <c r="T91" s="434">
        <v>0</v>
      </c>
      <c r="U91" s="434">
        <v>0</v>
      </c>
      <c r="V91" s="434">
        <v>0</v>
      </c>
      <c r="W91" s="434">
        <v>7386861</v>
      </c>
      <c r="X91" s="434">
        <v>120928</v>
      </c>
      <c r="Y91" s="434">
        <v>66905</v>
      </c>
      <c r="Z91" s="434">
        <v>892164</v>
      </c>
      <c r="AA91" s="434">
        <v>0</v>
      </c>
      <c r="AB91" s="434">
        <v>-9581</v>
      </c>
      <c r="AC91" s="434">
        <v>1413409</v>
      </c>
      <c r="AD91" s="434">
        <v>150537</v>
      </c>
      <c r="AE91" s="434">
        <v>883011</v>
      </c>
      <c r="AF91" s="434">
        <v>9826</v>
      </c>
      <c r="AG91" s="434">
        <v>240351</v>
      </c>
      <c r="AH91" s="434">
        <v>140536</v>
      </c>
      <c r="AI91" s="434">
        <v>984524</v>
      </c>
      <c r="AJ91" s="434">
        <v>580413</v>
      </c>
      <c r="AK91" s="435">
        <v>0</v>
      </c>
      <c r="AL91" s="434">
        <v>6546656</v>
      </c>
      <c r="AM91" s="434">
        <v>57377</v>
      </c>
    </row>
    <row r="92" spans="1:39" s="203" customFormat="1" ht="12" x14ac:dyDescent="0.2">
      <c r="A92" s="205">
        <v>38</v>
      </c>
      <c r="B92" s="240">
        <v>41925</v>
      </c>
      <c r="C92" s="265" t="s">
        <v>193</v>
      </c>
      <c r="D92" s="432">
        <f t="shared" si="8"/>
        <v>10472997</v>
      </c>
      <c r="E92" s="434">
        <v>7746388</v>
      </c>
      <c r="F92" s="434">
        <v>3168995</v>
      </c>
      <c r="G92" s="434">
        <v>835720</v>
      </c>
      <c r="H92" s="434">
        <v>0</v>
      </c>
      <c r="I92" s="434">
        <v>1463770</v>
      </c>
      <c r="J92" s="434">
        <v>0</v>
      </c>
      <c r="K92" s="434">
        <v>1009460</v>
      </c>
      <c r="L92" s="434"/>
      <c r="M92" s="434">
        <v>79519</v>
      </c>
      <c r="N92" s="434">
        <v>166860</v>
      </c>
      <c r="O92" s="434">
        <v>7000</v>
      </c>
      <c r="P92" s="432">
        <f t="shared" si="11"/>
        <v>8845326</v>
      </c>
      <c r="Q92" s="434">
        <v>2021968</v>
      </c>
      <c r="R92" s="434">
        <v>3086404</v>
      </c>
      <c r="S92" s="434">
        <v>0</v>
      </c>
      <c r="T92" s="434">
        <v>0</v>
      </c>
      <c r="U92" s="434">
        <v>0</v>
      </c>
      <c r="V92" s="434">
        <v>0</v>
      </c>
      <c r="W92" s="434">
        <v>139622</v>
      </c>
      <c r="X92" s="434">
        <v>282915</v>
      </c>
      <c r="Y92" s="434">
        <v>143000</v>
      </c>
      <c r="Z92" s="434">
        <v>3184939</v>
      </c>
      <c r="AA92" s="434">
        <v>0</v>
      </c>
      <c r="AB92" s="434">
        <v>-13522</v>
      </c>
      <c r="AC92" s="434">
        <v>3651185</v>
      </c>
      <c r="AD92" s="434">
        <v>207521</v>
      </c>
      <c r="AE92" s="434">
        <v>1342791</v>
      </c>
      <c r="AF92" s="434">
        <v>0</v>
      </c>
      <c r="AG92" s="434">
        <v>44226</v>
      </c>
      <c r="AH92" s="434">
        <v>304040</v>
      </c>
      <c r="AI92" s="434">
        <v>1348426</v>
      </c>
      <c r="AJ92" s="434">
        <v>1038387</v>
      </c>
      <c r="AK92" s="435">
        <v>0</v>
      </c>
      <c r="AL92" s="434">
        <v>769128</v>
      </c>
      <c r="AM92" s="434">
        <v>139622</v>
      </c>
    </row>
    <row r="93" spans="1:39" s="203" customFormat="1" ht="12" x14ac:dyDescent="0.2">
      <c r="A93" s="205">
        <v>39</v>
      </c>
      <c r="B93" s="240">
        <v>41943</v>
      </c>
      <c r="C93" s="265" t="s">
        <v>194</v>
      </c>
      <c r="D93" s="432">
        <f t="shared" si="8"/>
        <v>5160978</v>
      </c>
      <c r="E93" s="434">
        <v>2433884</v>
      </c>
      <c r="F93" s="434">
        <v>104515</v>
      </c>
      <c r="G93" s="434">
        <v>1189227</v>
      </c>
      <c r="H93" s="434">
        <v>0</v>
      </c>
      <c r="I93" s="434">
        <v>1147308</v>
      </c>
      <c r="J93" s="434">
        <v>301800</v>
      </c>
      <c r="K93" s="434">
        <v>971330</v>
      </c>
      <c r="L93" s="434"/>
      <c r="M93" s="434">
        <v>69225</v>
      </c>
      <c r="N93" s="434">
        <v>237431</v>
      </c>
      <c r="O93" s="434">
        <v>0</v>
      </c>
      <c r="P93" s="432">
        <f t="shared" si="11"/>
        <v>5349299</v>
      </c>
      <c r="Q93" s="434">
        <v>1370865</v>
      </c>
      <c r="R93" s="434">
        <v>2316403</v>
      </c>
      <c r="S93" s="434">
        <v>0</v>
      </c>
      <c r="T93" s="434">
        <v>0</v>
      </c>
      <c r="U93" s="434">
        <v>0</v>
      </c>
      <c r="V93" s="434">
        <v>3861</v>
      </c>
      <c r="W93" s="434">
        <v>278818</v>
      </c>
      <c r="X93" s="434">
        <v>195845</v>
      </c>
      <c r="Y93" s="434">
        <v>48945</v>
      </c>
      <c r="Z93" s="434">
        <v>1137865</v>
      </c>
      <c r="AA93" s="434">
        <v>0</v>
      </c>
      <c r="AB93" s="434">
        <v>-3303</v>
      </c>
      <c r="AC93" s="434">
        <v>728728</v>
      </c>
      <c r="AD93" s="434">
        <v>200598</v>
      </c>
      <c r="AE93" s="434">
        <v>1109686</v>
      </c>
      <c r="AF93" s="434">
        <v>0</v>
      </c>
      <c r="AG93" s="434">
        <v>596691</v>
      </c>
      <c r="AH93" s="434">
        <v>219455</v>
      </c>
      <c r="AI93" s="434">
        <v>967285</v>
      </c>
      <c r="AJ93" s="434">
        <v>65081</v>
      </c>
      <c r="AK93" s="435">
        <v>0</v>
      </c>
      <c r="AL93" s="434">
        <v>1283155</v>
      </c>
      <c r="AM93" s="434">
        <v>178620</v>
      </c>
    </row>
    <row r="94" spans="1:39" s="203" customFormat="1" ht="12" x14ac:dyDescent="0.2">
      <c r="A94" s="205">
        <v>40</v>
      </c>
      <c r="B94" s="240">
        <v>42003</v>
      </c>
      <c r="C94" s="265" t="s">
        <v>195</v>
      </c>
      <c r="D94" s="432">
        <f t="shared" si="8"/>
        <v>15677137</v>
      </c>
      <c r="E94" s="434">
        <v>6406076</v>
      </c>
      <c r="F94" s="434">
        <v>1342916</v>
      </c>
      <c r="G94" s="434">
        <v>1995378</v>
      </c>
      <c r="H94" s="434">
        <v>0</v>
      </c>
      <c r="I94" s="434">
        <v>5177776</v>
      </c>
      <c r="J94" s="434">
        <v>149740</v>
      </c>
      <c r="K94" s="434">
        <v>2453050</v>
      </c>
      <c r="L94" s="434"/>
      <c r="M94" s="434">
        <v>464590</v>
      </c>
      <c r="N94" s="434">
        <v>435553</v>
      </c>
      <c r="O94" s="434">
        <v>590352</v>
      </c>
      <c r="P94" s="432">
        <f t="shared" si="11"/>
        <v>13127521</v>
      </c>
      <c r="Q94" s="434">
        <v>5947785</v>
      </c>
      <c r="R94" s="434">
        <v>2476953</v>
      </c>
      <c r="S94" s="434">
        <v>60000</v>
      </c>
      <c r="T94" s="434">
        <v>0</v>
      </c>
      <c r="U94" s="434">
        <v>0</v>
      </c>
      <c r="V94" s="434">
        <v>0</v>
      </c>
      <c r="W94" s="434">
        <v>705478</v>
      </c>
      <c r="X94" s="434">
        <v>455164</v>
      </c>
      <c r="Y94" s="434">
        <v>250000</v>
      </c>
      <c r="Z94" s="434">
        <v>2881075</v>
      </c>
      <c r="AA94" s="434">
        <v>359700</v>
      </c>
      <c r="AB94" s="434">
        <v>-8634</v>
      </c>
      <c r="AC94" s="434">
        <v>2463240</v>
      </c>
      <c r="AD94" s="434">
        <v>323266</v>
      </c>
      <c r="AE94" s="434">
        <v>5202790</v>
      </c>
      <c r="AF94" s="434">
        <v>74074</v>
      </c>
      <c r="AG94" s="434">
        <v>329783</v>
      </c>
      <c r="AH94" s="434">
        <v>1287833</v>
      </c>
      <c r="AI94" s="434">
        <v>853379</v>
      </c>
      <c r="AJ94" s="434">
        <v>1759525</v>
      </c>
      <c r="AK94" s="435">
        <v>0</v>
      </c>
      <c r="AL94" s="434">
        <v>672888</v>
      </c>
      <c r="AM94" s="434">
        <v>160743</v>
      </c>
    </row>
    <row r="95" spans="1:39" s="203" customFormat="1" ht="12" x14ac:dyDescent="0.2">
      <c r="A95" s="205">
        <v>41</v>
      </c>
      <c r="B95" s="240">
        <v>42058</v>
      </c>
      <c r="C95" s="266" t="s">
        <v>196</v>
      </c>
      <c r="D95" s="432">
        <f t="shared" si="8"/>
        <v>7721000</v>
      </c>
      <c r="E95" s="431">
        <v>2562432</v>
      </c>
      <c r="F95" s="431">
        <v>472767</v>
      </c>
      <c r="G95" s="431">
        <v>1469405</v>
      </c>
      <c r="H95" s="434">
        <v>0</v>
      </c>
      <c r="I95" s="431">
        <v>2553934</v>
      </c>
      <c r="J95" s="434">
        <v>0</v>
      </c>
      <c r="K95" s="431">
        <v>2271920</v>
      </c>
      <c r="L95" s="431"/>
      <c r="M95" s="431">
        <v>299755</v>
      </c>
      <c r="N95" s="431">
        <v>0</v>
      </c>
      <c r="O95" s="431">
        <v>32959</v>
      </c>
      <c r="P95" s="432">
        <f t="shared" si="11"/>
        <v>6133562</v>
      </c>
      <c r="Q95" s="431">
        <v>2802765</v>
      </c>
      <c r="R95" s="431">
        <v>1748854</v>
      </c>
      <c r="S95" s="431">
        <v>0</v>
      </c>
      <c r="T95" s="431">
        <v>0</v>
      </c>
      <c r="U95" s="431">
        <v>0</v>
      </c>
      <c r="V95" s="431">
        <v>22033</v>
      </c>
      <c r="W95" s="431">
        <v>0</v>
      </c>
      <c r="X95" s="431">
        <v>213481</v>
      </c>
      <c r="Y95" s="431">
        <v>122400</v>
      </c>
      <c r="Z95" s="431">
        <v>1242684</v>
      </c>
      <c r="AA95" s="431">
        <v>0</v>
      </c>
      <c r="AB95" s="431">
        <v>-18655</v>
      </c>
      <c r="AC95" s="431">
        <v>1284225</v>
      </c>
      <c r="AD95" s="431">
        <v>19508</v>
      </c>
      <c r="AE95" s="431">
        <v>2844479</v>
      </c>
      <c r="AF95" s="431">
        <v>0</v>
      </c>
      <c r="AG95" s="431">
        <v>303545</v>
      </c>
      <c r="AH95" s="431">
        <v>511633</v>
      </c>
      <c r="AI95" s="431">
        <v>257922</v>
      </c>
      <c r="AJ95" s="431">
        <v>288919</v>
      </c>
      <c r="AK95" s="435">
        <v>0</v>
      </c>
      <c r="AL95" s="431">
        <v>623331</v>
      </c>
      <c r="AM95" s="434">
        <v>0</v>
      </c>
    </row>
    <row r="96" spans="1:39" s="203" customFormat="1" ht="12" x14ac:dyDescent="0.2">
      <c r="A96" s="205">
        <v>42</v>
      </c>
      <c r="B96" s="240">
        <v>42076</v>
      </c>
      <c r="C96" s="266" t="s">
        <v>197</v>
      </c>
      <c r="D96" s="432">
        <f t="shared" si="8"/>
        <v>3584139</v>
      </c>
      <c r="E96" s="431">
        <v>1719230</v>
      </c>
      <c r="F96" s="431">
        <v>48936</v>
      </c>
      <c r="G96" s="431">
        <v>1163169</v>
      </c>
      <c r="H96" s="434">
        <v>0</v>
      </c>
      <c r="I96" s="431">
        <v>846039</v>
      </c>
      <c r="J96" s="434">
        <v>0</v>
      </c>
      <c r="K96" s="431">
        <v>190030</v>
      </c>
      <c r="L96" s="431"/>
      <c r="M96" s="431">
        <v>126388</v>
      </c>
      <c r="N96" s="431">
        <v>358458</v>
      </c>
      <c r="O96" s="431">
        <v>343994</v>
      </c>
      <c r="P96" s="432">
        <f t="shared" si="11"/>
        <v>4012610</v>
      </c>
      <c r="Q96" s="431">
        <v>1005269</v>
      </c>
      <c r="R96" s="431">
        <v>995260</v>
      </c>
      <c r="S96" s="431">
        <v>0</v>
      </c>
      <c r="T96" s="431">
        <v>0</v>
      </c>
      <c r="U96" s="431">
        <v>0</v>
      </c>
      <c r="V96" s="431">
        <v>635</v>
      </c>
      <c r="W96" s="431">
        <v>910527</v>
      </c>
      <c r="X96" s="431">
        <v>58577</v>
      </c>
      <c r="Y96" s="431">
        <v>0</v>
      </c>
      <c r="Z96" s="431">
        <v>1082338</v>
      </c>
      <c r="AA96" s="431">
        <v>0</v>
      </c>
      <c r="AB96" s="431">
        <v>-39996</v>
      </c>
      <c r="AC96" s="431">
        <v>559195</v>
      </c>
      <c r="AD96" s="431">
        <v>108152</v>
      </c>
      <c r="AE96" s="431">
        <v>912765</v>
      </c>
      <c r="AF96" s="431">
        <v>15337</v>
      </c>
      <c r="AG96" s="431">
        <v>4900</v>
      </c>
      <c r="AH96" s="431">
        <v>154521</v>
      </c>
      <c r="AI96" s="431">
        <v>943417</v>
      </c>
      <c r="AJ96" s="431">
        <v>34492</v>
      </c>
      <c r="AK96" s="435">
        <v>0</v>
      </c>
      <c r="AL96" s="431">
        <v>974521</v>
      </c>
      <c r="AM96" s="434">
        <v>305310</v>
      </c>
    </row>
    <row r="97" spans="1:39" s="203" customFormat="1" ht="12" x14ac:dyDescent="0.2">
      <c r="A97" s="205">
        <v>43</v>
      </c>
      <c r="B97" s="240">
        <v>42101</v>
      </c>
      <c r="C97" s="266" t="s">
        <v>198</v>
      </c>
      <c r="D97" s="432">
        <f t="shared" si="8"/>
        <v>6178850</v>
      </c>
      <c r="E97" s="431">
        <v>3207297</v>
      </c>
      <c r="F97" s="431">
        <v>335920</v>
      </c>
      <c r="G97" s="431">
        <v>645532</v>
      </c>
      <c r="H97" s="434">
        <v>0</v>
      </c>
      <c r="I97" s="431">
        <v>1039790</v>
      </c>
      <c r="J97" s="434">
        <v>200000</v>
      </c>
      <c r="K97" s="431">
        <v>892270</v>
      </c>
      <c r="L97" s="431"/>
      <c r="M97" s="431">
        <v>638649</v>
      </c>
      <c r="N97" s="431">
        <v>200844</v>
      </c>
      <c r="O97" s="431">
        <v>0</v>
      </c>
      <c r="P97" s="432">
        <f t="shared" si="11"/>
        <v>7217159</v>
      </c>
      <c r="Q97" s="431">
        <v>1621734</v>
      </c>
      <c r="R97" s="431">
        <v>978039</v>
      </c>
      <c r="S97" s="431">
        <v>0</v>
      </c>
      <c r="T97" s="431">
        <v>0</v>
      </c>
      <c r="U97" s="431">
        <v>0</v>
      </c>
      <c r="V97" s="431">
        <v>17977</v>
      </c>
      <c r="W97" s="431">
        <v>12648</v>
      </c>
      <c r="X97" s="431">
        <v>51491</v>
      </c>
      <c r="Y97" s="431">
        <v>50495</v>
      </c>
      <c r="Z97" s="431">
        <v>4485123</v>
      </c>
      <c r="AA97" s="431">
        <v>0</v>
      </c>
      <c r="AB97" s="431">
        <v>-348</v>
      </c>
      <c r="AC97" s="431">
        <v>1042343</v>
      </c>
      <c r="AD97" s="431">
        <v>29199</v>
      </c>
      <c r="AE97" s="431">
        <v>914148</v>
      </c>
      <c r="AF97" s="431">
        <v>0</v>
      </c>
      <c r="AG97" s="431">
        <v>214975</v>
      </c>
      <c r="AH97" s="431">
        <v>394181</v>
      </c>
      <c r="AI97" s="431">
        <v>101507</v>
      </c>
      <c r="AJ97" s="431">
        <v>3377559</v>
      </c>
      <c r="AK97" s="435">
        <v>0</v>
      </c>
      <c r="AL97" s="431">
        <v>1143247</v>
      </c>
      <c r="AM97" s="434">
        <v>0</v>
      </c>
    </row>
    <row r="98" spans="1:39" s="203" customFormat="1" ht="12" x14ac:dyDescent="0.2">
      <c r="A98" s="205">
        <v>44</v>
      </c>
      <c r="B98" s="240">
        <v>42156</v>
      </c>
      <c r="C98" s="266" t="s">
        <v>199</v>
      </c>
      <c r="D98" s="432">
        <f t="shared" si="8"/>
        <v>3990884</v>
      </c>
      <c r="E98" s="431">
        <v>1981269</v>
      </c>
      <c r="F98" s="431">
        <v>102292</v>
      </c>
      <c r="G98" s="431">
        <v>1337386</v>
      </c>
      <c r="H98" s="434">
        <v>0</v>
      </c>
      <c r="I98" s="431">
        <v>1598222</v>
      </c>
      <c r="J98" s="434">
        <v>150000</v>
      </c>
      <c r="K98" s="431">
        <v>244570</v>
      </c>
      <c r="L98" s="431"/>
      <c r="M98" s="431">
        <v>16823</v>
      </c>
      <c r="N98" s="431">
        <v>0</v>
      </c>
      <c r="O98" s="431">
        <v>0</v>
      </c>
      <c r="P98" s="432">
        <f t="shared" si="11"/>
        <v>3856119</v>
      </c>
      <c r="Q98" s="431">
        <v>1910027</v>
      </c>
      <c r="R98" s="431">
        <v>1724985</v>
      </c>
      <c r="S98" s="431">
        <v>0</v>
      </c>
      <c r="T98" s="431">
        <v>0</v>
      </c>
      <c r="U98" s="431">
        <v>0</v>
      </c>
      <c r="V98" s="431">
        <v>3450</v>
      </c>
      <c r="W98" s="431">
        <v>0</v>
      </c>
      <c r="X98" s="431">
        <v>41355</v>
      </c>
      <c r="Y98" s="431">
        <v>30000</v>
      </c>
      <c r="Z98" s="431">
        <v>164749</v>
      </c>
      <c r="AA98" s="431">
        <v>0</v>
      </c>
      <c r="AB98" s="431">
        <v>-18447</v>
      </c>
      <c r="AC98" s="431">
        <v>837194</v>
      </c>
      <c r="AD98" s="431">
        <v>67573</v>
      </c>
      <c r="AE98" s="431">
        <v>1319284</v>
      </c>
      <c r="AF98" s="431">
        <v>15353</v>
      </c>
      <c r="AG98" s="431">
        <v>146539</v>
      </c>
      <c r="AH98" s="431">
        <v>331158</v>
      </c>
      <c r="AI98" s="431">
        <v>163559</v>
      </c>
      <c r="AJ98" s="431">
        <v>60000</v>
      </c>
      <c r="AK98" s="435">
        <v>0</v>
      </c>
      <c r="AL98" s="431">
        <v>870180</v>
      </c>
      <c r="AM98" s="434">
        <v>45279</v>
      </c>
    </row>
    <row r="99" spans="1:39" s="203" customFormat="1" ht="12" x14ac:dyDescent="0.2">
      <c r="A99" s="205">
        <v>45</v>
      </c>
      <c r="B99" s="240">
        <v>42183</v>
      </c>
      <c r="C99" s="266" t="s">
        <v>200</v>
      </c>
      <c r="D99" s="432">
        <f t="shared" si="8"/>
        <v>6854697</v>
      </c>
      <c r="E99" s="431">
        <v>2941579</v>
      </c>
      <c r="F99" s="431">
        <v>211319</v>
      </c>
      <c r="G99" s="431">
        <v>1625397</v>
      </c>
      <c r="H99" s="434">
        <v>0</v>
      </c>
      <c r="I99" s="431">
        <v>1490913</v>
      </c>
      <c r="J99" s="434">
        <v>0</v>
      </c>
      <c r="K99" s="431">
        <v>932020</v>
      </c>
      <c r="L99" s="431"/>
      <c r="M99" s="431">
        <v>1206232</v>
      </c>
      <c r="N99" s="431">
        <v>283953</v>
      </c>
      <c r="O99" s="431">
        <v>0</v>
      </c>
      <c r="P99" s="432">
        <f t="shared" si="11"/>
        <v>6879472</v>
      </c>
      <c r="Q99" s="431">
        <v>1786386</v>
      </c>
      <c r="R99" s="431">
        <v>1476524</v>
      </c>
      <c r="S99" s="431">
        <v>0</v>
      </c>
      <c r="T99" s="431">
        <v>0</v>
      </c>
      <c r="U99" s="431">
        <v>0</v>
      </c>
      <c r="V99" s="431">
        <v>4037</v>
      </c>
      <c r="W99" s="431">
        <v>171938</v>
      </c>
      <c r="X99" s="431">
        <v>212030</v>
      </c>
      <c r="Y99" s="431">
        <v>127178</v>
      </c>
      <c r="Z99" s="431">
        <v>3108826</v>
      </c>
      <c r="AA99" s="431">
        <v>0</v>
      </c>
      <c r="AB99" s="431">
        <v>-7447</v>
      </c>
      <c r="AC99" s="431">
        <v>1191115</v>
      </c>
      <c r="AD99" s="431">
        <v>0</v>
      </c>
      <c r="AE99" s="431">
        <v>2156805</v>
      </c>
      <c r="AF99" s="431">
        <v>0</v>
      </c>
      <c r="AG99" s="431">
        <v>429121</v>
      </c>
      <c r="AH99" s="431">
        <v>209830</v>
      </c>
      <c r="AI99" s="431">
        <v>581703</v>
      </c>
      <c r="AJ99" s="431">
        <v>171837</v>
      </c>
      <c r="AK99" s="435">
        <v>0</v>
      </c>
      <c r="AL99" s="431">
        <v>1967123</v>
      </c>
      <c r="AM99" s="434">
        <v>171938</v>
      </c>
    </row>
    <row r="100" spans="1:39" s="203" customFormat="1" ht="12" x14ac:dyDescent="0.2">
      <c r="A100" s="205">
        <v>46</v>
      </c>
      <c r="B100" s="240">
        <v>42236</v>
      </c>
      <c r="C100" s="266" t="s">
        <v>201</v>
      </c>
      <c r="D100" s="432">
        <f t="shared" si="8"/>
        <v>4709353</v>
      </c>
      <c r="E100" s="431">
        <v>2576868</v>
      </c>
      <c r="F100" s="431">
        <v>292691</v>
      </c>
      <c r="G100" s="431">
        <v>1499132</v>
      </c>
      <c r="H100" s="434">
        <v>0</v>
      </c>
      <c r="I100" s="431">
        <v>837326</v>
      </c>
      <c r="J100" s="434">
        <v>150000</v>
      </c>
      <c r="K100" s="431">
        <v>253370</v>
      </c>
      <c r="L100" s="431"/>
      <c r="M100" s="431">
        <v>182365</v>
      </c>
      <c r="N100" s="431">
        <v>555224</v>
      </c>
      <c r="O100" s="431">
        <v>154200</v>
      </c>
      <c r="P100" s="432">
        <f t="shared" si="11"/>
        <v>4113317</v>
      </c>
      <c r="Q100" s="431">
        <v>1429095</v>
      </c>
      <c r="R100" s="431">
        <v>1177914</v>
      </c>
      <c r="S100" s="431">
        <v>0</v>
      </c>
      <c r="T100" s="431">
        <v>0</v>
      </c>
      <c r="U100" s="431">
        <v>0</v>
      </c>
      <c r="V100" s="431">
        <v>23545</v>
      </c>
      <c r="W100" s="431">
        <v>734314</v>
      </c>
      <c r="X100" s="431">
        <v>109303</v>
      </c>
      <c r="Y100" s="431">
        <v>24000</v>
      </c>
      <c r="Z100" s="431">
        <v>624166</v>
      </c>
      <c r="AA100" s="431">
        <v>0</v>
      </c>
      <c r="AB100" s="431">
        <v>-9020</v>
      </c>
      <c r="AC100" s="431">
        <v>1230750</v>
      </c>
      <c r="AD100" s="431">
        <v>3360</v>
      </c>
      <c r="AE100" s="431">
        <v>731048</v>
      </c>
      <c r="AF100" s="431">
        <v>0</v>
      </c>
      <c r="AG100" s="431">
        <v>344566</v>
      </c>
      <c r="AH100" s="431">
        <v>238330</v>
      </c>
      <c r="AI100" s="431">
        <v>815057</v>
      </c>
      <c r="AJ100" s="431">
        <v>353851</v>
      </c>
      <c r="AK100" s="435">
        <v>0</v>
      </c>
      <c r="AL100" s="431">
        <v>378810</v>
      </c>
      <c r="AM100" s="463">
        <v>17545</v>
      </c>
    </row>
    <row r="101" spans="1:39" s="203" customFormat="1" ht="12" x14ac:dyDescent="0.2">
      <c r="A101" s="205">
        <v>47</v>
      </c>
      <c r="B101" s="240">
        <v>42307</v>
      </c>
      <c r="C101" s="266" t="s">
        <v>202</v>
      </c>
      <c r="D101" s="432">
        <f t="shared" si="8"/>
        <v>5452811</v>
      </c>
      <c r="E101" s="431">
        <v>2061218</v>
      </c>
      <c r="F101" s="431">
        <v>432621</v>
      </c>
      <c r="G101" s="431">
        <v>745848</v>
      </c>
      <c r="H101" s="434">
        <v>0</v>
      </c>
      <c r="I101" s="431">
        <v>1294607</v>
      </c>
      <c r="J101" s="434">
        <v>0</v>
      </c>
      <c r="K101" s="431">
        <v>554060</v>
      </c>
      <c r="L101" s="431"/>
      <c r="M101" s="431">
        <v>1097293</v>
      </c>
      <c r="N101" s="431">
        <v>307513</v>
      </c>
      <c r="O101" s="431">
        <v>138120</v>
      </c>
      <c r="P101" s="432">
        <f t="shared" si="11"/>
        <v>5209364</v>
      </c>
      <c r="Q101" s="431">
        <v>1792383</v>
      </c>
      <c r="R101" s="431">
        <v>1310057</v>
      </c>
      <c r="S101" s="431">
        <v>0</v>
      </c>
      <c r="T101" s="431">
        <v>0</v>
      </c>
      <c r="U101" s="431">
        <v>0</v>
      </c>
      <c r="V101" s="431">
        <v>2960</v>
      </c>
      <c r="W101" s="431">
        <v>433295</v>
      </c>
      <c r="X101" s="431">
        <v>84288</v>
      </c>
      <c r="Y101" s="431">
        <v>480</v>
      </c>
      <c r="Z101" s="431">
        <v>1591576</v>
      </c>
      <c r="AA101" s="431">
        <v>0</v>
      </c>
      <c r="AB101" s="431">
        <v>-5675</v>
      </c>
      <c r="AC101" s="431">
        <v>1183474</v>
      </c>
      <c r="AD101" s="431">
        <v>252311</v>
      </c>
      <c r="AE101" s="431">
        <v>1004113</v>
      </c>
      <c r="AF101" s="431">
        <v>0</v>
      </c>
      <c r="AG101" s="431">
        <v>446722</v>
      </c>
      <c r="AH101" s="431">
        <v>366229</v>
      </c>
      <c r="AI101" s="431">
        <v>1047772</v>
      </c>
      <c r="AJ101" s="431">
        <v>908439</v>
      </c>
      <c r="AK101" s="435">
        <v>0</v>
      </c>
      <c r="AL101" s="431">
        <v>304</v>
      </c>
      <c r="AM101" s="434">
        <v>0</v>
      </c>
    </row>
    <row r="102" spans="1:39" s="203" customFormat="1" ht="12" x14ac:dyDescent="0.2">
      <c r="A102" s="205">
        <v>48</v>
      </c>
      <c r="B102" s="240">
        <v>42398</v>
      </c>
      <c r="C102" s="266" t="s">
        <v>203</v>
      </c>
      <c r="D102" s="432">
        <f t="shared" si="8"/>
        <v>7469706</v>
      </c>
      <c r="E102" s="431">
        <v>3080640</v>
      </c>
      <c r="F102" s="431">
        <v>489064</v>
      </c>
      <c r="G102" s="431">
        <v>880567</v>
      </c>
      <c r="H102" s="434">
        <v>0</v>
      </c>
      <c r="I102" s="431">
        <v>2237823</v>
      </c>
      <c r="J102" s="434">
        <v>0</v>
      </c>
      <c r="K102" s="431">
        <v>1137320</v>
      </c>
      <c r="L102" s="431"/>
      <c r="M102" s="431">
        <v>51283</v>
      </c>
      <c r="N102" s="431">
        <v>0</v>
      </c>
      <c r="O102" s="431">
        <v>962640</v>
      </c>
      <c r="P102" s="432">
        <f t="shared" si="11"/>
        <v>6687835</v>
      </c>
      <c r="Q102" s="431">
        <v>3060779</v>
      </c>
      <c r="R102" s="431">
        <v>1174714</v>
      </c>
      <c r="S102" s="431">
        <v>0</v>
      </c>
      <c r="T102" s="431">
        <v>0</v>
      </c>
      <c r="U102" s="431">
        <v>0</v>
      </c>
      <c r="V102" s="431">
        <v>26666</v>
      </c>
      <c r="W102" s="431">
        <v>0</v>
      </c>
      <c r="X102" s="431">
        <v>121344</v>
      </c>
      <c r="Y102" s="431">
        <v>8798</v>
      </c>
      <c r="Z102" s="431">
        <v>2313155</v>
      </c>
      <c r="AA102" s="431">
        <v>0</v>
      </c>
      <c r="AB102" s="431">
        <v>-17621</v>
      </c>
      <c r="AC102" s="431">
        <v>1137216</v>
      </c>
      <c r="AD102" s="431">
        <v>282340</v>
      </c>
      <c r="AE102" s="431">
        <v>2005123</v>
      </c>
      <c r="AF102" s="431">
        <v>15840</v>
      </c>
      <c r="AG102" s="431">
        <v>122068</v>
      </c>
      <c r="AH102" s="431">
        <v>483137</v>
      </c>
      <c r="AI102" s="431">
        <v>683355</v>
      </c>
      <c r="AJ102" s="431">
        <v>1275969</v>
      </c>
      <c r="AK102" s="435">
        <v>0</v>
      </c>
      <c r="AL102" s="431">
        <v>663587</v>
      </c>
      <c r="AM102" s="434">
        <v>19200</v>
      </c>
    </row>
    <row r="103" spans="1:39" s="203" customFormat="1" ht="12" hidden="1" x14ac:dyDescent="0.2">
      <c r="A103" s="205">
        <v>49</v>
      </c>
      <c r="B103" s="205"/>
      <c r="C103" s="252"/>
      <c r="D103" s="432">
        <f t="shared" si="8"/>
        <v>0</v>
      </c>
      <c r="E103" s="431"/>
      <c r="F103" s="431"/>
      <c r="G103" s="431"/>
      <c r="H103" s="431"/>
      <c r="I103" s="431"/>
      <c r="J103" s="431"/>
      <c r="K103" s="431"/>
      <c r="L103" s="431"/>
      <c r="M103" s="431"/>
      <c r="N103" s="431"/>
      <c r="O103" s="431"/>
      <c r="P103" s="432">
        <f t="shared" si="11"/>
        <v>0</v>
      </c>
      <c r="Q103" s="431"/>
      <c r="R103" s="431"/>
      <c r="S103" s="431"/>
      <c r="T103" s="431"/>
      <c r="U103" s="431"/>
      <c r="V103" s="431"/>
      <c r="W103" s="431"/>
      <c r="X103" s="431"/>
      <c r="Y103" s="431"/>
      <c r="Z103" s="468"/>
      <c r="AA103" s="431"/>
      <c r="AB103" s="431"/>
      <c r="AC103" s="468"/>
      <c r="AD103" s="431"/>
      <c r="AE103" s="431"/>
      <c r="AF103" s="431"/>
      <c r="AG103" s="431"/>
      <c r="AH103" s="431"/>
      <c r="AI103" s="468"/>
      <c r="AJ103" s="468"/>
      <c r="AK103" s="431"/>
      <c r="AL103" s="431"/>
      <c r="AM103" s="431"/>
    </row>
    <row r="104" spans="1:39" s="203" customFormat="1" ht="12" hidden="1" x14ac:dyDescent="0.2">
      <c r="A104" s="205">
        <v>50</v>
      </c>
      <c r="B104" s="205"/>
      <c r="C104" s="252"/>
      <c r="D104" s="432">
        <f t="shared" si="8"/>
        <v>0</v>
      </c>
      <c r="E104" s="431"/>
      <c r="F104" s="431"/>
      <c r="G104" s="431"/>
      <c r="H104" s="431"/>
      <c r="I104" s="431"/>
      <c r="J104" s="431"/>
      <c r="K104" s="431"/>
      <c r="L104" s="431"/>
      <c r="M104" s="431"/>
      <c r="N104" s="431"/>
      <c r="O104" s="431"/>
      <c r="P104" s="432">
        <f t="shared" si="11"/>
        <v>0</v>
      </c>
      <c r="Q104" s="431"/>
      <c r="R104" s="431"/>
      <c r="S104" s="431"/>
      <c r="T104" s="431"/>
      <c r="U104" s="431"/>
      <c r="V104" s="431"/>
      <c r="W104" s="431"/>
      <c r="X104" s="431"/>
      <c r="Y104" s="431"/>
      <c r="Z104" s="468"/>
      <c r="AA104" s="431"/>
      <c r="AB104" s="431"/>
      <c r="AC104" s="468"/>
      <c r="AD104" s="431"/>
      <c r="AE104" s="431"/>
      <c r="AF104" s="431"/>
      <c r="AG104" s="431"/>
      <c r="AH104" s="431"/>
      <c r="AI104" s="468"/>
      <c r="AJ104" s="468"/>
      <c r="AK104" s="431"/>
      <c r="AL104" s="431"/>
      <c r="AM104" s="431"/>
    </row>
    <row r="105" spans="1:39" s="203" customFormat="1" ht="12" hidden="1" x14ac:dyDescent="0.2">
      <c r="A105" s="205">
        <v>51</v>
      </c>
      <c r="B105" s="205"/>
      <c r="C105" s="252"/>
      <c r="D105" s="432">
        <f t="shared" si="8"/>
        <v>0</v>
      </c>
      <c r="E105" s="431"/>
      <c r="F105" s="431"/>
      <c r="G105" s="431"/>
      <c r="H105" s="431"/>
      <c r="I105" s="431"/>
      <c r="J105" s="431"/>
      <c r="K105" s="431"/>
      <c r="L105" s="431"/>
      <c r="M105" s="431"/>
      <c r="N105" s="431"/>
      <c r="O105" s="431"/>
      <c r="P105" s="432">
        <f t="shared" si="11"/>
        <v>0</v>
      </c>
      <c r="Q105" s="431"/>
      <c r="R105" s="431"/>
      <c r="S105" s="431"/>
      <c r="T105" s="431"/>
      <c r="U105" s="431"/>
      <c r="V105" s="431"/>
      <c r="W105" s="431"/>
      <c r="X105" s="431"/>
      <c r="Y105" s="431"/>
      <c r="Z105" s="468"/>
      <c r="AA105" s="431"/>
      <c r="AB105" s="431"/>
      <c r="AC105" s="468"/>
      <c r="AD105" s="431"/>
      <c r="AE105" s="431"/>
      <c r="AF105" s="431"/>
      <c r="AG105" s="431"/>
      <c r="AH105" s="431"/>
      <c r="AI105" s="468"/>
      <c r="AJ105" s="468"/>
      <c r="AK105" s="431"/>
      <c r="AL105" s="431"/>
      <c r="AM105" s="431"/>
    </row>
    <row r="106" spans="1:39" s="203" customFormat="1" ht="12" hidden="1" x14ac:dyDescent="0.2">
      <c r="A106" s="205">
        <v>52</v>
      </c>
      <c r="B106" s="205"/>
      <c r="C106" s="252"/>
      <c r="D106" s="432">
        <f t="shared" si="8"/>
        <v>0</v>
      </c>
      <c r="E106" s="431"/>
      <c r="F106" s="431"/>
      <c r="G106" s="431"/>
      <c r="H106" s="431"/>
      <c r="I106" s="431"/>
      <c r="J106" s="431"/>
      <c r="K106" s="431"/>
      <c r="L106" s="431"/>
      <c r="M106" s="431"/>
      <c r="N106" s="431"/>
      <c r="O106" s="431"/>
      <c r="P106" s="432">
        <f t="shared" si="11"/>
        <v>0</v>
      </c>
      <c r="Q106" s="431"/>
      <c r="R106" s="431"/>
      <c r="S106" s="431"/>
      <c r="T106" s="431"/>
      <c r="U106" s="431"/>
      <c r="V106" s="431"/>
      <c r="W106" s="431"/>
      <c r="X106" s="431"/>
      <c r="Y106" s="431"/>
      <c r="Z106" s="468"/>
      <c r="AA106" s="431"/>
      <c r="AB106" s="431"/>
      <c r="AC106" s="468"/>
      <c r="AD106" s="431"/>
      <c r="AE106" s="431"/>
      <c r="AF106" s="431"/>
      <c r="AG106" s="431"/>
      <c r="AH106" s="431"/>
      <c r="AI106" s="468"/>
      <c r="AJ106" s="468"/>
      <c r="AK106" s="431"/>
      <c r="AL106" s="431"/>
      <c r="AM106" s="431"/>
    </row>
    <row r="107" spans="1:39" s="203" customFormat="1" ht="12" hidden="1" x14ac:dyDescent="0.2">
      <c r="A107" s="205">
        <v>53</v>
      </c>
      <c r="B107" s="205"/>
      <c r="C107" s="252"/>
      <c r="D107" s="432">
        <f t="shared" si="8"/>
        <v>0</v>
      </c>
      <c r="E107" s="431"/>
      <c r="F107" s="431"/>
      <c r="G107" s="431"/>
      <c r="H107" s="431"/>
      <c r="I107" s="431"/>
      <c r="J107" s="431"/>
      <c r="K107" s="431"/>
      <c r="L107" s="431"/>
      <c r="M107" s="431"/>
      <c r="N107" s="431"/>
      <c r="O107" s="431"/>
      <c r="P107" s="432">
        <f t="shared" si="11"/>
        <v>0</v>
      </c>
      <c r="Q107" s="431"/>
      <c r="R107" s="431"/>
      <c r="S107" s="431"/>
      <c r="T107" s="431"/>
      <c r="U107" s="431"/>
      <c r="V107" s="431"/>
      <c r="W107" s="431"/>
      <c r="X107" s="431"/>
      <c r="Y107" s="431"/>
      <c r="Z107" s="468"/>
      <c r="AA107" s="431"/>
      <c r="AB107" s="431"/>
      <c r="AC107" s="468"/>
      <c r="AD107" s="431"/>
      <c r="AE107" s="431"/>
      <c r="AF107" s="431"/>
      <c r="AG107" s="431"/>
      <c r="AH107" s="431"/>
      <c r="AI107" s="468"/>
      <c r="AJ107" s="468"/>
      <c r="AK107" s="431"/>
      <c r="AL107" s="431"/>
      <c r="AM107" s="431"/>
    </row>
    <row r="108" spans="1:39" s="203" customFormat="1" ht="12" hidden="1" x14ac:dyDescent="0.2">
      <c r="A108" s="205">
        <v>54</v>
      </c>
      <c r="B108" s="205"/>
      <c r="C108" s="253"/>
      <c r="D108" s="432">
        <f t="shared" si="8"/>
        <v>0</v>
      </c>
      <c r="E108" s="431"/>
      <c r="F108" s="431"/>
      <c r="G108" s="431"/>
      <c r="H108" s="431"/>
      <c r="I108" s="431"/>
      <c r="J108" s="431"/>
      <c r="K108" s="431"/>
      <c r="L108" s="431"/>
      <c r="M108" s="431"/>
      <c r="N108" s="431"/>
      <c r="O108" s="431"/>
      <c r="P108" s="432">
        <f t="shared" si="11"/>
        <v>0</v>
      </c>
      <c r="Q108" s="431"/>
      <c r="R108" s="431"/>
      <c r="S108" s="431"/>
      <c r="T108" s="431"/>
      <c r="U108" s="431"/>
      <c r="V108" s="431"/>
      <c r="W108" s="431"/>
      <c r="X108" s="431"/>
      <c r="Y108" s="431"/>
      <c r="Z108" s="468"/>
      <c r="AA108" s="431"/>
      <c r="AB108" s="431"/>
      <c r="AC108" s="468"/>
      <c r="AD108" s="431"/>
      <c r="AE108" s="431"/>
      <c r="AF108" s="431"/>
      <c r="AG108" s="431"/>
      <c r="AH108" s="431"/>
      <c r="AI108" s="468"/>
      <c r="AJ108" s="468"/>
      <c r="AK108" s="431"/>
      <c r="AL108" s="431"/>
      <c r="AM108" s="431"/>
    </row>
    <row r="109" spans="1:39" s="203" customFormat="1" ht="12" hidden="1" x14ac:dyDescent="0.2">
      <c r="A109" s="205">
        <v>55</v>
      </c>
      <c r="B109" s="205"/>
      <c r="C109" s="252"/>
      <c r="D109" s="432">
        <f t="shared" si="8"/>
        <v>0</v>
      </c>
      <c r="E109" s="431"/>
      <c r="F109" s="431"/>
      <c r="G109" s="431"/>
      <c r="H109" s="431"/>
      <c r="I109" s="431"/>
      <c r="J109" s="431"/>
      <c r="K109" s="431"/>
      <c r="L109" s="431"/>
      <c r="M109" s="431"/>
      <c r="N109" s="431"/>
      <c r="O109" s="431"/>
      <c r="P109" s="432">
        <f t="shared" si="11"/>
        <v>0</v>
      </c>
      <c r="Q109" s="431"/>
      <c r="R109" s="431"/>
      <c r="S109" s="431"/>
      <c r="T109" s="431"/>
      <c r="U109" s="431"/>
      <c r="V109" s="431"/>
      <c r="W109" s="431"/>
      <c r="X109" s="431"/>
      <c r="Y109" s="431"/>
      <c r="Z109" s="468"/>
      <c r="AA109" s="431"/>
      <c r="AB109" s="431"/>
      <c r="AC109" s="468"/>
      <c r="AD109" s="431"/>
      <c r="AE109" s="431"/>
      <c r="AF109" s="431"/>
      <c r="AG109" s="431"/>
      <c r="AH109" s="431"/>
      <c r="AI109" s="468"/>
      <c r="AJ109" s="468"/>
      <c r="AK109" s="431"/>
      <c r="AL109" s="431"/>
      <c r="AM109" s="431"/>
    </row>
    <row r="110" spans="1:39" s="203" customFormat="1" ht="12" hidden="1" x14ac:dyDescent="0.2">
      <c r="A110" s="205">
        <v>56</v>
      </c>
      <c r="B110" s="205"/>
      <c r="C110" s="252"/>
      <c r="D110" s="432">
        <f t="shared" si="8"/>
        <v>0</v>
      </c>
      <c r="E110" s="431"/>
      <c r="F110" s="431"/>
      <c r="G110" s="431"/>
      <c r="H110" s="431"/>
      <c r="I110" s="431"/>
      <c r="J110" s="431"/>
      <c r="K110" s="431"/>
      <c r="L110" s="431"/>
      <c r="M110" s="431"/>
      <c r="N110" s="431"/>
      <c r="O110" s="431"/>
      <c r="P110" s="432">
        <f t="shared" si="11"/>
        <v>0</v>
      </c>
      <c r="Q110" s="431"/>
      <c r="R110" s="431"/>
      <c r="S110" s="431"/>
      <c r="T110" s="431"/>
      <c r="U110" s="431"/>
      <c r="V110" s="431"/>
      <c r="W110" s="431"/>
      <c r="X110" s="431"/>
      <c r="Y110" s="431"/>
      <c r="Z110" s="468"/>
      <c r="AA110" s="431"/>
      <c r="AB110" s="431"/>
      <c r="AC110" s="468"/>
      <c r="AD110" s="431"/>
      <c r="AE110" s="431"/>
      <c r="AF110" s="431"/>
      <c r="AG110" s="431"/>
      <c r="AH110" s="431"/>
      <c r="AI110" s="468"/>
      <c r="AJ110" s="468"/>
      <c r="AK110" s="431"/>
      <c r="AL110" s="431"/>
      <c r="AM110" s="431"/>
    </row>
    <row r="111" spans="1:39" s="203" customFormat="1" ht="12" hidden="1" x14ac:dyDescent="0.2">
      <c r="A111" s="205">
        <v>57</v>
      </c>
      <c r="B111" s="205"/>
      <c r="C111" s="252"/>
      <c r="D111" s="432">
        <f t="shared" si="8"/>
        <v>0</v>
      </c>
      <c r="E111" s="431"/>
      <c r="F111" s="431"/>
      <c r="G111" s="431"/>
      <c r="H111" s="431"/>
      <c r="I111" s="431"/>
      <c r="J111" s="431"/>
      <c r="K111" s="431"/>
      <c r="L111" s="431"/>
      <c r="M111" s="431"/>
      <c r="N111" s="431"/>
      <c r="O111" s="431"/>
      <c r="P111" s="432">
        <f t="shared" si="11"/>
        <v>0</v>
      </c>
      <c r="Q111" s="431"/>
      <c r="R111" s="431"/>
      <c r="S111" s="431"/>
      <c r="T111" s="431"/>
      <c r="U111" s="431"/>
      <c r="V111" s="431"/>
      <c r="W111" s="431"/>
      <c r="X111" s="431"/>
      <c r="Y111" s="431"/>
      <c r="Z111" s="468"/>
      <c r="AA111" s="431"/>
      <c r="AB111" s="431"/>
      <c r="AC111" s="468"/>
      <c r="AD111" s="431"/>
      <c r="AE111" s="431"/>
      <c r="AF111" s="431"/>
      <c r="AG111" s="431"/>
      <c r="AH111" s="431"/>
      <c r="AI111" s="468"/>
      <c r="AJ111" s="468"/>
      <c r="AK111" s="431"/>
      <c r="AL111" s="431"/>
      <c r="AM111" s="431"/>
    </row>
    <row r="112" spans="1:39" s="203" customFormat="1" ht="12" hidden="1" x14ac:dyDescent="0.2">
      <c r="A112" s="205">
        <v>58</v>
      </c>
      <c r="B112" s="205"/>
      <c r="C112" s="252"/>
      <c r="D112" s="432">
        <f t="shared" si="8"/>
        <v>0</v>
      </c>
      <c r="E112" s="431"/>
      <c r="F112" s="431"/>
      <c r="G112" s="431"/>
      <c r="H112" s="431"/>
      <c r="I112" s="431"/>
      <c r="J112" s="431"/>
      <c r="K112" s="431"/>
      <c r="L112" s="431"/>
      <c r="M112" s="431"/>
      <c r="N112" s="431"/>
      <c r="O112" s="431"/>
      <c r="P112" s="432">
        <f t="shared" si="11"/>
        <v>0</v>
      </c>
      <c r="Q112" s="431"/>
      <c r="R112" s="468"/>
      <c r="S112" s="431"/>
      <c r="T112" s="431"/>
      <c r="U112" s="431"/>
      <c r="V112" s="431"/>
      <c r="W112" s="431"/>
      <c r="X112" s="431"/>
      <c r="Y112" s="431"/>
      <c r="Z112" s="468"/>
      <c r="AA112" s="431"/>
      <c r="AB112" s="431"/>
      <c r="AC112" s="468"/>
      <c r="AD112" s="431"/>
      <c r="AE112" s="431"/>
      <c r="AF112" s="431"/>
      <c r="AG112" s="431"/>
      <c r="AH112" s="431"/>
      <c r="AI112" s="468"/>
      <c r="AJ112" s="468"/>
      <c r="AK112" s="431"/>
      <c r="AL112" s="431"/>
      <c r="AM112" s="431"/>
    </row>
    <row r="113" spans="1:39" s="203" customFormat="1" ht="12" hidden="1" x14ac:dyDescent="0.2">
      <c r="A113" s="205">
        <v>59</v>
      </c>
      <c r="B113" s="205"/>
      <c r="C113" s="252"/>
      <c r="D113" s="432">
        <f t="shared" si="8"/>
        <v>0</v>
      </c>
      <c r="E113" s="431"/>
      <c r="F113" s="431"/>
      <c r="G113" s="431"/>
      <c r="H113" s="431"/>
      <c r="I113" s="431"/>
      <c r="J113" s="431"/>
      <c r="K113" s="431"/>
      <c r="L113" s="431"/>
      <c r="M113" s="431"/>
      <c r="N113" s="431"/>
      <c r="O113" s="431"/>
      <c r="P113" s="432">
        <f t="shared" si="11"/>
        <v>0</v>
      </c>
      <c r="Q113" s="431"/>
      <c r="R113" s="431"/>
      <c r="S113" s="431"/>
      <c r="T113" s="431"/>
      <c r="U113" s="431"/>
      <c r="V113" s="431"/>
      <c r="W113" s="431"/>
      <c r="X113" s="431"/>
      <c r="Y113" s="431"/>
      <c r="Z113" s="468"/>
      <c r="AA113" s="431"/>
      <c r="AB113" s="431"/>
      <c r="AC113" s="468"/>
      <c r="AD113" s="431"/>
      <c r="AE113" s="431"/>
      <c r="AF113" s="431"/>
      <c r="AG113" s="431"/>
      <c r="AH113" s="431"/>
      <c r="AI113" s="468"/>
      <c r="AJ113" s="468"/>
      <c r="AK113" s="431"/>
      <c r="AL113" s="431"/>
      <c r="AM113" s="431"/>
    </row>
    <row r="114" spans="1:39" s="203" customFormat="1" ht="12" hidden="1" x14ac:dyDescent="0.2">
      <c r="A114" s="205">
        <v>60</v>
      </c>
      <c r="B114" s="205"/>
      <c r="C114" s="253"/>
      <c r="D114" s="432">
        <f t="shared" si="8"/>
        <v>0</v>
      </c>
      <c r="E114" s="431"/>
      <c r="F114" s="431"/>
      <c r="G114" s="431"/>
      <c r="H114" s="431"/>
      <c r="I114" s="431"/>
      <c r="J114" s="431"/>
      <c r="K114" s="431"/>
      <c r="L114" s="431"/>
      <c r="M114" s="431"/>
      <c r="N114" s="431"/>
      <c r="O114" s="431"/>
      <c r="P114" s="432">
        <f t="shared" si="11"/>
        <v>0</v>
      </c>
      <c r="Q114" s="431"/>
      <c r="R114" s="431"/>
      <c r="S114" s="431"/>
      <c r="T114" s="431"/>
      <c r="U114" s="431"/>
      <c r="V114" s="431"/>
      <c r="W114" s="431"/>
      <c r="X114" s="431"/>
      <c r="Y114" s="431"/>
      <c r="Z114" s="468"/>
      <c r="AA114" s="431"/>
      <c r="AB114" s="431"/>
      <c r="AC114" s="468"/>
      <c r="AD114" s="431"/>
      <c r="AE114" s="431"/>
      <c r="AF114" s="431"/>
      <c r="AG114" s="431"/>
      <c r="AH114" s="431"/>
      <c r="AI114" s="468"/>
      <c r="AJ114" s="468"/>
      <c r="AK114" s="431"/>
      <c r="AL114" s="431"/>
      <c r="AM114" s="431"/>
    </row>
    <row r="115" spans="1:39" s="155" customFormat="1" ht="12" hidden="1" x14ac:dyDescent="0.2">
      <c r="A115" s="168">
        <v>61</v>
      </c>
      <c r="B115" s="168"/>
      <c r="C115" s="172"/>
      <c r="D115" s="432">
        <f t="shared" si="8"/>
        <v>0</v>
      </c>
      <c r="E115" s="431"/>
      <c r="F115" s="431"/>
      <c r="G115" s="431"/>
      <c r="H115" s="431"/>
      <c r="I115" s="431"/>
      <c r="J115" s="431"/>
      <c r="K115" s="431"/>
      <c r="L115" s="431"/>
      <c r="M115" s="431"/>
      <c r="N115" s="431"/>
      <c r="O115" s="431"/>
      <c r="P115" s="432">
        <f t="shared" si="11"/>
        <v>0</v>
      </c>
      <c r="Q115" s="431"/>
      <c r="R115" s="431"/>
      <c r="S115" s="431"/>
      <c r="T115" s="431"/>
      <c r="U115" s="431"/>
      <c r="V115" s="431"/>
      <c r="W115" s="431"/>
      <c r="X115" s="431"/>
      <c r="Y115" s="431"/>
      <c r="Z115" s="468"/>
      <c r="AA115" s="431"/>
      <c r="AB115" s="431"/>
      <c r="AC115" s="468"/>
      <c r="AD115" s="431"/>
      <c r="AE115" s="431"/>
      <c r="AF115" s="431"/>
      <c r="AG115" s="431"/>
      <c r="AH115" s="431"/>
      <c r="AI115" s="468"/>
      <c r="AJ115" s="468"/>
      <c r="AK115" s="431"/>
      <c r="AL115" s="431"/>
      <c r="AM115" s="431"/>
    </row>
    <row r="116" spans="1:39" s="155" customFormat="1" ht="12" hidden="1" x14ac:dyDescent="0.2">
      <c r="A116" s="168">
        <v>62</v>
      </c>
      <c r="B116" s="168"/>
      <c r="C116" s="172"/>
      <c r="D116" s="432">
        <f t="shared" si="8"/>
        <v>0</v>
      </c>
      <c r="E116" s="431"/>
      <c r="F116" s="431"/>
      <c r="G116" s="431"/>
      <c r="H116" s="431"/>
      <c r="I116" s="431"/>
      <c r="J116" s="431"/>
      <c r="K116" s="431"/>
      <c r="L116" s="431"/>
      <c r="M116" s="431"/>
      <c r="N116" s="431"/>
      <c r="O116" s="431"/>
      <c r="P116" s="432">
        <f t="shared" si="11"/>
        <v>0</v>
      </c>
      <c r="Q116" s="431"/>
      <c r="R116" s="431"/>
      <c r="S116" s="431"/>
      <c r="T116" s="431"/>
      <c r="U116" s="431"/>
      <c r="V116" s="431"/>
      <c r="W116" s="431"/>
      <c r="X116" s="431"/>
      <c r="Y116" s="431"/>
      <c r="Z116" s="468"/>
      <c r="AA116" s="431"/>
      <c r="AB116" s="431"/>
      <c r="AC116" s="468"/>
      <c r="AD116" s="431"/>
      <c r="AE116" s="431"/>
      <c r="AF116" s="431"/>
      <c r="AG116" s="431"/>
      <c r="AH116" s="431"/>
      <c r="AI116" s="468"/>
      <c r="AJ116" s="468"/>
      <c r="AK116" s="431"/>
      <c r="AL116" s="431"/>
      <c r="AM116" s="431"/>
    </row>
    <row r="117" spans="1:39" s="155" customFormat="1" ht="12" hidden="1" x14ac:dyDescent="0.2">
      <c r="A117" s="168">
        <v>63</v>
      </c>
      <c r="B117" s="168"/>
      <c r="C117" s="182"/>
      <c r="D117" s="432">
        <f t="shared" si="8"/>
        <v>0</v>
      </c>
      <c r="E117" s="431"/>
      <c r="F117" s="431"/>
      <c r="G117" s="431"/>
      <c r="H117" s="431"/>
      <c r="I117" s="431"/>
      <c r="J117" s="431"/>
      <c r="K117" s="431"/>
      <c r="L117" s="431"/>
      <c r="M117" s="431"/>
      <c r="N117" s="431"/>
      <c r="O117" s="431"/>
      <c r="P117" s="432">
        <f t="shared" si="11"/>
        <v>0</v>
      </c>
      <c r="Q117" s="431"/>
      <c r="R117" s="431"/>
      <c r="S117" s="431"/>
      <c r="T117" s="431"/>
      <c r="U117" s="431"/>
      <c r="V117" s="431"/>
      <c r="W117" s="431"/>
      <c r="X117" s="431"/>
      <c r="Y117" s="431"/>
      <c r="Z117" s="468"/>
      <c r="AA117" s="431"/>
      <c r="AB117" s="431"/>
      <c r="AC117" s="468"/>
      <c r="AD117" s="431"/>
      <c r="AE117" s="431"/>
      <c r="AF117" s="431"/>
      <c r="AG117" s="431"/>
      <c r="AH117" s="431"/>
      <c r="AI117" s="468"/>
      <c r="AJ117" s="468"/>
      <c r="AK117" s="431"/>
      <c r="AL117" s="431"/>
      <c r="AM117" s="431"/>
    </row>
    <row r="118" spans="1:39" s="155" customFormat="1" ht="12" hidden="1" x14ac:dyDescent="0.2">
      <c r="A118" s="168">
        <v>64</v>
      </c>
      <c r="B118" s="168"/>
      <c r="C118" s="172"/>
      <c r="D118" s="432">
        <f t="shared" ref="D118:D143" si="12">E118+SUM(H118:O118)</f>
        <v>0</v>
      </c>
      <c r="E118" s="431"/>
      <c r="F118" s="431"/>
      <c r="G118" s="431"/>
      <c r="H118" s="431"/>
      <c r="I118" s="431"/>
      <c r="J118" s="431"/>
      <c r="K118" s="431"/>
      <c r="L118" s="431"/>
      <c r="M118" s="431"/>
      <c r="N118" s="431"/>
      <c r="O118" s="431"/>
      <c r="P118" s="432">
        <f t="shared" si="11"/>
        <v>0</v>
      </c>
      <c r="Q118" s="431"/>
      <c r="R118" s="431"/>
      <c r="S118" s="431"/>
      <c r="T118" s="431"/>
      <c r="U118" s="431"/>
      <c r="V118" s="431"/>
      <c r="W118" s="431"/>
      <c r="X118" s="431"/>
      <c r="Y118" s="431"/>
      <c r="Z118" s="468"/>
      <c r="AA118" s="431"/>
      <c r="AB118" s="431"/>
      <c r="AC118" s="468"/>
      <c r="AD118" s="431"/>
      <c r="AE118" s="431"/>
      <c r="AF118" s="431"/>
      <c r="AG118" s="431"/>
      <c r="AH118" s="431"/>
      <c r="AI118" s="468"/>
      <c r="AJ118" s="468"/>
      <c r="AK118" s="431"/>
      <c r="AL118" s="431"/>
      <c r="AM118" s="431"/>
    </row>
    <row r="119" spans="1:39" s="155" customFormat="1" ht="12" hidden="1" x14ac:dyDescent="0.2">
      <c r="A119" s="168">
        <v>65</v>
      </c>
      <c r="B119" s="168"/>
      <c r="C119" s="172"/>
      <c r="D119" s="432">
        <f t="shared" si="12"/>
        <v>0</v>
      </c>
      <c r="E119" s="431"/>
      <c r="F119" s="431"/>
      <c r="G119" s="431"/>
      <c r="H119" s="431"/>
      <c r="I119" s="431"/>
      <c r="J119" s="431"/>
      <c r="K119" s="431"/>
      <c r="L119" s="431"/>
      <c r="M119" s="431"/>
      <c r="N119" s="431"/>
      <c r="O119" s="431"/>
      <c r="P119" s="432">
        <f t="shared" si="11"/>
        <v>0</v>
      </c>
      <c r="Q119" s="431"/>
      <c r="R119" s="431"/>
      <c r="S119" s="431"/>
      <c r="T119" s="431"/>
      <c r="U119" s="431"/>
      <c r="V119" s="431"/>
      <c r="W119" s="431"/>
      <c r="X119" s="431"/>
      <c r="Y119" s="431"/>
      <c r="Z119" s="468"/>
      <c r="AA119" s="431"/>
      <c r="AB119" s="431"/>
      <c r="AC119" s="468"/>
      <c r="AD119" s="431"/>
      <c r="AE119" s="431"/>
      <c r="AF119" s="431"/>
      <c r="AG119" s="431"/>
      <c r="AH119" s="431"/>
      <c r="AI119" s="468"/>
      <c r="AJ119" s="468"/>
      <c r="AK119" s="431"/>
      <c r="AL119" s="431"/>
      <c r="AM119" s="431"/>
    </row>
    <row r="120" spans="1:39" s="155" customFormat="1" ht="12" hidden="1" x14ac:dyDescent="0.2">
      <c r="A120" s="168">
        <v>66</v>
      </c>
      <c r="B120" s="168"/>
      <c r="C120" s="172"/>
      <c r="D120" s="432">
        <f t="shared" si="12"/>
        <v>0</v>
      </c>
      <c r="E120" s="431"/>
      <c r="F120" s="431"/>
      <c r="G120" s="431"/>
      <c r="H120" s="431"/>
      <c r="I120" s="431"/>
      <c r="J120" s="431"/>
      <c r="K120" s="431"/>
      <c r="L120" s="431"/>
      <c r="M120" s="431"/>
      <c r="N120" s="431"/>
      <c r="O120" s="431"/>
      <c r="P120" s="432">
        <f t="shared" si="11"/>
        <v>0</v>
      </c>
      <c r="Q120" s="431"/>
      <c r="R120" s="431"/>
      <c r="S120" s="431"/>
      <c r="T120" s="431"/>
      <c r="U120" s="431"/>
      <c r="V120" s="431"/>
      <c r="W120" s="431"/>
      <c r="X120" s="431"/>
      <c r="Y120" s="431"/>
      <c r="Z120" s="468"/>
      <c r="AA120" s="431"/>
      <c r="AB120" s="431"/>
      <c r="AC120" s="468"/>
      <c r="AD120" s="431"/>
      <c r="AE120" s="431"/>
      <c r="AF120" s="431"/>
      <c r="AG120" s="431"/>
      <c r="AH120" s="431"/>
      <c r="AI120" s="468"/>
      <c r="AJ120" s="468"/>
      <c r="AK120" s="431"/>
      <c r="AL120" s="431"/>
      <c r="AM120" s="431"/>
    </row>
    <row r="121" spans="1:39" s="155" customFormat="1" ht="12" hidden="1" x14ac:dyDescent="0.2">
      <c r="A121" s="168">
        <v>67</v>
      </c>
      <c r="B121" s="168"/>
      <c r="C121" s="172"/>
      <c r="D121" s="432">
        <f t="shared" si="12"/>
        <v>0</v>
      </c>
      <c r="E121" s="431"/>
      <c r="F121" s="431"/>
      <c r="G121" s="431"/>
      <c r="H121" s="431"/>
      <c r="I121" s="431"/>
      <c r="J121" s="431"/>
      <c r="K121" s="431"/>
      <c r="L121" s="431"/>
      <c r="M121" s="431"/>
      <c r="N121" s="431"/>
      <c r="O121" s="431"/>
      <c r="P121" s="432">
        <f t="shared" si="11"/>
        <v>0</v>
      </c>
      <c r="Q121" s="431"/>
      <c r="R121" s="431"/>
      <c r="S121" s="431"/>
      <c r="T121" s="431"/>
      <c r="U121" s="431"/>
      <c r="V121" s="431"/>
      <c r="W121" s="431"/>
      <c r="X121" s="431"/>
      <c r="Y121" s="431"/>
      <c r="Z121" s="468"/>
      <c r="AA121" s="431"/>
      <c r="AB121" s="431"/>
      <c r="AC121" s="468"/>
      <c r="AD121" s="431"/>
      <c r="AE121" s="431"/>
      <c r="AF121" s="431"/>
      <c r="AG121" s="431"/>
      <c r="AH121" s="431"/>
      <c r="AI121" s="468"/>
      <c r="AJ121" s="468"/>
      <c r="AK121" s="431"/>
      <c r="AL121" s="431"/>
      <c r="AM121" s="431"/>
    </row>
    <row r="122" spans="1:39" s="155" customFormat="1" ht="12" hidden="1" x14ac:dyDescent="0.2">
      <c r="A122" s="168">
        <v>68</v>
      </c>
      <c r="B122" s="168"/>
      <c r="C122" s="172"/>
      <c r="D122" s="432">
        <f t="shared" si="12"/>
        <v>0</v>
      </c>
      <c r="E122" s="431"/>
      <c r="F122" s="431"/>
      <c r="G122" s="431"/>
      <c r="H122" s="431"/>
      <c r="I122" s="431"/>
      <c r="J122" s="431"/>
      <c r="K122" s="431"/>
      <c r="L122" s="431"/>
      <c r="M122" s="431"/>
      <c r="N122" s="431"/>
      <c r="O122" s="431"/>
      <c r="P122" s="432">
        <f t="shared" si="11"/>
        <v>0</v>
      </c>
      <c r="Q122" s="431"/>
      <c r="R122" s="431"/>
      <c r="S122" s="431"/>
      <c r="T122" s="431"/>
      <c r="U122" s="431"/>
      <c r="V122" s="431"/>
      <c r="W122" s="431"/>
      <c r="X122" s="431"/>
      <c r="Y122" s="431"/>
      <c r="Z122" s="468"/>
      <c r="AA122" s="431"/>
      <c r="AB122" s="431"/>
      <c r="AC122" s="468"/>
      <c r="AD122" s="431"/>
      <c r="AE122" s="431"/>
      <c r="AF122" s="431"/>
      <c r="AG122" s="431"/>
      <c r="AH122" s="431"/>
      <c r="AI122" s="468"/>
      <c r="AJ122" s="468"/>
      <c r="AK122" s="431"/>
      <c r="AL122" s="431"/>
      <c r="AM122" s="431"/>
    </row>
    <row r="123" spans="1:39" s="155" customFormat="1" ht="12" hidden="1" x14ac:dyDescent="0.2">
      <c r="A123" s="168">
        <v>69</v>
      </c>
      <c r="B123" s="168"/>
      <c r="C123" s="172"/>
      <c r="D123" s="432">
        <f t="shared" si="12"/>
        <v>0</v>
      </c>
      <c r="E123" s="431"/>
      <c r="F123" s="431"/>
      <c r="G123" s="431"/>
      <c r="H123" s="431"/>
      <c r="I123" s="431"/>
      <c r="J123" s="431"/>
      <c r="K123" s="431"/>
      <c r="L123" s="431"/>
      <c r="M123" s="431"/>
      <c r="N123" s="431"/>
      <c r="O123" s="431"/>
      <c r="P123" s="432">
        <f t="shared" si="11"/>
        <v>0</v>
      </c>
      <c r="Q123" s="431"/>
      <c r="R123" s="431"/>
      <c r="S123" s="431"/>
      <c r="T123" s="431"/>
      <c r="U123" s="431"/>
      <c r="V123" s="431"/>
      <c r="W123" s="431"/>
      <c r="X123" s="431"/>
      <c r="Y123" s="431"/>
      <c r="Z123" s="468"/>
      <c r="AA123" s="431"/>
      <c r="AB123" s="431"/>
      <c r="AC123" s="468"/>
      <c r="AD123" s="431"/>
      <c r="AE123" s="431"/>
      <c r="AF123" s="431"/>
      <c r="AG123" s="431"/>
      <c r="AH123" s="431"/>
      <c r="AI123" s="468"/>
      <c r="AJ123" s="468"/>
      <c r="AK123" s="431"/>
      <c r="AL123" s="431"/>
      <c r="AM123" s="431"/>
    </row>
    <row r="124" spans="1:39" s="155" customFormat="1" ht="12" hidden="1" x14ac:dyDescent="0.2">
      <c r="A124" s="168">
        <v>70</v>
      </c>
      <c r="B124" s="168"/>
      <c r="C124" s="172"/>
      <c r="D124" s="432">
        <f t="shared" si="12"/>
        <v>0</v>
      </c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32">
        <f t="shared" si="11"/>
        <v>0</v>
      </c>
      <c r="Q124" s="431"/>
      <c r="R124" s="431"/>
      <c r="S124" s="431"/>
      <c r="T124" s="431"/>
      <c r="U124" s="431"/>
      <c r="V124" s="431"/>
      <c r="W124" s="431"/>
      <c r="X124" s="431"/>
      <c r="Y124" s="431"/>
      <c r="Z124" s="468"/>
      <c r="AA124" s="431"/>
      <c r="AB124" s="431"/>
      <c r="AC124" s="468"/>
      <c r="AD124" s="431"/>
      <c r="AE124" s="431"/>
      <c r="AF124" s="431"/>
      <c r="AG124" s="431"/>
      <c r="AH124" s="431"/>
      <c r="AI124" s="468"/>
      <c r="AJ124" s="468"/>
      <c r="AK124" s="431"/>
      <c r="AL124" s="431"/>
      <c r="AM124" s="431"/>
    </row>
    <row r="125" spans="1:39" s="155" customFormat="1" ht="12" hidden="1" x14ac:dyDescent="0.2">
      <c r="A125" s="168">
        <v>71</v>
      </c>
      <c r="B125" s="168"/>
      <c r="C125" s="172"/>
      <c r="D125" s="432">
        <f t="shared" si="12"/>
        <v>0</v>
      </c>
      <c r="E125" s="431"/>
      <c r="F125" s="431"/>
      <c r="G125" s="431"/>
      <c r="H125" s="431"/>
      <c r="I125" s="431"/>
      <c r="J125" s="431"/>
      <c r="K125" s="431"/>
      <c r="L125" s="431"/>
      <c r="M125" s="431"/>
      <c r="N125" s="431"/>
      <c r="O125" s="431"/>
      <c r="P125" s="432">
        <f t="shared" si="11"/>
        <v>0</v>
      </c>
      <c r="Q125" s="431"/>
      <c r="R125" s="431"/>
      <c r="S125" s="431"/>
      <c r="T125" s="431"/>
      <c r="U125" s="431"/>
      <c r="V125" s="431"/>
      <c r="W125" s="431"/>
      <c r="X125" s="431"/>
      <c r="Y125" s="431"/>
      <c r="Z125" s="468"/>
      <c r="AA125" s="431"/>
      <c r="AB125" s="431"/>
      <c r="AC125" s="468"/>
      <c r="AD125" s="431"/>
      <c r="AE125" s="431"/>
      <c r="AF125" s="431"/>
      <c r="AG125" s="431"/>
      <c r="AH125" s="431"/>
      <c r="AI125" s="468"/>
      <c r="AJ125" s="468"/>
      <c r="AK125" s="431"/>
      <c r="AL125" s="431"/>
      <c r="AM125" s="431"/>
    </row>
    <row r="126" spans="1:39" s="155" customFormat="1" ht="12" hidden="1" x14ac:dyDescent="0.2">
      <c r="A126" s="168">
        <v>72</v>
      </c>
      <c r="B126" s="168"/>
      <c r="C126" s="172"/>
      <c r="D126" s="432">
        <f t="shared" si="12"/>
        <v>0</v>
      </c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32">
        <f t="shared" si="11"/>
        <v>0</v>
      </c>
      <c r="Q126" s="431"/>
      <c r="R126" s="431"/>
      <c r="S126" s="431"/>
      <c r="T126" s="431"/>
      <c r="U126" s="431"/>
      <c r="V126" s="431"/>
      <c r="W126" s="431"/>
      <c r="X126" s="431"/>
      <c r="Y126" s="431"/>
      <c r="Z126" s="468"/>
      <c r="AA126" s="431"/>
      <c r="AB126" s="431"/>
      <c r="AC126" s="468"/>
      <c r="AD126" s="431"/>
      <c r="AE126" s="431"/>
      <c r="AF126" s="431"/>
      <c r="AG126" s="431"/>
      <c r="AH126" s="431"/>
      <c r="AI126" s="468"/>
      <c r="AJ126" s="468"/>
      <c r="AK126" s="431"/>
      <c r="AL126" s="431"/>
      <c r="AM126" s="431"/>
    </row>
    <row r="127" spans="1:39" s="155" customFormat="1" ht="12" hidden="1" x14ac:dyDescent="0.2">
      <c r="A127" s="168">
        <v>73</v>
      </c>
      <c r="B127" s="168"/>
      <c r="C127" s="172"/>
      <c r="D127" s="432">
        <f t="shared" si="12"/>
        <v>0</v>
      </c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32">
        <f t="shared" si="11"/>
        <v>0</v>
      </c>
      <c r="Q127" s="431"/>
      <c r="R127" s="431"/>
      <c r="S127" s="431"/>
      <c r="T127" s="431"/>
      <c r="U127" s="431"/>
      <c r="V127" s="431"/>
      <c r="W127" s="431"/>
      <c r="X127" s="431"/>
      <c r="Y127" s="431"/>
      <c r="Z127" s="468"/>
      <c r="AA127" s="431"/>
      <c r="AB127" s="431"/>
      <c r="AC127" s="468"/>
      <c r="AD127" s="431"/>
      <c r="AE127" s="431"/>
      <c r="AF127" s="431"/>
      <c r="AG127" s="431"/>
      <c r="AH127" s="431"/>
      <c r="AI127" s="468"/>
      <c r="AJ127" s="468"/>
      <c r="AK127" s="431"/>
      <c r="AL127" s="431"/>
      <c r="AM127" s="431"/>
    </row>
    <row r="128" spans="1:39" s="155" customFormat="1" ht="12" hidden="1" x14ac:dyDescent="0.2">
      <c r="A128" s="168">
        <v>74</v>
      </c>
      <c r="B128" s="168"/>
      <c r="C128" s="172"/>
      <c r="D128" s="432">
        <f t="shared" si="12"/>
        <v>0</v>
      </c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32">
        <f t="shared" si="11"/>
        <v>0</v>
      </c>
      <c r="Q128" s="431"/>
      <c r="R128" s="431"/>
      <c r="S128" s="431"/>
      <c r="T128" s="431"/>
      <c r="U128" s="431"/>
      <c r="V128" s="431"/>
      <c r="W128" s="431"/>
      <c r="X128" s="431"/>
      <c r="Y128" s="431"/>
      <c r="Z128" s="468"/>
      <c r="AA128" s="431"/>
      <c r="AB128" s="431"/>
      <c r="AC128" s="468"/>
      <c r="AD128" s="431"/>
      <c r="AE128" s="431"/>
      <c r="AF128" s="431"/>
      <c r="AG128" s="431"/>
      <c r="AH128" s="431"/>
      <c r="AI128" s="468"/>
      <c r="AJ128" s="468"/>
      <c r="AK128" s="431"/>
      <c r="AL128" s="431"/>
      <c r="AM128" s="431"/>
    </row>
    <row r="129" spans="1:39" s="155" customFormat="1" ht="12" hidden="1" x14ac:dyDescent="0.2">
      <c r="A129" s="168">
        <v>75</v>
      </c>
      <c r="B129" s="168"/>
      <c r="C129" s="172"/>
      <c r="D129" s="432">
        <f t="shared" si="12"/>
        <v>0</v>
      </c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32">
        <f t="shared" si="11"/>
        <v>0</v>
      </c>
      <c r="Q129" s="431"/>
      <c r="R129" s="431"/>
      <c r="S129" s="431"/>
      <c r="T129" s="431"/>
      <c r="U129" s="431"/>
      <c r="V129" s="431"/>
      <c r="W129" s="431"/>
      <c r="X129" s="431"/>
      <c r="Y129" s="431"/>
      <c r="Z129" s="468"/>
      <c r="AA129" s="431"/>
      <c r="AB129" s="431"/>
      <c r="AC129" s="468"/>
      <c r="AD129" s="431"/>
      <c r="AE129" s="431"/>
      <c r="AF129" s="431"/>
      <c r="AG129" s="431"/>
      <c r="AH129" s="431"/>
      <c r="AI129" s="468"/>
      <c r="AJ129" s="468"/>
      <c r="AK129" s="431"/>
      <c r="AL129" s="431"/>
      <c r="AM129" s="431"/>
    </row>
    <row r="130" spans="1:39" s="155" customFormat="1" ht="12" hidden="1" x14ac:dyDescent="0.2">
      <c r="A130" s="168">
        <v>76</v>
      </c>
      <c r="B130" s="168"/>
      <c r="C130" s="172"/>
      <c r="D130" s="432">
        <f t="shared" si="12"/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32">
        <f t="shared" si="11"/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</row>
    <row r="131" spans="1:39" s="155" customFormat="1" ht="12" hidden="1" x14ac:dyDescent="0.2">
      <c r="A131" s="168">
        <v>77</v>
      </c>
      <c r="B131" s="168"/>
      <c r="C131" s="172"/>
      <c r="D131" s="432">
        <f t="shared" si="12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2">
        <f t="shared" si="11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</row>
    <row r="132" spans="1:39" s="155" customFormat="1" ht="12" hidden="1" x14ac:dyDescent="0.2">
      <c r="A132" s="168">
        <v>78</v>
      </c>
      <c r="B132" s="168"/>
      <c r="C132" s="172"/>
      <c r="D132" s="432">
        <f t="shared" si="12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2">
        <f t="shared" si="11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</row>
    <row r="133" spans="1:39" s="155" customFormat="1" ht="12" hidden="1" x14ac:dyDescent="0.2">
      <c r="A133" s="168">
        <v>79</v>
      </c>
      <c r="B133" s="168"/>
      <c r="C133" s="172"/>
      <c r="D133" s="432">
        <f t="shared" si="12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si="11"/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155" customFormat="1" ht="12" hidden="1" x14ac:dyDescent="0.2">
      <c r="A134" s="168">
        <v>80</v>
      </c>
      <c r="B134" s="168"/>
      <c r="C134" s="172"/>
      <c r="D134" s="432">
        <f t="shared" si="12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si="11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155" customFormat="1" ht="12" hidden="1" x14ac:dyDescent="0.2">
      <c r="A135" s="168">
        <v>81</v>
      </c>
      <c r="B135" s="168"/>
      <c r="C135" s="172"/>
      <c r="D135" s="432">
        <f t="shared" si="12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11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155" customFormat="1" ht="12" hidden="1" x14ac:dyDescent="0.2">
      <c r="A136" s="168">
        <v>82</v>
      </c>
      <c r="B136" s="168"/>
      <c r="C136" s="172"/>
      <c r="D136" s="432">
        <f t="shared" si="12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11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155" customFormat="1" ht="12" hidden="1" x14ac:dyDescent="0.2">
      <c r="A137" s="168">
        <v>83</v>
      </c>
      <c r="B137" s="168"/>
      <c r="C137" s="172"/>
      <c r="D137" s="432">
        <f t="shared" si="12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11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68"/>
      <c r="C138" s="172"/>
      <c r="D138" s="432">
        <f t="shared" si="12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1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68"/>
      <c r="C139" s="172"/>
      <c r="D139" s="432">
        <f t="shared" si="12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1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68"/>
      <c r="C140" s="172"/>
      <c r="D140" s="432">
        <f t="shared" si="12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1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173"/>
      <c r="D141" s="432">
        <f t="shared" si="12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1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2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1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2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5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R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44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44" s="55" customFormat="1" ht="15.75" x14ac:dyDescent="0.25">
      <c r="A2" s="53"/>
      <c r="B2" s="54" t="s">
        <v>952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44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44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44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44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44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44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44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44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44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44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44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44" s="325" customFormat="1" ht="13.5" customHeight="1" x14ac:dyDescent="0.2">
      <c r="A14" s="322" t="s">
        <v>70</v>
      </c>
      <c r="B14" s="323"/>
      <c r="C14" s="324"/>
      <c r="D14" s="432">
        <f>E14+SUM(H14:O14)</f>
        <v>849534277</v>
      </c>
      <c r="E14" s="432">
        <f>SUM(E15,E16,E33,E54)</f>
        <v>316339546</v>
      </c>
      <c r="F14" s="432">
        <f t="shared" ref="F14:O14" si="0">SUM(F15,F16,F33,F54)</f>
        <v>130602536</v>
      </c>
      <c r="G14" s="432">
        <f t="shared" si="0"/>
        <v>45587671</v>
      </c>
      <c r="H14" s="432">
        <f t="shared" si="0"/>
        <v>29212614</v>
      </c>
      <c r="I14" s="432">
        <f t="shared" si="0"/>
        <v>216322233</v>
      </c>
      <c r="J14" s="432">
        <f t="shared" si="0"/>
        <v>16273140</v>
      </c>
      <c r="K14" s="432">
        <f t="shared" si="0"/>
        <v>75395600</v>
      </c>
      <c r="L14" s="432">
        <f t="shared" si="0"/>
        <v>0</v>
      </c>
      <c r="M14" s="432">
        <f t="shared" si="0"/>
        <v>120016709</v>
      </c>
      <c r="N14" s="432">
        <f t="shared" si="0"/>
        <v>66604464</v>
      </c>
      <c r="O14" s="432">
        <f t="shared" si="0"/>
        <v>9369971</v>
      </c>
      <c r="P14" s="432">
        <f>IF(SUM(Q14:AB14)=SUM(AC14:AM14),SUM(Q14:AB14),"  EROARE ART/CAP")</f>
        <v>770870084</v>
      </c>
      <c r="Q14" s="432">
        <f t="shared" ref="Q14:AM14" si="1">Q15+Q16+Q33+Q54</f>
        <v>249553336</v>
      </c>
      <c r="R14" s="432">
        <f t="shared" si="1"/>
        <v>112877577</v>
      </c>
      <c r="S14" s="432">
        <f t="shared" si="1"/>
        <v>2122085</v>
      </c>
      <c r="T14" s="432">
        <f t="shared" si="1"/>
        <v>10273358</v>
      </c>
      <c r="U14" s="432">
        <f t="shared" si="1"/>
        <v>61236972</v>
      </c>
      <c r="V14" s="432">
        <f t="shared" si="1"/>
        <v>9246062</v>
      </c>
      <c r="W14" s="432">
        <f t="shared" si="1"/>
        <v>107694655</v>
      </c>
      <c r="X14" s="432">
        <f t="shared" si="1"/>
        <v>77049564</v>
      </c>
      <c r="Y14" s="432">
        <f t="shared" si="1"/>
        <v>11718166</v>
      </c>
      <c r="Z14" s="432">
        <f t="shared" si="1"/>
        <v>125050449</v>
      </c>
      <c r="AA14" s="432">
        <f t="shared" si="1"/>
        <v>5031613</v>
      </c>
      <c r="AB14" s="432">
        <f t="shared" si="1"/>
        <v>-983753</v>
      </c>
      <c r="AC14" s="432">
        <f t="shared" si="1"/>
        <v>84898804</v>
      </c>
      <c r="AD14" s="432">
        <f t="shared" si="1"/>
        <v>10807039</v>
      </c>
      <c r="AE14" s="432">
        <f t="shared" si="1"/>
        <v>222443434</v>
      </c>
      <c r="AF14" s="432">
        <f t="shared" si="1"/>
        <v>19628537</v>
      </c>
      <c r="AG14" s="432">
        <f t="shared" si="1"/>
        <v>45429697</v>
      </c>
      <c r="AH14" s="432">
        <f t="shared" si="1"/>
        <v>109685455</v>
      </c>
      <c r="AI14" s="432">
        <f t="shared" si="1"/>
        <v>67345048</v>
      </c>
      <c r="AJ14" s="432">
        <f t="shared" si="1"/>
        <v>85301711</v>
      </c>
      <c r="AK14" s="432">
        <f t="shared" si="1"/>
        <v>0</v>
      </c>
      <c r="AL14" s="432">
        <f t="shared" si="1"/>
        <v>117477176</v>
      </c>
      <c r="AM14" s="432">
        <f t="shared" si="1"/>
        <v>7853183</v>
      </c>
      <c r="AN14" s="340"/>
      <c r="AO14" s="340"/>
      <c r="AP14" s="340"/>
      <c r="AQ14" s="340"/>
      <c r="AR14" s="340"/>
    </row>
    <row r="15" spans="1:44" s="325" customFormat="1" ht="12.75" customHeight="1" x14ac:dyDescent="0.2">
      <c r="A15" s="326" t="s">
        <v>71</v>
      </c>
      <c r="B15" s="327"/>
      <c r="C15" s="328"/>
      <c r="D15" s="432">
        <f>E15+SUM(H15:O15)</f>
        <v>215665965</v>
      </c>
      <c r="E15" s="431">
        <v>61675736</v>
      </c>
      <c r="F15" s="431">
        <v>27722232</v>
      </c>
      <c r="G15" s="431">
        <v>25985456</v>
      </c>
      <c r="H15" s="431">
        <v>29212614</v>
      </c>
      <c r="I15" s="431"/>
      <c r="J15" s="431">
        <v>6450140</v>
      </c>
      <c r="K15" s="431">
        <v>27584000</v>
      </c>
      <c r="L15" s="431"/>
      <c r="M15" s="431">
        <v>54835539</v>
      </c>
      <c r="N15" s="431">
        <v>30422261</v>
      </c>
      <c r="O15" s="431">
        <v>5485675</v>
      </c>
      <c r="P15" s="432">
        <f>IF(SUM(Q15:AB15)=SUM(AC15:AM15),SUM(Q15:AB15),"  EROARE ART/CAP")</f>
        <v>185207962</v>
      </c>
      <c r="Q15" s="431">
        <v>23969268</v>
      </c>
      <c r="R15" s="431">
        <v>15608012</v>
      </c>
      <c r="S15" s="431">
        <v>0</v>
      </c>
      <c r="T15" s="431">
        <v>0</v>
      </c>
      <c r="U15" s="431">
        <v>19967076</v>
      </c>
      <c r="V15" s="431">
        <v>7027020</v>
      </c>
      <c r="W15" s="431">
        <v>56593903</v>
      </c>
      <c r="X15" s="431">
        <v>49215920</v>
      </c>
      <c r="Y15" s="431">
        <v>3284866</v>
      </c>
      <c r="Z15" s="431">
        <v>9694439</v>
      </c>
      <c r="AA15" s="431">
        <v>0</v>
      </c>
      <c r="AB15" s="431">
        <v>-152542</v>
      </c>
      <c r="AC15" s="431">
        <v>9632103</v>
      </c>
      <c r="AD15" s="431">
        <v>855236</v>
      </c>
      <c r="AE15" s="431">
        <v>13183653</v>
      </c>
      <c r="AF15" s="431">
        <v>13005484</v>
      </c>
      <c r="AG15" s="431">
        <v>15772028</v>
      </c>
      <c r="AH15" s="431">
        <v>59280910</v>
      </c>
      <c r="AI15" s="431">
        <v>5430016</v>
      </c>
      <c r="AJ15" s="431">
        <v>56735801</v>
      </c>
      <c r="AK15" s="431">
        <v>0</v>
      </c>
      <c r="AL15" s="431">
        <v>9667520</v>
      </c>
      <c r="AM15" s="431">
        <v>1645211</v>
      </c>
      <c r="AN15" s="340"/>
      <c r="AO15" s="340"/>
      <c r="AP15" s="340"/>
      <c r="AQ15" s="340"/>
      <c r="AR15" s="340"/>
    </row>
    <row r="16" spans="1:44" s="325" customFormat="1" x14ac:dyDescent="0.2">
      <c r="A16" s="326" t="s">
        <v>72</v>
      </c>
      <c r="B16" s="329"/>
      <c r="C16" s="329"/>
      <c r="D16" s="432">
        <f>E16+SUM(H16:O16)</f>
        <v>342500426</v>
      </c>
      <c r="E16" s="433">
        <f>SUM(E18:E32)</f>
        <v>167727840</v>
      </c>
      <c r="F16" s="433">
        <f t="shared" ref="F16:O16" si="2">SUM(F18:F32)</f>
        <v>81129076</v>
      </c>
      <c r="G16" s="433">
        <f t="shared" si="2"/>
        <v>1986073</v>
      </c>
      <c r="H16" s="433">
        <f t="shared" si="2"/>
        <v>0</v>
      </c>
      <c r="I16" s="433">
        <f t="shared" si="2"/>
        <v>134196073</v>
      </c>
      <c r="J16" s="433">
        <f t="shared" si="2"/>
        <v>0</v>
      </c>
      <c r="K16" s="433">
        <f t="shared" si="2"/>
        <v>5522000</v>
      </c>
      <c r="L16" s="433">
        <f t="shared" si="2"/>
        <v>0</v>
      </c>
      <c r="M16" s="433">
        <f t="shared" si="2"/>
        <v>12582062</v>
      </c>
      <c r="N16" s="433">
        <f t="shared" si="2"/>
        <v>22472451</v>
      </c>
      <c r="O16" s="433">
        <f t="shared" si="2"/>
        <v>0</v>
      </c>
      <c r="P16" s="432">
        <f t="shared" ref="P16:P54" si="3">IF(SUM(Q16:AB16)=SUM(AC16:AM16),SUM(Q16:AB16),"  EROARE ART/CAP")</f>
        <v>313954565</v>
      </c>
      <c r="Q16" s="432">
        <f>SUM(Q18:Q32)</f>
        <v>127689140</v>
      </c>
      <c r="R16" s="432">
        <f t="shared" ref="R16:AM16" si="4">SUM(R18:R32)</f>
        <v>52324733</v>
      </c>
      <c r="S16" s="432">
        <f t="shared" si="4"/>
        <v>2035699</v>
      </c>
      <c r="T16" s="432">
        <f t="shared" si="4"/>
        <v>10273358</v>
      </c>
      <c r="U16" s="432">
        <f t="shared" si="4"/>
        <v>40516500</v>
      </c>
      <c r="V16" s="432">
        <f t="shared" si="4"/>
        <v>312722</v>
      </c>
      <c r="W16" s="432">
        <f t="shared" si="4"/>
        <v>36652257</v>
      </c>
      <c r="X16" s="432">
        <f t="shared" si="4"/>
        <v>16576425</v>
      </c>
      <c r="Y16" s="432">
        <f t="shared" si="4"/>
        <v>2670127</v>
      </c>
      <c r="Z16" s="432">
        <f t="shared" si="4"/>
        <v>21088303</v>
      </c>
      <c r="AA16" s="432">
        <f t="shared" si="4"/>
        <v>4212823</v>
      </c>
      <c r="AB16" s="432">
        <f t="shared" si="4"/>
        <v>-397522</v>
      </c>
      <c r="AC16" s="432">
        <f t="shared" si="4"/>
        <v>24211382</v>
      </c>
      <c r="AD16" s="432">
        <f t="shared" si="4"/>
        <v>5485184</v>
      </c>
      <c r="AE16" s="432">
        <f t="shared" si="4"/>
        <v>129733735</v>
      </c>
      <c r="AF16" s="432">
        <f t="shared" si="4"/>
        <v>4934237</v>
      </c>
      <c r="AG16" s="432">
        <f t="shared" si="4"/>
        <v>15735691</v>
      </c>
      <c r="AH16" s="432">
        <f t="shared" si="4"/>
        <v>32401510</v>
      </c>
      <c r="AI16" s="432">
        <f t="shared" si="4"/>
        <v>48100280</v>
      </c>
      <c r="AJ16" s="432">
        <f t="shared" si="4"/>
        <v>23950056</v>
      </c>
      <c r="AK16" s="432">
        <f t="shared" si="4"/>
        <v>0</v>
      </c>
      <c r="AL16" s="432">
        <f t="shared" si="4"/>
        <v>27898937</v>
      </c>
      <c r="AM16" s="432">
        <f t="shared" si="4"/>
        <v>1503553</v>
      </c>
      <c r="AN16" s="340"/>
      <c r="AO16" s="340"/>
      <c r="AP16" s="340"/>
      <c r="AQ16" s="340"/>
      <c r="AR16" s="340"/>
    </row>
    <row r="17" spans="1:44" s="325" customFormat="1" ht="25.5" x14ac:dyDescent="0.2">
      <c r="A17" s="330" t="s">
        <v>2306</v>
      </c>
      <c r="B17" s="523" t="s">
        <v>74</v>
      </c>
      <c r="C17" s="524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  <c r="AN17" s="340"/>
      <c r="AO17" s="340"/>
      <c r="AP17" s="340"/>
      <c r="AQ17" s="340"/>
      <c r="AR17" s="340"/>
    </row>
    <row r="18" spans="1:44" s="325" customFormat="1" x14ac:dyDescent="0.2">
      <c r="A18" s="523">
        <v>1</v>
      </c>
      <c r="B18" s="523">
        <v>42682</v>
      </c>
      <c r="C18" s="525" t="s">
        <v>2632</v>
      </c>
      <c r="D18" s="432">
        <f>E18+SUM(H18:O18)</f>
        <v>342500426</v>
      </c>
      <c r="E18" s="431">
        <v>167727840</v>
      </c>
      <c r="F18" s="431">
        <v>81129076</v>
      </c>
      <c r="G18" s="431">
        <v>1986073</v>
      </c>
      <c r="H18" s="431"/>
      <c r="I18" s="431">
        <v>134196073</v>
      </c>
      <c r="J18" s="431"/>
      <c r="K18" s="431">
        <v>5522000</v>
      </c>
      <c r="L18" s="431"/>
      <c r="M18" s="431">
        <v>12582062</v>
      </c>
      <c r="N18" s="431">
        <v>22472451</v>
      </c>
      <c r="O18" s="431"/>
      <c r="P18" s="432">
        <f t="shared" ref="P18" si="5">IF(SUM(Q18:AB18)=SUM(AC18:AM18),SUM(Q18:AB18),"  EROARE ART/CAP")</f>
        <v>313954565</v>
      </c>
      <c r="Q18" s="431">
        <v>127689140</v>
      </c>
      <c r="R18" s="431">
        <v>52324733</v>
      </c>
      <c r="S18" s="431">
        <v>2035699</v>
      </c>
      <c r="T18" s="431">
        <v>10273358</v>
      </c>
      <c r="U18" s="431">
        <v>40516500</v>
      </c>
      <c r="V18" s="431">
        <v>312722</v>
      </c>
      <c r="W18" s="431">
        <v>36652257</v>
      </c>
      <c r="X18" s="431">
        <v>16576425</v>
      </c>
      <c r="Y18" s="431">
        <v>2670127</v>
      </c>
      <c r="Z18" s="431">
        <v>21088303</v>
      </c>
      <c r="AA18" s="431">
        <v>4212823</v>
      </c>
      <c r="AB18" s="431">
        <v>-397522</v>
      </c>
      <c r="AC18" s="431">
        <v>24211382</v>
      </c>
      <c r="AD18" s="431">
        <v>5485184</v>
      </c>
      <c r="AE18" s="431">
        <v>129733735</v>
      </c>
      <c r="AF18" s="431">
        <v>4934237</v>
      </c>
      <c r="AG18" s="431">
        <v>15735691</v>
      </c>
      <c r="AH18" s="431">
        <v>32401510</v>
      </c>
      <c r="AI18" s="431">
        <v>48100280</v>
      </c>
      <c r="AJ18" s="431">
        <v>23950056</v>
      </c>
      <c r="AK18" s="431">
        <v>0</v>
      </c>
      <c r="AL18" s="431">
        <v>27898937</v>
      </c>
      <c r="AM18" s="431">
        <v>1503553</v>
      </c>
      <c r="AN18" s="340"/>
      <c r="AO18" s="340"/>
      <c r="AP18" s="340"/>
      <c r="AQ18" s="340"/>
      <c r="AR18" s="340"/>
    </row>
    <row r="19" spans="1:44" s="325" customFormat="1" hidden="1" x14ac:dyDescent="0.2">
      <c r="A19" s="523">
        <v>2</v>
      </c>
      <c r="B19" s="523"/>
      <c r="C19" s="526"/>
      <c r="D19" s="432">
        <f t="shared" ref="D19:D41" si="6">E19+SUM(H19:O19)</f>
        <v>0</v>
      </c>
      <c r="E19" s="434"/>
      <c r="F19" s="434"/>
      <c r="G19" s="434"/>
      <c r="H19" s="434"/>
      <c r="I19" s="434"/>
      <c r="J19" s="434"/>
      <c r="K19" s="434"/>
      <c r="L19" s="434"/>
      <c r="M19" s="434"/>
      <c r="N19" s="434"/>
      <c r="O19" s="434"/>
      <c r="P19" s="432">
        <f t="shared" si="3"/>
        <v>0</v>
      </c>
      <c r="Q19" s="435"/>
      <c r="R19" s="435"/>
      <c r="S19" s="435"/>
      <c r="T19" s="435"/>
      <c r="U19" s="435"/>
      <c r="V19" s="431"/>
      <c r="W19" s="431"/>
      <c r="X19" s="431"/>
      <c r="Y19" s="431"/>
      <c r="Z19" s="431"/>
      <c r="AA19" s="431"/>
      <c r="AB19" s="431"/>
      <c r="AC19" s="434"/>
      <c r="AD19" s="434"/>
      <c r="AE19" s="434"/>
      <c r="AF19" s="434"/>
      <c r="AG19" s="434"/>
      <c r="AH19" s="434"/>
      <c r="AI19" s="434"/>
      <c r="AJ19" s="434"/>
      <c r="AK19" s="434"/>
      <c r="AL19" s="434"/>
      <c r="AM19" s="434"/>
      <c r="AN19" s="340"/>
      <c r="AO19" s="340"/>
      <c r="AP19" s="340"/>
      <c r="AQ19" s="340"/>
      <c r="AR19" s="340"/>
    </row>
    <row r="20" spans="1:44" s="325" customFormat="1" hidden="1" x14ac:dyDescent="0.2">
      <c r="A20" s="523">
        <v>3</v>
      </c>
      <c r="B20" s="523"/>
      <c r="C20" s="525"/>
      <c r="D20" s="432">
        <f t="shared" si="6"/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2">
        <f t="shared" si="3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  <c r="AN20" s="340"/>
      <c r="AO20" s="340"/>
      <c r="AP20" s="340"/>
      <c r="AQ20" s="340"/>
      <c r="AR20" s="340"/>
    </row>
    <row r="21" spans="1:44" s="325" customFormat="1" hidden="1" x14ac:dyDescent="0.2">
      <c r="A21" s="523">
        <v>4</v>
      </c>
      <c r="B21" s="523"/>
      <c r="C21" s="527"/>
      <c r="D21" s="432">
        <f t="shared" si="6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3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  <c r="AN21" s="340"/>
      <c r="AO21" s="340"/>
      <c r="AP21" s="340"/>
      <c r="AQ21" s="340"/>
      <c r="AR21" s="340"/>
    </row>
    <row r="22" spans="1:44" s="325" customFormat="1" hidden="1" x14ac:dyDescent="0.2">
      <c r="A22" s="523">
        <v>5</v>
      </c>
      <c r="B22" s="523"/>
      <c r="C22" s="527"/>
      <c r="D22" s="432">
        <f t="shared" si="6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3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  <c r="AN22" s="340"/>
      <c r="AO22" s="340"/>
      <c r="AP22" s="340"/>
      <c r="AQ22" s="340"/>
      <c r="AR22" s="340"/>
    </row>
    <row r="23" spans="1:44" s="325" customFormat="1" hidden="1" x14ac:dyDescent="0.2">
      <c r="A23" s="523">
        <v>6</v>
      </c>
      <c r="B23" s="523"/>
      <c r="C23" s="527"/>
      <c r="D23" s="432">
        <f t="shared" si="6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3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  <c r="AN23" s="340"/>
      <c r="AO23" s="340"/>
      <c r="AP23" s="340"/>
      <c r="AQ23" s="340"/>
      <c r="AR23" s="340"/>
    </row>
    <row r="24" spans="1:44" s="325" customFormat="1" hidden="1" x14ac:dyDescent="0.2">
      <c r="A24" s="523">
        <v>7</v>
      </c>
      <c r="B24" s="523"/>
      <c r="C24" s="527"/>
      <c r="D24" s="432">
        <f t="shared" si="6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3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  <c r="AN24" s="340"/>
      <c r="AO24" s="340"/>
      <c r="AP24" s="340"/>
      <c r="AQ24" s="340"/>
      <c r="AR24" s="340"/>
    </row>
    <row r="25" spans="1:44" s="325" customFormat="1" hidden="1" x14ac:dyDescent="0.2">
      <c r="A25" s="523">
        <v>8</v>
      </c>
      <c r="B25" s="523"/>
      <c r="C25" s="527"/>
      <c r="D25" s="432">
        <f t="shared" si="6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3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  <c r="AN25" s="340"/>
      <c r="AO25" s="340"/>
      <c r="AP25" s="340"/>
      <c r="AQ25" s="340"/>
      <c r="AR25" s="340"/>
    </row>
    <row r="26" spans="1:44" s="325" customFormat="1" hidden="1" x14ac:dyDescent="0.2">
      <c r="A26" s="523">
        <v>9</v>
      </c>
      <c r="B26" s="523"/>
      <c r="C26" s="527"/>
      <c r="D26" s="432">
        <f t="shared" si="6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3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  <c r="AN26" s="340"/>
      <c r="AO26" s="340"/>
      <c r="AP26" s="340"/>
      <c r="AQ26" s="340"/>
      <c r="AR26" s="340"/>
    </row>
    <row r="27" spans="1:44" s="325" customFormat="1" hidden="1" x14ac:dyDescent="0.2">
      <c r="A27" s="523">
        <v>10</v>
      </c>
      <c r="B27" s="523"/>
      <c r="C27" s="527"/>
      <c r="D27" s="432">
        <f t="shared" si="6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3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  <c r="AN27" s="340"/>
      <c r="AO27" s="340"/>
      <c r="AP27" s="340"/>
      <c r="AQ27" s="340"/>
      <c r="AR27" s="340"/>
    </row>
    <row r="28" spans="1:44" s="325" customFormat="1" hidden="1" x14ac:dyDescent="0.2">
      <c r="A28" s="523">
        <v>11</v>
      </c>
      <c r="B28" s="523"/>
      <c r="C28" s="527"/>
      <c r="D28" s="432">
        <f t="shared" si="6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3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  <c r="AN28" s="340"/>
      <c r="AO28" s="340"/>
      <c r="AP28" s="340"/>
      <c r="AQ28" s="340"/>
      <c r="AR28" s="340"/>
    </row>
    <row r="29" spans="1:44" s="325" customFormat="1" hidden="1" x14ac:dyDescent="0.2">
      <c r="A29" s="523">
        <v>12</v>
      </c>
      <c r="B29" s="523"/>
      <c r="C29" s="527"/>
      <c r="D29" s="432">
        <f t="shared" si="6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3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  <c r="AN29" s="340"/>
      <c r="AO29" s="340"/>
      <c r="AP29" s="340"/>
      <c r="AQ29" s="340"/>
      <c r="AR29" s="340"/>
    </row>
    <row r="30" spans="1:44" s="325" customFormat="1" hidden="1" x14ac:dyDescent="0.2">
      <c r="A30" s="523">
        <v>13</v>
      </c>
      <c r="B30" s="523"/>
      <c r="C30" s="527"/>
      <c r="D30" s="432">
        <f t="shared" si="6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3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  <c r="AN30" s="340"/>
      <c r="AO30" s="340"/>
      <c r="AP30" s="340"/>
      <c r="AQ30" s="340"/>
      <c r="AR30" s="340"/>
    </row>
    <row r="31" spans="1:44" s="325" customFormat="1" hidden="1" x14ac:dyDescent="0.2">
      <c r="A31" s="523">
        <v>14</v>
      </c>
      <c r="B31" s="523"/>
      <c r="C31" s="527"/>
      <c r="D31" s="432">
        <f t="shared" si="6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3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  <c r="AN31" s="340"/>
      <c r="AO31" s="340"/>
      <c r="AP31" s="340"/>
      <c r="AQ31" s="340"/>
      <c r="AR31" s="340"/>
    </row>
    <row r="32" spans="1:44" s="325" customFormat="1" hidden="1" x14ac:dyDescent="0.2">
      <c r="A32" s="523">
        <v>15</v>
      </c>
      <c r="B32" s="523"/>
      <c r="C32" s="334"/>
      <c r="D32" s="432">
        <f t="shared" si="6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3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  <c r="AN32" s="340"/>
      <c r="AO32" s="340"/>
      <c r="AP32" s="340"/>
      <c r="AQ32" s="340"/>
      <c r="AR32" s="340"/>
    </row>
    <row r="33" spans="1:44" s="325" customFormat="1" x14ac:dyDescent="0.2">
      <c r="A33" s="335" t="s">
        <v>75</v>
      </c>
      <c r="B33" s="335"/>
      <c r="C33" s="336"/>
      <c r="D33" s="432">
        <f t="shared" si="6"/>
        <v>48796417</v>
      </c>
      <c r="E33" s="432">
        <f>SUM(E34:E53)</f>
        <v>16709095</v>
      </c>
      <c r="F33" s="432">
        <f t="shared" ref="F33:O33" si="7">SUM(F34:F53)</f>
        <v>5414406</v>
      </c>
      <c r="G33" s="432">
        <f t="shared" si="7"/>
        <v>2392658</v>
      </c>
      <c r="H33" s="432">
        <f t="shared" si="7"/>
        <v>0</v>
      </c>
      <c r="I33" s="432">
        <f t="shared" si="7"/>
        <v>15945000</v>
      </c>
      <c r="J33" s="432">
        <f t="shared" si="7"/>
        <v>1450000</v>
      </c>
      <c r="K33" s="432">
        <f t="shared" si="7"/>
        <v>6463000</v>
      </c>
      <c r="L33" s="432">
        <f t="shared" si="7"/>
        <v>0</v>
      </c>
      <c r="M33" s="432">
        <f t="shared" si="7"/>
        <v>6453341</v>
      </c>
      <c r="N33" s="432">
        <f t="shared" si="7"/>
        <v>1488239</v>
      </c>
      <c r="O33" s="432">
        <f t="shared" si="7"/>
        <v>287742</v>
      </c>
      <c r="P33" s="432">
        <f t="shared" si="3"/>
        <v>45015161</v>
      </c>
      <c r="Q33" s="432">
        <f>SUM(Q34:Q53)</f>
        <v>17875426</v>
      </c>
      <c r="R33" s="432">
        <f t="shared" ref="R33:AM33" si="8">SUM(R34:R53)</f>
        <v>8140970</v>
      </c>
      <c r="S33" s="432">
        <f t="shared" si="8"/>
        <v>67000</v>
      </c>
      <c r="T33" s="432">
        <f t="shared" si="8"/>
        <v>0</v>
      </c>
      <c r="U33" s="432">
        <f t="shared" si="8"/>
        <v>753396</v>
      </c>
      <c r="V33" s="432">
        <f t="shared" si="8"/>
        <v>38449</v>
      </c>
      <c r="W33" s="432">
        <f t="shared" si="8"/>
        <v>4004394</v>
      </c>
      <c r="X33" s="432">
        <f t="shared" si="8"/>
        <v>1051835</v>
      </c>
      <c r="Y33" s="432">
        <f t="shared" si="8"/>
        <v>732880</v>
      </c>
      <c r="Z33" s="432">
        <f t="shared" si="8"/>
        <v>12151358</v>
      </c>
      <c r="AA33" s="432">
        <f t="shared" si="8"/>
        <v>213000</v>
      </c>
      <c r="AB33" s="432">
        <f t="shared" si="8"/>
        <v>-13547</v>
      </c>
      <c r="AC33" s="432">
        <f t="shared" si="8"/>
        <v>9171949</v>
      </c>
      <c r="AD33" s="432">
        <f t="shared" si="8"/>
        <v>678173</v>
      </c>
      <c r="AE33" s="432">
        <f t="shared" si="8"/>
        <v>15112173</v>
      </c>
      <c r="AF33" s="432">
        <f t="shared" si="8"/>
        <v>667179</v>
      </c>
      <c r="AG33" s="432">
        <f t="shared" si="8"/>
        <v>1421316</v>
      </c>
      <c r="AH33" s="432">
        <f t="shared" si="8"/>
        <v>3033858</v>
      </c>
      <c r="AI33" s="432">
        <f t="shared" si="8"/>
        <v>1013201</v>
      </c>
      <c r="AJ33" s="432">
        <f t="shared" si="8"/>
        <v>1804648</v>
      </c>
      <c r="AK33" s="432">
        <f t="shared" si="8"/>
        <v>0</v>
      </c>
      <c r="AL33" s="432">
        <f t="shared" si="8"/>
        <v>11893849</v>
      </c>
      <c r="AM33" s="432">
        <f t="shared" si="8"/>
        <v>218815</v>
      </c>
      <c r="AN33" s="340"/>
      <c r="AO33" s="340"/>
      <c r="AP33" s="340"/>
      <c r="AQ33" s="340"/>
      <c r="AR33" s="340"/>
    </row>
    <row r="34" spans="1:44" s="325" customFormat="1" x14ac:dyDescent="0.2">
      <c r="A34" s="523">
        <v>1</v>
      </c>
      <c r="B34" s="528">
        <v>42753</v>
      </c>
      <c r="C34" s="529" t="s">
        <v>1635</v>
      </c>
      <c r="D34" s="432">
        <f>E34+SUM(H34:O34)</f>
        <v>9278496</v>
      </c>
      <c r="E34" s="431">
        <v>3905301</v>
      </c>
      <c r="F34" s="431">
        <v>1360149</v>
      </c>
      <c r="G34" s="431">
        <v>1155603</v>
      </c>
      <c r="H34" s="431"/>
      <c r="I34" s="431">
        <v>3323031</v>
      </c>
      <c r="J34" s="431"/>
      <c r="K34" s="431">
        <v>1664000</v>
      </c>
      <c r="L34" s="431"/>
      <c r="M34" s="431">
        <v>230647</v>
      </c>
      <c r="N34" s="431">
        <v>0</v>
      </c>
      <c r="O34" s="431">
        <v>155517</v>
      </c>
      <c r="P34" s="432">
        <f t="shared" ref="P34:P36" si="9">IF(SUM(Q34:AB34)=SUM(AC34:AM34),SUM(Q34:AB34),"  EROARE ART/CAP")</f>
        <v>7563324</v>
      </c>
      <c r="Q34" s="431">
        <v>3806348</v>
      </c>
      <c r="R34" s="431">
        <v>2214150</v>
      </c>
      <c r="S34" s="431">
        <v>0</v>
      </c>
      <c r="T34" s="431"/>
      <c r="U34" s="431">
        <v>74337</v>
      </c>
      <c r="V34" s="431">
        <v>14998</v>
      </c>
      <c r="W34" s="431">
        <v>0</v>
      </c>
      <c r="X34" s="431">
        <v>255493</v>
      </c>
      <c r="Y34" s="431">
        <v>137761</v>
      </c>
      <c r="Z34" s="431">
        <v>1062335</v>
      </c>
      <c r="AA34" s="431">
        <v>0</v>
      </c>
      <c r="AB34" s="431">
        <v>-2098</v>
      </c>
      <c r="AC34" s="431">
        <v>1197658</v>
      </c>
      <c r="AD34" s="431">
        <v>96239</v>
      </c>
      <c r="AE34" s="431">
        <v>3431236</v>
      </c>
      <c r="AF34" s="431">
        <v>431559</v>
      </c>
      <c r="AG34" s="431">
        <v>305775</v>
      </c>
      <c r="AH34" s="431">
        <v>402222</v>
      </c>
      <c r="AI34" s="431">
        <v>397485</v>
      </c>
      <c r="AJ34" s="431">
        <v>199059</v>
      </c>
      <c r="AK34" s="431">
        <v>0</v>
      </c>
      <c r="AL34" s="431">
        <v>982091</v>
      </c>
      <c r="AM34" s="431">
        <v>120000</v>
      </c>
      <c r="AN34" s="340"/>
      <c r="AO34" s="340"/>
      <c r="AP34" s="340"/>
      <c r="AQ34" s="340"/>
      <c r="AR34" s="340"/>
    </row>
    <row r="35" spans="1:44" s="325" customFormat="1" x14ac:dyDescent="0.2">
      <c r="A35" s="523">
        <v>2</v>
      </c>
      <c r="B35" s="528">
        <v>43331</v>
      </c>
      <c r="C35" s="529" t="s">
        <v>2633</v>
      </c>
      <c r="D35" s="432">
        <f>E35+SUM(H35:O35)</f>
        <v>24541746</v>
      </c>
      <c r="E35" s="431">
        <v>7878519</v>
      </c>
      <c r="F35" s="431">
        <v>2848158</v>
      </c>
      <c r="G35" s="431">
        <v>372542</v>
      </c>
      <c r="H35" s="431"/>
      <c r="I35" s="431">
        <v>7217954</v>
      </c>
      <c r="J35" s="431">
        <v>550000</v>
      </c>
      <c r="K35" s="431">
        <v>3045000</v>
      </c>
      <c r="L35" s="431"/>
      <c r="M35" s="431">
        <v>4426872</v>
      </c>
      <c r="N35" s="431">
        <v>1383401</v>
      </c>
      <c r="O35" s="431">
        <v>40000</v>
      </c>
      <c r="P35" s="432">
        <f t="shared" si="9"/>
        <v>24685035</v>
      </c>
      <c r="Q35" s="431">
        <v>8061365</v>
      </c>
      <c r="R35" s="431">
        <v>4014912</v>
      </c>
      <c r="S35" s="431">
        <v>67000</v>
      </c>
      <c r="T35" s="431"/>
      <c r="U35" s="431">
        <v>619652</v>
      </c>
      <c r="V35" s="431">
        <v>0</v>
      </c>
      <c r="W35" s="431">
        <v>3897422</v>
      </c>
      <c r="X35" s="431">
        <v>365159</v>
      </c>
      <c r="Y35" s="431">
        <v>438440</v>
      </c>
      <c r="Z35" s="431">
        <v>7011484</v>
      </c>
      <c r="AA35" s="431">
        <v>213000</v>
      </c>
      <c r="AB35" s="431">
        <v>-3399</v>
      </c>
      <c r="AC35" s="431">
        <v>6510054</v>
      </c>
      <c r="AD35" s="431">
        <v>264733</v>
      </c>
      <c r="AE35" s="431">
        <v>6474899</v>
      </c>
      <c r="AF35" s="431">
        <v>149686</v>
      </c>
      <c r="AG35" s="431">
        <v>768238</v>
      </c>
      <c r="AH35" s="431">
        <v>1694650</v>
      </c>
      <c r="AI35" s="431">
        <v>393973</v>
      </c>
      <c r="AJ35" s="431">
        <v>950210</v>
      </c>
      <c r="AK35" s="431">
        <v>0</v>
      </c>
      <c r="AL35" s="431">
        <v>7448592</v>
      </c>
      <c r="AM35" s="431">
        <v>30000</v>
      </c>
      <c r="AN35" s="340"/>
      <c r="AO35" s="340"/>
      <c r="AP35" s="340"/>
      <c r="AQ35" s="340"/>
      <c r="AR35" s="340"/>
    </row>
    <row r="36" spans="1:44" s="325" customFormat="1" x14ac:dyDescent="0.2">
      <c r="A36" s="523">
        <v>3</v>
      </c>
      <c r="B36" s="528">
        <v>43411</v>
      </c>
      <c r="C36" s="529" t="s">
        <v>2634</v>
      </c>
      <c r="D36" s="432">
        <f>E36+SUM(H36:O36)</f>
        <v>14976175</v>
      </c>
      <c r="E36" s="431">
        <v>4925275</v>
      </c>
      <c r="F36" s="431">
        <v>1206099</v>
      </c>
      <c r="G36" s="431">
        <v>864513</v>
      </c>
      <c r="H36" s="431"/>
      <c r="I36" s="431">
        <v>5404015</v>
      </c>
      <c r="J36" s="431">
        <v>900000</v>
      </c>
      <c r="K36" s="431">
        <v>1754000</v>
      </c>
      <c r="L36" s="431"/>
      <c r="M36" s="431">
        <v>1795822</v>
      </c>
      <c r="N36" s="431">
        <v>104838</v>
      </c>
      <c r="O36" s="431">
        <v>92225</v>
      </c>
      <c r="P36" s="432">
        <f t="shared" si="9"/>
        <v>12766802</v>
      </c>
      <c r="Q36" s="431">
        <v>6007713</v>
      </c>
      <c r="R36" s="431">
        <v>1911908</v>
      </c>
      <c r="S36" s="431">
        <v>0</v>
      </c>
      <c r="T36" s="431"/>
      <c r="U36" s="431">
        <v>59407</v>
      </c>
      <c r="V36" s="431">
        <v>23451</v>
      </c>
      <c r="W36" s="431">
        <v>106972</v>
      </c>
      <c r="X36" s="431">
        <v>431183</v>
      </c>
      <c r="Y36" s="431">
        <v>156679</v>
      </c>
      <c r="Z36" s="431">
        <v>4077539</v>
      </c>
      <c r="AA36" s="431">
        <v>0</v>
      </c>
      <c r="AB36" s="431">
        <v>-8050</v>
      </c>
      <c r="AC36" s="431">
        <v>1464237</v>
      </c>
      <c r="AD36" s="431">
        <v>317201</v>
      </c>
      <c r="AE36" s="431">
        <v>5206038</v>
      </c>
      <c r="AF36" s="431">
        <v>85934</v>
      </c>
      <c r="AG36" s="431">
        <v>347303</v>
      </c>
      <c r="AH36" s="431">
        <v>936986</v>
      </c>
      <c r="AI36" s="431">
        <v>221743</v>
      </c>
      <c r="AJ36" s="431">
        <v>655379</v>
      </c>
      <c r="AK36" s="431">
        <v>0</v>
      </c>
      <c r="AL36" s="431">
        <v>3463166</v>
      </c>
      <c r="AM36" s="431">
        <v>68815</v>
      </c>
      <c r="AN36" s="340"/>
      <c r="AO36" s="340"/>
      <c r="AP36" s="340"/>
      <c r="AQ36" s="340"/>
      <c r="AR36" s="340"/>
    </row>
    <row r="37" spans="1:44" s="325" customFormat="1" hidden="1" x14ac:dyDescent="0.2">
      <c r="A37" s="523">
        <v>4</v>
      </c>
      <c r="B37" s="523"/>
      <c r="C37" s="530"/>
      <c r="D37" s="432">
        <f t="shared" si="6"/>
        <v>0</v>
      </c>
      <c r="E37" s="435"/>
      <c r="F37" s="435"/>
      <c r="G37" s="435"/>
      <c r="H37" s="435"/>
      <c r="I37" s="435"/>
      <c r="J37" s="435"/>
      <c r="K37" s="435"/>
      <c r="L37" s="435"/>
      <c r="M37" s="435"/>
      <c r="N37" s="435"/>
      <c r="O37" s="435"/>
      <c r="P37" s="432">
        <f t="shared" si="3"/>
        <v>0</v>
      </c>
      <c r="Q37" s="435"/>
      <c r="R37" s="435"/>
      <c r="S37" s="435"/>
      <c r="T37" s="435"/>
      <c r="U37" s="435"/>
      <c r="V37" s="431"/>
      <c r="W37" s="431"/>
      <c r="X37" s="431"/>
      <c r="Y37" s="431"/>
      <c r="Z37" s="431"/>
      <c r="AA37" s="431"/>
      <c r="AB37" s="431"/>
      <c r="AC37" s="445"/>
      <c r="AD37" s="435"/>
      <c r="AE37" s="435"/>
      <c r="AF37" s="435"/>
      <c r="AG37" s="435"/>
      <c r="AH37" s="435"/>
      <c r="AI37" s="435"/>
      <c r="AJ37" s="435"/>
      <c r="AK37" s="435"/>
      <c r="AL37" s="435"/>
      <c r="AM37" s="435"/>
      <c r="AN37" s="340"/>
      <c r="AO37" s="340"/>
      <c r="AP37" s="340"/>
      <c r="AQ37" s="340"/>
      <c r="AR37" s="340"/>
    </row>
    <row r="38" spans="1:44" s="325" customFormat="1" hidden="1" x14ac:dyDescent="0.2">
      <c r="A38" s="523">
        <v>5</v>
      </c>
      <c r="B38" s="523"/>
      <c r="C38" s="530"/>
      <c r="D38" s="432">
        <f t="shared" si="6"/>
        <v>0</v>
      </c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2">
        <f t="shared" si="3"/>
        <v>0</v>
      </c>
      <c r="Q38" s="435"/>
      <c r="R38" s="435"/>
      <c r="S38" s="435"/>
      <c r="T38" s="435"/>
      <c r="U38" s="435"/>
      <c r="V38" s="431"/>
      <c r="W38" s="431"/>
      <c r="X38" s="431"/>
      <c r="Y38" s="431"/>
      <c r="Z38" s="435"/>
      <c r="AA38" s="431"/>
      <c r="AB38" s="431"/>
      <c r="AC38" s="445"/>
      <c r="AD38" s="435"/>
      <c r="AE38" s="435"/>
      <c r="AF38" s="435"/>
      <c r="AG38" s="435"/>
      <c r="AH38" s="435"/>
      <c r="AI38" s="435"/>
      <c r="AJ38" s="435"/>
      <c r="AK38" s="435"/>
      <c r="AL38" s="435"/>
      <c r="AM38" s="435"/>
      <c r="AN38" s="340"/>
      <c r="AO38" s="340"/>
      <c r="AP38" s="340"/>
      <c r="AQ38" s="340"/>
      <c r="AR38" s="340"/>
    </row>
    <row r="39" spans="1:44" s="325" customFormat="1" hidden="1" x14ac:dyDescent="0.2">
      <c r="A39" s="523">
        <v>6</v>
      </c>
      <c r="B39" s="523"/>
      <c r="C39" s="530"/>
      <c r="D39" s="432">
        <f t="shared" si="6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3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  <c r="AN39" s="340"/>
      <c r="AO39" s="340"/>
      <c r="AP39" s="340"/>
      <c r="AQ39" s="340"/>
      <c r="AR39" s="340"/>
    </row>
    <row r="40" spans="1:44" s="325" customFormat="1" hidden="1" x14ac:dyDescent="0.2">
      <c r="A40" s="523">
        <v>7</v>
      </c>
      <c r="B40" s="523"/>
      <c r="C40" s="531"/>
      <c r="D40" s="432">
        <f t="shared" si="6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3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  <c r="AN40" s="340"/>
      <c r="AO40" s="340"/>
      <c r="AP40" s="340"/>
      <c r="AQ40" s="340"/>
      <c r="AR40" s="340"/>
    </row>
    <row r="41" spans="1:44" s="325" customFormat="1" hidden="1" x14ac:dyDescent="0.2">
      <c r="A41" s="523">
        <v>8</v>
      </c>
      <c r="B41" s="523"/>
      <c r="C41" s="532"/>
      <c r="D41" s="432">
        <f t="shared" si="6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3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  <c r="AN41" s="340"/>
      <c r="AO41" s="340"/>
      <c r="AP41" s="340"/>
      <c r="AQ41" s="340"/>
      <c r="AR41" s="340"/>
    </row>
    <row r="42" spans="1:44" s="325" customFormat="1" hidden="1" x14ac:dyDescent="0.2">
      <c r="A42" s="523">
        <v>9</v>
      </c>
      <c r="B42" s="523"/>
      <c r="C42" s="527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3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  <c r="AN42" s="340"/>
      <c r="AO42" s="340"/>
      <c r="AP42" s="340"/>
      <c r="AQ42" s="340"/>
      <c r="AR42" s="340"/>
    </row>
    <row r="43" spans="1:44" s="325" customFormat="1" hidden="1" x14ac:dyDescent="0.2">
      <c r="A43" s="523">
        <v>10</v>
      </c>
      <c r="B43" s="523"/>
      <c r="C43" s="527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3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  <c r="AN43" s="340"/>
      <c r="AO43" s="340"/>
      <c r="AP43" s="340"/>
      <c r="AQ43" s="340"/>
      <c r="AR43" s="340"/>
    </row>
    <row r="44" spans="1:44" s="325" customFormat="1" hidden="1" x14ac:dyDescent="0.2">
      <c r="A44" s="523">
        <v>11</v>
      </c>
      <c r="B44" s="523"/>
      <c r="C44" s="527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3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  <c r="AN44" s="340"/>
      <c r="AO44" s="340"/>
      <c r="AP44" s="340"/>
      <c r="AQ44" s="340"/>
      <c r="AR44" s="340"/>
    </row>
    <row r="45" spans="1:44" s="325" customFormat="1" hidden="1" x14ac:dyDescent="0.2">
      <c r="A45" s="523">
        <v>12</v>
      </c>
      <c r="B45" s="523"/>
      <c r="C45" s="527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3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  <c r="AN45" s="340"/>
      <c r="AO45" s="340"/>
      <c r="AP45" s="340"/>
      <c r="AQ45" s="340"/>
      <c r="AR45" s="340"/>
    </row>
    <row r="46" spans="1:44" s="325" customFormat="1" hidden="1" x14ac:dyDescent="0.2">
      <c r="A46" s="523">
        <v>13</v>
      </c>
      <c r="B46" s="523"/>
      <c r="C46" s="527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3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  <c r="AN46" s="340"/>
      <c r="AO46" s="340"/>
      <c r="AP46" s="340"/>
      <c r="AQ46" s="340"/>
      <c r="AR46" s="340"/>
    </row>
    <row r="47" spans="1:44" s="325" customFormat="1" hidden="1" x14ac:dyDescent="0.2">
      <c r="A47" s="523">
        <v>14</v>
      </c>
      <c r="B47" s="523"/>
      <c r="C47" s="527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3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  <c r="AN47" s="340"/>
      <c r="AO47" s="340"/>
      <c r="AP47" s="340"/>
      <c r="AQ47" s="340"/>
      <c r="AR47" s="340"/>
    </row>
    <row r="48" spans="1:44" s="325" customFormat="1" hidden="1" x14ac:dyDescent="0.2">
      <c r="A48" s="523">
        <v>15</v>
      </c>
      <c r="B48" s="523"/>
      <c r="C48" s="527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3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  <c r="AN48" s="340"/>
      <c r="AO48" s="340"/>
      <c r="AP48" s="340"/>
      <c r="AQ48" s="340"/>
      <c r="AR48" s="340"/>
    </row>
    <row r="49" spans="1:44" s="325" customFormat="1" hidden="1" x14ac:dyDescent="0.2">
      <c r="A49" s="523">
        <v>16</v>
      </c>
      <c r="B49" s="523"/>
      <c r="C49" s="527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3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  <c r="AN49" s="340"/>
      <c r="AO49" s="340"/>
      <c r="AP49" s="340"/>
      <c r="AQ49" s="340"/>
      <c r="AR49" s="340"/>
    </row>
    <row r="50" spans="1:44" s="325" customFormat="1" hidden="1" x14ac:dyDescent="0.2">
      <c r="A50" s="523">
        <v>17</v>
      </c>
      <c r="B50" s="523"/>
      <c r="C50" s="527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3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  <c r="AN50" s="340"/>
      <c r="AO50" s="340"/>
      <c r="AP50" s="340"/>
      <c r="AQ50" s="340"/>
      <c r="AR50" s="340"/>
    </row>
    <row r="51" spans="1:44" s="325" customFormat="1" hidden="1" x14ac:dyDescent="0.2">
      <c r="A51" s="331">
        <v>18</v>
      </c>
      <c r="B51" s="331"/>
      <c r="C51" s="333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3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  <c r="AN51" s="340"/>
      <c r="AO51" s="340"/>
      <c r="AP51" s="340"/>
      <c r="AQ51" s="340"/>
      <c r="AR51" s="340"/>
    </row>
    <row r="52" spans="1:44" s="325" customFormat="1" hidden="1" x14ac:dyDescent="0.2">
      <c r="A52" s="331">
        <v>19</v>
      </c>
      <c r="B52" s="331"/>
      <c r="C52" s="334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3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  <c r="AN52" s="340"/>
      <c r="AO52" s="340"/>
      <c r="AP52" s="340"/>
      <c r="AQ52" s="340"/>
      <c r="AR52" s="340"/>
    </row>
    <row r="53" spans="1:44" s="325" customFormat="1" hidden="1" x14ac:dyDescent="0.2">
      <c r="A53" s="331">
        <v>20</v>
      </c>
      <c r="B53" s="331"/>
      <c r="C53" s="334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3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  <c r="AN53" s="340"/>
      <c r="AO53" s="340"/>
      <c r="AP53" s="340"/>
      <c r="AQ53" s="340"/>
      <c r="AR53" s="340"/>
    </row>
    <row r="54" spans="1:44" s="325" customFormat="1" ht="12.75" customHeight="1" x14ac:dyDescent="0.2">
      <c r="A54" s="335" t="s">
        <v>76</v>
      </c>
      <c r="B54" s="335"/>
      <c r="C54" s="336"/>
      <c r="D54" s="432">
        <f t="shared" ref="D54:D117" si="10">E54+SUM(H54:O54)</f>
        <v>242571469</v>
      </c>
      <c r="E54" s="432">
        <f>SUM(E55:E143)</f>
        <v>70226875</v>
      </c>
      <c r="F54" s="432">
        <f t="shared" ref="F54:O54" si="11">SUM(F55:F143)</f>
        <v>16336822</v>
      </c>
      <c r="G54" s="432">
        <f t="shared" si="11"/>
        <v>15223484</v>
      </c>
      <c r="H54" s="432">
        <f t="shared" si="11"/>
        <v>0</v>
      </c>
      <c r="I54" s="432">
        <f t="shared" si="11"/>
        <v>66181160</v>
      </c>
      <c r="J54" s="432">
        <f t="shared" si="11"/>
        <v>8373000</v>
      </c>
      <c r="K54" s="432">
        <f t="shared" si="11"/>
        <v>35826600</v>
      </c>
      <c r="L54" s="432">
        <f t="shared" si="11"/>
        <v>0</v>
      </c>
      <c r="M54" s="432">
        <f t="shared" si="11"/>
        <v>46145767</v>
      </c>
      <c r="N54" s="432">
        <f t="shared" si="11"/>
        <v>12221513</v>
      </c>
      <c r="O54" s="432">
        <f t="shared" si="11"/>
        <v>3596554</v>
      </c>
      <c r="P54" s="432">
        <f t="shared" si="3"/>
        <v>226692396</v>
      </c>
      <c r="Q54" s="432">
        <f>SUM(Q55:Q143)</f>
        <v>80019502</v>
      </c>
      <c r="R54" s="432">
        <f t="shared" ref="R54:AM54" si="12">SUM(R55:R143)</f>
        <v>36803862</v>
      </c>
      <c r="S54" s="432">
        <f t="shared" si="12"/>
        <v>19386</v>
      </c>
      <c r="T54" s="432">
        <f t="shared" si="12"/>
        <v>0</v>
      </c>
      <c r="U54" s="432">
        <f t="shared" si="12"/>
        <v>0</v>
      </c>
      <c r="V54" s="432">
        <f t="shared" si="12"/>
        <v>1867871</v>
      </c>
      <c r="W54" s="432">
        <f t="shared" si="12"/>
        <v>10444101</v>
      </c>
      <c r="X54" s="432">
        <f t="shared" si="12"/>
        <v>10205384</v>
      </c>
      <c r="Y54" s="432">
        <f t="shared" si="12"/>
        <v>5030293</v>
      </c>
      <c r="Z54" s="432">
        <f t="shared" si="12"/>
        <v>82116349</v>
      </c>
      <c r="AA54" s="432">
        <f t="shared" si="12"/>
        <v>605790</v>
      </c>
      <c r="AB54" s="432">
        <f t="shared" si="12"/>
        <v>-420142</v>
      </c>
      <c r="AC54" s="432">
        <f t="shared" si="12"/>
        <v>41883370</v>
      </c>
      <c r="AD54" s="432">
        <f t="shared" si="12"/>
        <v>3788446</v>
      </c>
      <c r="AE54" s="432">
        <f t="shared" si="12"/>
        <v>64413873</v>
      </c>
      <c r="AF54" s="432">
        <f t="shared" si="12"/>
        <v>1021637</v>
      </c>
      <c r="AG54" s="432">
        <f t="shared" si="12"/>
        <v>12500662</v>
      </c>
      <c r="AH54" s="432">
        <f t="shared" si="12"/>
        <v>14969177</v>
      </c>
      <c r="AI54" s="432">
        <f t="shared" si="12"/>
        <v>12801551</v>
      </c>
      <c r="AJ54" s="432">
        <f t="shared" si="12"/>
        <v>2811206</v>
      </c>
      <c r="AK54" s="432">
        <f t="shared" si="12"/>
        <v>0</v>
      </c>
      <c r="AL54" s="432">
        <f>SUM(AL55:AL143)</f>
        <v>68016870</v>
      </c>
      <c r="AM54" s="432">
        <f t="shared" si="12"/>
        <v>4485604</v>
      </c>
      <c r="AN54" s="340"/>
      <c r="AO54" s="340"/>
      <c r="AP54" s="340"/>
      <c r="AQ54" s="340"/>
      <c r="AR54" s="340"/>
    </row>
    <row r="55" spans="1:44" s="325" customFormat="1" x14ac:dyDescent="0.2">
      <c r="A55" s="339">
        <v>1</v>
      </c>
      <c r="B55" s="533">
        <v>42824</v>
      </c>
      <c r="C55" s="534" t="s">
        <v>2635</v>
      </c>
      <c r="D55" s="432">
        <f t="shared" ref="D55:D94" si="13">E55+SUM(H55:O55)</f>
        <v>4631788</v>
      </c>
      <c r="E55" s="431">
        <v>1367878</v>
      </c>
      <c r="F55" s="431">
        <v>416699</v>
      </c>
      <c r="G55" s="431">
        <v>243273</v>
      </c>
      <c r="H55" s="431"/>
      <c r="I55" s="431">
        <v>1976587</v>
      </c>
      <c r="J55" s="431">
        <v>0</v>
      </c>
      <c r="K55" s="431">
        <v>793000</v>
      </c>
      <c r="L55" s="431"/>
      <c r="M55" s="431">
        <v>453723</v>
      </c>
      <c r="N55" s="431">
        <v>0</v>
      </c>
      <c r="O55" s="431">
        <v>40600</v>
      </c>
      <c r="P55" s="432">
        <f t="shared" ref="P55:P94" si="14">IF(SUM(Q55:AB55)=SUM(AC55:AM55),SUM(Q55:AB55),"  EROARE ART/CAP")</f>
        <v>4890412</v>
      </c>
      <c r="Q55" s="431">
        <v>2396636</v>
      </c>
      <c r="R55" s="431">
        <v>624691</v>
      </c>
      <c r="S55" s="431">
        <v>0</v>
      </c>
      <c r="T55" s="431">
        <v>0</v>
      </c>
      <c r="U55" s="431">
        <v>0</v>
      </c>
      <c r="V55" s="431">
        <v>653518</v>
      </c>
      <c r="W55" s="431">
        <v>0</v>
      </c>
      <c r="X55" s="431">
        <v>232823</v>
      </c>
      <c r="Y55" s="431">
        <v>94384</v>
      </c>
      <c r="Z55" s="431">
        <v>918511</v>
      </c>
      <c r="AA55" s="431">
        <v>0</v>
      </c>
      <c r="AB55" s="431">
        <v>-30151</v>
      </c>
      <c r="AC55" s="431">
        <v>887126</v>
      </c>
      <c r="AD55" s="431">
        <v>44614</v>
      </c>
      <c r="AE55" s="431">
        <v>1814280</v>
      </c>
      <c r="AF55" s="431">
        <v>30248</v>
      </c>
      <c r="AG55" s="431">
        <v>123185</v>
      </c>
      <c r="AH55" s="431">
        <v>468557</v>
      </c>
      <c r="AI55" s="431">
        <v>93097</v>
      </c>
      <c r="AJ55" s="431">
        <v>43537</v>
      </c>
      <c r="AK55" s="431">
        <v>0</v>
      </c>
      <c r="AL55" s="431">
        <v>1367596</v>
      </c>
      <c r="AM55" s="431">
        <v>18172</v>
      </c>
      <c r="AN55" s="340"/>
      <c r="AO55" s="340"/>
      <c r="AP55" s="340"/>
      <c r="AQ55" s="340"/>
      <c r="AR55" s="340"/>
    </row>
    <row r="56" spans="1:44" s="325" customFormat="1" x14ac:dyDescent="0.2">
      <c r="A56" s="339">
        <v>2</v>
      </c>
      <c r="B56" s="533">
        <v>42842</v>
      </c>
      <c r="C56" s="534" t="s">
        <v>2636</v>
      </c>
      <c r="D56" s="432">
        <f t="shared" si="13"/>
        <v>5309245</v>
      </c>
      <c r="E56" s="431">
        <v>1308268</v>
      </c>
      <c r="F56" s="431">
        <v>128355</v>
      </c>
      <c r="G56" s="431">
        <v>583653</v>
      </c>
      <c r="H56" s="431"/>
      <c r="I56" s="431">
        <v>1541763</v>
      </c>
      <c r="J56" s="431">
        <v>800000</v>
      </c>
      <c r="K56" s="431">
        <v>1221000</v>
      </c>
      <c r="L56" s="431"/>
      <c r="M56" s="431">
        <v>41313</v>
      </c>
      <c r="N56" s="431">
        <v>67802</v>
      </c>
      <c r="O56" s="431">
        <v>329099</v>
      </c>
      <c r="P56" s="432">
        <f t="shared" si="14"/>
        <v>4158429</v>
      </c>
      <c r="Q56" s="431">
        <v>1739866</v>
      </c>
      <c r="R56" s="431">
        <v>683978</v>
      </c>
      <c r="S56" s="431">
        <v>0</v>
      </c>
      <c r="T56" s="431">
        <v>0</v>
      </c>
      <c r="U56" s="431">
        <v>0</v>
      </c>
      <c r="V56" s="431">
        <v>38078</v>
      </c>
      <c r="W56" s="431">
        <v>0</v>
      </c>
      <c r="X56" s="431">
        <v>302977</v>
      </c>
      <c r="Y56" s="431">
        <v>408675</v>
      </c>
      <c r="Z56" s="431">
        <v>984855</v>
      </c>
      <c r="AA56" s="431">
        <v>0</v>
      </c>
      <c r="AB56" s="431">
        <v>0</v>
      </c>
      <c r="AC56" s="431">
        <v>1434467</v>
      </c>
      <c r="AD56" s="431">
        <v>43802</v>
      </c>
      <c r="AE56" s="431">
        <v>1542894</v>
      </c>
      <c r="AF56" s="431">
        <v>49250</v>
      </c>
      <c r="AG56" s="431">
        <v>646988</v>
      </c>
      <c r="AH56" s="431">
        <v>302977</v>
      </c>
      <c r="AI56" s="431">
        <v>72395</v>
      </c>
      <c r="AJ56" s="431">
        <v>38078</v>
      </c>
      <c r="AK56" s="431">
        <v>0</v>
      </c>
      <c r="AL56" s="431">
        <v>27578</v>
      </c>
      <c r="AM56" s="431"/>
      <c r="AN56" s="340"/>
      <c r="AO56" s="340"/>
      <c r="AP56" s="340"/>
      <c r="AQ56" s="340"/>
      <c r="AR56" s="340"/>
    </row>
    <row r="57" spans="1:44" s="325" customFormat="1" x14ac:dyDescent="0.2">
      <c r="A57" s="339">
        <v>3</v>
      </c>
      <c r="B57" s="533">
        <v>42913</v>
      </c>
      <c r="C57" s="534" t="s">
        <v>2637</v>
      </c>
      <c r="D57" s="432">
        <f t="shared" si="13"/>
        <v>4743278</v>
      </c>
      <c r="E57" s="431">
        <v>1548504</v>
      </c>
      <c r="F57" s="431">
        <v>294727</v>
      </c>
      <c r="G57" s="431">
        <v>272103</v>
      </c>
      <c r="H57" s="431"/>
      <c r="I57" s="431">
        <v>1592514</v>
      </c>
      <c r="J57" s="431">
        <v>232000</v>
      </c>
      <c r="K57" s="431">
        <v>583000</v>
      </c>
      <c r="L57" s="431"/>
      <c r="M57" s="431">
        <v>752460</v>
      </c>
      <c r="N57" s="431">
        <v>0</v>
      </c>
      <c r="O57" s="431">
        <v>34800</v>
      </c>
      <c r="P57" s="432">
        <f t="shared" si="14"/>
        <v>4523996</v>
      </c>
      <c r="Q57" s="431">
        <v>2011793</v>
      </c>
      <c r="R57" s="431">
        <v>497884</v>
      </c>
      <c r="S57" s="431">
        <v>0</v>
      </c>
      <c r="T57" s="431">
        <v>0</v>
      </c>
      <c r="U57" s="431">
        <v>0</v>
      </c>
      <c r="V57" s="431">
        <v>0</v>
      </c>
      <c r="W57" s="431">
        <v>0</v>
      </c>
      <c r="X57" s="431">
        <v>186248</v>
      </c>
      <c r="Y57" s="431">
        <v>35000</v>
      </c>
      <c r="Z57" s="431">
        <v>1793071</v>
      </c>
      <c r="AA57" s="431">
        <v>0</v>
      </c>
      <c r="AB57" s="431">
        <v>0</v>
      </c>
      <c r="AC57" s="431">
        <v>753687</v>
      </c>
      <c r="AD57" s="431">
        <v>90446</v>
      </c>
      <c r="AE57" s="431">
        <v>1682340</v>
      </c>
      <c r="AF57" s="431">
        <v>21695</v>
      </c>
      <c r="AG57" s="431">
        <v>26069</v>
      </c>
      <c r="AH57" s="431">
        <v>186248</v>
      </c>
      <c r="AI57" s="431">
        <v>104755</v>
      </c>
      <c r="AJ57" s="431">
        <v>0</v>
      </c>
      <c r="AK57" s="431">
        <v>0</v>
      </c>
      <c r="AL57" s="431">
        <v>1658756</v>
      </c>
      <c r="AM57" s="431"/>
      <c r="AN57" s="340"/>
      <c r="AO57" s="340"/>
      <c r="AP57" s="340"/>
      <c r="AQ57" s="340"/>
      <c r="AR57" s="340"/>
    </row>
    <row r="58" spans="1:44" s="325" customFormat="1" x14ac:dyDescent="0.2">
      <c r="A58" s="339">
        <v>4</v>
      </c>
      <c r="B58" s="533">
        <v>42968</v>
      </c>
      <c r="C58" s="534" t="s">
        <v>2638</v>
      </c>
      <c r="D58" s="432">
        <f t="shared" si="13"/>
        <v>8957599</v>
      </c>
      <c r="E58" s="431">
        <v>1308714</v>
      </c>
      <c r="F58" s="431">
        <v>150596</v>
      </c>
      <c r="G58" s="431">
        <v>408812</v>
      </c>
      <c r="H58" s="431"/>
      <c r="I58" s="431">
        <v>1595038</v>
      </c>
      <c r="J58" s="431">
        <v>645000</v>
      </c>
      <c r="K58" s="431">
        <v>889000</v>
      </c>
      <c r="L58" s="431"/>
      <c r="M58" s="431">
        <v>3244348</v>
      </c>
      <c r="N58" s="431">
        <v>1261948</v>
      </c>
      <c r="O58" s="431">
        <v>13551</v>
      </c>
      <c r="P58" s="432">
        <f t="shared" si="14"/>
        <v>7777040</v>
      </c>
      <c r="Q58" s="431">
        <v>1839187</v>
      </c>
      <c r="R58" s="431">
        <v>719193</v>
      </c>
      <c r="S58" s="431">
        <v>0</v>
      </c>
      <c r="T58" s="431">
        <v>0</v>
      </c>
      <c r="U58" s="431">
        <v>0</v>
      </c>
      <c r="V58" s="431">
        <v>33990</v>
      </c>
      <c r="W58" s="431">
        <v>1598296</v>
      </c>
      <c r="X58" s="431">
        <v>367489</v>
      </c>
      <c r="Y58" s="431">
        <v>21000</v>
      </c>
      <c r="Z58" s="431">
        <v>3241299</v>
      </c>
      <c r="AA58" s="431">
        <v>0</v>
      </c>
      <c r="AB58" s="431">
        <v>-43414</v>
      </c>
      <c r="AC58" s="431">
        <v>619278</v>
      </c>
      <c r="AD58" s="431">
        <v>176322</v>
      </c>
      <c r="AE58" s="431">
        <v>1454737</v>
      </c>
      <c r="AF58" s="431">
        <v>32749</v>
      </c>
      <c r="AG58" s="431">
        <v>44201</v>
      </c>
      <c r="AH58" s="431">
        <v>367489</v>
      </c>
      <c r="AI58" s="431">
        <v>348056</v>
      </c>
      <c r="AJ58" s="431">
        <v>84652</v>
      </c>
      <c r="AK58" s="431">
        <v>0</v>
      </c>
      <c r="AL58" s="431">
        <v>3051260</v>
      </c>
      <c r="AM58" s="431">
        <v>1598296</v>
      </c>
      <c r="AN58" s="340"/>
      <c r="AO58" s="340"/>
      <c r="AP58" s="340"/>
      <c r="AQ58" s="340"/>
      <c r="AR58" s="340"/>
    </row>
    <row r="59" spans="1:44" s="325" customFormat="1" x14ac:dyDescent="0.2">
      <c r="A59" s="339">
        <v>5</v>
      </c>
      <c r="B59" s="533">
        <v>43019</v>
      </c>
      <c r="C59" s="534" t="s">
        <v>514</v>
      </c>
      <c r="D59" s="432">
        <f t="shared" si="13"/>
        <v>6726076</v>
      </c>
      <c r="E59" s="431">
        <v>1269413</v>
      </c>
      <c r="F59" s="431">
        <v>482220</v>
      </c>
      <c r="G59" s="431">
        <v>246063</v>
      </c>
      <c r="H59" s="431"/>
      <c r="I59" s="431">
        <v>1923337</v>
      </c>
      <c r="J59" s="431">
        <v>800000</v>
      </c>
      <c r="K59" s="431">
        <v>894000</v>
      </c>
      <c r="L59" s="431"/>
      <c r="M59" s="431">
        <v>1701725</v>
      </c>
      <c r="N59" s="431">
        <v>0</v>
      </c>
      <c r="O59" s="431">
        <v>137601</v>
      </c>
      <c r="P59" s="432">
        <f t="shared" si="14"/>
        <v>5358997</v>
      </c>
      <c r="Q59" s="431">
        <v>2227903</v>
      </c>
      <c r="R59" s="431">
        <v>894099</v>
      </c>
      <c r="S59" s="431">
        <v>0</v>
      </c>
      <c r="T59" s="431">
        <v>0</v>
      </c>
      <c r="U59" s="431">
        <v>0</v>
      </c>
      <c r="V59" s="431">
        <v>0</v>
      </c>
      <c r="W59" s="431">
        <v>0</v>
      </c>
      <c r="X59" s="431">
        <v>309539</v>
      </c>
      <c r="Y59" s="431">
        <v>61853</v>
      </c>
      <c r="Z59" s="431">
        <v>1865603</v>
      </c>
      <c r="AA59" s="431">
        <v>0</v>
      </c>
      <c r="AB59" s="431">
        <v>0</v>
      </c>
      <c r="AC59" s="431">
        <v>729699</v>
      </c>
      <c r="AD59" s="431">
        <v>34930</v>
      </c>
      <c r="AE59" s="431">
        <v>1771813</v>
      </c>
      <c r="AF59" s="431">
        <v>21363</v>
      </c>
      <c r="AG59" s="431">
        <v>90824</v>
      </c>
      <c r="AH59" s="431">
        <v>537663</v>
      </c>
      <c r="AI59" s="431">
        <v>300323</v>
      </c>
      <c r="AJ59" s="431">
        <v>1654</v>
      </c>
      <c r="AK59" s="431">
        <v>0</v>
      </c>
      <c r="AL59" s="431">
        <v>1870728</v>
      </c>
      <c r="AM59" s="431"/>
      <c r="AN59" s="340"/>
      <c r="AO59" s="340"/>
      <c r="AP59" s="340"/>
      <c r="AQ59" s="340"/>
      <c r="AR59" s="340"/>
    </row>
    <row r="60" spans="1:44" s="325" customFormat="1" x14ac:dyDescent="0.2">
      <c r="A60" s="339">
        <v>6</v>
      </c>
      <c r="B60" s="533">
        <v>43073</v>
      </c>
      <c r="C60" s="534" t="s">
        <v>2639</v>
      </c>
      <c r="D60" s="432">
        <f t="shared" si="13"/>
        <v>5098907</v>
      </c>
      <c r="E60" s="431">
        <v>1676951</v>
      </c>
      <c r="F60" s="431">
        <v>283354</v>
      </c>
      <c r="G60" s="431">
        <v>362311</v>
      </c>
      <c r="H60" s="431"/>
      <c r="I60" s="431">
        <v>1806369</v>
      </c>
      <c r="J60" s="431">
        <v>0</v>
      </c>
      <c r="K60" s="431">
        <v>899000</v>
      </c>
      <c r="L60" s="431"/>
      <c r="M60" s="431">
        <v>716587</v>
      </c>
      <c r="N60" s="431">
        <v>0</v>
      </c>
      <c r="O60" s="431"/>
      <c r="P60" s="432">
        <f t="shared" si="14"/>
        <v>4761643</v>
      </c>
      <c r="Q60" s="431">
        <v>2261801</v>
      </c>
      <c r="R60" s="431">
        <v>999839</v>
      </c>
      <c r="S60" s="431">
        <v>0</v>
      </c>
      <c r="T60" s="431">
        <v>0</v>
      </c>
      <c r="U60" s="431">
        <v>0</v>
      </c>
      <c r="V60" s="431">
        <v>0</v>
      </c>
      <c r="W60" s="431">
        <v>0</v>
      </c>
      <c r="X60" s="431">
        <v>174857</v>
      </c>
      <c r="Y60" s="431">
        <v>290797</v>
      </c>
      <c r="Z60" s="431">
        <v>1034349</v>
      </c>
      <c r="AA60" s="431">
        <v>0</v>
      </c>
      <c r="AB60" s="431">
        <v>0</v>
      </c>
      <c r="AC60" s="431">
        <v>1018507</v>
      </c>
      <c r="AD60" s="431">
        <v>190810</v>
      </c>
      <c r="AE60" s="431">
        <v>1791805</v>
      </c>
      <c r="AF60" s="431">
        <v>9581</v>
      </c>
      <c r="AG60" s="431">
        <v>281871</v>
      </c>
      <c r="AH60" s="431">
        <v>234464</v>
      </c>
      <c r="AI60" s="431">
        <v>283135</v>
      </c>
      <c r="AJ60" s="431">
        <v>134153</v>
      </c>
      <c r="AK60" s="431">
        <v>0</v>
      </c>
      <c r="AL60" s="431">
        <v>809026</v>
      </c>
      <c r="AM60" s="431">
        <v>8291</v>
      </c>
      <c r="AN60" s="340"/>
      <c r="AO60" s="340"/>
      <c r="AP60" s="340"/>
      <c r="AQ60" s="340"/>
      <c r="AR60" s="340"/>
    </row>
    <row r="61" spans="1:44" s="325" customFormat="1" x14ac:dyDescent="0.2">
      <c r="A61" s="339">
        <v>7</v>
      </c>
      <c r="B61" s="533">
        <v>43117</v>
      </c>
      <c r="C61" s="534" t="s">
        <v>2006</v>
      </c>
      <c r="D61" s="432">
        <f t="shared" si="13"/>
        <v>7816312</v>
      </c>
      <c r="E61" s="431">
        <v>2343722</v>
      </c>
      <c r="F61" s="431">
        <v>67419</v>
      </c>
      <c r="G61" s="431">
        <v>323253</v>
      </c>
      <c r="H61" s="431"/>
      <c r="I61" s="431">
        <v>878000</v>
      </c>
      <c r="J61" s="431">
        <v>722000</v>
      </c>
      <c r="K61" s="431">
        <v>756000</v>
      </c>
      <c r="L61" s="431"/>
      <c r="M61" s="431">
        <v>2873853</v>
      </c>
      <c r="N61" s="431">
        <v>82507</v>
      </c>
      <c r="O61" s="431">
        <v>160230</v>
      </c>
      <c r="P61" s="432">
        <f t="shared" si="14"/>
        <v>6986893</v>
      </c>
      <c r="Q61" s="431">
        <v>1362743</v>
      </c>
      <c r="R61" s="431">
        <v>650673</v>
      </c>
      <c r="S61" s="431">
        <v>0</v>
      </c>
      <c r="T61" s="431">
        <v>0</v>
      </c>
      <c r="U61" s="431">
        <v>0</v>
      </c>
      <c r="V61" s="431">
        <v>0</v>
      </c>
      <c r="W61" s="431">
        <v>0</v>
      </c>
      <c r="X61" s="431">
        <v>69496</v>
      </c>
      <c r="Y61" s="431">
        <v>44063</v>
      </c>
      <c r="Z61" s="431">
        <v>5065053</v>
      </c>
      <c r="AA61" s="431">
        <v>0</v>
      </c>
      <c r="AB61" s="431">
        <v>-205135</v>
      </c>
      <c r="AC61" s="431">
        <v>1352774</v>
      </c>
      <c r="AD61" s="431">
        <v>82695</v>
      </c>
      <c r="AE61" s="431">
        <v>904373</v>
      </c>
      <c r="AF61" s="431">
        <v>0</v>
      </c>
      <c r="AG61" s="431">
        <v>439105</v>
      </c>
      <c r="AH61" s="431">
        <v>193496</v>
      </c>
      <c r="AI61" s="431">
        <v>78885</v>
      </c>
      <c r="AJ61" s="431">
        <v>0</v>
      </c>
      <c r="AK61" s="431">
        <v>0</v>
      </c>
      <c r="AL61" s="431">
        <v>3910961</v>
      </c>
      <c r="AM61" s="431">
        <v>24604</v>
      </c>
      <c r="AN61" s="340"/>
      <c r="AO61" s="340"/>
      <c r="AP61" s="340"/>
      <c r="AQ61" s="340"/>
      <c r="AR61" s="340"/>
    </row>
    <row r="62" spans="1:44" s="325" customFormat="1" x14ac:dyDescent="0.2">
      <c r="A62" s="339">
        <v>8</v>
      </c>
      <c r="B62" s="533">
        <v>43180</v>
      </c>
      <c r="C62" s="534" t="s">
        <v>2640</v>
      </c>
      <c r="D62" s="432">
        <f t="shared" si="13"/>
        <v>6800617</v>
      </c>
      <c r="E62" s="431">
        <v>1450623</v>
      </c>
      <c r="F62" s="431">
        <v>157225</v>
      </c>
      <c r="G62" s="431">
        <v>620853</v>
      </c>
      <c r="H62" s="431"/>
      <c r="I62" s="431">
        <v>1978819</v>
      </c>
      <c r="J62" s="431">
        <v>0</v>
      </c>
      <c r="K62" s="431">
        <v>1274000</v>
      </c>
      <c r="L62" s="431"/>
      <c r="M62" s="431">
        <v>1275918</v>
      </c>
      <c r="N62" s="431">
        <v>799912</v>
      </c>
      <c r="O62" s="431">
        <v>21345</v>
      </c>
      <c r="P62" s="432">
        <f t="shared" si="14"/>
        <v>7319846</v>
      </c>
      <c r="Q62" s="431">
        <v>2456738</v>
      </c>
      <c r="R62" s="431">
        <v>945938</v>
      </c>
      <c r="S62" s="431">
        <v>0</v>
      </c>
      <c r="T62" s="431">
        <v>0</v>
      </c>
      <c r="U62" s="431">
        <v>0</v>
      </c>
      <c r="V62" s="431">
        <v>0</v>
      </c>
      <c r="W62" s="431">
        <v>711768</v>
      </c>
      <c r="X62" s="431">
        <v>307088</v>
      </c>
      <c r="Y62" s="431">
        <v>56700</v>
      </c>
      <c r="Z62" s="431">
        <v>2841614</v>
      </c>
      <c r="AA62" s="431">
        <v>0</v>
      </c>
      <c r="AB62" s="431">
        <v>0</v>
      </c>
      <c r="AC62" s="431">
        <v>950037</v>
      </c>
      <c r="AD62" s="431">
        <v>29063</v>
      </c>
      <c r="AE62" s="431">
        <v>1936025</v>
      </c>
      <c r="AF62" s="431">
        <v>31828</v>
      </c>
      <c r="AG62" s="431">
        <v>103976</v>
      </c>
      <c r="AH62" s="431">
        <v>568523</v>
      </c>
      <c r="AI62" s="431">
        <v>948921</v>
      </c>
      <c r="AJ62" s="431">
        <v>63000</v>
      </c>
      <c r="AK62" s="431">
        <v>0</v>
      </c>
      <c r="AL62" s="431">
        <v>2688473</v>
      </c>
      <c r="AM62" s="431"/>
      <c r="AN62" s="340"/>
      <c r="AO62" s="340"/>
      <c r="AP62" s="340"/>
      <c r="AQ62" s="340"/>
      <c r="AR62" s="340"/>
    </row>
    <row r="63" spans="1:44" s="325" customFormat="1" x14ac:dyDescent="0.2">
      <c r="A63" s="339">
        <v>9</v>
      </c>
      <c r="B63" s="533">
        <v>43242</v>
      </c>
      <c r="C63" s="534" t="s">
        <v>2641</v>
      </c>
      <c r="D63" s="432">
        <f t="shared" si="13"/>
        <v>4355080</v>
      </c>
      <c r="E63" s="431">
        <v>1405973</v>
      </c>
      <c r="F63" s="431">
        <v>102309</v>
      </c>
      <c r="G63" s="431">
        <v>325112</v>
      </c>
      <c r="H63" s="431"/>
      <c r="I63" s="431">
        <v>986996</v>
      </c>
      <c r="J63" s="431">
        <v>0</v>
      </c>
      <c r="K63" s="431">
        <v>672000</v>
      </c>
      <c r="L63" s="431"/>
      <c r="M63" s="431">
        <v>1290111</v>
      </c>
      <c r="N63" s="431">
        <v>0</v>
      </c>
      <c r="O63" s="431"/>
      <c r="P63" s="432">
        <f t="shared" si="14"/>
        <v>4018347</v>
      </c>
      <c r="Q63" s="431">
        <v>1378736</v>
      </c>
      <c r="R63" s="431">
        <v>479470</v>
      </c>
      <c r="S63" s="431">
        <v>0</v>
      </c>
      <c r="T63" s="431">
        <v>0</v>
      </c>
      <c r="U63" s="431">
        <v>0</v>
      </c>
      <c r="V63" s="431">
        <v>20000</v>
      </c>
      <c r="W63" s="431">
        <v>0</v>
      </c>
      <c r="X63" s="431">
        <v>70410</v>
      </c>
      <c r="Y63" s="431">
        <v>112954</v>
      </c>
      <c r="Z63" s="431">
        <v>1956777</v>
      </c>
      <c r="AA63" s="431">
        <v>0</v>
      </c>
      <c r="AB63" s="431">
        <v>0</v>
      </c>
      <c r="AC63" s="431">
        <v>1135925</v>
      </c>
      <c r="AD63" s="431">
        <v>68364</v>
      </c>
      <c r="AE63" s="431">
        <v>1003089</v>
      </c>
      <c r="AF63" s="431">
        <v>2211</v>
      </c>
      <c r="AG63" s="431">
        <v>188690</v>
      </c>
      <c r="AH63" s="431">
        <v>146299</v>
      </c>
      <c r="AI63" s="431">
        <v>26055</v>
      </c>
      <c r="AJ63" s="431">
        <v>78174</v>
      </c>
      <c r="AK63" s="431">
        <v>0</v>
      </c>
      <c r="AL63" s="431">
        <v>1308395</v>
      </c>
      <c r="AM63" s="431">
        <v>61145</v>
      </c>
      <c r="AN63" s="340"/>
      <c r="AO63" s="340"/>
      <c r="AP63" s="340"/>
      <c r="AQ63" s="340"/>
      <c r="AR63" s="340"/>
    </row>
    <row r="64" spans="1:44" s="325" customFormat="1" x14ac:dyDescent="0.2">
      <c r="A64" s="339">
        <v>10</v>
      </c>
      <c r="B64" s="533">
        <v>43279</v>
      </c>
      <c r="C64" s="534" t="s">
        <v>2276</v>
      </c>
      <c r="D64" s="432">
        <f t="shared" si="13"/>
        <v>6881705</v>
      </c>
      <c r="E64" s="431">
        <v>1044805</v>
      </c>
      <c r="F64" s="431">
        <v>159500</v>
      </c>
      <c r="G64" s="431">
        <v>462753</v>
      </c>
      <c r="H64" s="431"/>
      <c r="I64" s="431">
        <v>1591618</v>
      </c>
      <c r="J64" s="431">
        <v>0</v>
      </c>
      <c r="K64" s="431">
        <v>1017000</v>
      </c>
      <c r="L64" s="431"/>
      <c r="M64" s="431">
        <v>2291543</v>
      </c>
      <c r="N64" s="431">
        <v>581622</v>
      </c>
      <c r="O64" s="431">
        <v>355117</v>
      </c>
      <c r="P64" s="432">
        <f t="shared" si="14"/>
        <v>6868866</v>
      </c>
      <c r="Q64" s="431">
        <v>1768847</v>
      </c>
      <c r="R64" s="431">
        <v>989318</v>
      </c>
      <c r="S64" s="431">
        <v>8912</v>
      </c>
      <c r="T64" s="431">
        <v>0</v>
      </c>
      <c r="U64" s="431">
        <v>0</v>
      </c>
      <c r="V64" s="431">
        <v>0</v>
      </c>
      <c r="W64" s="431">
        <v>107012</v>
      </c>
      <c r="X64" s="431">
        <v>324524</v>
      </c>
      <c r="Y64" s="431">
        <v>44938</v>
      </c>
      <c r="Z64" s="431">
        <v>3059519</v>
      </c>
      <c r="AA64" s="431">
        <v>575496</v>
      </c>
      <c r="AB64" s="431">
        <v>-9700</v>
      </c>
      <c r="AC64" s="431">
        <v>1273583</v>
      </c>
      <c r="AD64" s="431">
        <v>179301</v>
      </c>
      <c r="AE64" s="431">
        <v>1486828</v>
      </c>
      <c r="AF64" s="431">
        <v>35773</v>
      </c>
      <c r="AG64" s="431">
        <v>631684</v>
      </c>
      <c r="AH64" s="431">
        <v>418263</v>
      </c>
      <c r="AI64" s="431">
        <v>407203</v>
      </c>
      <c r="AJ64" s="431">
        <v>14942</v>
      </c>
      <c r="AK64" s="431">
        <v>0</v>
      </c>
      <c r="AL64" s="431">
        <v>2421289</v>
      </c>
      <c r="AM64" s="431"/>
      <c r="AN64" s="340"/>
      <c r="AO64" s="340"/>
      <c r="AP64" s="340"/>
      <c r="AQ64" s="340"/>
      <c r="AR64" s="340"/>
    </row>
    <row r="65" spans="1:44" s="325" customFormat="1" x14ac:dyDescent="0.2">
      <c r="A65" s="339">
        <v>11</v>
      </c>
      <c r="B65" s="533">
        <v>43313</v>
      </c>
      <c r="C65" s="534" t="s">
        <v>2642</v>
      </c>
      <c r="D65" s="432">
        <f t="shared" si="13"/>
        <v>4838290</v>
      </c>
      <c r="E65" s="431">
        <v>1731702</v>
      </c>
      <c r="F65" s="431">
        <v>673179</v>
      </c>
      <c r="G65" s="431">
        <v>415322</v>
      </c>
      <c r="H65" s="431"/>
      <c r="I65" s="431">
        <v>1725000</v>
      </c>
      <c r="J65" s="431">
        <v>0</v>
      </c>
      <c r="K65" s="431">
        <v>979000</v>
      </c>
      <c r="L65" s="431"/>
      <c r="M65" s="431">
        <v>377988</v>
      </c>
      <c r="N65" s="431">
        <v>0</v>
      </c>
      <c r="O65" s="431">
        <v>24600</v>
      </c>
      <c r="P65" s="432">
        <f t="shared" si="14"/>
        <v>4672659</v>
      </c>
      <c r="Q65" s="431">
        <v>2023385</v>
      </c>
      <c r="R65" s="431">
        <v>946749</v>
      </c>
      <c r="S65" s="431">
        <v>0</v>
      </c>
      <c r="T65" s="431">
        <v>0</v>
      </c>
      <c r="U65" s="431">
        <v>0</v>
      </c>
      <c r="V65" s="431">
        <v>0</v>
      </c>
      <c r="W65" s="431">
        <v>0</v>
      </c>
      <c r="X65" s="431">
        <v>346467</v>
      </c>
      <c r="Y65" s="431">
        <v>304011</v>
      </c>
      <c r="Z65" s="431">
        <v>1052047</v>
      </c>
      <c r="AA65" s="431">
        <v>0</v>
      </c>
      <c r="AB65" s="431">
        <v>0</v>
      </c>
      <c r="AC65" s="431">
        <v>1208925</v>
      </c>
      <c r="AD65" s="431">
        <v>36907</v>
      </c>
      <c r="AE65" s="431">
        <v>1537985</v>
      </c>
      <c r="AF65" s="431">
        <v>0</v>
      </c>
      <c r="AG65" s="431">
        <v>362087</v>
      </c>
      <c r="AH65" s="431">
        <v>346467</v>
      </c>
      <c r="AI65" s="431">
        <v>232275</v>
      </c>
      <c r="AJ65" s="431">
        <v>179361</v>
      </c>
      <c r="AK65" s="431">
        <v>0</v>
      </c>
      <c r="AL65" s="431">
        <v>768652</v>
      </c>
      <c r="AM65" s="431"/>
      <c r="AN65" s="340"/>
      <c r="AO65" s="340"/>
      <c r="AP65" s="340"/>
      <c r="AQ65" s="340"/>
      <c r="AR65" s="340"/>
    </row>
    <row r="66" spans="1:44" s="325" customFormat="1" x14ac:dyDescent="0.2">
      <c r="A66" s="339">
        <v>12</v>
      </c>
      <c r="B66" s="533">
        <v>42708</v>
      </c>
      <c r="C66" s="534" t="s">
        <v>2643</v>
      </c>
      <c r="D66" s="432">
        <f t="shared" si="13"/>
        <v>8768433</v>
      </c>
      <c r="E66" s="431">
        <v>6291386</v>
      </c>
      <c r="F66" s="431">
        <v>2839561</v>
      </c>
      <c r="G66" s="431">
        <v>44251</v>
      </c>
      <c r="H66" s="431"/>
      <c r="I66" s="431">
        <v>1990774</v>
      </c>
      <c r="J66" s="431">
        <v>0</v>
      </c>
      <c r="K66" s="431">
        <v>326000</v>
      </c>
      <c r="L66" s="431"/>
      <c r="M66" s="431">
        <v>15673</v>
      </c>
      <c r="N66" s="431">
        <v>0</v>
      </c>
      <c r="O66" s="431">
        <v>144600</v>
      </c>
      <c r="P66" s="432">
        <f t="shared" si="14"/>
        <v>5270494</v>
      </c>
      <c r="Q66" s="431">
        <v>2288850</v>
      </c>
      <c r="R66" s="431">
        <v>1914391</v>
      </c>
      <c r="S66" s="431">
        <v>0</v>
      </c>
      <c r="T66" s="431">
        <v>0</v>
      </c>
      <c r="U66" s="431">
        <v>0</v>
      </c>
      <c r="V66" s="431">
        <v>66952</v>
      </c>
      <c r="W66" s="431">
        <v>0</v>
      </c>
      <c r="X66" s="431">
        <v>368252</v>
      </c>
      <c r="Y66" s="431">
        <v>316700</v>
      </c>
      <c r="Z66" s="431">
        <v>372780</v>
      </c>
      <c r="AA66" s="431">
        <v>0</v>
      </c>
      <c r="AB66" s="431">
        <v>-57431</v>
      </c>
      <c r="AC66" s="431">
        <v>735905</v>
      </c>
      <c r="AD66" s="431">
        <v>207217</v>
      </c>
      <c r="AE66" s="431">
        <v>1945049</v>
      </c>
      <c r="AF66" s="431">
        <v>0</v>
      </c>
      <c r="AG66" s="431">
        <v>354519</v>
      </c>
      <c r="AH66" s="431">
        <v>366548</v>
      </c>
      <c r="AI66" s="431">
        <v>461315</v>
      </c>
      <c r="AJ66" s="431">
        <v>103765</v>
      </c>
      <c r="AK66" s="431">
        <v>0</v>
      </c>
      <c r="AL66" s="431">
        <v>1078523</v>
      </c>
      <c r="AM66" s="431">
        <v>17653</v>
      </c>
      <c r="AN66" s="340"/>
      <c r="AO66" s="340"/>
      <c r="AP66" s="340"/>
      <c r="AQ66" s="340"/>
      <c r="AR66" s="340"/>
    </row>
    <row r="67" spans="1:44" s="325" customFormat="1" x14ac:dyDescent="0.2">
      <c r="A67" s="339">
        <v>13</v>
      </c>
      <c r="B67" s="533">
        <v>42771</v>
      </c>
      <c r="C67" s="534" t="s">
        <v>2644</v>
      </c>
      <c r="D67" s="432">
        <f t="shared" si="13"/>
        <v>5385278</v>
      </c>
      <c r="E67" s="431">
        <v>1821555</v>
      </c>
      <c r="F67" s="431">
        <v>209352</v>
      </c>
      <c r="G67" s="431">
        <v>250713</v>
      </c>
      <c r="H67" s="431"/>
      <c r="I67" s="431">
        <v>939000</v>
      </c>
      <c r="J67" s="431">
        <v>200000</v>
      </c>
      <c r="K67" s="431">
        <v>444000</v>
      </c>
      <c r="L67" s="431"/>
      <c r="M67" s="431">
        <v>1491961</v>
      </c>
      <c r="N67" s="431">
        <v>486520</v>
      </c>
      <c r="O67" s="431">
        <v>2242</v>
      </c>
      <c r="P67" s="432">
        <f t="shared" si="14"/>
        <v>4970332</v>
      </c>
      <c r="Q67" s="431">
        <v>1547556</v>
      </c>
      <c r="R67" s="431">
        <v>704737</v>
      </c>
      <c r="S67" s="431">
        <v>0</v>
      </c>
      <c r="T67" s="431">
        <v>0</v>
      </c>
      <c r="U67" s="431">
        <v>0</v>
      </c>
      <c r="V67" s="431">
        <v>0</v>
      </c>
      <c r="W67" s="431">
        <v>639863</v>
      </c>
      <c r="X67" s="431">
        <v>113154</v>
      </c>
      <c r="Y67" s="431">
        <v>44512</v>
      </c>
      <c r="Z67" s="431">
        <v>1925847</v>
      </c>
      <c r="AA67" s="431">
        <v>0</v>
      </c>
      <c r="AB67" s="431">
        <v>-5337</v>
      </c>
      <c r="AC67" s="431">
        <v>1088831</v>
      </c>
      <c r="AD67" s="431">
        <v>26547</v>
      </c>
      <c r="AE67" s="431">
        <v>937095</v>
      </c>
      <c r="AF67" s="431">
        <v>0</v>
      </c>
      <c r="AG67" s="431">
        <v>190398</v>
      </c>
      <c r="AH67" s="431">
        <v>256698</v>
      </c>
      <c r="AI67" s="431">
        <v>42653</v>
      </c>
      <c r="AJ67" s="431">
        <v>36838</v>
      </c>
      <c r="AK67" s="431">
        <v>0</v>
      </c>
      <c r="AL67" s="431">
        <v>2391272</v>
      </c>
      <c r="AM67" s="431"/>
      <c r="AN67" s="340"/>
      <c r="AO67" s="340"/>
      <c r="AP67" s="340"/>
      <c r="AQ67" s="340"/>
      <c r="AR67" s="340"/>
    </row>
    <row r="68" spans="1:44" s="325" customFormat="1" x14ac:dyDescent="0.2">
      <c r="A68" s="339">
        <v>14</v>
      </c>
      <c r="B68" s="533">
        <v>43466</v>
      </c>
      <c r="C68" s="534" t="s">
        <v>2645</v>
      </c>
      <c r="D68" s="432">
        <f t="shared" si="13"/>
        <v>6838030</v>
      </c>
      <c r="E68" s="431">
        <v>1205446</v>
      </c>
      <c r="F68" s="431">
        <v>172717</v>
      </c>
      <c r="G68" s="431">
        <v>425553</v>
      </c>
      <c r="H68" s="431"/>
      <c r="I68" s="431">
        <v>1654126</v>
      </c>
      <c r="J68" s="431">
        <v>0</v>
      </c>
      <c r="K68" s="431">
        <v>823000</v>
      </c>
      <c r="L68" s="431"/>
      <c r="M68" s="431">
        <v>198157</v>
      </c>
      <c r="N68" s="431">
        <v>2936055</v>
      </c>
      <c r="O68" s="431">
        <v>21246</v>
      </c>
      <c r="P68" s="432">
        <f t="shared" si="14"/>
        <v>3915263</v>
      </c>
      <c r="Q68" s="431">
        <v>1947977</v>
      </c>
      <c r="R68" s="431">
        <v>734631</v>
      </c>
      <c r="S68" s="431">
        <v>0</v>
      </c>
      <c r="T68" s="431">
        <v>0</v>
      </c>
      <c r="U68" s="431">
        <v>0</v>
      </c>
      <c r="V68" s="431">
        <v>39172</v>
      </c>
      <c r="W68" s="431">
        <v>190643</v>
      </c>
      <c r="X68" s="431">
        <v>236359</v>
      </c>
      <c r="Y68" s="431">
        <v>76441</v>
      </c>
      <c r="Z68" s="431">
        <v>690040</v>
      </c>
      <c r="AA68" s="431">
        <v>0</v>
      </c>
      <c r="AB68" s="431">
        <v>0</v>
      </c>
      <c r="AC68" s="431">
        <v>1013312</v>
      </c>
      <c r="AD68" s="431">
        <v>77422</v>
      </c>
      <c r="AE68" s="431">
        <v>1443850</v>
      </c>
      <c r="AF68" s="431">
        <v>0</v>
      </c>
      <c r="AG68" s="431">
        <v>127116</v>
      </c>
      <c r="AH68" s="431">
        <v>454484</v>
      </c>
      <c r="AI68" s="431">
        <v>356686</v>
      </c>
      <c r="AJ68" s="431">
        <v>39172</v>
      </c>
      <c r="AK68" s="431">
        <v>0</v>
      </c>
      <c r="AL68" s="431">
        <v>403221</v>
      </c>
      <c r="AM68" s="431"/>
      <c r="AN68" s="340"/>
      <c r="AO68" s="340"/>
      <c r="AP68" s="340"/>
      <c r="AQ68" s="340"/>
      <c r="AR68" s="340"/>
    </row>
    <row r="69" spans="1:44" s="325" customFormat="1" x14ac:dyDescent="0.2">
      <c r="A69" s="339">
        <v>15</v>
      </c>
      <c r="B69" s="533">
        <v>43493</v>
      </c>
      <c r="C69" s="534" t="s">
        <v>2646</v>
      </c>
      <c r="D69" s="432">
        <f t="shared" si="13"/>
        <v>6935074</v>
      </c>
      <c r="E69" s="431">
        <v>2335590</v>
      </c>
      <c r="F69" s="431">
        <v>115977</v>
      </c>
      <c r="G69" s="431">
        <v>484143</v>
      </c>
      <c r="H69" s="431"/>
      <c r="I69" s="431">
        <v>1929000</v>
      </c>
      <c r="J69" s="431">
        <v>1080000</v>
      </c>
      <c r="K69" s="431">
        <v>1257000</v>
      </c>
      <c r="L69" s="431"/>
      <c r="M69" s="431">
        <v>213484</v>
      </c>
      <c r="N69" s="431">
        <v>0</v>
      </c>
      <c r="O69" s="431">
        <v>120000</v>
      </c>
      <c r="P69" s="432">
        <f t="shared" si="14"/>
        <v>6030655</v>
      </c>
      <c r="Q69" s="431">
        <v>2482814</v>
      </c>
      <c r="R69" s="431">
        <v>804357</v>
      </c>
      <c r="S69" s="431">
        <v>10120</v>
      </c>
      <c r="T69" s="431">
        <v>0</v>
      </c>
      <c r="U69" s="431">
        <v>0</v>
      </c>
      <c r="V69" s="431">
        <v>0</v>
      </c>
      <c r="W69" s="431">
        <v>0</v>
      </c>
      <c r="X69" s="431">
        <v>119661</v>
      </c>
      <c r="Y69" s="431">
        <v>4000</v>
      </c>
      <c r="Z69" s="431">
        <v>2610450</v>
      </c>
      <c r="AA69" s="431">
        <v>0</v>
      </c>
      <c r="AB69" s="431">
        <v>-747</v>
      </c>
      <c r="AC69" s="431">
        <v>1175204</v>
      </c>
      <c r="AD69" s="431">
        <v>179850</v>
      </c>
      <c r="AE69" s="431">
        <v>1771907</v>
      </c>
      <c r="AF69" s="431">
        <v>69992</v>
      </c>
      <c r="AG69" s="431">
        <v>16620</v>
      </c>
      <c r="AH69" s="431">
        <v>360947</v>
      </c>
      <c r="AI69" s="431">
        <v>265445</v>
      </c>
      <c r="AJ69" s="431">
        <v>0</v>
      </c>
      <c r="AK69" s="431">
        <v>0</v>
      </c>
      <c r="AL69" s="431">
        <v>2190690</v>
      </c>
      <c r="AM69" s="431"/>
      <c r="AN69" s="340"/>
      <c r="AO69" s="340"/>
      <c r="AP69" s="340"/>
      <c r="AQ69" s="340"/>
      <c r="AR69" s="340"/>
    </row>
    <row r="70" spans="1:44" s="325" customFormat="1" x14ac:dyDescent="0.2">
      <c r="A70" s="339">
        <v>16</v>
      </c>
      <c r="B70" s="533">
        <v>43563</v>
      </c>
      <c r="C70" s="534" t="s">
        <v>2647</v>
      </c>
      <c r="D70" s="432">
        <f t="shared" si="13"/>
        <v>11023143</v>
      </c>
      <c r="E70" s="431">
        <v>1999328</v>
      </c>
      <c r="F70" s="431">
        <v>743219</v>
      </c>
      <c r="G70" s="431">
        <v>246993</v>
      </c>
      <c r="H70" s="431"/>
      <c r="I70" s="431">
        <v>2529451</v>
      </c>
      <c r="J70" s="431">
        <v>395000</v>
      </c>
      <c r="K70" s="431">
        <v>681000</v>
      </c>
      <c r="L70" s="431"/>
      <c r="M70" s="431">
        <v>5133287</v>
      </c>
      <c r="N70" s="431">
        <v>239627</v>
      </c>
      <c r="O70" s="431">
        <v>45450</v>
      </c>
      <c r="P70" s="432">
        <f t="shared" si="14"/>
        <v>11780660</v>
      </c>
      <c r="Q70" s="431">
        <v>2875314</v>
      </c>
      <c r="R70" s="431">
        <v>1284960</v>
      </c>
      <c r="S70" s="431">
        <v>0</v>
      </c>
      <c r="T70" s="431">
        <v>0</v>
      </c>
      <c r="U70" s="431">
        <v>0</v>
      </c>
      <c r="V70" s="431">
        <v>40419</v>
      </c>
      <c r="W70" s="431">
        <v>330281</v>
      </c>
      <c r="X70" s="431">
        <v>289381</v>
      </c>
      <c r="Y70" s="431">
        <v>110000</v>
      </c>
      <c r="Z70" s="431">
        <v>6850305</v>
      </c>
      <c r="AA70" s="431">
        <v>0</v>
      </c>
      <c r="AB70" s="431">
        <v>0</v>
      </c>
      <c r="AC70" s="431">
        <v>1091373</v>
      </c>
      <c r="AD70" s="431">
        <v>113656</v>
      </c>
      <c r="AE70" s="431">
        <v>2357089</v>
      </c>
      <c r="AF70" s="431">
        <v>51625</v>
      </c>
      <c r="AG70" s="431">
        <v>292302</v>
      </c>
      <c r="AH70" s="431">
        <v>455534</v>
      </c>
      <c r="AI70" s="431">
        <v>453861</v>
      </c>
      <c r="AJ70" s="431">
        <v>56404</v>
      </c>
      <c r="AK70" s="431">
        <v>0</v>
      </c>
      <c r="AL70" s="431">
        <v>6538116</v>
      </c>
      <c r="AM70" s="431">
        <v>370700</v>
      </c>
      <c r="AN70" s="340"/>
      <c r="AO70" s="340"/>
      <c r="AP70" s="340"/>
      <c r="AQ70" s="340"/>
      <c r="AR70" s="340"/>
    </row>
    <row r="71" spans="1:44" s="325" customFormat="1" x14ac:dyDescent="0.2">
      <c r="A71" s="339">
        <v>17</v>
      </c>
      <c r="B71" s="533">
        <v>43625</v>
      </c>
      <c r="C71" s="534" t="s">
        <v>2648</v>
      </c>
      <c r="D71" s="432">
        <f t="shared" si="13"/>
        <v>4577682</v>
      </c>
      <c r="E71" s="431">
        <v>1883349</v>
      </c>
      <c r="F71" s="431">
        <v>403936</v>
      </c>
      <c r="G71" s="431">
        <v>283263</v>
      </c>
      <c r="H71" s="431"/>
      <c r="I71" s="431">
        <v>1660297</v>
      </c>
      <c r="J71" s="431">
        <v>0</v>
      </c>
      <c r="K71" s="431">
        <v>734000</v>
      </c>
      <c r="L71" s="431"/>
      <c r="M71" s="431">
        <v>29591</v>
      </c>
      <c r="N71" s="431">
        <v>270445</v>
      </c>
      <c r="O71" s="431"/>
      <c r="P71" s="432">
        <f t="shared" si="14"/>
        <v>4126488</v>
      </c>
      <c r="Q71" s="431">
        <v>2076670</v>
      </c>
      <c r="R71" s="431">
        <v>1033266</v>
      </c>
      <c r="S71" s="431">
        <v>0</v>
      </c>
      <c r="T71" s="431">
        <v>0</v>
      </c>
      <c r="U71" s="431">
        <v>0</v>
      </c>
      <c r="V71" s="431">
        <v>0</v>
      </c>
      <c r="W71" s="431">
        <v>417021</v>
      </c>
      <c r="X71" s="431">
        <v>170509</v>
      </c>
      <c r="Y71" s="431">
        <v>134473</v>
      </c>
      <c r="Z71" s="431">
        <v>310056</v>
      </c>
      <c r="AA71" s="431">
        <v>0</v>
      </c>
      <c r="AB71" s="431">
        <v>-15507</v>
      </c>
      <c r="AC71" s="431">
        <v>896948</v>
      </c>
      <c r="AD71" s="431">
        <v>119931</v>
      </c>
      <c r="AE71" s="431">
        <v>1614120</v>
      </c>
      <c r="AF71" s="431">
        <v>0</v>
      </c>
      <c r="AG71" s="431">
        <v>338304</v>
      </c>
      <c r="AH71" s="431">
        <v>327800</v>
      </c>
      <c r="AI71" s="431">
        <v>295094</v>
      </c>
      <c r="AJ71" s="431">
        <v>0</v>
      </c>
      <c r="AK71" s="431">
        <v>0</v>
      </c>
      <c r="AL71" s="431">
        <v>512785</v>
      </c>
      <c r="AM71" s="431">
        <v>21506</v>
      </c>
      <c r="AN71" s="340"/>
      <c r="AO71" s="340"/>
      <c r="AP71" s="340"/>
      <c r="AQ71" s="340"/>
      <c r="AR71" s="340"/>
    </row>
    <row r="72" spans="1:44" s="325" customFormat="1" x14ac:dyDescent="0.2">
      <c r="A72" s="339">
        <v>18</v>
      </c>
      <c r="B72" s="533">
        <v>43652</v>
      </c>
      <c r="C72" s="534" t="s">
        <v>2649</v>
      </c>
      <c r="D72" s="432">
        <f t="shared" si="13"/>
        <v>7506630</v>
      </c>
      <c r="E72" s="431">
        <v>1493050</v>
      </c>
      <c r="F72" s="431">
        <v>297447</v>
      </c>
      <c r="G72" s="431">
        <v>538083</v>
      </c>
      <c r="H72" s="431"/>
      <c r="I72" s="431">
        <v>2062488</v>
      </c>
      <c r="J72" s="431">
        <v>0</v>
      </c>
      <c r="K72" s="431">
        <v>1293000</v>
      </c>
      <c r="L72" s="431"/>
      <c r="M72" s="431">
        <v>2408472</v>
      </c>
      <c r="N72" s="431">
        <v>0</v>
      </c>
      <c r="O72" s="431">
        <v>249620</v>
      </c>
      <c r="P72" s="432">
        <f t="shared" si="14"/>
        <v>7768973</v>
      </c>
      <c r="Q72" s="431">
        <v>2511319</v>
      </c>
      <c r="R72" s="431">
        <v>1022885</v>
      </c>
      <c r="S72" s="431">
        <v>0</v>
      </c>
      <c r="T72" s="431">
        <v>0</v>
      </c>
      <c r="U72" s="431">
        <v>0</v>
      </c>
      <c r="V72" s="431">
        <v>0</v>
      </c>
      <c r="W72" s="431">
        <v>0</v>
      </c>
      <c r="X72" s="431">
        <v>368474</v>
      </c>
      <c r="Y72" s="431">
        <v>184271</v>
      </c>
      <c r="Z72" s="431">
        <v>3682649</v>
      </c>
      <c r="AA72" s="431">
        <v>0</v>
      </c>
      <c r="AB72" s="431">
        <v>-625</v>
      </c>
      <c r="AC72" s="431">
        <v>954703</v>
      </c>
      <c r="AD72" s="431">
        <v>211268</v>
      </c>
      <c r="AE72" s="431">
        <v>1797028</v>
      </c>
      <c r="AF72" s="431">
        <v>0</v>
      </c>
      <c r="AG72" s="431">
        <v>226516</v>
      </c>
      <c r="AH72" s="431">
        <v>700069</v>
      </c>
      <c r="AI72" s="431">
        <v>131449</v>
      </c>
      <c r="AJ72" s="431">
        <v>448006</v>
      </c>
      <c r="AK72" s="431">
        <v>0</v>
      </c>
      <c r="AL72" s="431">
        <v>3299934</v>
      </c>
      <c r="AM72" s="431"/>
      <c r="AN72" s="340"/>
      <c r="AO72" s="340"/>
      <c r="AP72" s="340"/>
      <c r="AQ72" s="340"/>
      <c r="AR72" s="340"/>
    </row>
    <row r="73" spans="1:44" s="325" customFormat="1" x14ac:dyDescent="0.2">
      <c r="A73" s="339">
        <v>19</v>
      </c>
      <c r="B73" s="533">
        <v>43698</v>
      </c>
      <c r="C73" s="534" t="s">
        <v>481</v>
      </c>
      <c r="D73" s="432">
        <f t="shared" si="13"/>
        <v>3902511</v>
      </c>
      <c r="E73" s="431">
        <v>882829</v>
      </c>
      <c r="F73" s="431">
        <v>115354</v>
      </c>
      <c r="G73" s="431">
        <v>475772</v>
      </c>
      <c r="H73" s="431"/>
      <c r="I73" s="431">
        <v>743240</v>
      </c>
      <c r="J73" s="431">
        <v>200000</v>
      </c>
      <c r="K73" s="431">
        <v>748000</v>
      </c>
      <c r="L73" s="431"/>
      <c r="M73" s="431">
        <v>1260800</v>
      </c>
      <c r="N73" s="431">
        <v>0</v>
      </c>
      <c r="O73" s="431">
        <v>67642</v>
      </c>
      <c r="P73" s="432">
        <f t="shared" si="14"/>
        <v>3331107</v>
      </c>
      <c r="Q73" s="431">
        <v>1100763</v>
      </c>
      <c r="R73" s="431">
        <v>586770</v>
      </c>
      <c r="S73" s="431">
        <v>0</v>
      </c>
      <c r="T73" s="431">
        <v>0</v>
      </c>
      <c r="U73" s="431">
        <v>0</v>
      </c>
      <c r="V73" s="431">
        <v>0</v>
      </c>
      <c r="W73" s="431">
        <v>0</v>
      </c>
      <c r="X73" s="431">
        <v>66811</v>
      </c>
      <c r="Y73" s="431">
        <v>0</v>
      </c>
      <c r="Z73" s="431">
        <v>1576763</v>
      </c>
      <c r="AA73" s="431">
        <v>0</v>
      </c>
      <c r="AB73" s="431">
        <v>0</v>
      </c>
      <c r="AC73" s="431">
        <v>694607</v>
      </c>
      <c r="AD73" s="431">
        <v>76871</v>
      </c>
      <c r="AE73" s="431">
        <v>631987</v>
      </c>
      <c r="AF73" s="431">
        <v>33471</v>
      </c>
      <c r="AG73" s="431">
        <v>27051</v>
      </c>
      <c r="AH73" s="431">
        <v>360289</v>
      </c>
      <c r="AI73" s="431">
        <v>49794</v>
      </c>
      <c r="AJ73" s="431">
        <v>8192</v>
      </c>
      <c r="AK73" s="431">
        <v>0</v>
      </c>
      <c r="AL73" s="431">
        <v>1448845</v>
      </c>
      <c r="AM73" s="431"/>
      <c r="AN73" s="340"/>
      <c r="AO73" s="340"/>
      <c r="AP73" s="340"/>
      <c r="AQ73" s="340"/>
      <c r="AR73" s="340"/>
    </row>
    <row r="74" spans="1:44" s="325" customFormat="1" x14ac:dyDescent="0.2">
      <c r="A74" s="339">
        <v>20</v>
      </c>
      <c r="B74" s="533">
        <v>43732</v>
      </c>
      <c r="C74" s="534" t="s">
        <v>2650</v>
      </c>
      <c r="D74" s="432">
        <f t="shared" si="13"/>
        <v>3145546</v>
      </c>
      <c r="E74" s="431">
        <v>1034107</v>
      </c>
      <c r="F74" s="431">
        <v>183497</v>
      </c>
      <c r="G74" s="431">
        <v>351153</v>
      </c>
      <c r="H74" s="431"/>
      <c r="I74" s="431">
        <v>1147637</v>
      </c>
      <c r="J74" s="431">
        <v>0</v>
      </c>
      <c r="K74" s="431">
        <v>699000</v>
      </c>
      <c r="L74" s="431"/>
      <c r="M74" s="431">
        <v>255202</v>
      </c>
      <c r="N74" s="431">
        <v>0</v>
      </c>
      <c r="O74" s="431">
        <v>9600</v>
      </c>
      <c r="P74" s="432">
        <f t="shared" si="14"/>
        <v>3153898</v>
      </c>
      <c r="Q74" s="431">
        <v>1521798</v>
      </c>
      <c r="R74" s="431">
        <v>548465</v>
      </c>
      <c r="S74" s="431">
        <v>0</v>
      </c>
      <c r="T74" s="431">
        <v>0</v>
      </c>
      <c r="U74" s="431">
        <v>0</v>
      </c>
      <c r="V74" s="431">
        <v>26067</v>
      </c>
      <c r="W74" s="431">
        <v>0</v>
      </c>
      <c r="X74" s="431">
        <v>86386</v>
      </c>
      <c r="Y74" s="431">
        <v>92205</v>
      </c>
      <c r="Z74" s="431">
        <v>878977</v>
      </c>
      <c r="AA74" s="431">
        <v>0</v>
      </c>
      <c r="AB74" s="431">
        <v>0</v>
      </c>
      <c r="AC74" s="431">
        <v>642920</v>
      </c>
      <c r="AD74" s="431">
        <v>108807</v>
      </c>
      <c r="AE74" s="431">
        <v>1179312</v>
      </c>
      <c r="AF74" s="431">
        <v>11334</v>
      </c>
      <c r="AG74" s="431">
        <v>145824</v>
      </c>
      <c r="AH74" s="431">
        <v>244284</v>
      </c>
      <c r="AI74" s="431">
        <v>293654</v>
      </c>
      <c r="AJ74" s="431">
        <v>26067</v>
      </c>
      <c r="AK74" s="431">
        <v>0</v>
      </c>
      <c r="AL74" s="431">
        <v>458542</v>
      </c>
      <c r="AM74" s="431">
        <v>43154</v>
      </c>
      <c r="AN74" s="340"/>
      <c r="AO74" s="340"/>
      <c r="AP74" s="340"/>
      <c r="AQ74" s="340"/>
      <c r="AR74" s="340"/>
    </row>
    <row r="75" spans="1:44" s="325" customFormat="1" x14ac:dyDescent="0.2">
      <c r="A75" s="339">
        <v>21</v>
      </c>
      <c r="B75" s="533">
        <v>43787</v>
      </c>
      <c r="C75" s="534" t="s">
        <v>2651</v>
      </c>
      <c r="D75" s="432">
        <f t="shared" si="13"/>
        <v>3803987</v>
      </c>
      <c r="E75" s="431">
        <v>952849</v>
      </c>
      <c r="F75" s="431">
        <v>125681</v>
      </c>
      <c r="G75" s="431">
        <v>327903</v>
      </c>
      <c r="H75" s="431"/>
      <c r="I75" s="431">
        <v>956414</v>
      </c>
      <c r="J75" s="431">
        <v>900000</v>
      </c>
      <c r="K75" s="431">
        <v>601000</v>
      </c>
      <c r="L75" s="431"/>
      <c r="M75" s="431">
        <v>243838</v>
      </c>
      <c r="N75" s="431">
        <v>0</v>
      </c>
      <c r="O75" s="431">
        <v>149886</v>
      </c>
      <c r="P75" s="432">
        <f t="shared" si="14"/>
        <v>3068865</v>
      </c>
      <c r="Q75" s="431">
        <v>1356754</v>
      </c>
      <c r="R75" s="431">
        <v>720298</v>
      </c>
      <c r="S75" s="431">
        <v>0</v>
      </c>
      <c r="T75" s="431">
        <v>0</v>
      </c>
      <c r="U75" s="431">
        <v>0</v>
      </c>
      <c r="V75" s="431">
        <v>0</v>
      </c>
      <c r="W75" s="431">
        <v>0</v>
      </c>
      <c r="X75" s="431">
        <v>67407</v>
      </c>
      <c r="Y75" s="431">
        <v>75016</v>
      </c>
      <c r="Z75" s="431">
        <v>849390</v>
      </c>
      <c r="AA75" s="431">
        <v>0</v>
      </c>
      <c r="AB75" s="431">
        <v>0</v>
      </c>
      <c r="AC75" s="431">
        <v>751580</v>
      </c>
      <c r="AD75" s="431">
        <v>85545</v>
      </c>
      <c r="AE75" s="431">
        <v>911182</v>
      </c>
      <c r="AF75" s="431">
        <v>0</v>
      </c>
      <c r="AG75" s="431">
        <v>469014</v>
      </c>
      <c r="AH75" s="431">
        <v>171180</v>
      </c>
      <c r="AI75" s="431">
        <v>107871</v>
      </c>
      <c r="AJ75" s="431">
        <v>100114</v>
      </c>
      <c r="AK75" s="431">
        <v>0</v>
      </c>
      <c r="AL75" s="431">
        <v>438723</v>
      </c>
      <c r="AM75" s="431">
        <v>33656</v>
      </c>
      <c r="AN75" s="340"/>
      <c r="AO75" s="340"/>
      <c r="AP75" s="340"/>
      <c r="AQ75" s="340"/>
      <c r="AR75" s="340"/>
    </row>
    <row r="76" spans="1:44" s="325" customFormat="1" x14ac:dyDescent="0.2">
      <c r="A76" s="339">
        <v>22</v>
      </c>
      <c r="B76" s="533">
        <v>43812</v>
      </c>
      <c r="C76" s="534" t="s">
        <v>2549</v>
      </c>
      <c r="D76" s="432">
        <f t="shared" si="13"/>
        <v>5239478</v>
      </c>
      <c r="E76" s="431">
        <v>1169234</v>
      </c>
      <c r="F76" s="431">
        <v>164340</v>
      </c>
      <c r="G76" s="431">
        <v>379982</v>
      </c>
      <c r="H76" s="431"/>
      <c r="I76" s="431">
        <v>1823752</v>
      </c>
      <c r="J76" s="431">
        <v>900000</v>
      </c>
      <c r="K76" s="431">
        <v>870000</v>
      </c>
      <c r="L76" s="431"/>
      <c r="M76" s="431">
        <v>338483</v>
      </c>
      <c r="N76" s="431">
        <v>138009</v>
      </c>
      <c r="O76" s="431"/>
      <c r="P76" s="432">
        <f t="shared" si="14"/>
        <v>4274977</v>
      </c>
      <c r="Q76" s="431">
        <v>2136338</v>
      </c>
      <c r="R76" s="431">
        <v>521391</v>
      </c>
      <c r="S76" s="431">
        <v>0</v>
      </c>
      <c r="T76" s="431">
        <v>0</v>
      </c>
      <c r="U76" s="431">
        <v>0</v>
      </c>
      <c r="V76" s="431">
        <v>44032</v>
      </c>
      <c r="W76" s="431">
        <v>181676</v>
      </c>
      <c r="X76" s="431">
        <v>316969</v>
      </c>
      <c r="Y76" s="431">
        <v>19400</v>
      </c>
      <c r="Z76" s="431">
        <v>1055171</v>
      </c>
      <c r="AA76" s="431">
        <v>0</v>
      </c>
      <c r="AB76" s="431">
        <v>0</v>
      </c>
      <c r="AC76" s="431">
        <v>647485</v>
      </c>
      <c r="AD76" s="431">
        <v>124389</v>
      </c>
      <c r="AE76" s="431">
        <v>1569148</v>
      </c>
      <c r="AF76" s="431">
        <v>31069</v>
      </c>
      <c r="AG76" s="431">
        <v>349549</v>
      </c>
      <c r="AH76" s="431">
        <v>487220</v>
      </c>
      <c r="AI76" s="431">
        <v>64653</v>
      </c>
      <c r="AJ76" s="431">
        <v>62627</v>
      </c>
      <c r="AK76" s="431">
        <v>0</v>
      </c>
      <c r="AL76" s="431">
        <v>891296</v>
      </c>
      <c r="AM76" s="431">
        <v>47541</v>
      </c>
      <c r="AN76" s="340"/>
      <c r="AO76" s="340"/>
      <c r="AP76" s="340"/>
      <c r="AQ76" s="340"/>
      <c r="AR76" s="340"/>
    </row>
    <row r="77" spans="1:44" s="325" customFormat="1" x14ac:dyDescent="0.2">
      <c r="A77" s="339">
        <v>23</v>
      </c>
      <c r="B77" s="533">
        <v>43867</v>
      </c>
      <c r="C77" s="534" t="s">
        <v>2652</v>
      </c>
      <c r="D77" s="432">
        <f t="shared" si="13"/>
        <v>5699010</v>
      </c>
      <c r="E77" s="431">
        <v>1564665</v>
      </c>
      <c r="F77" s="431">
        <v>121120</v>
      </c>
      <c r="G77" s="431">
        <v>437643</v>
      </c>
      <c r="H77" s="431"/>
      <c r="I77" s="431">
        <v>1269211</v>
      </c>
      <c r="J77" s="431">
        <v>332000</v>
      </c>
      <c r="K77" s="431">
        <v>1071000</v>
      </c>
      <c r="L77" s="431"/>
      <c r="M77" s="431">
        <v>1317684</v>
      </c>
      <c r="N77" s="431">
        <v>0</v>
      </c>
      <c r="O77" s="431">
        <v>144450</v>
      </c>
      <c r="P77" s="432">
        <f t="shared" si="14"/>
        <v>5390386</v>
      </c>
      <c r="Q77" s="431">
        <v>1759781</v>
      </c>
      <c r="R77" s="431">
        <v>1141876</v>
      </c>
      <c r="S77" s="431">
        <v>0</v>
      </c>
      <c r="T77" s="431">
        <v>0</v>
      </c>
      <c r="U77" s="431">
        <v>0</v>
      </c>
      <c r="V77" s="431">
        <v>0</v>
      </c>
      <c r="W77" s="431">
        <v>0</v>
      </c>
      <c r="X77" s="431">
        <v>192554</v>
      </c>
      <c r="Y77" s="431">
        <v>27160</v>
      </c>
      <c r="Z77" s="431">
        <v>2283497</v>
      </c>
      <c r="AA77" s="431">
        <v>0</v>
      </c>
      <c r="AB77" s="431">
        <v>-14482</v>
      </c>
      <c r="AC77" s="431">
        <v>1279640</v>
      </c>
      <c r="AD77" s="431">
        <v>36267</v>
      </c>
      <c r="AE77" s="431">
        <v>1254587</v>
      </c>
      <c r="AF77" s="431">
        <v>62356</v>
      </c>
      <c r="AG77" s="431">
        <v>237813</v>
      </c>
      <c r="AH77" s="431">
        <v>355419</v>
      </c>
      <c r="AI77" s="431">
        <v>232873</v>
      </c>
      <c r="AJ77" s="431">
        <v>79163</v>
      </c>
      <c r="AK77" s="431">
        <v>0</v>
      </c>
      <c r="AL77" s="431">
        <v>1832024</v>
      </c>
      <c r="AM77" s="431">
        <v>20244</v>
      </c>
      <c r="AN77" s="340"/>
      <c r="AO77" s="340"/>
      <c r="AP77" s="340"/>
      <c r="AQ77" s="340"/>
      <c r="AR77" s="340"/>
    </row>
    <row r="78" spans="1:44" s="325" customFormat="1" x14ac:dyDescent="0.2">
      <c r="A78" s="339">
        <v>24</v>
      </c>
      <c r="B78" s="533">
        <v>43929</v>
      </c>
      <c r="C78" s="534" t="s">
        <v>2653</v>
      </c>
      <c r="D78" s="432">
        <f t="shared" si="13"/>
        <v>2619656</v>
      </c>
      <c r="E78" s="431">
        <v>951394</v>
      </c>
      <c r="F78" s="431">
        <v>106070</v>
      </c>
      <c r="G78" s="431">
        <v>460891</v>
      </c>
      <c r="H78" s="431"/>
      <c r="I78" s="431">
        <v>698454</v>
      </c>
      <c r="J78" s="431">
        <v>0</v>
      </c>
      <c r="K78" s="431">
        <v>949000</v>
      </c>
      <c r="L78" s="431"/>
      <c r="M78" s="431">
        <v>12190</v>
      </c>
      <c r="N78" s="431">
        <v>0</v>
      </c>
      <c r="O78" s="431">
        <v>8618</v>
      </c>
      <c r="P78" s="432">
        <f t="shared" si="14"/>
        <v>2411966</v>
      </c>
      <c r="Q78" s="431">
        <v>1016018</v>
      </c>
      <c r="R78" s="431">
        <v>512747</v>
      </c>
      <c r="S78" s="431">
        <v>0</v>
      </c>
      <c r="T78" s="431">
        <v>0</v>
      </c>
      <c r="U78" s="431">
        <v>0</v>
      </c>
      <c r="V78" s="431">
        <v>41616</v>
      </c>
      <c r="W78" s="431">
        <v>0</v>
      </c>
      <c r="X78" s="431">
        <v>60418</v>
      </c>
      <c r="Y78" s="431">
        <v>413129</v>
      </c>
      <c r="Z78" s="431">
        <v>368038</v>
      </c>
      <c r="AA78" s="431">
        <v>0</v>
      </c>
      <c r="AB78" s="431">
        <v>0</v>
      </c>
      <c r="AC78" s="431">
        <v>632498</v>
      </c>
      <c r="AD78" s="431">
        <v>172748</v>
      </c>
      <c r="AE78" s="431">
        <v>814841</v>
      </c>
      <c r="AF78" s="431">
        <v>0</v>
      </c>
      <c r="AG78" s="431">
        <v>473319</v>
      </c>
      <c r="AH78" s="431">
        <v>70743</v>
      </c>
      <c r="AI78" s="431">
        <v>55440</v>
      </c>
      <c r="AJ78" s="431">
        <v>21406</v>
      </c>
      <c r="AK78" s="431">
        <v>0</v>
      </c>
      <c r="AL78" s="431">
        <v>129355</v>
      </c>
      <c r="AM78" s="431">
        <v>41616</v>
      </c>
      <c r="AN78" s="340"/>
      <c r="AO78" s="340"/>
      <c r="AP78" s="340"/>
      <c r="AQ78" s="340"/>
      <c r="AR78" s="340"/>
    </row>
    <row r="79" spans="1:44" s="325" customFormat="1" x14ac:dyDescent="0.2">
      <c r="A79" s="339">
        <v>25</v>
      </c>
      <c r="B79" s="533">
        <v>43992</v>
      </c>
      <c r="C79" s="534" t="s">
        <v>1978</v>
      </c>
      <c r="D79" s="432">
        <f t="shared" si="13"/>
        <v>5261357</v>
      </c>
      <c r="E79" s="431">
        <v>1801028</v>
      </c>
      <c r="F79" s="431">
        <v>352607</v>
      </c>
      <c r="G79" s="431">
        <v>157713</v>
      </c>
      <c r="H79" s="431"/>
      <c r="I79" s="431">
        <v>930966</v>
      </c>
      <c r="J79" s="431">
        <v>0</v>
      </c>
      <c r="K79" s="431">
        <v>449000</v>
      </c>
      <c r="L79" s="431"/>
      <c r="M79" s="431">
        <v>1247063</v>
      </c>
      <c r="N79" s="431">
        <v>812550</v>
      </c>
      <c r="O79" s="431">
        <v>20750</v>
      </c>
      <c r="P79" s="432">
        <f t="shared" si="14"/>
        <v>5257611</v>
      </c>
      <c r="Q79" s="431">
        <v>1338036</v>
      </c>
      <c r="R79" s="431">
        <v>684399</v>
      </c>
      <c r="S79" s="431">
        <v>0</v>
      </c>
      <c r="T79" s="431">
        <v>0</v>
      </c>
      <c r="U79" s="431">
        <v>0</v>
      </c>
      <c r="V79" s="431">
        <v>0</v>
      </c>
      <c r="W79" s="431">
        <v>1073009</v>
      </c>
      <c r="X79" s="431">
        <v>94003</v>
      </c>
      <c r="Y79" s="431">
        <v>784</v>
      </c>
      <c r="Z79" s="431">
        <v>2087472</v>
      </c>
      <c r="AA79" s="431">
        <v>0</v>
      </c>
      <c r="AB79" s="431">
        <v>-20092</v>
      </c>
      <c r="AC79" s="431">
        <v>1117579</v>
      </c>
      <c r="AD79" s="431">
        <v>0</v>
      </c>
      <c r="AE79" s="431">
        <v>907985</v>
      </c>
      <c r="AF79" s="431">
        <v>0</v>
      </c>
      <c r="AG79" s="431">
        <v>984197</v>
      </c>
      <c r="AH79" s="431">
        <v>94003</v>
      </c>
      <c r="AI79" s="431">
        <v>847903</v>
      </c>
      <c r="AJ79" s="431">
        <v>54427</v>
      </c>
      <c r="AK79" s="431">
        <v>0</v>
      </c>
      <c r="AL79" s="431">
        <v>1242833</v>
      </c>
      <c r="AM79" s="431">
        <v>8684</v>
      </c>
      <c r="AN79" s="340"/>
      <c r="AO79" s="340"/>
      <c r="AP79" s="340"/>
      <c r="AQ79" s="340"/>
      <c r="AR79" s="340"/>
    </row>
    <row r="80" spans="1:44" s="325" customFormat="1" x14ac:dyDescent="0.2">
      <c r="A80" s="339">
        <v>26</v>
      </c>
      <c r="B80" s="533">
        <v>44060</v>
      </c>
      <c r="C80" s="534" t="s">
        <v>2654</v>
      </c>
      <c r="D80" s="432">
        <f t="shared" si="13"/>
        <v>7563500</v>
      </c>
      <c r="E80" s="431">
        <v>2151803</v>
      </c>
      <c r="F80" s="431">
        <v>305604</v>
      </c>
      <c r="G80" s="431">
        <v>366031</v>
      </c>
      <c r="H80" s="431"/>
      <c r="I80" s="431">
        <v>1845402</v>
      </c>
      <c r="J80" s="431">
        <v>0</v>
      </c>
      <c r="K80" s="431">
        <v>1064000</v>
      </c>
      <c r="L80" s="431"/>
      <c r="M80" s="431">
        <v>1168028</v>
      </c>
      <c r="N80" s="431">
        <v>1334267</v>
      </c>
      <c r="O80" s="431"/>
      <c r="P80" s="432">
        <f t="shared" si="14"/>
        <v>7662471</v>
      </c>
      <c r="Q80" s="431">
        <v>2020485</v>
      </c>
      <c r="R80" s="431">
        <v>1284771</v>
      </c>
      <c r="S80" s="431">
        <v>0</v>
      </c>
      <c r="T80" s="431">
        <v>0</v>
      </c>
      <c r="U80" s="431">
        <v>0</v>
      </c>
      <c r="V80" s="431">
        <v>410000</v>
      </c>
      <c r="W80" s="431">
        <v>1196676</v>
      </c>
      <c r="X80" s="431">
        <v>466933</v>
      </c>
      <c r="Y80" s="431">
        <v>393646</v>
      </c>
      <c r="Z80" s="431">
        <v>1889960</v>
      </c>
      <c r="AA80" s="431">
        <v>0</v>
      </c>
      <c r="AB80" s="431">
        <v>0</v>
      </c>
      <c r="AC80" s="431">
        <v>984082</v>
      </c>
      <c r="AD80" s="431">
        <v>68374</v>
      </c>
      <c r="AE80" s="431">
        <v>1797037</v>
      </c>
      <c r="AF80" s="431">
        <v>18040</v>
      </c>
      <c r="AG80" s="431">
        <v>509763</v>
      </c>
      <c r="AH80" s="431">
        <v>466933</v>
      </c>
      <c r="AI80" s="431">
        <v>294557</v>
      </c>
      <c r="AJ80" s="431">
        <v>62702</v>
      </c>
      <c r="AK80" s="431">
        <v>0</v>
      </c>
      <c r="AL80" s="431">
        <v>1837945</v>
      </c>
      <c r="AM80" s="431">
        <v>1623038</v>
      </c>
      <c r="AN80" s="340"/>
      <c r="AO80" s="340"/>
      <c r="AP80" s="340"/>
      <c r="AQ80" s="340"/>
      <c r="AR80" s="340"/>
    </row>
    <row r="81" spans="1:44" s="325" customFormat="1" x14ac:dyDescent="0.2">
      <c r="A81" s="339">
        <v>27</v>
      </c>
      <c r="B81" s="533">
        <v>44113</v>
      </c>
      <c r="C81" s="534" t="s">
        <v>2655</v>
      </c>
      <c r="D81" s="432">
        <f t="shared" si="13"/>
        <v>5054352</v>
      </c>
      <c r="E81" s="431">
        <v>1149824</v>
      </c>
      <c r="F81" s="431">
        <v>103132</v>
      </c>
      <c r="G81" s="431">
        <v>525993</v>
      </c>
      <c r="H81" s="431"/>
      <c r="I81" s="431">
        <v>1134540</v>
      </c>
      <c r="J81" s="431">
        <v>0</v>
      </c>
      <c r="K81" s="431">
        <v>996000</v>
      </c>
      <c r="L81" s="431"/>
      <c r="M81" s="431">
        <v>1101800</v>
      </c>
      <c r="N81" s="431">
        <v>465499</v>
      </c>
      <c r="O81" s="431">
        <v>206689</v>
      </c>
      <c r="P81" s="432">
        <f t="shared" si="14"/>
        <v>5184371</v>
      </c>
      <c r="Q81" s="431">
        <v>1603830</v>
      </c>
      <c r="R81" s="431">
        <v>913432</v>
      </c>
      <c r="S81" s="431">
        <v>0</v>
      </c>
      <c r="T81" s="431">
        <v>0</v>
      </c>
      <c r="U81" s="431">
        <v>0</v>
      </c>
      <c r="V81" s="431">
        <v>0</v>
      </c>
      <c r="W81" s="431">
        <v>633822</v>
      </c>
      <c r="X81" s="431">
        <v>216886</v>
      </c>
      <c r="Y81" s="431">
        <v>32742</v>
      </c>
      <c r="Z81" s="431">
        <v>1784409</v>
      </c>
      <c r="AA81" s="431">
        <v>0</v>
      </c>
      <c r="AB81" s="431">
        <v>-750</v>
      </c>
      <c r="AC81" s="431">
        <v>1176336</v>
      </c>
      <c r="AD81" s="431">
        <v>73467</v>
      </c>
      <c r="AE81" s="431">
        <v>1050258</v>
      </c>
      <c r="AF81" s="431">
        <v>0</v>
      </c>
      <c r="AG81" s="431">
        <v>128935</v>
      </c>
      <c r="AH81" s="431">
        <v>216886</v>
      </c>
      <c r="AI81" s="431">
        <v>228473</v>
      </c>
      <c r="AJ81" s="431">
        <v>0</v>
      </c>
      <c r="AK81" s="431">
        <v>0</v>
      </c>
      <c r="AL81" s="431">
        <v>2270877</v>
      </c>
      <c r="AM81" s="431">
        <v>39139</v>
      </c>
      <c r="AN81" s="340"/>
      <c r="AO81" s="340"/>
      <c r="AP81" s="340"/>
      <c r="AQ81" s="340"/>
      <c r="AR81" s="340"/>
    </row>
    <row r="82" spans="1:44" s="325" customFormat="1" x14ac:dyDescent="0.2">
      <c r="A82" s="339">
        <v>28</v>
      </c>
      <c r="B82" s="533">
        <v>44140</v>
      </c>
      <c r="C82" s="534" t="s">
        <v>2656</v>
      </c>
      <c r="D82" s="432">
        <f t="shared" si="13"/>
        <v>6260921</v>
      </c>
      <c r="E82" s="431">
        <v>1303398</v>
      </c>
      <c r="F82" s="431">
        <v>241945</v>
      </c>
      <c r="G82" s="431">
        <v>571562</v>
      </c>
      <c r="H82" s="431"/>
      <c r="I82" s="431">
        <v>2477426</v>
      </c>
      <c r="J82" s="431">
        <v>500000</v>
      </c>
      <c r="K82" s="431">
        <v>1272000</v>
      </c>
      <c r="L82" s="431"/>
      <c r="M82" s="431">
        <v>235790</v>
      </c>
      <c r="N82" s="431">
        <v>376387</v>
      </c>
      <c r="O82" s="431">
        <v>95920</v>
      </c>
      <c r="P82" s="432">
        <f t="shared" si="14"/>
        <v>5252200</v>
      </c>
      <c r="Q82" s="431">
        <v>2658670</v>
      </c>
      <c r="R82" s="431">
        <v>963648</v>
      </c>
      <c r="S82" s="431">
        <v>0</v>
      </c>
      <c r="T82" s="431">
        <v>0</v>
      </c>
      <c r="U82" s="431">
        <v>0</v>
      </c>
      <c r="V82" s="431">
        <v>55770</v>
      </c>
      <c r="W82" s="431">
        <v>521087</v>
      </c>
      <c r="X82" s="431">
        <v>569956</v>
      </c>
      <c r="Y82" s="431">
        <v>50145</v>
      </c>
      <c r="Z82" s="431">
        <v>439694</v>
      </c>
      <c r="AA82" s="431">
        <v>0</v>
      </c>
      <c r="AB82" s="431">
        <v>-6770</v>
      </c>
      <c r="AC82" s="431">
        <v>1432509</v>
      </c>
      <c r="AD82" s="431">
        <v>33231</v>
      </c>
      <c r="AE82" s="431">
        <v>2169726</v>
      </c>
      <c r="AF82" s="431">
        <v>53858</v>
      </c>
      <c r="AG82" s="431">
        <v>80089</v>
      </c>
      <c r="AH82" s="431">
        <v>563436</v>
      </c>
      <c r="AI82" s="431">
        <v>166119</v>
      </c>
      <c r="AJ82" s="431">
        <v>90586</v>
      </c>
      <c r="AK82" s="431">
        <v>0</v>
      </c>
      <c r="AL82" s="431">
        <v>638120</v>
      </c>
      <c r="AM82" s="431">
        <v>24526</v>
      </c>
      <c r="AN82" s="340"/>
      <c r="AO82" s="340"/>
      <c r="AP82" s="340"/>
      <c r="AQ82" s="340"/>
      <c r="AR82" s="340"/>
    </row>
    <row r="83" spans="1:44" s="325" customFormat="1" x14ac:dyDescent="0.2">
      <c r="A83" s="339">
        <v>29</v>
      </c>
      <c r="B83" s="533">
        <v>44177</v>
      </c>
      <c r="C83" s="534" t="s">
        <v>2657</v>
      </c>
      <c r="D83" s="432">
        <f t="shared" si="13"/>
        <v>9305694</v>
      </c>
      <c r="E83" s="431">
        <v>1730224</v>
      </c>
      <c r="F83" s="431">
        <v>823299</v>
      </c>
      <c r="G83" s="431">
        <v>221882</v>
      </c>
      <c r="H83" s="431"/>
      <c r="I83" s="431">
        <v>1719205</v>
      </c>
      <c r="J83" s="431">
        <v>535000</v>
      </c>
      <c r="K83" s="431">
        <v>612000</v>
      </c>
      <c r="L83" s="431"/>
      <c r="M83" s="431">
        <v>3213103</v>
      </c>
      <c r="N83" s="431">
        <v>1388631</v>
      </c>
      <c r="O83" s="431">
        <v>107531</v>
      </c>
      <c r="P83" s="432">
        <f t="shared" si="14"/>
        <v>9852945</v>
      </c>
      <c r="Q83" s="431">
        <v>2169886</v>
      </c>
      <c r="R83" s="431">
        <v>723951</v>
      </c>
      <c r="S83" s="431">
        <v>0</v>
      </c>
      <c r="T83" s="431">
        <v>0</v>
      </c>
      <c r="U83" s="431">
        <v>0</v>
      </c>
      <c r="V83" s="431">
        <v>219567</v>
      </c>
      <c r="W83" s="431">
        <v>1416959</v>
      </c>
      <c r="X83" s="431">
        <v>341246</v>
      </c>
      <c r="Y83" s="431">
        <v>45027</v>
      </c>
      <c r="Z83" s="431">
        <v>4937577</v>
      </c>
      <c r="AA83" s="431">
        <v>0</v>
      </c>
      <c r="AB83" s="431">
        <v>-1268</v>
      </c>
      <c r="AC83" s="431">
        <v>966857</v>
      </c>
      <c r="AD83" s="431">
        <v>94285</v>
      </c>
      <c r="AE83" s="431">
        <v>2893005</v>
      </c>
      <c r="AF83" s="431">
        <v>0</v>
      </c>
      <c r="AG83" s="431">
        <v>243614</v>
      </c>
      <c r="AH83" s="431">
        <v>430493</v>
      </c>
      <c r="AI83" s="431">
        <v>110028</v>
      </c>
      <c r="AJ83" s="431">
        <v>117525</v>
      </c>
      <c r="AK83" s="431">
        <v>0</v>
      </c>
      <c r="AL83" s="431">
        <v>4925269</v>
      </c>
      <c r="AM83" s="431">
        <v>71869</v>
      </c>
      <c r="AN83" s="340"/>
      <c r="AO83" s="340"/>
      <c r="AP83" s="340"/>
      <c r="AQ83" s="340"/>
      <c r="AR83" s="340"/>
    </row>
    <row r="84" spans="1:44" s="325" customFormat="1" x14ac:dyDescent="0.2">
      <c r="A84" s="339">
        <v>30</v>
      </c>
      <c r="B84" s="533">
        <v>44202</v>
      </c>
      <c r="C84" s="534" t="s">
        <v>1930</v>
      </c>
      <c r="D84" s="432">
        <f t="shared" si="13"/>
        <v>7289356</v>
      </c>
      <c r="E84" s="431">
        <v>2727157</v>
      </c>
      <c r="F84" s="431">
        <v>918088</v>
      </c>
      <c r="G84" s="431">
        <v>157713</v>
      </c>
      <c r="H84" s="431"/>
      <c r="I84" s="431">
        <v>1588937</v>
      </c>
      <c r="J84" s="431">
        <v>132000</v>
      </c>
      <c r="K84" s="431">
        <v>665600</v>
      </c>
      <c r="L84" s="431"/>
      <c r="M84" s="431">
        <v>2146150</v>
      </c>
      <c r="N84" s="431">
        <v>0</v>
      </c>
      <c r="O84" s="431">
        <v>29512</v>
      </c>
      <c r="P84" s="432">
        <f t="shared" si="14"/>
        <v>7538796</v>
      </c>
      <c r="Q84" s="431">
        <v>2134218</v>
      </c>
      <c r="R84" s="431">
        <v>1406067</v>
      </c>
      <c r="S84" s="431">
        <v>354</v>
      </c>
      <c r="T84" s="431">
        <v>0</v>
      </c>
      <c r="U84" s="431">
        <v>0</v>
      </c>
      <c r="V84" s="431">
        <v>62470</v>
      </c>
      <c r="W84" s="431">
        <v>0</v>
      </c>
      <c r="X84" s="431">
        <v>178936</v>
      </c>
      <c r="Y84" s="431">
        <v>132264</v>
      </c>
      <c r="Z84" s="431">
        <v>3594193</v>
      </c>
      <c r="AA84" s="431">
        <v>30294</v>
      </c>
      <c r="AB84" s="431">
        <v>0</v>
      </c>
      <c r="AC84" s="431">
        <v>1186208</v>
      </c>
      <c r="AD84" s="431">
        <v>52374</v>
      </c>
      <c r="AE84" s="431">
        <v>1730214</v>
      </c>
      <c r="AF84" s="431">
        <v>38092</v>
      </c>
      <c r="AG84" s="431">
        <v>364057</v>
      </c>
      <c r="AH84" s="431">
        <v>439204</v>
      </c>
      <c r="AI84" s="431">
        <v>1488563</v>
      </c>
      <c r="AJ84" s="431">
        <v>103104</v>
      </c>
      <c r="AK84" s="431">
        <v>0</v>
      </c>
      <c r="AL84" s="431">
        <v>2035898</v>
      </c>
      <c r="AM84" s="431">
        <v>101082</v>
      </c>
      <c r="AN84" s="340"/>
      <c r="AO84" s="340"/>
      <c r="AP84" s="340"/>
      <c r="AQ84" s="340"/>
      <c r="AR84" s="340"/>
    </row>
    <row r="85" spans="1:44" s="325" customFormat="1" x14ac:dyDescent="0.2">
      <c r="A85" s="339">
        <v>31</v>
      </c>
      <c r="B85" s="533">
        <v>44257</v>
      </c>
      <c r="C85" s="534" t="s">
        <v>2658</v>
      </c>
      <c r="D85" s="432">
        <f t="shared" si="13"/>
        <v>4520246</v>
      </c>
      <c r="E85" s="431">
        <v>1043637</v>
      </c>
      <c r="F85" s="431">
        <v>252385</v>
      </c>
      <c r="G85" s="431">
        <v>252573</v>
      </c>
      <c r="H85" s="431"/>
      <c r="I85" s="431">
        <v>1092589</v>
      </c>
      <c r="J85" s="431">
        <v>0</v>
      </c>
      <c r="K85" s="431">
        <v>758000</v>
      </c>
      <c r="L85" s="431"/>
      <c r="M85" s="431">
        <v>1550262</v>
      </c>
      <c r="N85" s="431">
        <v>0</v>
      </c>
      <c r="O85" s="431">
        <v>75758</v>
      </c>
      <c r="P85" s="432">
        <f t="shared" si="14"/>
        <v>3970583</v>
      </c>
      <c r="Q85" s="431">
        <v>1365429</v>
      </c>
      <c r="R85" s="431">
        <v>730941</v>
      </c>
      <c r="S85" s="431">
        <v>0</v>
      </c>
      <c r="T85" s="431">
        <v>0</v>
      </c>
      <c r="U85" s="431">
        <v>0</v>
      </c>
      <c r="V85" s="431">
        <v>0</v>
      </c>
      <c r="W85" s="431">
        <v>0</v>
      </c>
      <c r="X85" s="431">
        <v>137503</v>
      </c>
      <c r="Y85" s="431">
        <v>77740</v>
      </c>
      <c r="Z85" s="431">
        <v>1658970</v>
      </c>
      <c r="AA85" s="431">
        <v>0</v>
      </c>
      <c r="AB85" s="431">
        <v>0</v>
      </c>
      <c r="AC85" s="431">
        <v>753061</v>
      </c>
      <c r="AD85" s="431">
        <v>214611</v>
      </c>
      <c r="AE85" s="431">
        <v>1043493</v>
      </c>
      <c r="AF85" s="431">
        <v>0</v>
      </c>
      <c r="AG85" s="431">
        <v>70807</v>
      </c>
      <c r="AH85" s="431">
        <v>196333</v>
      </c>
      <c r="AI85" s="431">
        <v>304708</v>
      </c>
      <c r="AJ85" s="431">
        <v>15345</v>
      </c>
      <c r="AK85" s="431">
        <v>0</v>
      </c>
      <c r="AL85" s="431">
        <v>1349979</v>
      </c>
      <c r="AM85" s="431">
        <v>22246</v>
      </c>
      <c r="AN85" s="340"/>
      <c r="AO85" s="340"/>
      <c r="AP85" s="340"/>
      <c r="AQ85" s="340"/>
      <c r="AR85" s="340"/>
    </row>
    <row r="86" spans="1:44" s="325" customFormat="1" x14ac:dyDescent="0.2">
      <c r="A86" s="339">
        <v>32</v>
      </c>
      <c r="B86" s="533">
        <v>44560</v>
      </c>
      <c r="C86" s="534" t="s">
        <v>2659</v>
      </c>
      <c r="D86" s="432">
        <f t="shared" si="13"/>
        <v>4918960</v>
      </c>
      <c r="E86" s="431">
        <v>2022676</v>
      </c>
      <c r="F86" s="431">
        <v>305717</v>
      </c>
      <c r="G86" s="431">
        <v>495303</v>
      </c>
      <c r="H86" s="431"/>
      <c r="I86" s="431">
        <v>1155813</v>
      </c>
      <c r="J86" s="431">
        <v>0</v>
      </c>
      <c r="K86" s="431">
        <v>1291000</v>
      </c>
      <c r="L86" s="431"/>
      <c r="M86" s="431">
        <v>421808</v>
      </c>
      <c r="N86" s="431">
        <v>0</v>
      </c>
      <c r="O86" s="431">
        <v>27663</v>
      </c>
      <c r="P86" s="432">
        <f t="shared" si="14"/>
        <v>4139697</v>
      </c>
      <c r="Q86" s="431">
        <v>1608899</v>
      </c>
      <c r="R86" s="431">
        <v>892214</v>
      </c>
      <c r="S86" s="431">
        <v>0</v>
      </c>
      <c r="T86" s="431">
        <v>0</v>
      </c>
      <c r="U86" s="431">
        <v>0</v>
      </c>
      <c r="V86" s="431">
        <v>9217</v>
      </c>
      <c r="W86" s="431">
        <v>0</v>
      </c>
      <c r="X86" s="431">
        <v>129025</v>
      </c>
      <c r="Y86" s="431">
        <v>142950</v>
      </c>
      <c r="Z86" s="431">
        <v>1357392</v>
      </c>
      <c r="AA86" s="431">
        <v>0</v>
      </c>
      <c r="AB86" s="431">
        <v>0</v>
      </c>
      <c r="AC86" s="431">
        <v>911196</v>
      </c>
      <c r="AD86" s="431">
        <v>50130</v>
      </c>
      <c r="AE86" s="431">
        <v>1140303</v>
      </c>
      <c r="AF86" s="431">
        <v>304200</v>
      </c>
      <c r="AG86" s="431">
        <v>257280</v>
      </c>
      <c r="AH86" s="431">
        <v>192108</v>
      </c>
      <c r="AI86" s="431">
        <v>356463</v>
      </c>
      <c r="AJ86" s="431">
        <v>94470</v>
      </c>
      <c r="AK86" s="431">
        <v>0</v>
      </c>
      <c r="AL86" s="431">
        <v>794115</v>
      </c>
      <c r="AM86" s="431">
        <v>39432</v>
      </c>
      <c r="AN86" s="340"/>
      <c r="AO86" s="340"/>
      <c r="AP86" s="340"/>
      <c r="AQ86" s="340"/>
      <c r="AR86" s="340"/>
    </row>
    <row r="87" spans="1:44" s="325" customFormat="1" x14ac:dyDescent="0.2">
      <c r="A87" s="339">
        <v>33</v>
      </c>
      <c r="B87" s="533">
        <v>44300</v>
      </c>
      <c r="C87" s="534" t="s">
        <v>2660</v>
      </c>
      <c r="D87" s="432">
        <f t="shared" si="13"/>
        <v>9979219</v>
      </c>
      <c r="E87" s="431">
        <v>3476826</v>
      </c>
      <c r="F87" s="431">
        <v>1948295</v>
      </c>
      <c r="G87" s="431">
        <v>421833</v>
      </c>
      <c r="H87" s="431"/>
      <c r="I87" s="431">
        <v>2517641</v>
      </c>
      <c r="J87" s="431">
        <v>0</v>
      </c>
      <c r="K87" s="431">
        <v>1279000</v>
      </c>
      <c r="L87" s="431"/>
      <c r="M87" s="431">
        <v>2694240</v>
      </c>
      <c r="N87" s="431">
        <v>0</v>
      </c>
      <c r="O87" s="431">
        <v>11512</v>
      </c>
      <c r="P87" s="432">
        <f t="shared" si="14"/>
        <v>8565442</v>
      </c>
      <c r="Q87" s="431">
        <v>2731945</v>
      </c>
      <c r="R87" s="431">
        <v>2044259</v>
      </c>
      <c r="S87" s="431">
        <v>0</v>
      </c>
      <c r="T87" s="431">
        <v>0</v>
      </c>
      <c r="U87" s="431">
        <v>0</v>
      </c>
      <c r="V87" s="431">
        <v>0</v>
      </c>
      <c r="W87" s="431">
        <v>0</v>
      </c>
      <c r="X87" s="431">
        <v>647257</v>
      </c>
      <c r="Y87" s="431">
        <v>224281</v>
      </c>
      <c r="Z87" s="431">
        <v>2917700</v>
      </c>
      <c r="AA87" s="431">
        <v>0</v>
      </c>
      <c r="AB87" s="431">
        <v>0</v>
      </c>
      <c r="AC87" s="431">
        <v>1278420</v>
      </c>
      <c r="AD87" s="431">
        <v>49938</v>
      </c>
      <c r="AE87" s="431">
        <v>2182827</v>
      </c>
      <c r="AF87" s="431">
        <v>32943</v>
      </c>
      <c r="AG87" s="431">
        <v>694166</v>
      </c>
      <c r="AH87" s="431">
        <v>647257</v>
      </c>
      <c r="AI87" s="431">
        <v>776903</v>
      </c>
      <c r="AJ87" s="431">
        <v>109289</v>
      </c>
      <c r="AK87" s="431">
        <v>0</v>
      </c>
      <c r="AL87" s="431">
        <v>2793699</v>
      </c>
      <c r="AM87" s="431"/>
      <c r="AN87" s="340"/>
      <c r="AO87" s="340"/>
      <c r="AP87" s="340"/>
      <c r="AQ87" s="340"/>
      <c r="AR87" s="340"/>
    </row>
    <row r="88" spans="1:44" s="325" customFormat="1" x14ac:dyDescent="0.2">
      <c r="A88" s="339">
        <v>34</v>
      </c>
      <c r="B88" s="533">
        <v>44328</v>
      </c>
      <c r="C88" s="534" t="s">
        <v>2300</v>
      </c>
      <c r="D88" s="432">
        <f t="shared" si="13"/>
        <v>6056224</v>
      </c>
      <c r="E88" s="431">
        <v>1980629</v>
      </c>
      <c r="F88" s="431">
        <v>209146</v>
      </c>
      <c r="G88" s="431">
        <v>511113</v>
      </c>
      <c r="H88" s="431"/>
      <c r="I88" s="431">
        <v>2348133</v>
      </c>
      <c r="J88" s="431">
        <v>0</v>
      </c>
      <c r="K88" s="431">
        <v>1134000</v>
      </c>
      <c r="L88" s="431"/>
      <c r="M88" s="431">
        <v>154760</v>
      </c>
      <c r="N88" s="431">
        <v>438702</v>
      </c>
      <c r="O88" s="431"/>
      <c r="P88" s="432">
        <f t="shared" si="14"/>
        <v>6678523</v>
      </c>
      <c r="Q88" s="431">
        <v>2714343</v>
      </c>
      <c r="R88" s="431">
        <v>1035570</v>
      </c>
      <c r="S88" s="431">
        <v>0</v>
      </c>
      <c r="T88" s="431">
        <v>0</v>
      </c>
      <c r="U88" s="431">
        <v>0</v>
      </c>
      <c r="V88" s="431">
        <v>0</v>
      </c>
      <c r="W88" s="431">
        <v>570000</v>
      </c>
      <c r="X88" s="431">
        <v>135655</v>
      </c>
      <c r="Y88" s="431">
        <v>70944</v>
      </c>
      <c r="Z88" s="431">
        <v>2152011</v>
      </c>
      <c r="AA88" s="431">
        <v>0</v>
      </c>
      <c r="AB88" s="431">
        <v>0</v>
      </c>
      <c r="AC88" s="431">
        <v>696954</v>
      </c>
      <c r="AD88" s="431">
        <v>141814</v>
      </c>
      <c r="AE88" s="431">
        <v>2398819</v>
      </c>
      <c r="AF88" s="431">
        <v>28013</v>
      </c>
      <c r="AG88" s="431">
        <v>68146</v>
      </c>
      <c r="AH88" s="431">
        <v>594518</v>
      </c>
      <c r="AI88" s="431">
        <v>327578</v>
      </c>
      <c r="AJ88" s="431">
        <v>40094</v>
      </c>
      <c r="AK88" s="431">
        <v>0</v>
      </c>
      <c r="AL88" s="431">
        <v>2382587</v>
      </c>
      <c r="AM88" s="431"/>
      <c r="AN88" s="340"/>
      <c r="AO88" s="340"/>
      <c r="AP88" s="340"/>
      <c r="AQ88" s="340"/>
      <c r="AR88" s="340"/>
    </row>
    <row r="89" spans="1:44" s="325" customFormat="1" x14ac:dyDescent="0.2">
      <c r="A89" s="339">
        <v>35</v>
      </c>
      <c r="B89" s="533">
        <v>44355</v>
      </c>
      <c r="C89" s="534" t="s">
        <v>1050</v>
      </c>
      <c r="D89" s="432">
        <f t="shared" si="13"/>
        <v>3693308</v>
      </c>
      <c r="E89" s="431">
        <v>1179080</v>
      </c>
      <c r="F89" s="431">
        <v>197246</v>
      </c>
      <c r="G89" s="431">
        <v>357663</v>
      </c>
      <c r="H89" s="431"/>
      <c r="I89" s="431">
        <v>1362345</v>
      </c>
      <c r="J89" s="431">
        <v>0</v>
      </c>
      <c r="K89" s="431">
        <v>671000</v>
      </c>
      <c r="L89" s="431"/>
      <c r="M89" s="431">
        <v>403198</v>
      </c>
      <c r="N89" s="431">
        <v>0</v>
      </c>
      <c r="O89" s="431">
        <v>77685</v>
      </c>
      <c r="P89" s="432">
        <f t="shared" si="14"/>
        <v>4410315</v>
      </c>
      <c r="Q89" s="431">
        <v>1689328</v>
      </c>
      <c r="R89" s="431">
        <v>656475</v>
      </c>
      <c r="S89" s="431">
        <v>0</v>
      </c>
      <c r="T89" s="431">
        <v>0</v>
      </c>
      <c r="U89" s="431">
        <v>0</v>
      </c>
      <c r="V89" s="431">
        <v>0</v>
      </c>
      <c r="W89" s="431">
        <v>0</v>
      </c>
      <c r="X89" s="431">
        <v>137105</v>
      </c>
      <c r="Y89" s="431">
        <v>25791</v>
      </c>
      <c r="Z89" s="431">
        <v>1901616</v>
      </c>
      <c r="AA89" s="431">
        <v>0</v>
      </c>
      <c r="AB89" s="431">
        <v>0</v>
      </c>
      <c r="AC89" s="431">
        <v>974361</v>
      </c>
      <c r="AD89" s="431">
        <v>60709</v>
      </c>
      <c r="AE89" s="431">
        <v>1334345</v>
      </c>
      <c r="AF89" s="431">
        <v>0</v>
      </c>
      <c r="AG89" s="431">
        <v>741384</v>
      </c>
      <c r="AH89" s="431">
        <v>137105</v>
      </c>
      <c r="AI89" s="431">
        <v>284092</v>
      </c>
      <c r="AJ89" s="431">
        <v>84219</v>
      </c>
      <c r="AK89" s="431">
        <v>0</v>
      </c>
      <c r="AL89" s="431">
        <v>737380</v>
      </c>
      <c r="AM89" s="431">
        <v>56720</v>
      </c>
      <c r="AN89" s="340"/>
      <c r="AO89" s="340"/>
      <c r="AP89" s="340"/>
      <c r="AQ89" s="340"/>
      <c r="AR89" s="340"/>
    </row>
    <row r="90" spans="1:44" s="325" customFormat="1" x14ac:dyDescent="0.2">
      <c r="A90" s="339">
        <v>36</v>
      </c>
      <c r="B90" s="533">
        <v>44391</v>
      </c>
      <c r="C90" s="534" t="s">
        <v>2661</v>
      </c>
      <c r="D90" s="432">
        <f t="shared" si="13"/>
        <v>7193850</v>
      </c>
      <c r="E90" s="431">
        <v>3106869</v>
      </c>
      <c r="F90" s="431">
        <v>938745</v>
      </c>
      <c r="G90" s="431">
        <v>114003</v>
      </c>
      <c r="H90" s="431"/>
      <c r="I90" s="431">
        <v>2580005</v>
      </c>
      <c r="J90" s="431">
        <v>0</v>
      </c>
      <c r="K90" s="431">
        <v>398000</v>
      </c>
      <c r="L90" s="431"/>
      <c r="M90" s="431">
        <v>1093977</v>
      </c>
      <c r="N90" s="431">
        <v>0</v>
      </c>
      <c r="O90" s="431">
        <v>14999</v>
      </c>
      <c r="P90" s="432">
        <f t="shared" si="14"/>
        <v>6893485</v>
      </c>
      <c r="Q90" s="431">
        <v>2925129</v>
      </c>
      <c r="R90" s="431">
        <v>1564920</v>
      </c>
      <c r="S90" s="431">
        <v>0</v>
      </c>
      <c r="T90" s="431">
        <v>0</v>
      </c>
      <c r="U90" s="431">
        <v>0</v>
      </c>
      <c r="V90" s="431">
        <v>20803</v>
      </c>
      <c r="W90" s="431">
        <v>0</v>
      </c>
      <c r="X90" s="431">
        <v>197460</v>
      </c>
      <c r="Y90" s="431">
        <v>104928</v>
      </c>
      <c r="Z90" s="431">
        <v>2083390</v>
      </c>
      <c r="AA90" s="431">
        <v>0</v>
      </c>
      <c r="AB90" s="431">
        <v>-3145</v>
      </c>
      <c r="AC90" s="431">
        <v>876944</v>
      </c>
      <c r="AD90" s="431">
        <v>112566</v>
      </c>
      <c r="AE90" s="431">
        <v>2896233</v>
      </c>
      <c r="AF90" s="431">
        <v>0</v>
      </c>
      <c r="AG90" s="431">
        <v>113341</v>
      </c>
      <c r="AH90" s="431">
        <v>388493</v>
      </c>
      <c r="AI90" s="431">
        <v>753771</v>
      </c>
      <c r="AJ90" s="431">
        <v>22382</v>
      </c>
      <c r="AK90" s="431">
        <v>0</v>
      </c>
      <c r="AL90" s="431">
        <v>1677315</v>
      </c>
      <c r="AM90" s="431">
        <v>52440</v>
      </c>
      <c r="AN90" s="340"/>
      <c r="AO90" s="340"/>
      <c r="AP90" s="340"/>
      <c r="AQ90" s="340"/>
      <c r="AR90" s="340"/>
    </row>
    <row r="91" spans="1:44" s="325" customFormat="1" x14ac:dyDescent="0.2">
      <c r="A91" s="339">
        <v>37</v>
      </c>
      <c r="B91" s="533">
        <v>44435</v>
      </c>
      <c r="C91" s="534" t="s">
        <v>153</v>
      </c>
      <c r="D91" s="432">
        <f t="shared" si="13"/>
        <v>4966125</v>
      </c>
      <c r="E91" s="431">
        <v>1566802</v>
      </c>
      <c r="F91" s="431">
        <v>186262</v>
      </c>
      <c r="G91" s="431">
        <v>592953</v>
      </c>
      <c r="H91" s="431"/>
      <c r="I91" s="431">
        <v>1896259</v>
      </c>
      <c r="J91" s="431">
        <v>0</v>
      </c>
      <c r="K91" s="431">
        <v>1365000</v>
      </c>
      <c r="L91" s="431"/>
      <c r="M91" s="431">
        <v>100318</v>
      </c>
      <c r="N91" s="431">
        <v>0</v>
      </c>
      <c r="O91" s="431">
        <v>37746</v>
      </c>
      <c r="P91" s="432">
        <f t="shared" si="14"/>
        <v>5348266</v>
      </c>
      <c r="Q91" s="431">
        <v>2111898</v>
      </c>
      <c r="R91" s="431">
        <v>917797</v>
      </c>
      <c r="S91" s="431">
        <v>0</v>
      </c>
      <c r="T91" s="431">
        <v>0</v>
      </c>
      <c r="U91" s="431">
        <v>0</v>
      </c>
      <c r="V91" s="431">
        <v>41540</v>
      </c>
      <c r="W91" s="431">
        <v>0</v>
      </c>
      <c r="X91" s="431">
        <v>391379</v>
      </c>
      <c r="Y91" s="431">
        <v>520651</v>
      </c>
      <c r="Z91" s="431">
        <v>1365001</v>
      </c>
      <c r="AA91" s="431">
        <v>0</v>
      </c>
      <c r="AB91" s="431">
        <v>0</v>
      </c>
      <c r="AC91" s="431">
        <v>960841</v>
      </c>
      <c r="AD91" s="431">
        <v>83805</v>
      </c>
      <c r="AE91" s="431">
        <v>2369574</v>
      </c>
      <c r="AF91" s="431">
        <v>0</v>
      </c>
      <c r="AG91" s="431">
        <v>618385</v>
      </c>
      <c r="AH91" s="431">
        <v>391379</v>
      </c>
      <c r="AI91" s="431">
        <v>271145</v>
      </c>
      <c r="AJ91" s="431">
        <v>0</v>
      </c>
      <c r="AK91" s="431">
        <v>0</v>
      </c>
      <c r="AL91" s="431">
        <v>611597</v>
      </c>
      <c r="AM91" s="431">
        <v>41540</v>
      </c>
      <c r="AN91" s="340"/>
      <c r="AO91" s="340"/>
      <c r="AP91" s="340"/>
      <c r="AQ91" s="340"/>
      <c r="AR91" s="340"/>
    </row>
    <row r="92" spans="1:44" s="325" customFormat="1" x14ac:dyDescent="0.2">
      <c r="A92" s="339">
        <v>38</v>
      </c>
      <c r="B92" s="533">
        <v>44462</v>
      </c>
      <c r="C92" s="534" t="s">
        <v>2662</v>
      </c>
      <c r="D92" s="432">
        <f t="shared" si="13"/>
        <v>5432321</v>
      </c>
      <c r="E92" s="431">
        <v>1281693</v>
      </c>
      <c r="F92" s="431">
        <v>114957</v>
      </c>
      <c r="G92" s="431">
        <v>496233</v>
      </c>
      <c r="H92" s="431"/>
      <c r="I92" s="431">
        <v>1530316</v>
      </c>
      <c r="J92" s="431">
        <v>0</v>
      </c>
      <c r="K92" s="431">
        <v>982000</v>
      </c>
      <c r="L92" s="431"/>
      <c r="M92" s="431">
        <v>1097282</v>
      </c>
      <c r="N92" s="431">
        <v>541030</v>
      </c>
      <c r="O92" s="431"/>
      <c r="P92" s="432">
        <f t="shared" si="14"/>
        <v>5159349</v>
      </c>
      <c r="Q92" s="431">
        <v>1803039</v>
      </c>
      <c r="R92" s="431">
        <v>436129</v>
      </c>
      <c r="S92" s="431">
        <v>0</v>
      </c>
      <c r="T92" s="431">
        <v>0</v>
      </c>
      <c r="U92" s="431">
        <v>0</v>
      </c>
      <c r="V92" s="431">
        <v>44660</v>
      </c>
      <c r="W92" s="431">
        <v>855988</v>
      </c>
      <c r="X92" s="431">
        <v>358077</v>
      </c>
      <c r="Y92" s="431">
        <v>145972</v>
      </c>
      <c r="Z92" s="431">
        <v>1515484</v>
      </c>
      <c r="AA92" s="431">
        <v>0</v>
      </c>
      <c r="AB92" s="431">
        <v>0</v>
      </c>
      <c r="AC92" s="431">
        <v>701613</v>
      </c>
      <c r="AD92" s="431">
        <v>88377</v>
      </c>
      <c r="AE92" s="431">
        <v>1278160</v>
      </c>
      <c r="AF92" s="431">
        <v>18943</v>
      </c>
      <c r="AG92" s="431">
        <v>1308546</v>
      </c>
      <c r="AH92" s="431">
        <v>418385</v>
      </c>
      <c r="AI92" s="431">
        <v>39402</v>
      </c>
      <c r="AJ92" s="431">
        <v>11776</v>
      </c>
      <c r="AK92" s="431">
        <v>0</v>
      </c>
      <c r="AL92" s="431">
        <v>1249487</v>
      </c>
      <c r="AM92" s="431">
        <v>44660</v>
      </c>
      <c r="AN92" s="340"/>
      <c r="AO92" s="340"/>
      <c r="AP92" s="340"/>
      <c r="AQ92" s="340"/>
      <c r="AR92" s="340"/>
    </row>
    <row r="93" spans="1:44" s="325" customFormat="1" x14ac:dyDescent="0.2">
      <c r="A93" s="339">
        <v>39</v>
      </c>
      <c r="B93" s="533">
        <v>44505</v>
      </c>
      <c r="C93" s="534" t="s">
        <v>2663</v>
      </c>
      <c r="D93" s="432">
        <f t="shared" si="13"/>
        <v>8969210</v>
      </c>
      <c r="E93" s="431">
        <v>2398585</v>
      </c>
      <c r="F93" s="431">
        <v>745976</v>
      </c>
      <c r="G93" s="431">
        <v>534362</v>
      </c>
      <c r="H93" s="431"/>
      <c r="I93" s="431">
        <v>3223936</v>
      </c>
      <c r="J93" s="431">
        <v>0</v>
      </c>
      <c r="K93" s="431">
        <v>1372000</v>
      </c>
      <c r="L93" s="431"/>
      <c r="M93" s="431">
        <v>1543098</v>
      </c>
      <c r="N93" s="431">
        <v>0</v>
      </c>
      <c r="O93" s="431">
        <v>431591</v>
      </c>
      <c r="P93" s="432">
        <f t="shared" si="14"/>
        <v>9457551</v>
      </c>
      <c r="Q93" s="431">
        <v>3134257</v>
      </c>
      <c r="R93" s="431">
        <v>1260398</v>
      </c>
      <c r="S93" s="431">
        <v>0</v>
      </c>
      <c r="T93" s="431">
        <v>0</v>
      </c>
      <c r="U93" s="431">
        <v>0</v>
      </c>
      <c r="V93" s="431">
        <v>0</v>
      </c>
      <c r="W93" s="431">
        <v>0</v>
      </c>
      <c r="X93" s="431">
        <v>682916</v>
      </c>
      <c r="Y93" s="431">
        <v>49746</v>
      </c>
      <c r="Z93" s="431">
        <v>4330234</v>
      </c>
      <c r="AA93" s="431">
        <v>0</v>
      </c>
      <c r="AB93" s="431">
        <v>0</v>
      </c>
      <c r="AC93" s="431">
        <v>3187246</v>
      </c>
      <c r="AD93" s="431">
        <v>55870</v>
      </c>
      <c r="AE93" s="431">
        <v>2453530</v>
      </c>
      <c r="AF93" s="431">
        <v>0</v>
      </c>
      <c r="AG93" s="431">
        <v>57014</v>
      </c>
      <c r="AH93" s="431">
        <v>1040427</v>
      </c>
      <c r="AI93" s="431">
        <v>784242</v>
      </c>
      <c r="AJ93" s="431">
        <v>277099</v>
      </c>
      <c r="AK93" s="431">
        <v>0</v>
      </c>
      <c r="AL93" s="431">
        <v>1602123</v>
      </c>
      <c r="AM93" s="431"/>
      <c r="AN93" s="340"/>
      <c r="AO93" s="340"/>
      <c r="AP93" s="340"/>
      <c r="AQ93" s="340"/>
      <c r="AR93" s="340"/>
    </row>
    <row r="94" spans="1:44" s="325" customFormat="1" x14ac:dyDescent="0.2">
      <c r="A94" s="339">
        <v>40</v>
      </c>
      <c r="B94" s="533">
        <v>44532</v>
      </c>
      <c r="C94" s="534" t="s">
        <v>2664</v>
      </c>
      <c r="D94" s="432">
        <f t="shared" si="13"/>
        <v>4503471</v>
      </c>
      <c r="E94" s="431">
        <v>1265309</v>
      </c>
      <c r="F94" s="431">
        <v>179564</v>
      </c>
      <c r="G94" s="431">
        <v>476703</v>
      </c>
      <c r="H94" s="431"/>
      <c r="I94" s="431">
        <v>1777762</v>
      </c>
      <c r="J94" s="431">
        <v>0</v>
      </c>
      <c r="K94" s="431">
        <v>1045000</v>
      </c>
      <c r="L94" s="431"/>
      <c r="M94" s="431">
        <v>36499</v>
      </c>
      <c r="N94" s="431">
        <v>0</v>
      </c>
      <c r="O94" s="431">
        <v>378901</v>
      </c>
      <c r="P94" s="432">
        <f t="shared" si="14"/>
        <v>4489599</v>
      </c>
      <c r="Q94" s="431">
        <v>1920523</v>
      </c>
      <c r="R94" s="431">
        <v>1326285</v>
      </c>
      <c r="S94" s="431">
        <v>0</v>
      </c>
      <c r="T94" s="431">
        <v>0</v>
      </c>
      <c r="U94" s="431">
        <v>0</v>
      </c>
      <c r="V94" s="431">
        <v>0</v>
      </c>
      <c r="W94" s="431">
        <v>0</v>
      </c>
      <c r="X94" s="431">
        <v>372794</v>
      </c>
      <c r="Y94" s="431">
        <v>41000</v>
      </c>
      <c r="Z94" s="431">
        <v>834585</v>
      </c>
      <c r="AA94" s="431">
        <v>0</v>
      </c>
      <c r="AB94" s="431">
        <v>-5588</v>
      </c>
      <c r="AC94" s="431">
        <v>1710149</v>
      </c>
      <c r="AD94" s="431">
        <v>91123</v>
      </c>
      <c r="AE94" s="431">
        <v>1615000</v>
      </c>
      <c r="AF94" s="431">
        <v>33003</v>
      </c>
      <c r="AG94" s="431">
        <v>73913</v>
      </c>
      <c r="AH94" s="431">
        <v>370556</v>
      </c>
      <c r="AI94" s="431">
        <v>61716</v>
      </c>
      <c r="AJ94" s="431">
        <v>108883</v>
      </c>
      <c r="AK94" s="431">
        <v>0</v>
      </c>
      <c r="AL94" s="431">
        <v>371606</v>
      </c>
      <c r="AM94" s="431">
        <v>53650</v>
      </c>
      <c r="AN94" s="340"/>
      <c r="AO94" s="340"/>
      <c r="AP94" s="340"/>
      <c r="AQ94" s="340"/>
      <c r="AR94" s="340"/>
    </row>
    <row r="95" spans="1:44" s="325" customFormat="1" hidden="1" x14ac:dyDescent="0.2">
      <c r="A95" s="339">
        <v>41</v>
      </c>
      <c r="B95" s="339"/>
      <c r="C95" s="530"/>
      <c r="D95" s="432">
        <f t="shared" si="10"/>
        <v>0</v>
      </c>
      <c r="E95" s="431"/>
      <c r="F95" s="431"/>
      <c r="G95" s="431"/>
      <c r="H95" s="431"/>
      <c r="I95" s="431"/>
      <c r="J95" s="431"/>
      <c r="K95" s="431"/>
      <c r="L95" s="431"/>
      <c r="M95" s="431"/>
      <c r="N95" s="431"/>
      <c r="O95" s="431"/>
      <c r="P95" s="432">
        <f t="shared" ref="P95:P142" si="15">IF(SUM(Q95:AB95)=SUM(AC95:AM95),SUM(Q95:AB95),"  EROARE ART/CAP")</f>
        <v>0</v>
      </c>
      <c r="Q95" s="431"/>
      <c r="R95" s="431"/>
      <c r="S95" s="431"/>
      <c r="T95" s="431"/>
      <c r="U95" s="431"/>
      <c r="V95" s="431"/>
      <c r="W95" s="431"/>
      <c r="X95" s="431"/>
      <c r="Y95" s="431"/>
      <c r="Z95" s="468"/>
      <c r="AA95" s="431"/>
      <c r="AB95" s="431"/>
      <c r="AC95" s="468"/>
      <c r="AD95" s="431"/>
      <c r="AE95" s="431"/>
      <c r="AF95" s="431"/>
      <c r="AG95" s="431"/>
      <c r="AH95" s="431"/>
      <c r="AI95" s="468"/>
      <c r="AJ95" s="468"/>
      <c r="AK95" s="431"/>
      <c r="AL95" s="431"/>
      <c r="AM95" s="431"/>
      <c r="AN95" s="340"/>
      <c r="AO95" s="340"/>
      <c r="AP95" s="340"/>
      <c r="AQ95" s="340"/>
      <c r="AR95" s="340"/>
    </row>
    <row r="96" spans="1:44" s="325" customFormat="1" hidden="1" x14ac:dyDescent="0.2">
      <c r="A96" s="339">
        <v>42</v>
      </c>
      <c r="B96" s="339"/>
      <c r="C96" s="337"/>
      <c r="D96" s="432">
        <f t="shared" si="10"/>
        <v>0</v>
      </c>
      <c r="E96" s="431"/>
      <c r="F96" s="431"/>
      <c r="G96" s="431"/>
      <c r="H96" s="431"/>
      <c r="I96" s="431"/>
      <c r="J96" s="431"/>
      <c r="K96" s="431"/>
      <c r="L96" s="431"/>
      <c r="M96" s="431"/>
      <c r="N96" s="431"/>
      <c r="O96" s="431"/>
      <c r="P96" s="432">
        <f t="shared" si="15"/>
        <v>0</v>
      </c>
      <c r="Q96" s="431"/>
      <c r="R96" s="431"/>
      <c r="S96" s="431"/>
      <c r="T96" s="431"/>
      <c r="U96" s="431"/>
      <c r="V96" s="431"/>
      <c r="W96" s="431"/>
      <c r="X96" s="431"/>
      <c r="Y96" s="431"/>
      <c r="Z96" s="468"/>
      <c r="AA96" s="431"/>
      <c r="AB96" s="431"/>
      <c r="AC96" s="468"/>
      <c r="AD96" s="431"/>
      <c r="AE96" s="431"/>
      <c r="AF96" s="431"/>
      <c r="AG96" s="431"/>
      <c r="AH96" s="431"/>
      <c r="AI96" s="468"/>
      <c r="AJ96" s="468"/>
      <c r="AK96" s="431"/>
      <c r="AL96" s="431"/>
      <c r="AM96" s="431"/>
      <c r="AN96" s="340"/>
      <c r="AO96" s="340"/>
      <c r="AP96" s="340"/>
      <c r="AQ96" s="340"/>
      <c r="AR96" s="340"/>
    </row>
    <row r="97" spans="1:44" s="325" customFormat="1" hidden="1" x14ac:dyDescent="0.2">
      <c r="A97" s="339">
        <v>43</v>
      </c>
      <c r="B97" s="339"/>
      <c r="C97" s="337"/>
      <c r="D97" s="432">
        <f t="shared" si="10"/>
        <v>0</v>
      </c>
      <c r="E97" s="431"/>
      <c r="F97" s="431"/>
      <c r="G97" s="431"/>
      <c r="H97" s="431"/>
      <c r="I97" s="431"/>
      <c r="J97" s="431"/>
      <c r="K97" s="431"/>
      <c r="L97" s="431"/>
      <c r="M97" s="431"/>
      <c r="N97" s="431"/>
      <c r="O97" s="431"/>
      <c r="P97" s="432">
        <f t="shared" si="15"/>
        <v>0</v>
      </c>
      <c r="Q97" s="431"/>
      <c r="R97" s="431"/>
      <c r="S97" s="431"/>
      <c r="T97" s="431"/>
      <c r="U97" s="431"/>
      <c r="V97" s="431"/>
      <c r="W97" s="431"/>
      <c r="X97" s="431"/>
      <c r="Y97" s="431"/>
      <c r="Z97" s="468"/>
      <c r="AA97" s="431"/>
      <c r="AB97" s="431"/>
      <c r="AC97" s="468"/>
      <c r="AD97" s="431"/>
      <c r="AE97" s="431"/>
      <c r="AF97" s="431"/>
      <c r="AG97" s="431"/>
      <c r="AH97" s="431"/>
      <c r="AI97" s="468"/>
      <c r="AJ97" s="468"/>
      <c r="AK97" s="431"/>
      <c r="AL97" s="431"/>
      <c r="AM97" s="431"/>
      <c r="AN97" s="340"/>
      <c r="AO97" s="340"/>
      <c r="AP97" s="340"/>
      <c r="AQ97" s="340"/>
      <c r="AR97" s="340"/>
    </row>
    <row r="98" spans="1:44" s="325" customFormat="1" hidden="1" x14ac:dyDescent="0.2">
      <c r="A98" s="339">
        <v>44</v>
      </c>
      <c r="B98" s="339"/>
      <c r="C98" s="337"/>
      <c r="D98" s="432">
        <f t="shared" si="10"/>
        <v>0</v>
      </c>
      <c r="E98" s="431"/>
      <c r="F98" s="431"/>
      <c r="G98" s="431"/>
      <c r="H98" s="431"/>
      <c r="I98" s="431"/>
      <c r="J98" s="431"/>
      <c r="K98" s="431"/>
      <c r="L98" s="431"/>
      <c r="M98" s="431"/>
      <c r="N98" s="431"/>
      <c r="O98" s="431"/>
      <c r="P98" s="432">
        <f t="shared" si="15"/>
        <v>0</v>
      </c>
      <c r="Q98" s="431"/>
      <c r="R98" s="431"/>
      <c r="S98" s="431"/>
      <c r="T98" s="431"/>
      <c r="U98" s="431"/>
      <c r="V98" s="431"/>
      <c r="W98" s="431"/>
      <c r="X98" s="431"/>
      <c r="Y98" s="431"/>
      <c r="Z98" s="468"/>
      <c r="AA98" s="431"/>
      <c r="AB98" s="431"/>
      <c r="AC98" s="468"/>
      <c r="AD98" s="431"/>
      <c r="AE98" s="431"/>
      <c r="AF98" s="431"/>
      <c r="AG98" s="431"/>
      <c r="AH98" s="431"/>
      <c r="AI98" s="468"/>
      <c r="AJ98" s="468"/>
      <c r="AK98" s="431"/>
      <c r="AL98" s="431"/>
      <c r="AM98" s="431"/>
      <c r="AN98" s="340"/>
      <c r="AO98" s="340"/>
      <c r="AP98" s="340"/>
      <c r="AQ98" s="340"/>
      <c r="AR98" s="340"/>
    </row>
    <row r="99" spans="1:44" s="325" customFormat="1" hidden="1" x14ac:dyDescent="0.2">
      <c r="A99" s="339">
        <v>45</v>
      </c>
      <c r="B99" s="339"/>
      <c r="C99" s="337"/>
      <c r="D99" s="432">
        <f t="shared" si="10"/>
        <v>0</v>
      </c>
      <c r="E99" s="431"/>
      <c r="F99" s="431"/>
      <c r="G99" s="431"/>
      <c r="H99" s="431"/>
      <c r="I99" s="431"/>
      <c r="J99" s="431"/>
      <c r="K99" s="431"/>
      <c r="L99" s="431"/>
      <c r="M99" s="431"/>
      <c r="N99" s="431"/>
      <c r="O99" s="431"/>
      <c r="P99" s="432">
        <f t="shared" si="15"/>
        <v>0</v>
      </c>
      <c r="Q99" s="431"/>
      <c r="R99" s="431"/>
      <c r="S99" s="431"/>
      <c r="T99" s="431"/>
      <c r="U99" s="431"/>
      <c r="V99" s="431"/>
      <c r="W99" s="431"/>
      <c r="X99" s="431"/>
      <c r="Y99" s="431"/>
      <c r="Z99" s="468"/>
      <c r="AA99" s="431"/>
      <c r="AB99" s="431"/>
      <c r="AC99" s="468"/>
      <c r="AD99" s="431"/>
      <c r="AE99" s="431"/>
      <c r="AF99" s="431"/>
      <c r="AG99" s="431"/>
      <c r="AH99" s="431"/>
      <c r="AI99" s="468"/>
      <c r="AJ99" s="468"/>
      <c r="AK99" s="431"/>
      <c r="AL99" s="431"/>
      <c r="AM99" s="431"/>
      <c r="AN99" s="340"/>
      <c r="AO99" s="340"/>
      <c r="AP99" s="340"/>
      <c r="AQ99" s="340"/>
      <c r="AR99" s="340"/>
    </row>
    <row r="100" spans="1:44" s="325" customFormat="1" hidden="1" x14ac:dyDescent="0.2">
      <c r="A100" s="339">
        <v>46</v>
      </c>
      <c r="B100" s="339"/>
      <c r="C100" s="337"/>
      <c r="D100" s="432">
        <f t="shared" si="10"/>
        <v>0</v>
      </c>
      <c r="E100" s="431"/>
      <c r="F100" s="431"/>
      <c r="G100" s="431"/>
      <c r="H100" s="431"/>
      <c r="I100" s="431"/>
      <c r="J100" s="431"/>
      <c r="K100" s="431"/>
      <c r="L100" s="431"/>
      <c r="M100" s="431"/>
      <c r="N100" s="431"/>
      <c r="O100" s="431"/>
      <c r="P100" s="432">
        <f t="shared" si="15"/>
        <v>0</v>
      </c>
      <c r="Q100" s="431"/>
      <c r="R100" s="431"/>
      <c r="S100" s="431"/>
      <c r="T100" s="431"/>
      <c r="U100" s="431"/>
      <c r="V100" s="431"/>
      <c r="W100" s="431"/>
      <c r="X100" s="431"/>
      <c r="Y100" s="431"/>
      <c r="Z100" s="468"/>
      <c r="AA100" s="431"/>
      <c r="AB100" s="431"/>
      <c r="AC100" s="468"/>
      <c r="AD100" s="431"/>
      <c r="AE100" s="431"/>
      <c r="AF100" s="431"/>
      <c r="AG100" s="431"/>
      <c r="AH100" s="431"/>
      <c r="AI100" s="468"/>
      <c r="AJ100" s="468"/>
      <c r="AK100" s="431"/>
      <c r="AL100" s="431"/>
      <c r="AM100" s="431"/>
      <c r="AN100" s="340"/>
      <c r="AO100" s="340"/>
      <c r="AP100" s="340"/>
      <c r="AQ100" s="340"/>
      <c r="AR100" s="340"/>
    </row>
    <row r="101" spans="1:44" s="325" customFormat="1" hidden="1" x14ac:dyDescent="0.2">
      <c r="A101" s="339">
        <v>47</v>
      </c>
      <c r="B101" s="339"/>
      <c r="C101" s="337"/>
      <c r="D101" s="432">
        <f t="shared" si="10"/>
        <v>0</v>
      </c>
      <c r="E101" s="431"/>
      <c r="F101" s="431"/>
      <c r="G101" s="431"/>
      <c r="H101" s="431"/>
      <c r="I101" s="431"/>
      <c r="J101" s="431"/>
      <c r="K101" s="431"/>
      <c r="L101" s="431"/>
      <c r="M101" s="431"/>
      <c r="N101" s="431"/>
      <c r="O101" s="431"/>
      <c r="P101" s="432">
        <f t="shared" si="15"/>
        <v>0</v>
      </c>
      <c r="Q101" s="431"/>
      <c r="R101" s="468"/>
      <c r="S101" s="431"/>
      <c r="T101" s="431"/>
      <c r="U101" s="431"/>
      <c r="V101" s="431"/>
      <c r="W101" s="431"/>
      <c r="X101" s="431"/>
      <c r="Y101" s="431"/>
      <c r="Z101" s="468"/>
      <c r="AA101" s="431"/>
      <c r="AB101" s="431"/>
      <c r="AC101" s="468"/>
      <c r="AD101" s="431"/>
      <c r="AE101" s="431"/>
      <c r="AF101" s="431"/>
      <c r="AG101" s="431"/>
      <c r="AH101" s="431"/>
      <c r="AI101" s="468"/>
      <c r="AJ101" s="468"/>
      <c r="AK101" s="431"/>
      <c r="AL101" s="431"/>
      <c r="AM101" s="431"/>
      <c r="AN101" s="340"/>
      <c r="AO101" s="340"/>
      <c r="AP101" s="340"/>
      <c r="AQ101" s="340"/>
      <c r="AR101" s="340"/>
    </row>
    <row r="102" spans="1:44" s="325" customFormat="1" hidden="1" x14ac:dyDescent="0.2">
      <c r="A102" s="339">
        <v>48</v>
      </c>
      <c r="B102" s="339"/>
      <c r="C102" s="337"/>
      <c r="D102" s="432">
        <f t="shared" si="10"/>
        <v>0</v>
      </c>
      <c r="E102" s="431"/>
      <c r="F102" s="431"/>
      <c r="G102" s="431"/>
      <c r="H102" s="431"/>
      <c r="I102" s="431"/>
      <c r="J102" s="431"/>
      <c r="K102" s="468"/>
      <c r="L102" s="431"/>
      <c r="M102" s="431"/>
      <c r="N102" s="431"/>
      <c r="O102" s="431"/>
      <c r="P102" s="432">
        <f t="shared" si="15"/>
        <v>0</v>
      </c>
      <c r="Q102" s="431"/>
      <c r="R102" s="431"/>
      <c r="S102" s="431"/>
      <c r="T102" s="431"/>
      <c r="U102" s="431"/>
      <c r="V102" s="431"/>
      <c r="W102" s="431"/>
      <c r="X102" s="431"/>
      <c r="Y102" s="431"/>
      <c r="Z102" s="468"/>
      <c r="AA102" s="431"/>
      <c r="AB102" s="431"/>
      <c r="AC102" s="468"/>
      <c r="AD102" s="431"/>
      <c r="AE102" s="431"/>
      <c r="AF102" s="431"/>
      <c r="AG102" s="431"/>
      <c r="AH102" s="431"/>
      <c r="AI102" s="468"/>
      <c r="AJ102" s="468"/>
      <c r="AK102" s="431"/>
      <c r="AL102" s="431"/>
      <c r="AM102" s="431"/>
      <c r="AN102" s="340"/>
      <c r="AO102" s="340"/>
      <c r="AP102" s="340"/>
      <c r="AQ102" s="340"/>
      <c r="AR102" s="340"/>
    </row>
    <row r="103" spans="1:44" s="325" customFormat="1" hidden="1" x14ac:dyDescent="0.2">
      <c r="A103" s="339">
        <v>49</v>
      </c>
      <c r="B103" s="339"/>
      <c r="C103" s="337"/>
      <c r="D103" s="432">
        <f t="shared" si="10"/>
        <v>0</v>
      </c>
      <c r="E103" s="431"/>
      <c r="F103" s="431"/>
      <c r="G103" s="431"/>
      <c r="H103" s="431"/>
      <c r="I103" s="431"/>
      <c r="J103" s="431"/>
      <c r="K103" s="431"/>
      <c r="L103" s="431"/>
      <c r="M103" s="431"/>
      <c r="N103" s="431"/>
      <c r="O103" s="431"/>
      <c r="P103" s="432">
        <f t="shared" si="15"/>
        <v>0</v>
      </c>
      <c r="Q103" s="431"/>
      <c r="R103" s="431"/>
      <c r="S103" s="431"/>
      <c r="T103" s="431"/>
      <c r="U103" s="431"/>
      <c r="V103" s="431"/>
      <c r="W103" s="431"/>
      <c r="X103" s="431"/>
      <c r="Y103" s="431"/>
      <c r="Z103" s="468"/>
      <c r="AA103" s="431"/>
      <c r="AB103" s="431"/>
      <c r="AC103" s="468"/>
      <c r="AD103" s="431"/>
      <c r="AE103" s="431"/>
      <c r="AF103" s="431"/>
      <c r="AG103" s="431"/>
      <c r="AH103" s="431"/>
      <c r="AI103" s="468"/>
      <c r="AJ103" s="468"/>
      <c r="AK103" s="431"/>
      <c r="AL103" s="431"/>
      <c r="AM103" s="431"/>
      <c r="AN103" s="340"/>
      <c r="AO103" s="340"/>
      <c r="AP103" s="340"/>
      <c r="AQ103" s="340"/>
      <c r="AR103" s="340"/>
    </row>
    <row r="104" spans="1:44" s="325" customFormat="1" hidden="1" x14ac:dyDescent="0.2">
      <c r="A104" s="339">
        <v>50</v>
      </c>
      <c r="B104" s="339"/>
      <c r="C104" s="337"/>
      <c r="D104" s="432">
        <f t="shared" si="10"/>
        <v>0</v>
      </c>
      <c r="E104" s="431"/>
      <c r="F104" s="431"/>
      <c r="G104" s="431"/>
      <c r="H104" s="431"/>
      <c r="I104" s="431"/>
      <c r="J104" s="431"/>
      <c r="K104" s="431"/>
      <c r="L104" s="431"/>
      <c r="M104" s="431"/>
      <c r="N104" s="431"/>
      <c r="O104" s="431"/>
      <c r="P104" s="432">
        <f t="shared" si="15"/>
        <v>0</v>
      </c>
      <c r="Q104" s="431"/>
      <c r="R104" s="431"/>
      <c r="S104" s="431"/>
      <c r="T104" s="431"/>
      <c r="U104" s="431"/>
      <c r="V104" s="431"/>
      <c r="W104" s="431"/>
      <c r="X104" s="431"/>
      <c r="Y104" s="431"/>
      <c r="Z104" s="468"/>
      <c r="AA104" s="431"/>
      <c r="AB104" s="431"/>
      <c r="AC104" s="468"/>
      <c r="AD104" s="431"/>
      <c r="AE104" s="431"/>
      <c r="AF104" s="431"/>
      <c r="AG104" s="431"/>
      <c r="AH104" s="431"/>
      <c r="AI104" s="468"/>
      <c r="AJ104" s="468"/>
      <c r="AK104" s="431"/>
      <c r="AL104" s="431"/>
      <c r="AM104" s="431"/>
      <c r="AN104" s="340"/>
      <c r="AO104" s="340"/>
      <c r="AP104" s="340"/>
      <c r="AQ104" s="340"/>
      <c r="AR104" s="340"/>
    </row>
    <row r="105" spans="1:44" s="325" customFormat="1" hidden="1" x14ac:dyDescent="0.2">
      <c r="A105" s="339">
        <v>51</v>
      </c>
      <c r="B105" s="339"/>
      <c r="C105" s="337"/>
      <c r="D105" s="432">
        <f t="shared" si="10"/>
        <v>0</v>
      </c>
      <c r="E105" s="431"/>
      <c r="F105" s="431"/>
      <c r="G105" s="431"/>
      <c r="H105" s="431"/>
      <c r="I105" s="431"/>
      <c r="J105" s="431"/>
      <c r="K105" s="431"/>
      <c r="L105" s="431"/>
      <c r="M105" s="431"/>
      <c r="N105" s="431"/>
      <c r="O105" s="431"/>
      <c r="P105" s="432">
        <f t="shared" si="15"/>
        <v>0</v>
      </c>
      <c r="Q105" s="431"/>
      <c r="R105" s="431"/>
      <c r="S105" s="431"/>
      <c r="T105" s="431"/>
      <c r="U105" s="431"/>
      <c r="V105" s="431"/>
      <c r="W105" s="431"/>
      <c r="X105" s="431"/>
      <c r="Y105" s="431"/>
      <c r="Z105" s="468"/>
      <c r="AA105" s="431"/>
      <c r="AB105" s="431"/>
      <c r="AC105" s="468"/>
      <c r="AD105" s="431"/>
      <c r="AE105" s="431"/>
      <c r="AF105" s="431"/>
      <c r="AG105" s="431"/>
      <c r="AH105" s="431"/>
      <c r="AI105" s="468"/>
      <c r="AJ105" s="468"/>
      <c r="AK105" s="431"/>
      <c r="AL105" s="431"/>
      <c r="AM105" s="431"/>
      <c r="AN105" s="340"/>
      <c r="AO105" s="340"/>
      <c r="AP105" s="340"/>
      <c r="AQ105" s="340"/>
      <c r="AR105" s="340"/>
    </row>
    <row r="106" spans="1:44" s="325" customFormat="1" hidden="1" x14ac:dyDescent="0.2">
      <c r="A106" s="339">
        <v>52</v>
      </c>
      <c r="B106" s="339"/>
      <c r="C106" s="337"/>
      <c r="D106" s="432">
        <f t="shared" si="10"/>
        <v>0</v>
      </c>
      <c r="E106" s="431"/>
      <c r="F106" s="431"/>
      <c r="G106" s="431"/>
      <c r="H106" s="431"/>
      <c r="I106" s="431"/>
      <c r="J106" s="431"/>
      <c r="K106" s="431"/>
      <c r="L106" s="431"/>
      <c r="M106" s="431"/>
      <c r="N106" s="431"/>
      <c r="O106" s="431"/>
      <c r="P106" s="432">
        <f t="shared" si="15"/>
        <v>0</v>
      </c>
      <c r="Q106" s="431"/>
      <c r="R106" s="431"/>
      <c r="S106" s="431"/>
      <c r="T106" s="431"/>
      <c r="U106" s="431"/>
      <c r="V106" s="431"/>
      <c r="W106" s="431"/>
      <c r="X106" s="431"/>
      <c r="Y106" s="431"/>
      <c r="Z106" s="468"/>
      <c r="AA106" s="431"/>
      <c r="AB106" s="431"/>
      <c r="AC106" s="468"/>
      <c r="AD106" s="431"/>
      <c r="AE106" s="431"/>
      <c r="AF106" s="431"/>
      <c r="AG106" s="431"/>
      <c r="AH106" s="431"/>
      <c r="AI106" s="468"/>
      <c r="AJ106" s="468"/>
      <c r="AK106" s="431"/>
      <c r="AL106" s="431"/>
      <c r="AM106" s="431"/>
      <c r="AN106" s="340"/>
      <c r="AO106" s="340"/>
      <c r="AP106" s="340"/>
      <c r="AQ106" s="340"/>
      <c r="AR106" s="340"/>
    </row>
    <row r="107" spans="1:44" s="325" customFormat="1" hidden="1" x14ac:dyDescent="0.2">
      <c r="A107" s="339">
        <v>53</v>
      </c>
      <c r="B107" s="339"/>
      <c r="C107" s="337"/>
      <c r="D107" s="432">
        <f t="shared" si="10"/>
        <v>0</v>
      </c>
      <c r="E107" s="431"/>
      <c r="F107" s="431"/>
      <c r="G107" s="431"/>
      <c r="H107" s="431"/>
      <c r="I107" s="431"/>
      <c r="J107" s="431"/>
      <c r="K107" s="431"/>
      <c r="L107" s="431"/>
      <c r="M107" s="431"/>
      <c r="N107" s="431"/>
      <c r="O107" s="431"/>
      <c r="P107" s="432">
        <f t="shared" si="15"/>
        <v>0</v>
      </c>
      <c r="Q107" s="431"/>
      <c r="R107" s="431"/>
      <c r="S107" s="431"/>
      <c r="T107" s="431"/>
      <c r="U107" s="431"/>
      <c r="V107" s="431"/>
      <c r="W107" s="431"/>
      <c r="X107" s="431"/>
      <c r="Y107" s="431"/>
      <c r="Z107" s="468"/>
      <c r="AA107" s="431"/>
      <c r="AB107" s="431"/>
      <c r="AC107" s="468"/>
      <c r="AD107" s="431"/>
      <c r="AE107" s="431"/>
      <c r="AF107" s="431"/>
      <c r="AG107" s="431"/>
      <c r="AH107" s="431"/>
      <c r="AI107" s="468"/>
      <c r="AJ107" s="468"/>
      <c r="AK107" s="431"/>
      <c r="AL107" s="431"/>
      <c r="AM107" s="431"/>
      <c r="AN107" s="340"/>
      <c r="AO107" s="340"/>
      <c r="AP107" s="340"/>
      <c r="AQ107" s="340"/>
      <c r="AR107" s="340"/>
    </row>
    <row r="108" spans="1:44" s="325" customFormat="1" hidden="1" x14ac:dyDescent="0.2">
      <c r="A108" s="339">
        <v>54</v>
      </c>
      <c r="B108" s="339"/>
      <c r="C108" s="338"/>
      <c r="D108" s="432">
        <f t="shared" si="10"/>
        <v>0</v>
      </c>
      <c r="E108" s="431"/>
      <c r="F108" s="431"/>
      <c r="G108" s="431"/>
      <c r="H108" s="431"/>
      <c r="I108" s="431"/>
      <c r="J108" s="431"/>
      <c r="K108" s="431"/>
      <c r="L108" s="431"/>
      <c r="M108" s="431"/>
      <c r="N108" s="431"/>
      <c r="O108" s="431"/>
      <c r="P108" s="432">
        <f t="shared" si="15"/>
        <v>0</v>
      </c>
      <c r="Q108" s="431"/>
      <c r="R108" s="431"/>
      <c r="S108" s="431"/>
      <c r="T108" s="431"/>
      <c r="U108" s="431"/>
      <c r="V108" s="431"/>
      <c r="W108" s="431"/>
      <c r="X108" s="431"/>
      <c r="Y108" s="431"/>
      <c r="Z108" s="468"/>
      <c r="AA108" s="431"/>
      <c r="AB108" s="431"/>
      <c r="AC108" s="468"/>
      <c r="AD108" s="431"/>
      <c r="AE108" s="431"/>
      <c r="AF108" s="431"/>
      <c r="AG108" s="431"/>
      <c r="AH108" s="431"/>
      <c r="AI108" s="468"/>
      <c r="AJ108" s="468"/>
      <c r="AK108" s="431"/>
      <c r="AL108" s="431"/>
      <c r="AM108" s="431"/>
      <c r="AN108" s="340"/>
      <c r="AO108" s="340"/>
      <c r="AP108" s="340"/>
      <c r="AQ108" s="340"/>
      <c r="AR108" s="340"/>
    </row>
    <row r="109" spans="1:44" s="325" customFormat="1" hidden="1" x14ac:dyDescent="0.2">
      <c r="A109" s="339">
        <v>55</v>
      </c>
      <c r="B109" s="339"/>
      <c r="C109" s="337"/>
      <c r="D109" s="432">
        <f t="shared" si="10"/>
        <v>0</v>
      </c>
      <c r="E109" s="431"/>
      <c r="F109" s="431"/>
      <c r="G109" s="431"/>
      <c r="H109" s="431"/>
      <c r="I109" s="431"/>
      <c r="J109" s="431"/>
      <c r="K109" s="431"/>
      <c r="L109" s="431"/>
      <c r="M109" s="431"/>
      <c r="N109" s="431"/>
      <c r="O109" s="431"/>
      <c r="P109" s="432">
        <f t="shared" si="15"/>
        <v>0</v>
      </c>
      <c r="Q109" s="431"/>
      <c r="R109" s="431"/>
      <c r="S109" s="431"/>
      <c r="T109" s="431"/>
      <c r="U109" s="431"/>
      <c r="V109" s="431"/>
      <c r="W109" s="431"/>
      <c r="X109" s="431"/>
      <c r="Y109" s="431"/>
      <c r="Z109" s="468"/>
      <c r="AA109" s="431"/>
      <c r="AB109" s="431"/>
      <c r="AC109" s="468"/>
      <c r="AD109" s="431"/>
      <c r="AE109" s="431"/>
      <c r="AF109" s="431"/>
      <c r="AG109" s="431"/>
      <c r="AH109" s="431"/>
      <c r="AI109" s="468"/>
      <c r="AJ109" s="468"/>
      <c r="AK109" s="431"/>
      <c r="AL109" s="431"/>
      <c r="AM109" s="431"/>
      <c r="AN109" s="340"/>
      <c r="AO109" s="340"/>
      <c r="AP109" s="340"/>
      <c r="AQ109" s="340"/>
      <c r="AR109" s="340"/>
    </row>
    <row r="110" spans="1:44" s="325" customFormat="1" hidden="1" x14ac:dyDescent="0.2">
      <c r="A110" s="339">
        <v>56</v>
      </c>
      <c r="B110" s="339"/>
      <c r="C110" s="337"/>
      <c r="D110" s="432">
        <f t="shared" si="10"/>
        <v>0</v>
      </c>
      <c r="E110" s="431"/>
      <c r="F110" s="431"/>
      <c r="G110" s="431"/>
      <c r="H110" s="431"/>
      <c r="I110" s="431"/>
      <c r="J110" s="431"/>
      <c r="K110" s="431"/>
      <c r="L110" s="431"/>
      <c r="M110" s="431"/>
      <c r="N110" s="431"/>
      <c r="O110" s="431"/>
      <c r="P110" s="432">
        <f t="shared" si="15"/>
        <v>0</v>
      </c>
      <c r="Q110" s="431"/>
      <c r="R110" s="431"/>
      <c r="S110" s="431"/>
      <c r="T110" s="431"/>
      <c r="U110" s="431"/>
      <c r="V110" s="431"/>
      <c r="W110" s="431"/>
      <c r="X110" s="431"/>
      <c r="Y110" s="431"/>
      <c r="Z110" s="468"/>
      <c r="AA110" s="431"/>
      <c r="AB110" s="431"/>
      <c r="AC110" s="468"/>
      <c r="AD110" s="431"/>
      <c r="AE110" s="431"/>
      <c r="AF110" s="431"/>
      <c r="AG110" s="431"/>
      <c r="AH110" s="431"/>
      <c r="AI110" s="468"/>
      <c r="AJ110" s="468"/>
      <c r="AK110" s="431"/>
      <c r="AL110" s="431"/>
      <c r="AM110" s="431"/>
      <c r="AN110" s="340"/>
      <c r="AO110" s="340"/>
      <c r="AP110" s="340"/>
      <c r="AQ110" s="340"/>
      <c r="AR110" s="340"/>
    </row>
    <row r="111" spans="1:44" s="325" customFormat="1" hidden="1" x14ac:dyDescent="0.2">
      <c r="A111" s="339">
        <v>57</v>
      </c>
      <c r="B111" s="339"/>
      <c r="C111" s="337"/>
      <c r="D111" s="432">
        <f t="shared" si="10"/>
        <v>0</v>
      </c>
      <c r="E111" s="431"/>
      <c r="F111" s="431"/>
      <c r="G111" s="431"/>
      <c r="H111" s="431"/>
      <c r="I111" s="431"/>
      <c r="J111" s="431"/>
      <c r="K111" s="431"/>
      <c r="L111" s="431"/>
      <c r="M111" s="431"/>
      <c r="N111" s="431"/>
      <c r="O111" s="431"/>
      <c r="P111" s="432">
        <f t="shared" si="15"/>
        <v>0</v>
      </c>
      <c r="Q111" s="431"/>
      <c r="R111" s="431"/>
      <c r="S111" s="431"/>
      <c r="T111" s="431"/>
      <c r="U111" s="431"/>
      <c r="V111" s="431"/>
      <c r="W111" s="431"/>
      <c r="X111" s="431"/>
      <c r="Y111" s="431"/>
      <c r="Z111" s="468"/>
      <c r="AA111" s="431"/>
      <c r="AB111" s="431"/>
      <c r="AC111" s="468"/>
      <c r="AD111" s="431"/>
      <c r="AE111" s="431"/>
      <c r="AF111" s="431"/>
      <c r="AG111" s="431"/>
      <c r="AH111" s="431"/>
      <c r="AI111" s="468"/>
      <c r="AJ111" s="468"/>
      <c r="AK111" s="431"/>
      <c r="AL111" s="431"/>
      <c r="AM111" s="431"/>
      <c r="AN111" s="340"/>
      <c r="AO111" s="340"/>
      <c r="AP111" s="340"/>
      <c r="AQ111" s="340"/>
      <c r="AR111" s="340"/>
    </row>
    <row r="112" spans="1:44" s="325" customFormat="1" hidden="1" x14ac:dyDescent="0.2">
      <c r="A112" s="339">
        <v>58</v>
      </c>
      <c r="B112" s="339"/>
      <c r="C112" s="337"/>
      <c r="D112" s="432">
        <f t="shared" si="10"/>
        <v>0</v>
      </c>
      <c r="E112" s="431"/>
      <c r="F112" s="431"/>
      <c r="G112" s="431"/>
      <c r="H112" s="431"/>
      <c r="I112" s="431"/>
      <c r="J112" s="431"/>
      <c r="K112" s="431"/>
      <c r="L112" s="431"/>
      <c r="M112" s="431"/>
      <c r="N112" s="431"/>
      <c r="O112" s="431"/>
      <c r="P112" s="432">
        <f t="shared" si="15"/>
        <v>0</v>
      </c>
      <c r="Q112" s="431"/>
      <c r="R112" s="468"/>
      <c r="S112" s="431"/>
      <c r="T112" s="431"/>
      <c r="U112" s="431"/>
      <c r="V112" s="431"/>
      <c r="W112" s="431"/>
      <c r="X112" s="431"/>
      <c r="Y112" s="431"/>
      <c r="Z112" s="468"/>
      <c r="AA112" s="431"/>
      <c r="AB112" s="431"/>
      <c r="AC112" s="468"/>
      <c r="AD112" s="431"/>
      <c r="AE112" s="431"/>
      <c r="AF112" s="431"/>
      <c r="AG112" s="431"/>
      <c r="AH112" s="431"/>
      <c r="AI112" s="468"/>
      <c r="AJ112" s="468"/>
      <c r="AK112" s="431"/>
      <c r="AL112" s="431"/>
      <c r="AM112" s="431"/>
      <c r="AN112" s="340"/>
      <c r="AO112" s="340"/>
      <c r="AP112" s="340"/>
      <c r="AQ112" s="340"/>
      <c r="AR112" s="340"/>
    </row>
    <row r="113" spans="1:44" s="325" customFormat="1" hidden="1" x14ac:dyDescent="0.2">
      <c r="A113" s="339">
        <v>59</v>
      </c>
      <c r="B113" s="339"/>
      <c r="C113" s="337"/>
      <c r="D113" s="432">
        <f t="shared" si="10"/>
        <v>0</v>
      </c>
      <c r="E113" s="431"/>
      <c r="F113" s="431"/>
      <c r="G113" s="431"/>
      <c r="H113" s="431"/>
      <c r="I113" s="431"/>
      <c r="J113" s="431"/>
      <c r="K113" s="431"/>
      <c r="L113" s="431"/>
      <c r="M113" s="431"/>
      <c r="N113" s="431"/>
      <c r="O113" s="431"/>
      <c r="P113" s="432">
        <f t="shared" si="15"/>
        <v>0</v>
      </c>
      <c r="Q113" s="431"/>
      <c r="R113" s="431"/>
      <c r="S113" s="431"/>
      <c r="T113" s="431"/>
      <c r="U113" s="431"/>
      <c r="V113" s="431"/>
      <c r="W113" s="431"/>
      <c r="X113" s="431"/>
      <c r="Y113" s="431"/>
      <c r="Z113" s="468"/>
      <c r="AA113" s="431"/>
      <c r="AB113" s="431"/>
      <c r="AC113" s="468"/>
      <c r="AD113" s="431"/>
      <c r="AE113" s="431"/>
      <c r="AF113" s="431"/>
      <c r="AG113" s="431"/>
      <c r="AH113" s="431"/>
      <c r="AI113" s="468"/>
      <c r="AJ113" s="468"/>
      <c r="AK113" s="431"/>
      <c r="AL113" s="431"/>
      <c r="AM113" s="431"/>
      <c r="AN113" s="340"/>
      <c r="AO113" s="340"/>
      <c r="AP113" s="340"/>
      <c r="AQ113" s="340"/>
      <c r="AR113" s="340"/>
    </row>
    <row r="114" spans="1:44" s="325" customFormat="1" hidden="1" x14ac:dyDescent="0.2">
      <c r="A114" s="339">
        <v>60</v>
      </c>
      <c r="B114" s="339"/>
      <c r="C114" s="338"/>
      <c r="D114" s="432">
        <f t="shared" si="10"/>
        <v>0</v>
      </c>
      <c r="E114" s="431"/>
      <c r="F114" s="431"/>
      <c r="G114" s="431"/>
      <c r="H114" s="431"/>
      <c r="I114" s="431"/>
      <c r="J114" s="431"/>
      <c r="K114" s="431"/>
      <c r="L114" s="431"/>
      <c r="M114" s="431"/>
      <c r="N114" s="431"/>
      <c r="O114" s="431"/>
      <c r="P114" s="432">
        <f t="shared" si="15"/>
        <v>0</v>
      </c>
      <c r="Q114" s="431"/>
      <c r="R114" s="431"/>
      <c r="S114" s="431"/>
      <c r="T114" s="431"/>
      <c r="U114" s="431"/>
      <c r="V114" s="431"/>
      <c r="W114" s="431"/>
      <c r="X114" s="431"/>
      <c r="Y114" s="431"/>
      <c r="Z114" s="468"/>
      <c r="AA114" s="431"/>
      <c r="AB114" s="431"/>
      <c r="AC114" s="468"/>
      <c r="AD114" s="431"/>
      <c r="AE114" s="431"/>
      <c r="AF114" s="431"/>
      <c r="AG114" s="431"/>
      <c r="AH114" s="431"/>
      <c r="AI114" s="468"/>
      <c r="AJ114" s="468"/>
      <c r="AK114" s="431"/>
      <c r="AL114" s="431"/>
      <c r="AM114" s="431"/>
      <c r="AN114" s="340"/>
      <c r="AO114" s="340"/>
      <c r="AP114" s="340"/>
      <c r="AQ114" s="340"/>
      <c r="AR114" s="340"/>
    </row>
    <row r="115" spans="1:44" s="325" customFormat="1" hidden="1" x14ac:dyDescent="0.2">
      <c r="A115" s="339">
        <v>61</v>
      </c>
      <c r="B115" s="339"/>
      <c r="C115" s="337"/>
      <c r="D115" s="432">
        <f t="shared" si="10"/>
        <v>0</v>
      </c>
      <c r="E115" s="431"/>
      <c r="F115" s="431"/>
      <c r="G115" s="431"/>
      <c r="H115" s="431"/>
      <c r="I115" s="431"/>
      <c r="J115" s="431"/>
      <c r="K115" s="431"/>
      <c r="L115" s="431"/>
      <c r="M115" s="431"/>
      <c r="N115" s="431"/>
      <c r="O115" s="431"/>
      <c r="P115" s="432">
        <f t="shared" si="15"/>
        <v>0</v>
      </c>
      <c r="Q115" s="431"/>
      <c r="R115" s="431"/>
      <c r="S115" s="431"/>
      <c r="T115" s="431"/>
      <c r="U115" s="431"/>
      <c r="V115" s="431"/>
      <c r="W115" s="431"/>
      <c r="X115" s="431"/>
      <c r="Y115" s="431"/>
      <c r="Z115" s="468"/>
      <c r="AA115" s="431"/>
      <c r="AB115" s="431"/>
      <c r="AC115" s="468"/>
      <c r="AD115" s="431"/>
      <c r="AE115" s="431"/>
      <c r="AF115" s="431"/>
      <c r="AG115" s="431"/>
      <c r="AH115" s="431"/>
      <c r="AI115" s="468"/>
      <c r="AJ115" s="468"/>
      <c r="AK115" s="431"/>
      <c r="AL115" s="431"/>
      <c r="AM115" s="431"/>
      <c r="AN115" s="340"/>
      <c r="AO115" s="340"/>
      <c r="AP115" s="340"/>
      <c r="AQ115" s="340"/>
      <c r="AR115" s="340"/>
    </row>
    <row r="116" spans="1:44" s="325" customFormat="1" hidden="1" x14ac:dyDescent="0.2">
      <c r="A116" s="339">
        <v>62</v>
      </c>
      <c r="B116" s="339"/>
      <c r="C116" s="337"/>
      <c r="D116" s="432">
        <f t="shared" si="10"/>
        <v>0</v>
      </c>
      <c r="E116" s="431"/>
      <c r="F116" s="431"/>
      <c r="G116" s="431"/>
      <c r="H116" s="431"/>
      <c r="I116" s="431"/>
      <c r="J116" s="431"/>
      <c r="K116" s="431"/>
      <c r="L116" s="431"/>
      <c r="M116" s="431"/>
      <c r="N116" s="431"/>
      <c r="O116" s="431"/>
      <c r="P116" s="432">
        <f t="shared" si="15"/>
        <v>0</v>
      </c>
      <c r="Q116" s="431"/>
      <c r="R116" s="431"/>
      <c r="S116" s="431"/>
      <c r="T116" s="431"/>
      <c r="U116" s="431"/>
      <c r="V116" s="431"/>
      <c r="W116" s="431"/>
      <c r="X116" s="431"/>
      <c r="Y116" s="431"/>
      <c r="Z116" s="468"/>
      <c r="AA116" s="431"/>
      <c r="AB116" s="431"/>
      <c r="AC116" s="468"/>
      <c r="AD116" s="431"/>
      <c r="AE116" s="431"/>
      <c r="AF116" s="431"/>
      <c r="AG116" s="431"/>
      <c r="AH116" s="431"/>
      <c r="AI116" s="468"/>
      <c r="AJ116" s="468"/>
      <c r="AK116" s="431"/>
      <c r="AL116" s="431"/>
      <c r="AM116" s="431"/>
      <c r="AN116" s="340"/>
      <c r="AO116" s="340"/>
      <c r="AP116" s="340"/>
      <c r="AQ116" s="340"/>
      <c r="AR116" s="340"/>
    </row>
    <row r="117" spans="1:44" s="325" customFormat="1" hidden="1" x14ac:dyDescent="0.2">
      <c r="A117" s="339">
        <v>63</v>
      </c>
      <c r="B117" s="339"/>
      <c r="C117" s="338"/>
      <c r="D117" s="432">
        <f t="shared" si="10"/>
        <v>0</v>
      </c>
      <c r="E117" s="431"/>
      <c r="F117" s="431"/>
      <c r="G117" s="431"/>
      <c r="H117" s="431"/>
      <c r="I117" s="431"/>
      <c r="J117" s="431"/>
      <c r="K117" s="431"/>
      <c r="L117" s="431"/>
      <c r="M117" s="431"/>
      <c r="N117" s="431"/>
      <c r="O117" s="431"/>
      <c r="P117" s="432">
        <f t="shared" si="15"/>
        <v>0</v>
      </c>
      <c r="Q117" s="431"/>
      <c r="R117" s="431"/>
      <c r="S117" s="431"/>
      <c r="T117" s="431"/>
      <c r="U117" s="431"/>
      <c r="V117" s="431"/>
      <c r="W117" s="431"/>
      <c r="X117" s="431"/>
      <c r="Y117" s="431"/>
      <c r="Z117" s="468"/>
      <c r="AA117" s="431"/>
      <c r="AB117" s="431"/>
      <c r="AC117" s="468"/>
      <c r="AD117" s="431"/>
      <c r="AE117" s="431"/>
      <c r="AF117" s="431"/>
      <c r="AG117" s="431"/>
      <c r="AH117" s="431"/>
      <c r="AI117" s="468"/>
      <c r="AJ117" s="468"/>
      <c r="AK117" s="431"/>
      <c r="AL117" s="431"/>
      <c r="AM117" s="431"/>
      <c r="AN117" s="340"/>
      <c r="AO117" s="340"/>
      <c r="AP117" s="340"/>
      <c r="AQ117" s="340"/>
      <c r="AR117" s="340"/>
    </row>
    <row r="118" spans="1:44" s="325" customFormat="1" hidden="1" x14ac:dyDescent="0.2">
      <c r="A118" s="339">
        <v>64</v>
      </c>
      <c r="B118" s="339"/>
      <c r="C118" s="337"/>
      <c r="D118" s="432">
        <f t="shared" ref="D118:D143" si="16">E118+SUM(H118:O118)</f>
        <v>0</v>
      </c>
      <c r="E118" s="431"/>
      <c r="F118" s="431"/>
      <c r="G118" s="431"/>
      <c r="H118" s="431"/>
      <c r="I118" s="431"/>
      <c r="J118" s="431"/>
      <c r="K118" s="431"/>
      <c r="L118" s="431"/>
      <c r="M118" s="431"/>
      <c r="N118" s="431"/>
      <c r="O118" s="431"/>
      <c r="P118" s="432">
        <f t="shared" si="15"/>
        <v>0</v>
      </c>
      <c r="Q118" s="431"/>
      <c r="R118" s="431"/>
      <c r="S118" s="431"/>
      <c r="T118" s="431"/>
      <c r="U118" s="431"/>
      <c r="V118" s="431"/>
      <c r="W118" s="431"/>
      <c r="X118" s="431"/>
      <c r="Y118" s="431"/>
      <c r="Z118" s="468"/>
      <c r="AA118" s="431"/>
      <c r="AB118" s="431"/>
      <c r="AC118" s="468"/>
      <c r="AD118" s="431"/>
      <c r="AE118" s="431"/>
      <c r="AF118" s="431"/>
      <c r="AG118" s="431"/>
      <c r="AH118" s="431"/>
      <c r="AI118" s="468"/>
      <c r="AJ118" s="468"/>
      <c r="AK118" s="431"/>
      <c r="AL118" s="431"/>
      <c r="AM118" s="431"/>
      <c r="AN118" s="340"/>
      <c r="AO118" s="340"/>
      <c r="AP118" s="340"/>
      <c r="AQ118" s="340"/>
      <c r="AR118" s="340"/>
    </row>
    <row r="119" spans="1:44" s="325" customFormat="1" hidden="1" x14ac:dyDescent="0.2">
      <c r="A119" s="339">
        <v>65</v>
      </c>
      <c r="B119" s="339"/>
      <c r="C119" s="337"/>
      <c r="D119" s="432">
        <f t="shared" si="16"/>
        <v>0</v>
      </c>
      <c r="E119" s="431"/>
      <c r="F119" s="431"/>
      <c r="G119" s="431"/>
      <c r="H119" s="431"/>
      <c r="I119" s="431"/>
      <c r="J119" s="431"/>
      <c r="K119" s="431"/>
      <c r="L119" s="431"/>
      <c r="M119" s="431"/>
      <c r="N119" s="431"/>
      <c r="O119" s="431"/>
      <c r="P119" s="432">
        <f t="shared" si="15"/>
        <v>0</v>
      </c>
      <c r="Q119" s="431"/>
      <c r="R119" s="431"/>
      <c r="S119" s="431"/>
      <c r="T119" s="431"/>
      <c r="U119" s="431"/>
      <c r="V119" s="431"/>
      <c r="W119" s="431"/>
      <c r="X119" s="431"/>
      <c r="Y119" s="431"/>
      <c r="Z119" s="468"/>
      <c r="AA119" s="431"/>
      <c r="AB119" s="431"/>
      <c r="AC119" s="468"/>
      <c r="AD119" s="431"/>
      <c r="AE119" s="431"/>
      <c r="AF119" s="431"/>
      <c r="AG119" s="431"/>
      <c r="AH119" s="431"/>
      <c r="AI119" s="468"/>
      <c r="AJ119" s="468"/>
      <c r="AK119" s="431"/>
      <c r="AL119" s="431"/>
      <c r="AM119" s="431"/>
      <c r="AN119" s="340"/>
      <c r="AO119" s="340"/>
      <c r="AP119" s="340"/>
      <c r="AQ119" s="340"/>
      <c r="AR119" s="340"/>
    </row>
    <row r="120" spans="1:44" s="325" customFormat="1" hidden="1" x14ac:dyDescent="0.2">
      <c r="A120" s="339">
        <v>66</v>
      </c>
      <c r="B120" s="339"/>
      <c r="C120" s="337"/>
      <c r="D120" s="432">
        <f t="shared" si="16"/>
        <v>0</v>
      </c>
      <c r="E120" s="431"/>
      <c r="F120" s="431"/>
      <c r="G120" s="431"/>
      <c r="H120" s="431"/>
      <c r="I120" s="431"/>
      <c r="J120" s="431"/>
      <c r="K120" s="431"/>
      <c r="L120" s="431"/>
      <c r="M120" s="431"/>
      <c r="N120" s="431"/>
      <c r="O120" s="431"/>
      <c r="P120" s="432">
        <f t="shared" si="15"/>
        <v>0</v>
      </c>
      <c r="Q120" s="431"/>
      <c r="R120" s="431"/>
      <c r="S120" s="431"/>
      <c r="T120" s="431"/>
      <c r="U120" s="431"/>
      <c r="V120" s="431"/>
      <c r="W120" s="431"/>
      <c r="X120" s="431"/>
      <c r="Y120" s="431"/>
      <c r="Z120" s="468"/>
      <c r="AA120" s="431"/>
      <c r="AB120" s="431"/>
      <c r="AC120" s="468"/>
      <c r="AD120" s="431"/>
      <c r="AE120" s="431"/>
      <c r="AF120" s="431"/>
      <c r="AG120" s="431"/>
      <c r="AH120" s="431"/>
      <c r="AI120" s="468"/>
      <c r="AJ120" s="468"/>
      <c r="AK120" s="431"/>
      <c r="AL120" s="431"/>
      <c r="AM120" s="431"/>
      <c r="AN120" s="340"/>
      <c r="AO120" s="340"/>
      <c r="AP120" s="340"/>
      <c r="AQ120" s="340"/>
      <c r="AR120" s="340"/>
    </row>
    <row r="121" spans="1:44" s="155" customFormat="1" ht="12" hidden="1" x14ac:dyDescent="0.2">
      <c r="A121" s="168">
        <v>67</v>
      </c>
      <c r="B121" s="168"/>
      <c r="C121" s="172"/>
      <c r="D121" s="432">
        <f t="shared" si="16"/>
        <v>0</v>
      </c>
      <c r="E121" s="431"/>
      <c r="F121" s="431"/>
      <c r="G121" s="431"/>
      <c r="H121" s="431"/>
      <c r="I121" s="431"/>
      <c r="J121" s="431"/>
      <c r="K121" s="431"/>
      <c r="L121" s="431"/>
      <c r="M121" s="431"/>
      <c r="N121" s="431"/>
      <c r="O121" s="431"/>
      <c r="P121" s="432">
        <f t="shared" si="15"/>
        <v>0</v>
      </c>
      <c r="Q121" s="431"/>
      <c r="R121" s="431"/>
      <c r="S121" s="431"/>
      <c r="T121" s="431"/>
      <c r="U121" s="431"/>
      <c r="V121" s="431"/>
      <c r="W121" s="431"/>
      <c r="X121" s="431"/>
      <c r="Y121" s="431"/>
      <c r="Z121" s="468"/>
      <c r="AA121" s="431"/>
      <c r="AB121" s="431"/>
      <c r="AC121" s="468"/>
      <c r="AD121" s="431"/>
      <c r="AE121" s="431"/>
      <c r="AF121" s="431"/>
      <c r="AG121" s="431"/>
      <c r="AH121" s="431"/>
      <c r="AI121" s="468"/>
      <c r="AJ121" s="468"/>
      <c r="AK121" s="431"/>
      <c r="AL121" s="431"/>
      <c r="AM121" s="431"/>
      <c r="AN121" s="203"/>
      <c r="AO121" s="203"/>
      <c r="AP121" s="203"/>
      <c r="AQ121" s="203"/>
      <c r="AR121" s="203"/>
    </row>
    <row r="122" spans="1:44" s="155" customFormat="1" ht="12" hidden="1" x14ac:dyDescent="0.2">
      <c r="A122" s="168">
        <v>68</v>
      </c>
      <c r="B122" s="168"/>
      <c r="C122" s="172"/>
      <c r="D122" s="432">
        <f t="shared" si="16"/>
        <v>0</v>
      </c>
      <c r="E122" s="431"/>
      <c r="F122" s="431"/>
      <c r="G122" s="431"/>
      <c r="H122" s="431"/>
      <c r="I122" s="431"/>
      <c r="J122" s="431"/>
      <c r="K122" s="431"/>
      <c r="L122" s="431"/>
      <c r="M122" s="431"/>
      <c r="N122" s="431"/>
      <c r="O122" s="431"/>
      <c r="P122" s="432">
        <f t="shared" si="15"/>
        <v>0</v>
      </c>
      <c r="Q122" s="431"/>
      <c r="R122" s="431"/>
      <c r="S122" s="431"/>
      <c r="T122" s="431"/>
      <c r="U122" s="431"/>
      <c r="V122" s="431"/>
      <c r="W122" s="431"/>
      <c r="X122" s="431"/>
      <c r="Y122" s="431"/>
      <c r="Z122" s="468"/>
      <c r="AA122" s="431"/>
      <c r="AB122" s="431"/>
      <c r="AC122" s="468"/>
      <c r="AD122" s="431"/>
      <c r="AE122" s="431"/>
      <c r="AF122" s="431"/>
      <c r="AG122" s="431"/>
      <c r="AH122" s="431"/>
      <c r="AI122" s="468"/>
      <c r="AJ122" s="468"/>
      <c r="AK122" s="431"/>
      <c r="AL122" s="431"/>
      <c r="AM122" s="431"/>
      <c r="AN122" s="203"/>
      <c r="AO122" s="203"/>
      <c r="AP122" s="203"/>
      <c r="AQ122" s="203"/>
      <c r="AR122" s="203"/>
    </row>
    <row r="123" spans="1:44" s="155" customFormat="1" ht="12" hidden="1" x14ac:dyDescent="0.2">
      <c r="A123" s="168">
        <v>69</v>
      </c>
      <c r="B123" s="168"/>
      <c r="C123" s="172"/>
      <c r="D123" s="432">
        <f t="shared" si="16"/>
        <v>0</v>
      </c>
      <c r="E123" s="431"/>
      <c r="F123" s="431"/>
      <c r="G123" s="431"/>
      <c r="H123" s="431"/>
      <c r="I123" s="431"/>
      <c r="J123" s="431"/>
      <c r="K123" s="431"/>
      <c r="L123" s="431"/>
      <c r="M123" s="431"/>
      <c r="N123" s="431"/>
      <c r="O123" s="431"/>
      <c r="P123" s="432">
        <f t="shared" si="15"/>
        <v>0</v>
      </c>
      <c r="Q123" s="431"/>
      <c r="R123" s="431"/>
      <c r="S123" s="431"/>
      <c r="T123" s="431"/>
      <c r="U123" s="431"/>
      <c r="V123" s="431"/>
      <c r="W123" s="431"/>
      <c r="X123" s="431"/>
      <c r="Y123" s="431"/>
      <c r="Z123" s="468"/>
      <c r="AA123" s="431"/>
      <c r="AB123" s="431"/>
      <c r="AC123" s="468"/>
      <c r="AD123" s="431"/>
      <c r="AE123" s="431"/>
      <c r="AF123" s="431"/>
      <c r="AG123" s="431"/>
      <c r="AH123" s="431"/>
      <c r="AI123" s="468"/>
      <c r="AJ123" s="468"/>
      <c r="AK123" s="431"/>
      <c r="AL123" s="431"/>
      <c r="AM123" s="431"/>
      <c r="AN123" s="203"/>
      <c r="AO123" s="203"/>
      <c r="AP123" s="203"/>
      <c r="AQ123" s="203"/>
      <c r="AR123" s="203"/>
    </row>
    <row r="124" spans="1:44" s="155" customFormat="1" ht="12" hidden="1" x14ac:dyDescent="0.2">
      <c r="A124" s="168">
        <v>70</v>
      </c>
      <c r="B124" s="168"/>
      <c r="C124" s="172"/>
      <c r="D124" s="432">
        <f t="shared" si="16"/>
        <v>0</v>
      </c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32">
        <f t="shared" si="15"/>
        <v>0</v>
      </c>
      <c r="Q124" s="431"/>
      <c r="R124" s="431"/>
      <c r="S124" s="431"/>
      <c r="T124" s="431"/>
      <c r="U124" s="431"/>
      <c r="V124" s="431"/>
      <c r="W124" s="431"/>
      <c r="X124" s="431"/>
      <c r="Y124" s="431"/>
      <c r="Z124" s="468"/>
      <c r="AA124" s="431"/>
      <c r="AB124" s="431"/>
      <c r="AC124" s="468"/>
      <c r="AD124" s="431"/>
      <c r="AE124" s="431"/>
      <c r="AF124" s="431"/>
      <c r="AG124" s="431"/>
      <c r="AH124" s="431"/>
      <c r="AI124" s="468"/>
      <c r="AJ124" s="468"/>
      <c r="AK124" s="431"/>
      <c r="AL124" s="431"/>
      <c r="AM124" s="431"/>
    </row>
    <row r="125" spans="1:44" s="155" customFormat="1" ht="12" hidden="1" x14ac:dyDescent="0.2">
      <c r="A125" s="168">
        <v>71</v>
      </c>
      <c r="B125" s="168"/>
      <c r="C125" s="172"/>
      <c r="D125" s="432">
        <f t="shared" si="16"/>
        <v>0</v>
      </c>
      <c r="E125" s="431"/>
      <c r="F125" s="431"/>
      <c r="G125" s="431"/>
      <c r="H125" s="431"/>
      <c r="I125" s="431"/>
      <c r="J125" s="431"/>
      <c r="K125" s="431"/>
      <c r="L125" s="431"/>
      <c r="M125" s="431"/>
      <c r="N125" s="431"/>
      <c r="O125" s="431"/>
      <c r="P125" s="432">
        <f t="shared" si="15"/>
        <v>0</v>
      </c>
      <c r="Q125" s="431"/>
      <c r="R125" s="431"/>
      <c r="S125" s="431"/>
      <c r="T125" s="431"/>
      <c r="U125" s="431"/>
      <c r="V125" s="431"/>
      <c r="W125" s="431"/>
      <c r="X125" s="431"/>
      <c r="Y125" s="431"/>
      <c r="Z125" s="468"/>
      <c r="AA125" s="431"/>
      <c r="AB125" s="431"/>
      <c r="AC125" s="468"/>
      <c r="AD125" s="431"/>
      <c r="AE125" s="431"/>
      <c r="AF125" s="431"/>
      <c r="AG125" s="431"/>
      <c r="AH125" s="431"/>
      <c r="AI125" s="468"/>
      <c r="AJ125" s="468"/>
      <c r="AK125" s="431"/>
      <c r="AL125" s="431"/>
      <c r="AM125" s="431"/>
    </row>
    <row r="126" spans="1:44" s="155" customFormat="1" ht="12" hidden="1" x14ac:dyDescent="0.2">
      <c r="A126" s="168">
        <v>72</v>
      </c>
      <c r="B126" s="168"/>
      <c r="C126" s="172"/>
      <c r="D126" s="432">
        <f t="shared" si="16"/>
        <v>0</v>
      </c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32">
        <f t="shared" si="15"/>
        <v>0</v>
      </c>
      <c r="Q126" s="431"/>
      <c r="R126" s="431"/>
      <c r="S126" s="431"/>
      <c r="T126" s="431"/>
      <c r="U126" s="431"/>
      <c r="V126" s="431"/>
      <c r="W126" s="431"/>
      <c r="X126" s="431"/>
      <c r="Y126" s="431"/>
      <c r="Z126" s="468"/>
      <c r="AA126" s="431"/>
      <c r="AB126" s="431"/>
      <c r="AC126" s="468"/>
      <c r="AD126" s="431"/>
      <c r="AE126" s="431"/>
      <c r="AF126" s="431"/>
      <c r="AG126" s="431"/>
      <c r="AH126" s="431"/>
      <c r="AI126" s="468"/>
      <c r="AJ126" s="468"/>
      <c r="AK126" s="431"/>
      <c r="AL126" s="431"/>
      <c r="AM126" s="431"/>
    </row>
    <row r="127" spans="1:44" s="155" customFormat="1" ht="12" hidden="1" x14ac:dyDescent="0.2">
      <c r="A127" s="168">
        <v>73</v>
      </c>
      <c r="B127" s="168"/>
      <c r="C127" s="172"/>
      <c r="D127" s="432">
        <f t="shared" si="16"/>
        <v>0</v>
      </c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32">
        <f t="shared" si="15"/>
        <v>0</v>
      </c>
      <c r="Q127" s="431"/>
      <c r="R127" s="431"/>
      <c r="S127" s="431"/>
      <c r="T127" s="431"/>
      <c r="U127" s="431"/>
      <c r="V127" s="431"/>
      <c r="W127" s="431"/>
      <c r="X127" s="431"/>
      <c r="Y127" s="431"/>
      <c r="Z127" s="468"/>
      <c r="AA127" s="431"/>
      <c r="AB127" s="431"/>
      <c r="AC127" s="468"/>
      <c r="AD127" s="431"/>
      <c r="AE127" s="431"/>
      <c r="AF127" s="431"/>
      <c r="AG127" s="431"/>
      <c r="AH127" s="431"/>
      <c r="AI127" s="468"/>
      <c r="AJ127" s="468"/>
      <c r="AK127" s="431"/>
      <c r="AL127" s="431"/>
      <c r="AM127" s="431"/>
    </row>
    <row r="128" spans="1:44" s="155" customFormat="1" ht="12" hidden="1" x14ac:dyDescent="0.2">
      <c r="A128" s="168">
        <v>74</v>
      </c>
      <c r="B128" s="168"/>
      <c r="C128" s="172"/>
      <c r="D128" s="432">
        <f t="shared" si="16"/>
        <v>0</v>
      </c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32">
        <f t="shared" si="15"/>
        <v>0</v>
      </c>
      <c r="Q128" s="431"/>
      <c r="R128" s="431"/>
      <c r="S128" s="431"/>
      <c r="T128" s="431"/>
      <c r="U128" s="431"/>
      <c r="V128" s="431"/>
      <c r="W128" s="431"/>
      <c r="X128" s="431"/>
      <c r="Y128" s="431"/>
      <c r="Z128" s="468"/>
      <c r="AA128" s="431"/>
      <c r="AB128" s="431"/>
      <c r="AC128" s="468"/>
      <c r="AD128" s="431"/>
      <c r="AE128" s="431"/>
      <c r="AF128" s="431"/>
      <c r="AG128" s="431"/>
      <c r="AH128" s="431"/>
      <c r="AI128" s="468"/>
      <c r="AJ128" s="468"/>
      <c r="AK128" s="431"/>
      <c r="AL128" s="431"/>
      <c r="AM128" s="431"/>
    </row>
    <row r="129" spans="1:39" s="155" customFormat="1" ht="12" hidden="1" x14ac:dyDescent="0.2">
      <c r="A129" s="168">
        <v>75</v>
      </c>
      <c r="B129" s="168"/>
      <c r="C129" s="172"/>
      <c r="D129" s="432">
        <f t="shared" si="16"/>
        <v>0</v>
      </c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32">
        <f t="shared" si="15"/>
        <v>0</v>
      </c>
      <c r="Q129" s="431"/>
      <c r="R129" s="431"/>
      <c r="S129" s="431"/>
      <c r="T129" s="431"/>
      <c r="U129" s="431"/>
      <c r="V129" s="431"/>
      <c r="W129" s="431"/>
      <c r="X129" s="431"/>
      <c r="Y129" s="431"/>
      <c r="Z129" s="468"/>
      <c r="AA129" s="431"/>
      <c r="AB129" s="431"/>
      <c r="AC129" s="468"/>
      <c r="AD129" s="431"/>
      <c r="AE129" s="431"/>
      <c r="AF129" s="431"/>
      <c r="AG129" s="431"/>
      <c r="AH129" s="431"/>
      <c r="AI129" s="468"/>
      <c r="AJ129" s="468"/>
      <c r="AK129" s="431"/>
      <c r="AL129" s="431"/>
      <c r="AM129" s="431"/>
    </row>
    <row r="130" spans="1:39" s="155" customFormat="1" ht="12" hidden="1" x14ac:dyDescent="0.2">
      <c r="A130" s="168">
        <v>76</v>
      </c>
      <c r="B130" s="168"/>
      <c r="C130" s="172"/>
      <c r="D130" s="432">
        <f t="shared" si="16"/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32">
        <f t="shared" si="15"/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</row>
    <row r="131" spans="1:39" s="155" customFormat="1" ht="12" hidden="1" x14ac:dyDescent="0.2">
      <c r="A131" s="168">
        <v>77</v>
      </c>
      <c r="B131" s="168"/>
      <c r="C131" s="172"/>
      <c r="D131" s="432">
        <f t="shared" si="16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2">
        <f t="shared" si="15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</row>
    <row r="132" spans="1:39" s="155" customFormat="1" ht="12" hidden="1" x14ac:dyDescent="0.2">
      <c r="A132" s="168">
        <v>78</v>
      </c>
      <c r="B132" s="168"/>
      <c r="C132" s="172"/>
      <c r="D132" s="432">
        <f t="shared" si="16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2">
        <f t="shared" si="15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</row>
    <row r="133" spans="1:39" s="155" customFormat="1" ht="12" hidden="1" x14ac:dyDescent="0.2">
      <c r="A133" s="168">
        <v>79</v>
      </c>
      <c r="B133" s="168"/>
      <c r="C133" s="172"/>
      <c r="D133" s="432">
        <f t="shared" si="16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si="15"/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155" customFormat="1" ht="12" hidden="1" x14ac:dyDescent="0.2">
      <c r="A134" s="168">
        <v>80</v>
      </c>
      <c r="B134" s="168"/>
      <c r="C134" s="172"/>
      <c r="D134" s="432">
        <f t="shared" si="16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si="15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155" customFormat="1" ht="12" hidden="1" x14ac:dyDescent="0.2">
      <c r="A135" s="168">
        <v>81</v>
      </c>
      <c r="B135" s="168"/>
      <c r="C135" s="172"/>
      <c r="D135" s="432">
        <f t="shared" si="16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15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155" customFormat="1" ht="12" hidden="1" x14ac:dyDescent="0.2">
      <c r="A136" s="168">
        <v>82</v>
      </c>
      <c r="B136" s="168"/>
      <c r="C136" s="172"/>
      <c r="D136" s="432">
        <f t="shared" si="16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15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155" customFormat="1" ht="12" hidden="1" x14ac:dyDescent="0.2">
      <c r="A137" s="168">
        <v>83</v>
      </c>
      <c r="B137" s="168"/>
      <c r="C137" s="172"/>
      <c r="D137" s="432">
        <f t="shared" si="16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15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68"/>
      <c r="C138" s="172"/>
      <c r="D138" s="432">
        <f t="shared" si="16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5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68"/>
      <c r="C139" s="172"/>
      <c r="D139" s="432">
        <f t="shared" si="16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5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68"/>
      <c r="C140" s="172"/>
      <c r="D140" s="432">
        <f t="shared" si="16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5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173"/>
      <c r="D141" s="432">
        <f t="shared" si="16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5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6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5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6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953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1093429758</v>
      </c>
      <c r="E14" s="432">
        <f>SUM(E15,E16,E33,E54)</f>
        <v>351193680</v>
      </c>
      <c r="F14" s="432">
        <f t="shared" ref="F14:O14" si="0">SUM(F15,F16,F33,F54)</f>
        <v>167421003</v>
      </c>
      <c r="G14" s="432">
        <f t="shared" si="0"/>
        <v>58439418</v>
      </c>
      <c r="H14" s="432">
        <f t="shared" si="0"/>
        <v>55499368</v>
      </c>
      <c r="I14" s="432">
        <f t="shared" si="0"/>
        <v>286642783</v>
      </c>
      <c r="J14" s="432">
        <f t="shared" si="0"/>
        <v>21437734</v>
      </c>
      <c r="K14" s="432">
        <f t="shared" si="0"/>
        <v>117599610</v>
      </c>
      <c r="L14" s="432">
        <f t="shared" si="0"/>
        <v>0</v>
      </c>
      <c r="M14" s="432">
        <f t="shared" si="0"/>
        <v>181828055</v>
      </c>
      <c r="N14" s="432">
        <f t="shared" si="0"/>
        <v>76631930</v>
      </c>
      <c r="O14" s="432">
        <f t="shared" si="0"/>
        <v>2596598</v>
      </c>
      <c r="P14" s="432">
        <f>IF(SUM(Q14:AB14)=SUM(AC14:AM14),SUM(Q14:AB14),"  EROARE ART/CAP")</f>
        <v>1067514874</v>
      </c>
      <c r="Q14" s="432">
        <f t="shared" ref="Q14:AM14" si="1">Q15+Q16+Q33+Q54</f>
        <v>374482040</v>
      </c>
      <c r="R14" s="432">
        <f t="shared" si="1"/>
        <v>243075417</v>
      </c>
      <c r="S14" s="432">
        <f t="shared" si="1"/>
        <v>1082335</v>
      </c>
      <c r="T14" s="432">
        <f t="shared" si="1"/>
        <v>16375365</v>
      </c>
      <c r="U14" s="432">
        <f t="shared" si="1"/>
        <v>25991694</v>
      </c>
      <c r="V14" s="432">
        <f t="shared" si="1"/>
        <v>8591836</v>
      </c>
      <c r="W14" s="432">
        <f t="shared" si="1"/>
        <v>123335723</v>
      </c>
      <c r="X14" s="432">
        <f t="shared" si="1"/>
        <v>101624560</v>
      </c>
      <c r="Y14" s="432">
        <f t="shared" si="1"/>
        <v>15212752</v>
      </c>
      <c r="Z14" s="432">
        <f t="shared" si="1"/>
        <v>150945242</v>
      </c>
      <c r="AA14" s="432">
        <f t="shared" si="1"/>
        <v>8474638</v>
      </c>
      <c r="AB14" s="432">
        <f t="shared" si="1"/>
        <v>-1676728</v>
      </c>
      <c r="AC14" s="432">
        <f t="shared" si="1"/>
        <v>127362089</v>
      </c>
      <c r="AD14" s="432">
        <f t="shared" si="1"/>
        <v>25690405</v>
      </c>
      <c r="AE14" s="432">
        <f t="shared" si="1"/>
        <v>313065109</v>
      </c>
      <c r="AF14" s="432">
        <f t="shared" si="1"/>
        <v>24616372</v>
      </c>
      <c r="AG14" s="432">
        <f t="shared" si="1"/>
        <v>52916942</v>
      </c>
      <c r="AH14" s="432">
        <f t="shared" si="1"/>
        <v>159733093</v>
      </c>
      <c r="AI14" s="432">
        <f t="shared" si="1"/>
        <v>68764205</v>
      </c>
      <c r="AJ14" s="432">
        <f t="shared" si="1"/>
        <v>45096002</v>
      </c>
      <c r="AK14" s="432">
        <f t="shared" si="1"/>
        <v>8603270</v>
      </c>
      <c r="AL14" s="432">
        <f t="shared" si="1"/>
        <v>233863784</v>
      </c>
      <c r="AM14" s="432">
        <f t="shared" si="1"/>
        <v>7803603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287787409</v>
      </c>
      <c r="E15" s="431">
        <v>61989584</v>
      </c>
      <c r="F15" s="431">
        <v>35537482</v>
      </c>
      <c r="G15" s="431">
        <v>23934956</v>
      </c>
      <c r="H15" s="431">
        <v>55499368</v>
      </c>
      <c r="I15" s="431">
        <v>0</v>
      </c>
      <c r="J15" s="431">
        <v>6743000</v>
      </c>
      <c r="K15" s="431">
        <v>32907000</v>
      </c>
      <c r="L15" s="431">
        <v>0</v>
      </c>
      <c r="M15" s="431">
        <v>91036500</v>
      </c>
      <c r="N15" s="431">
        <v>39557596</v>
      </c>
      <c r="O15" s="431">
        <v>54361</v>
      </c>
      <c r="P15" s="432">
        <f t="shared" ref="P15:P78" si="2">IF(SUM(Q15:AB15)=SUM(AC15:AM15),SUM(Q15:AB15),"  EROARE ART/CAP")</f>
        <v>279385132</v>
      </c>
      <c r="Q15" s="431">
        <v>45986830</v>
      </c>
      <c r="R15" s="431">
        <v>51364426</v>
      </c>
      <c r="S15" s="431">
        <v>0</v>
      </c>
      <c r="T15" s="431">
        <v>0</v>
      </c>
      <c r="U15" s="431">
        <v>13569291</v>
      </c>
      <c r="V15" s="431">
        <v>0</v>
      </c>
      <c r="W15" s="431">
        <v>71275362</v>
      </c>
      <c r="X15" s="431">
        <v>69022767</v>
      </c>
      <c r="Y15" s="431">
        <v>5216096</v>
      </c>
      <c r="Z15" s="431">
        <v>17530625</v>
      </c>
      <c r="AA15" s="431">
        <v>5810668</v>
      </c>
      <c r="AB15" s="431">
        <v>-390933</v>
      </c>
      <c r="AC15" s="431">
        <v>29675988</v>
      </c>
      <c r="AD15" s="431">
        <v>1289054</v>
      </c>
      <c r="AE15" s="431">
        <v>25678369</v>
      </c>
      <c r="AF15" s="431">
        <v>10855838</v>
      </c>
      <c r="AG15" s="431">
        <v>14990044</v>
      </c>
      <c r="AH15" s="431">
        <v>99000034</v>
      </c>
      <c r="AI15" s="431">
        <v>0</v>
      </c>
      <c r="AJ15" s="431">
        <v>3602264</v>
      </c>
      <c r="AK15" s="431">
        <v>0</v>
      </c>
      <c r="AL15" s="431">
        <v>92524512</v>
      </c>
      <c r="AM15" s="431">
        <v>1769029</v>
      </c>
    </row>
    <row r="16" spans="1:39" s="155" customFormat="1" ht="12" x14ac:dyDescent="0.2">
      <c r="A16" s="156" t="s">
        <v>72</v>
      </c>
      <c r="B16" s="157"/>
      <c r="C16" s="159"/>
      <c r="D16" s="432">
        <f>E16+SUM(H16:O16)</f>
        <v>334272624</v>
      </c>
      <c r="E16" s="433">
        <f>SUM(E18:E32)</f>
        <v>167294051</v>
      </c>
      <c r="F16" s="433">
        <f t="shared" ref="F16:O16" si="3">SUM(F18:F32)</f>
        <v>98335447</v>
      </c>
      <c r="G16" s="433">
        <f t="shared" si="3"/>
        <v>2361730</v>
      </c>
      <c r="H16" s="433">
        <f t="shared" si="3"/>
        <v>0</v>
      </c>
      <c r="I16" s="433">
        <f t="shared" si="3"/>
        <v>135932305</v>
      </c>
      <c r="J16" s="433">
        <f t="shared" si="3"/>
        <v>0</v>
      </c>
      <c r="K16" s="433">
        <f t="shared" si="3"/>
        <v>5909990</v>
      </c>
      <c r="L16" s="433">
        <f t="shared" si="3"/>
        <v>0</v>
      </c>
      <c r="M16" s="433">
        <f t="shared" si="3"/>
        <v>13506134</v>
      </c>
      <c r="N16" s="433">
        <f t="shared" si="3"/>
        <v>11107962</v>
      </c>
      <c r="O16" s="433">
        <f t="shared" si="3"/>
        <v>522182</v>
      </c>
      <c r="P16" s="432">
        <f t="shared" si="2"/>
        <v>334379458</v>
      </c>
      <c r="Q16" s="432">
        <f>SUM(Q18:Q32)</f>
        <v>159349074</v>
      </c>
      <c r="R16" s="432">
        <f t="shared" ref="R16:AM16" si="4">SUM(R18:R32)</f>
        <v>95936581</v>
      </c>
      <c r="S16" s="432">
        <f t="shared" si="4"/>
        <v>1029671</v>
      </c>
      <c r="T16" s="432">
        <f t="shared" si="4"/>
        <v>16290000</v>
      </c>
      <c r="U16" s="432">
        <f t="shared" si="4"/>
        <v>10712008</v>
      </c>
      <c r="V16" s="432">
        <f t="shared" si="4"/>
        <v>5593363</v>
      </c>
      <c r="W16" s="432">
        <f t="shared" si="4"/>
        <v>19252425</v>
      </c>
      <c r="X16" s="432">
        <f t="shared" si="4"/>
        <v>7987844</v>
      </c>
      <c r="Y16" s="432">
        <f t="shared" si="4"/>
        <v>7150165</v>
      </c>
      <c r="Z16" s="432">
        <f t="shared" si="4"/>
        <v>10718145</v>
      </c>
      <c r="AA16" s="432">
        <f t="shared" si="4"/>
        <v>1000000</v>
      </c>
      <c r="AB16" s="432">
        <f t="shared" si="4"/>
        <v>-639818</v>
      </c>
      <c r="AC16" s="432">
        <f t="shared" si="4"/>
        <v>24654651</v>
      </c>
      <c r="AD16" s="432">
        <f t="shared" si="4"/>
        <v>19763771</v>
      </c>
      <c r="AE16" s="432">
        <f t="shared" si="4"/>
        <v>146619533</v>
      </c>
      <c r="AF16" s="432">
        <f t="shared" si="4"/>
        <v>10444304</v>
      </c>
      <c r="AG16" s="432">
        <f t="shared" si="4"/>
        <v>23241098</v>
      </c>
      <c r="AH16" s="432">
        <f t="shared" si="4"/>
        <v>23456800</v>
      </c>
      <c r="AI16" s="432">
        <f t="shared" si="4"/>
        <v>12816562</v>
      </c>
      <c r="AJ16" s="432">
        <f t="shared" si="4"/>
        <v>19790329</v>
      </c>
      <c r="AK16" s="432">
        <f t="shared" si="4"/>
        <v>8603270</v>
      </c>
      <c r="AL16" s="432">
        <f t="shared" si="4"/>
        <v>41736310</v>
      </c>
      <c r="AM16" s="432">
        <f t="shared" si="4"/>
        <v>3252830</v>
      </c>
    </row>
    <row r="17" spans="1:39" s="155" customFormat="1" ht="22.5" x14ac:dyDescent="0.2">
      <c r="A17" s="277" t="s">
        <v>2306</v>
      </c>
      <c r="B17" s="280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>
        <f t="shared" si="2"/>
        <v>0</v>
      </c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146">
        <v>1</v>
      </c>
      <c r="B18" s="535">
        <v>44818</v>
      </c>
      <c r="C18" s="268" t="s">
        <v>2665</v>
      </c>
      <c r="D18" s="432">
        <f t="shared" ref="D18:D41" si="5">E18+SUM(H18:O18)</f>
        <v>265715909</v>
      </c>
      <c r="E18" s="431">
        <v>145157180</v>
      </c>
      <c r="F18" s="431">
        <v>88915353</v>
      </c>
      <c r="G18" s="431">
        <v>287130</v>
      </c>
      <c r="H18" s="431">
        <v>0</v>
      </c>
      <c r="I18" s="431">
        <v>107052410</v>
      </c>
      <c r="J18" s="431">
        <v>0</v>
      </c>
      <c r="K18" s="431">
        <v>1179370</v>
      </c>
      <c r="L18" s="431">
        <v>0</v>
      </c>
      <c r="M18" s="431">
        <v>6317040</v>
      </c>
      <c r="N18" s="431">
        <v>5997700</v>
      </c>
      <c r="O18" s="431">
        <v>12209</v>
      </c>
      <c r="P18" s="432">
        <f t="shared" si="2"/>
        <v>265647410</v>
      </c>
      <c r="Q18" s="431">
        <v>127882076</v>
      </c>
      <c r="R18" s="431">
        <v>85542009</v>
      </c>
      <c r="S18" s="431">
        <v>0</v>
      </c>
      <c r="T18" s="431">
        <v>16290000</v>
      </c>
      <c r="U18" s="431">
        <v>2806280</v>
      </c>
      <c r="V18" s="431">
        <v>5593363</v>
      </c>
      <c r="W18" s="431">
        <v>9721902</v>
      </c>
      <c r="X18" s="431">
        <v>6340537</v>
      </c>
      <c r="Y18" s="431">
        <v>6693289</v>
      </c>
      <c r="Z18" s="431">
        <v>5089251</v>
      </c>
      <c r="AA18" s="431">
        <v>0</v>
      </c>
      <c r="AB18" s="431">
        <v>-311297</v>
      </c>
      <c r="AC18" s="431">
        <v>19284152</v>
      </c>
      <c r="AD18" s="431">
        <v>18198039</v>
      </c>
      <c r="AE18" s="431">
        <v>115447272</v>
      </c>
      <c r="AF18" s="431">
        <v>3646225</v>
      </c>
      <c r="AG18" s="431">
        <v>18437879</v>
      </c>
      <c r="AH18" s="431">
        <v>18893891</v>
      </c>
      <c r="AI18" s="431">
        <v>10641494</v>
      </c>
      <c r="AJ18" s="431">
        <v>18421000</v>
      </c>
      <c r="AK18" s="431">
        <v>8603270</v>
      </c>
      <c r="AL18" s="431">
        <v>31821358</v>
      </c>
      <c r="AM18" s="431">
        <v>2252830</v>
      </c>
    </row>
    <row r="19" spans="1:39" s="155" customFormat="1" ht="12" x14ac:dyDescent="0.2">
      <c r="A19" s="146">
        <v>2</v>
      </c>
      <c r="B19" s="535">
        <v>44845</v>
      </c>
      <c r="C19" s="268" t="s">
        <v>2666</v>
      </c>
      <c r="D19" s="432">
        <f t="shared" si="5"/>
        <v>68556715</v>
      </c>
      <c r="E19" s="431">
        <v>22136871</v>
      </c>
      <c r="F19" s="431">
        <v>9420094</v>
      </c>
      <c r="G19" s="431">
        <v>2074600</v>
      </c>
      <c r="H19" s="431">
        <v>0</v>
      </c>
      <c r="I19" s="431">
        <v>28879895</v>
      </c>
      <c r="J19" s="431">
        <v>0</v>
      </c>
      <c r="K19" s="431">
        <v>4730620</v>
      </c>
      <c r="L19" s="431">
        <v>0</v>
      </c>
      <c r="M19" s="431">
        <v>7189094</v>
      </c>
      <c r="N19" s="431">
        <v>5110262</v>
      </c>
      <c r="O19" s="431">
        <v>509973</v>
      </c>
      <c r="P19" s="432">
        <f t="shared" si="2"/>
        <v>68732048</v>
      </c>
      <c r="Q19" s="431">
        <v>31466998</v>
      </c>
      <c r="R19" s="431">
        <v>10394572</v>
      </c>
      <c r="S19" s="431">
        <v>1029671</v>
      </c>
      <c r="T19" s="431">
        <v>0</v>
      </c>
      <c r="U19" s="431">
        <v>7905728</v>
      </c>
      <c r="V19" s="431">
        <v>0</v>
      </c>
      <c r="W19" s="431">
        <v>9530523</v>
      </c>
      <c r="X19" s="431">
        <v>1647307</v>
      </c>
      <c r="Y19" s="431">
        <v>456876</v>
      </c>
      <c r="Z19" s="431">
        <v>5628894</v>
      </c>
      <c r="AA19" s="431">
        <v>1000000</v>
      </c>
      <c r="AB19" s="431">
        <v>-328521</v>
      </c>
      <c r="AC19" s="431">
        <v>5370499</v>
      </c>
      <c r="AD19" s="431">
        <v>1565732</v>
      </c>
      <c r="AE19" s="431">
        <v>31172261</v>
      </c>
      <c r="AF19" s="431">
        <v>6798079</v>
      </c>
      <c r="AG19" s="431">
        <v>4803219</v>
      </c>
      <c r="AH19" s="431">
        <v>4562909</v>
      </c>
      <c r="AI19" s="431">
        <v>2175068</v>
      </c>
      <c r="AJ19" s="431">
        <v>1369329</v>
      </c>
      <c r="AK19" s="431">
        <v>0</v>
      </c>
      <c r="AL19" s="431">
        <v>9914952</v>
      </c>
      <c r="AM19" s="431">
        <v>1000000</v>
      </c>
    </row>
    <row r="20" spans="1:39" s="155" customFormat="1" ht="12" hidden="1" x14ac:dyDescent="0.2">
      <c r="A20" s="146">
        <v>3</v>
      </c>
      <c r="B20" s="161"/>
      <c r="C20" s="206"/>
      <c r="D20" s="432">
        <f t="shared" si="5"/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2">
        <f t="shared" si="2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</row>
    <row r="21" spans="1:39" s="155" customFormat="1" ht="12" hidden="1" x14ac:dyDescent="0.2">
      <c r="A21" s="146">
        <v>4</v>
      </c>
      <c r="B21" s="161"/>
      <c r="C21" s="206"/>
      <c r="D21" s="432">
        <f t="shared" si="5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2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146">
        <v>5</v>
      </c>
      <c r="B22" s="161"/>
      <c r="C22" s="206"/>
      <c r="D22" s="432">
        <f t="shared" si="5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2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161"/>
      <c r="C23" s="206"/>
      <c r="D23" s="432">
        <f t="shared" si="5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2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61"/>
      <c r="C24" s="206"/>
      <c r="D24" s="432">
        <f t="shared" si="5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2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61"/>
      <c r="C25" s="206"/>
      <c r="D25" s="432">
        <f t="shared" si="5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2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61"/>
      <c r="C26" s="206"/>
      <c r="D26" s="432">
        <f t="shared" si="5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2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61"/>
      <c r="C27" s="206"/>
      <c r="D27" s="432">
        <f t="shared" si="5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2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61"/>
      <c r="C28" s="206"/>
      <c r="D28" s="432">
        <f t="shared" si="5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2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61"/>
      <c r="C29" s="206"/>
      <c r="D29" s="432">
        <f t="shared" si="5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2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61"/>
      <c r="C30" s="206"/>
      <c r="D30" s="432">
        <f t="shared" si="5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2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61"/>
      <c r="C31" s="206"/>
      <c r="D31" s="432">
        <f t="shared" si="5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2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61"/>
      <c r="C32" s="207"/>
      <c r="D32" s="432">
        <f t="shared" si="5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2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5"/>
      <c r="C33" s="208"/>
      <c r="D33" s="432">
        <f t="shared" si="5"/>
        <v>43265320</v>
      </c>
      <c r="E33" s="432">
        <f>SUM(E34:E53)</f>
        <v>13627208</v>
      </c>
      <c r="F33" s="432">
        <f t="shared" ref="F33:O33" si="6">SUM(F34:F53)</f>
        <v>5017128</v>
      </c>
      <c r="G33" s="432">
        <f t="shared" si="6"/>
        <v>2718067</v>
      </c>
      <c r="H33" s="432">
        <f t="shared" si="6"/>
        <v>0</v>
      </c>
      <c r="I33" s="432">
        <f t="shared" si="6"/>
        <v>16709365</v>
      </c>
      <c r="J33" s="432">
        <f t="shared" si="6"/>
        <v>600000</v>
      </c>
      <c r="K33" s="432">
        <f t="shared" si="6"/>
        <v>7308290</v>
      </c>
      <c r="L33" s="432">
        <f t="shared" si="6"/>
        <v>0</v>
      </c>
      <c r="M33" s="432">
        <f t="shared" si="6"/>
        <v>4539636</v>
      </c>
      <c r="N33" s="432">
        <f t="shared" si="6"/>
        <v>403321</v>
      </c>
      <c r="O33" s="432">
        <f t="shared" si="6"/>
        <v>77500</v>
      </c>
      <c r="P33" s="432">
        <f t="shared" si="2"/>
        <v>40463664</v>
      </c>
      <c r="Q33" s="432">
        <f>SUM(Q34:Q53)</f>
        <v>17887907</v>
      </c>
      <c r="R33" s="432">
        <f t="shared" ref="R33:AM33" si="7">SUM(R34:R53)</f>
        <v>9316406</v>
      </c>
      <c r="S33" s="432">
        <f t="shared" si="7"/>
        <v>0</v>
      </c>
      <c r="T33" s="432">
        <f t="shared" si="7"/>
        <v>76365</v>
      </c>
      <c r="U33" s="432">
        <f t="shared" si="7"/>
        <v>666849</v>
      </c>
      <c r="V33" s="432">
        <f t="shared" si="7"/>
        <v>2069084</v>
      </c>
      <c r="W33" s="432">
        <f t="shared" si="7"/>
        <v>431792</v>
      </c>
      <c r="X33" s="432">
        <f t="shared" si="7"/>
        <v>1876682</v>
      </c>
      <c r="Y33" s="432">
        <f t="shared" si="7"/>
        <v>127502</v>
      </c>
      <c r="Z33" s="432">
        <f t="shared" si="7"/>
        <v>8026525</v>
      </c>
      <c r="AA33" s="432">
        <f t="shared" si="7"/>
        <v>0</v>
      </c>
      <c r="AB33" s="432">
        <f t="shared" si="7"/>
        <v>-15448</v>
      </c>
      <c r="AC33" s="432">
        <f t="shared" si="7"/>
        <v>5635468</v>
      </c>
      <c r="AD33" s="432">
        <f t="shared" si="7"/>
        <v>292659</v>
      </c>
      <c r="AE33" s="432">
        <f t="shared" si="7"/>
        <v>15371017</v>
      </c>
      <c r="AF33" s="432">
        <f t="shared" si="7"/>
        <v>498948</v>
      </c>
      <c r="AG33" s="432">
        <f t="shared" si="7"/>
        <v>896575</v>
      </c>
      <c r="AH33" s="432">
        <f t="shared" si="7"/>
        <v>2761569</v>
      </c>
      <c r="AI33" s="432">
        <f t="shared" si="7"/>
        <v>9664962</v>
      </c>
      <c r="AJ33" s="432">
        <f t="shared" si="7"/>
        <v>958210</v>
      </c>
      <c r="AK33" s="432">
        <f t="shared" si="7"/>
        <v>0</v>
      </c>
      <c r="AL33" s="432">
        <f t="shared" si="7"/>
        <v>4281455</v>
      </c>
      <c r="AM33" s="432">
        <f t="shared" si="7"/>
        <v>102801</v>
      </c>
    </row>
    <row r="34" spans="1:39" s="155" customFormat="1" ht="12" x14ac:dyDescent="0.2">
      <c r="A34" s="146">
        <v>1</v>
      </c>
      <c r="B34" s="535">
        <v>47916</v>
      </c>
      <c r="C34" s="268" t="s">
        <v>2667</v>
      </c>
      <c r="D34" s="432">
        <f t="shared" si="5"/>
        <v>17055495</v>
      </c>
      <c r="E34" s="431">
        <v>4587727</v>
      </c>
      <c r="F34" s="431">
        <v>2108159</v>
      </c>
      <c r="G34" s="431">
        <v>712616</v>
      </c>
      <c r="H34" s="431">
        <v>0</v>
      </c>
      <c r="I34" s="431">
        <v>6853138</v>
      </c>
      <c r="J34" s="431">
        <v>200000</v>
      </c>
      <c r="K34" s="431">
        <v>2134940</v>
      </c>
      <c r="L34" s="431">
        <v>0</v>
      </c>
      <c r="M34" s="431">
        <v>2798869</v>
      </c>
      <c r="N34" s="431">
        <v>403321</v>
      </c>
      <c r="O34" s="431">
        <v>77500</v>
      </c>
      <c r="P34" s="432">
        <f t="shared" si="2"/>
        <v>16430224</v>
      </c>
      <c r="Q34" s="431">
        <v>7460472</v>
      </c>
      <c r="R34" s="431">
        <v>2905548</v>
      </c>
      <c r="S34" s="431">
        <v>0</v>
      </c>
      <c r="T34" s="431">
        <v>76365</v>
      </c>
      <c r="U34" s="431">
        <v>666849</v>
      </c>
      <c r="V34" s="431">
        <v>0</v>
      </c>
      <c r="W34" s="431">
        <v>431792</v>
      </c>
      <c r="X34" s="431">
        <v>758375</v>
      </c>
      <c r="Y34" s="431">
        <v>0</v>
      </c>
      <c r="Z34" s="431">
        <v>4138578</v>
      </c>
      <c r="AA34" s="431">
        <v>0</v>
      </c>
      <c r="AB34" s="431">
        <v>-7755</v>
      </c>
      <c r="AC34" s="431">
        <v>2425014</v>
      </c>
      <c r="AD34" s="431">
        <v>8210</v>
      </c>
      <c r="AE34" s="431">
        <v>5986806</v>
      </c>
      <c r="AF34" s="431">
        <v>493567</v>
      </c>
      <c r="AG34" s="431">
        <v>380825</v>
      </c>
      <c r="AH34" s="431">
        <v>1208537</v>
      </c>
      <c r="AI34" s="431">
        <v>5918265</v>
      </c>
      <c r="AJ34" s="431">
        <v>0</v>
      </c>
      <c r="AK34" s="431">
        <v>0</v>
      </c>
      <c r="AL34" s="431">
        <v>0</v>
      </c>
      <c r="AM34" s="431">
        <v>9000</v>
      </c>
    </row>
    <row r="35" spans="1:39" s="155" customFormat="1" ht="12" x14ac:dyDescent="0.2">
      <c r="A35" s="146">
        <v>2</v>
      </c>
      <c r="B35" s="535">
        <v>48744</v>
      </c>
      <c r="C35" s="268" t="s">
        <v>2668</v>
      </c>
      <c r="D35" s="432">
        <f t="shared" si="5"/>
        <v>11969309</v>
      </c>
      <c r="E35" s="431">
        <v>4922645</v>
      </c>
      <c r="F35" s="431">
        <v>1237668</v>
      </c>
      <c r="G35" s="431">
        <v>921923</v>
      </c>
      <c r="H35" s="431">
        <v>0</v>
      </c>
      <c r="I35" s="431">
        <v>4352148</v>
      </c>
      <c r="J35" s="431">
        <v>200000</v>
      </c>
      <c r="K35" s="431">
        <v>2394760</v>
      </c>
      <c r="L35" s="431">
        <v>0</v>
      </c>
      <c r="M35" s="431">
        <v>99756</v>
      </c>
      <c r="N35" s="431">
        <v>0</v>
      </c>
      <c r="O35" s="431">
        <v>0</v>
      </c>
      <c r="P35" s="432">
        <f t="shared" si="2"/>
        <v>10673241</v>
      </c>
      <c r="Q35" s="431">
        <v>4935438</v>
      </c>
      <c r="R35" s="431">
        <v>2586409</v>
      </c>
      <c r="S35" s="431">
        <v>0</v>
      </c>
      <c r="T35" s="431">
        <v>0</v>
      </c>
      <c r="U35" s="431">
        <v>0</v>
      </c>
      <c r="V35" s="431">
        <v>1374155</v>
      </c>
      <c r="W35" s="431">
        <v>0</v>
      </c>
      <c r="X35" s="431">
        <v>624365</v>
      </c>
      <c r="Y35" s="431">
        <v>127502</v>
      </c>
      <c r="Z35" s="431">
        <v>1033065</v>
      </c>
      <c r="AA35" s="431">
        <v>0</v>
      </c>
      <c r="AB35" s="431">
        <v>-7693</v>
      </c>
      <c r="AC35" s="431">
        <v>1882198</v>
      </c>
      <c r="AD35" s="431">
        <v>284449</v>
      </c>
      <c r="AE35" s="431">
        <v>4019361</v>
      </c>
      <c r="AF35" s="431">
        <v>0</v>
      </c>
      <c r="AG35" s="431">
        <v>233115</v>
      </c>
      <c r="AH35" s="431">
        <v>1059090</v>
      </c>
      <c r="AI35" s="431">
        <v>1843446</v>
      </c>
      <c r="AJ35" s="431">
        <v>564702</v>
      </c>
      <c r="AK35" s="431">
        <v>0</v>
      </c>
      <c r="AL35" s="431">
        <v>769786</v>
      </c>
      <c r="AM35" s="431">
        <v>17094</v>
      </c>
    </row>
    <row r="36" spans="1:39" s="155" customFormat="1" ht="12" x14ac:dyDescent="0.2">
      <c r="A36" s="146">
        <v>3</v>
      </c>
      <c r="B36" s="535">
        <v>48325</v>
      </c>
      <c r="C36" s="268" t="s">
        <v>2669</v>
      </c>
      <c r="D36" s="432">
        <f t="shared" si="5"/>
        <v>14240516</v>
      </c>
      <c r="E36" s="431">
        <v>4116836</v>
      </c>
      <c r="F36" s="431">
        <v>1671301</v>
      </c>
      <c r="G36" s="431">
        <v>1083528</v>
      </c>
      <c r="H36" s="431">
        <v>0</v>
      </c>
      <c r="I36" s="431">
        <v>5504079</v>
      </c>
      <c r="J36" s="431">
        <v>200000</v>
      </c>
      <c r="K36" s="431">
        <v>2778590</v>
      </c>
      <c r="L36" s="431">
        <v>0</v>
      </c>
      <c r="M36" s="431">
        <v>1641011</v>
      </c>
      <c r="N36" s="431">
        <v>0</v>
      </c>
      <c r="O36" s="431">
        <v>0</v>
      </c>
      <c r="P36" s="432">
        <f t="shared" si="2"/>
        <v>13360199</v>
      </c>
      <c r="Q36" s="431">
        <v>5491997</v>
      </c>
      <c r="R36" s="431">
        <v>3824449</v>
      </c>
      <c r="S36" s="431">
        <v>0</v>
      </c>
      <c r="T36" s="431">
        <v>0</v>
      </c>
      <c r="U36" s="431">
        <v>0</v>
      </c>
      <c r="V36" s="431">
        <v>694929</v>
      </c>
      <c r="W36" s="431">
        <v>0</v>
      </c>
      <c r="X36" s="431">
        <v>493942</v>
      </c>
      <c r="Y36" s="431">
        <v>0</v>
      </c>
      <c r="Z36" s="431">
        <v>2854882</v>
      </c>
      <c r="AA36" s="431">
        <v>0</v>
      </c>
      <c r="AB36" s="431">
        <v>0</v>
      </c>
      <c r="AC36" s="431">
        <v>1328256</v>
      </c>
      <c r="AD36" s="431">
        <v>0</v>
      </c>
      <c r="AE36" s="431">
        <v>5364850</v>
      </c>
      <c r="AF36" s="431">
        <v>5381</v>
      </c>
      <c r="AG36" s="431">
        <v>282635</v>
      </c>
      <c r="AH36" s="431">
        <v>493942</v>
      </c>
      <c r="AI36" s="431">
        <v>1903251</v>
      </c>
      <c r="AJ36" s="431">
        <v>393508</v>
      </c>
      <c r="AK36" s="431">
        <v>0</v>
      </c>
      <c r="AL36" s="431">
        <v>3511669</v>
      </c>
      <c r="AM36" s="431">
        <v>76707</v>
      </c>
    </row>
    <row r="37" spans="1:39" s="155" customFormat="1" ht="12" hidden="1" x14ac:dyDescent="0.2">
      <c r="A37" s="146">
        <v>4</v>
      </c>
      <c r="B37" s="161"/>
      <c r="C37" s="172"/>
      <c r="D37" s="432">
        <f t="shared" si="5"/>
        <v>0</v>
      </c>
      <c r="E37" s="435"/>
      <c r="F37" s="435"/>
      <c r="G37" s="435"/>
      <c r="H37" s="435"/>
      <c r="I37" s="435"/>
      <c r="J37" s="435"/>
      <c r="K37" s="435"/>
      <c r="L37" s="435"/>
      <c r="M37" s="435"/>
      <c r="N37" s="435"/>
      <c r="O37" s="435"/>
      <c r="P37" s="432">
        <f t="shared" si="2"/>
        <v>0</v>
      </c>
      <c r="Q37" s="435"/>
      <c r="R37" s="435"/>
      <c r="S37" s="435"/>
      <c r="T37" s="435"/>
      <c r="U37" s="435"/>
      <c r="V37" s="431"/>
      <c r="W37" s="431"/>
      <c r="X37" s="431"/>
      <c r="Y37" s="431"/>
      <c r="Z37" s="431"/>
      <c r="AA37" s="431"/>
      <c r="AB37" s="431"/>
      <c r="AC37" s="445"/>
      <c r="AD37" s="435"/>
      <c r="AE37" s="435"/>
      <c r="AF37" s="435"/>
      <c r="AG37" s="435"/>
      <c r="AH37" s="435"/>
      <c r="AI37" s="435"/>
      <c r="AJ37" s="435"/>
      <c r="AK37" s="435"/>
      <c r="AL37" s="435"/>
      <c r="AM37" s="435"/>
    </row>
    <row r="38" spans="1:39" s="155" customFormat="1" ht="12" hidden="1" x14ac:dyDescent="0.2">
      <c r="A38" s="146">
        <v>5</v>
      </c>
      <c r="B38" s="161"/>
      <c r="C38" s="172"/>
      <c r="D38" s="432">
        <f t="shared" si="5"/>
        <v>0</v>
      </c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2">
        <f t="shared" si="2"/>
        <v>0</v>
      </c>
      <c r="Q38" s="435"/>
      <c r="R38" s="435"/>
      <c r="S38" s="435"/>
      <c r="T38" s="435"/>
      <c r="U38" s="435"/>
      <c r="V38" s="431"/>
      <c r="W38" s="431"/>
      <c r="X38" s="431"/>
      <c r="Y38" s="431"/>
      <c r="Z38" s="435"/>
      <c r="AA38" s="431"/>
      <c r="AB38" s="431"/>
      <c r="AC38" s="445"/>
      <c r="AD38" s="435"/>
      <c r="AE38" s="435"/>
      <c r="AF38" s="435"/>
      <c r="AG38" s="435"/>
      <c r="AH38" s="435"/>
      <c r="AI38" s="435"/>
      <c r="AJ38" s="435"/>
      <c r="AK38" s="435"/>
      <c r="AL38" s="435"/>
      <c r="AM38" s="435"/>
    </row>
    <row r="39" spans="1:39" s="155" customFormat="1" ht="12" hidden="1" x14ac:dyDescent="0.2">
      <c r="A39" s="146">
        <v>6</v>
      </c>
      <c r="B39" s="161"/>
      <c r="C39" s="172"/>
      <c r="D39" s="432">
        <f t="shared" si="5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2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</row>
    <row r="40" spans="1:39" s="155" customFormat="1" ht="12" hidden="1" x14ac:dyDescent="0.2">
      <c r="A40" s="146">
        <v>7</v>
      </c>
      <c r="B40" s="161"/>
      <c r="C40" s="182"/>
      <c r="D40" s="432">
        <f t="shared" si="5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2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155" customFormat="1" ht="12" hidden="1" x14ac:dyDescent="0.2">
      <c r="A41" s="146">
        <v>8</v>
      </c>
      <c r="B41" s="161"/>
      <c r="C41" s="173"/>
      <c r="D41" s="432">
        <f t="shared" si="5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2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146">
        <v>9</v>
      </c>
      <c r="B42" s="161"/>
      <c r="C42" s="206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2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161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2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61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2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61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2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61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2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61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2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61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2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61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2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61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2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61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2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61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2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61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2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5"/>
      <c r="C54" s="208"/>
      <c r="D54" s="432">
        <f t="shared" ref="D54:D117" si="8">E54+SUM(H54:O54)</f>
        <v>428104405</v>
      </c>
      <c r="E54" s="432">
        <f>SUM(E55:E143)</f>
        <v>108282837</v>
      </c>
      <c r="F54" s="432">
        <f t="shared" ref="F54:O54" si="9">SUM(F55:F143)</f>
        <v>28530946</v>
      </c>
      <c r="G54" s="432">
        <f t="shared" si="9"/>
        <v>29424665</v>
      </c>
      <c r="H54" s="432">
        <f t="shared" si="9"/>
        <v>0</v>
      </c>
      <c r="I54" s="432">
        <f t="shared" si="9"/>
        <v>134001113</v>
      </c>
      <c r="J54" s="432">
        <f t="shared" si="9"/>
        <v>14094734</v>
      </c>
      <c r="K54" s="432">
        <f t="shared" si="9"/>
        <v>71474330</v>
      </c>
      <c r="L54" s="432">
        <f t="shared" si="9"/>
        <v>0</v>
      </c>
      <c r="M54" s="432">
        <f t="shared" si="9"/>
        <v>72745785</v>
      </c>
      <c r="N54" s="432">
        <f t="shared" si="9"/>
        <v>25563051</v>
      </c>
      <c r="O54" s="432">
        <f t="shared" si="9"/>
        <v>1942555</v>
      </c>
      <c r="P54" s="432">
        <f t="shared" si="2"/>
        <v>413286620</v>
      </c>
      <c r="Q54" s="432">
        <f>SUM(Q55:Q143)</f>
        <v>151258229</v>
      </c>
      <c r="R54" s="432">
        <f t="shared" ref="R54:AM54" si="10">SUM(R55:R143)</f>
        <v>86458004</v>
      </c>
      <c r="S54" s="432">
        <f t="shared" si="10"/>
        <v>52664</v>
      </c>
      <c r="T54" s="432">
        <f t="shared" si="10"/>
        <v>9000</v>
      </c>
      <c r="U54" s="432">
        <f t="shared" si="10"/>
        <v>1043546</v>
      </c>
      <c r="V54" s="432">
        <f t="shared" si="10"/>
        <v>929389</v>
      </c>
      <c r="W54" s="432">
        <f t="shared" si="10"/>
        <v>32376144</v>
      </c>
      <c r="X54" s="432">
        <f t="shared" si="10"/>
        <v>22737267</v>
      </c>
      <c r="Y54" s="432">
        <f t="shared" si="10"/>
        <v>2718989</v>
      </c>
      <c r="Z54" s="432">
        <f t="shared" si="10"/>
        <v>114669947</v>
      </c>
      <c r="AA54" s="432">
        <f t="shared" si="10"/>
        <v>1663970</v>
      </c>
      <c r="AB54" s="432">
        <f t="shared" si="10"/>
        <v>-630529</v>
      </c>
      <c r="AC54" s="432">
        <f t="shared" si="10"/>
        <v>67395982</v>
      </c>
      <c r="AD54" s="432">
        <f t="shared" si="10"/>
        <v>4344921</v>
      </c>
      <c r="AE54" s="432">
        <f t="shared" si="10"/>
        <v>125396190</v>
      </c>
      <c r="AF54" s="432">
        <f t="shared" si="10"/>
        <v>2817282</v>
      </c>
      <c r="AG54" s="432">
        <f t="shared" si="10"/>
        <v>13789225</v>
      </c>
      <c r="AH54" s="432">
        <f t="shared" si="10"/>
        <v>34514690</v>
      </c>
      <c r="AI54" s="432">
        <f t="shared" si="10"/>
        <v>46282681</v>
      </c>
      <c r="AJ54" s="432">
        <f t="shared" si="10"/>
        <v>20745199</v>
      </c>
      <c r="AK54" s="432">
        <f t="shared" si="10"/>
        <v>0</v>
      </c>
      <c r="AL54" s="432">
        <f>SUM(AL55:AL143)</f>
        <v>95321507</v>
      </c>
      <c r="AM54" s="432">
        <f t="shared" si="10"/>
        <v>2678943</v>
      </c>
    </row>
    <row r="55" spans="1:39" s="155" customFormat="1" ht="12" x14ac:dyDescent="0.2">
      <c r="A55" s="168">
        <v>1</v>
      </c>
      <c r="B55" s="535">
        <v>44863</v>
      </c>
      <c r="C55" s="268" t="s">
        <v>2670</v>
      </c>
      <c r="D55" s="432">
        <f t="shared" si="8"/>
        <v>4136239</v>
      </c>
      <c r="E55" s="431">
        <v>1766548</v>
      </c>
      <c r="F55" s="431">
        <v>260680</v>
      </c>
      <c r="G55" s="431">
        <v>324133</v>
      </c>
      <c r="H55" s="431">
        <v>0</v>
      </c>
      <c r="I55" s="431">
        <v>1137966</v>
      </c>
      <c r="J55" s="431">
        <v>150000</v>
      </c>
      <c r="K55" s="431">
        <v>632900</v>
      </c>
      <c r="L55" s="431">
        <v>0</v>
      </c>
      <c r="M55" s="431">
        <v>448825</v>
      </c>
      <c r="N55" s="431">
        <v>0</v>
      </c>
      <c r="O55" s="431">
        <v>0</v>
      </c>
      <c r="P55" s="432">
        <f t="shared" si="2"/>
        <v>4090647</v>
      </c>
      <c r="Q55" s="431">
        <v>1314591</v>
      </c>
      <c r="R55" s="431">
        <v>1486543</v>
      </c>
      <c r="S55" s="431">
        <v>0</v>
      </c>
      <c r="T55" s="431">
        <v>0</v>
      </c>
      <c r="U55" s="431">
        <v>0</v>
      </c>
      <c r="V55" s="431">
        <v>0</v>
      </c>
      <c r="W55" s="431">
        <v>0</v>
      </c>
      <c r="X55" s="431">
        <v>112433</v>
      </c>
      <c r="Y55" s="431">
        <v>0</v>
      </c>
      <c r="Z55" s="431">
        <v>1177080</v>
      </c>
      <c r="AA55" s="431">
        <v>0</v>
      </c>
      <c r="AB55" s="431">
        <v>0</v>
      </c>
      <c r="AC55" s="431">
        <v>491034</v>
      </c>
      <c r="AD55" s="431">
        <v>66975</v>
      </c>
      <c r="AE55" s="431">
        <v>1287629</v>
      </c>
      <c r="AF55" s="431">
        <v>259162</v>
      </c>
      <c r="AG55" s="431">
        <v>366014</v>
      </c>
      <c r="AH55" s="431">
        <v>258531</v>
      </c>
      <c r="AI55" s="431">
        <v>273716</v>
      </c>
      <c r="AJ55" s="431">
        <v>3376</v>
      </c>
      <c r="AK55" s="431">
        <v>0</v>
      </c>
      <c r="AL55" s="431">
        <v>1084210</v>
      </c>
      <c r="AM55" s="431">
        <v>0</v>
      </c>
    </row>
    <row r="56" spans="1:39" s="155" customFormat="1" ht="12" x14ac:dyDescent="0.2">
      <c r="A56" s="168">
        <v>2</v>
      </c>
      <c r="B56" s="535">
        <v>44989</v>
      </c>
      <c r="C56" s="268" t="s">
        <v>2671</v>
      </c>
      <c r="D56" s="432">
        <f t="shared" si="8"/>
        <v>2580689</v>
      </c>
      <c r="E56" s="431">
        <v>731439</v>
      </c>
      <c r="F56" s="431">
        <v>103462</v>
      </c>
      <c r="G56" s="431">
        <v>374805</v>
      </c>
      <c r="H56" s="431">
        <v>0</v>
      </c>
      <c r="I56" s="431">
        <v>761389</v>
      </c>
      <c r="J56" s="431">
        <v>149976</v>
      </c>
      <c r="K56" s="431">
        <v>931330</v>
      </c>
      <c r="L56" s="431">
        <v>0</v>
      </c>
      <c r="M56" s="431">
        <v>6555</v>
      </c>
      <c r="N56" s="431">
        <v>0</v>
      </c>
      <c r="O56" s="431">
        <v>0</v>
      </c>
      <c r="P56" s="432">
        <f t="shared" si="2"/>
        <v>2529673</v>
      </c>
      <c r="Q56" s="431">
        <v>915402</v>
      </c>
      <c r="R56" s="431">
        <v>282353</v>
      </c>
      <c r="S56" s="431">
        <v>0</v>
      </c>
      <c r="T56" s="431">
        <v>0</v>
      </c>
      <c r="U56" s="431">
        <v>0</v>
      </c>
      <c r="V56" s="431">
        <v>0</v>
      </c>
      <c r="W56" s="431">
        <v>0</v>
      </c>
      <c r="X56" s="431">
        <v>140910</v>
      </c>
      <c r="Y56" s="431">
        <v>9200</v>
      </c>
      <c r="Z56" s="431">
        <v>1189103</v>
      </c>
      <c r="AA56" s="431">
        <v>0</v>
      </c>
      <c r="AB56" s="431">
        <v>-7295</v>
      </c>
      <c r="AC56" s="431">
        <v>1341018</v>
      </c>
      <c r="AD56" s="431">
        <v>14772</v>
      </c>
      <c r="AE56" s="431">
        <v>669507</v>
      </c>
      <c r="AF56" s="431">
        <v>11931</v>
      </c>
      <c r="AG56" s="431">
        <v>146419</v>
      </c>
      <c r="AH56" s="431">
        <v>140504</v>
      </c>
      <c r="AI56" s="431">
        <v>46680</v>
      </c>
      <c r="AJ56" s="431">
        <v>0</v>
      </c>
      <c r="AK56" s="431">
        <v>0</v>
      </c>
      <c r="AL56" s="431">
        <v>143087</v>
      </c>
      <c r="AM56" s="431">
        <v>15755</v>
      </c>
    </row>
    <row r="57" spans="1:39" s="155" customFormat="1" ht="12" x14ac:dyDescent="0.2">
      <c r="A57" s="168">
        <v>3</v>
      </c>
      <c r="B57" s="535">
        <v>44934</v>
      </c>
      <c r="C57" s="268" t="s">
        <v>2672</v>
      </c>
      <c r="D57" s="432">
        <f t="shared" si="8"/>
        <v>5312862</v>
      </c>
      <c r="E57" s="431">
        <v>1048949</v>
      </c>
      <c r="F57" s="431">
        <v>181438</v>
      </c>
      <c r="G57" s="431">
        <v>252142</v>
      </c>
      <c r="H57" s="431">
        <v>0</v>
      </c>
      <c r="I57" s="431">
        <v>942342</v>
      </c>
      <c r="J57" s="431">
        <v>150000</v>
      </c>
      <c r="K57" s="431">
        <v>745490</v>
      </c>
      <c r="L57" s="431">
        <v>0</v>
      </c>
      <c r="M57" s="431">
        <v>2356081</v>
      </c>
      <c r="N57" s="431">
        <v>0</v>
      </c>
      <c r="O57" s="431">
        <v>70000</v>
      </c>
      <c r="P57" s="432">
        <f t="shared" si="2"/>
        <v>5723766</v>
      </c>
      <c r="Q57" s="431">
        <v>1297109</v>
      </c>
      <c r="R57" s="431">
        <v>809756</v>
      </c>
      <c r="S57" s="431">
        <v>0</v>
      </c>
      <c r="T57" s="431">
        <v>0</v>
      </c>
      <c r="U57" s="431">
        <v>28000</v>
      </c>
      <c r="V57" s="431">
        <v>0</v>
      </c>
      <c r="W57" s="431">
        <v>0</v>
      </c>
      <c r="X57" s="431">
        <v>148463</v>
      </c>
      <c r="Y57" s="431">
        <v>3490</v>
      </c>
      <c r="Z57" s="431">
        <v>3436948</v>
      </c>
      <c r="AA57" s="431">
        <v>0</v>
      </c>
      <c r="AB57" s="431">
        <v>0</v>
      </c>
      <c r="AC57" s="431">
        <v>787927</v>
      </c>
      <c r="AD57" s="431">
        <v>2000</v>
      </c>
      <c r="AE57" s="431">
        <v>957821</v>
      </c>
      <c r="AF57" s="431">
        <v>0</v>
      </c>
      <c r="AG57" s="431">
        <v>100535</v>
      </c>
      <c r="AH57" s="431">
        <v>446495</v>
      </c>
      <c r="AI57" s="431">
        <v>2810546</v>
      </c>
      <c r="AJ57" s="431">
        <v>47363</v>
      </c>
      <c r="AK57" s="431">
        <v>0</v>
      </c>
      <c r="AL57" s="431">
        <v>571079</v>
      </c>
      <c r="AM57" s="431">
        <v>0</v>
      </c>
    </row>
    <row r="58" spans="1:39" s="155" customFormat="1" ht="12" x14ac:dyDescent="0.2">
      <c r="A58" s="168">
        <v>4</v>
      </c>
      <c r="B58" s="535">
        <v>45003</v>
      </c>
      <c r="C58" s="268" t="s">
        <v>2673</v>
      </c>
      <c r="D58" s="432">
        <f t="shared" si="8"/>
        <v>7558629</v>
      </c>
      <c r="E58" s="431">
        <v>1375361</v>
      </c>
      <c r="F58" s="431">
        <v>410326</v>
      </c>
      <c r="G58" s="431">
        <v>385806</v>
      </c>
      <c r="H58" s="431">
        <v>0</v>
      </c>
      <c r="I58" s="431">
        <v>3247683</v>
      </c>
      <c r="J58" s="431">
        <v>150000</v>
      </c>
      <c r="K58" s="431">
        <v>801260</v>
      </c>
      <c r="L58" s="431">
        <v>0</v>
      </c>
      <c r="M58" s="431">
        <v>1918467</v>
      </c>
      <c r="N58" s="431">
        <v>0</v>
      </c>
      <c r="O58" s="431">
        <v>65858</v>
      </c>
      <c r="P58" s="432">
        <f t="shared" si="2"/>
        <v>7508517</v>
      </c>
      <c r="Q58" s="431">
        <v>3050014</v>
      </c>
      <c r="R58" s="431">
        <v>1302259</v>
      </c>
      <c r="S58" s="431">
        <v>0</v>
      </c>
      <c r="T58" s="431">
        <v>0</v>
      </c>
      <c r="U58" s="431">
        <v>0</v>
      </c>
      <c r="V58" s="431">
        <v>0</v>
      </c>
      <c r="W58" s="431">
        <v>0</v>
      </c>
      <c r="X58" s="431">
        <v>460714</v>
      </c>
      <c r="Y58" s="431">
        <v>99019</v>
      </c>
      <c r="Z58" s="431">
        <v>2596511</v>
      </c>
      <c r="AA58" s="431">
        <v>0</v>
      </c>
      <c r="AB58" s="431">
        <v>0</v>
      </c>
      <c r="AC58" s="431">
        <v>802435</v>
      </c>
      <c r="AD58" s="431">
        <v>430578</v>
      </c>
      <c r="AE58" s="431">
        <v>2869403</v>
      </c>
      <c r="AF58" s="431">
        <v>23991</v>
      </c>
      <c r="AG58" s="431">
        <v>393084</v>
      </c>
      <c r="AH58" s="431">
        <v>507301</v>
      </c>
      <c r="AI58" s="431">
        <v>95399</v>
      </c>
      <c r="AJ58" s="431">
        <v>25000</v>
      </c>
      <c r="AK58" s="431">
        <v>0</v>
      </c>
      <c r="AL58" s="431">
        <v>2361326</v>
      </c>
      <c r="AM58" s="431">
        <v>0</v>
      </c>
    </row>
    <row r="59" spans="1:39" s="155" customFormat="1" ht="12" x14ac:dyDescent="0.2">
      <c r="A59" s="168">
        <v>5</v>
      </c>
      <c r="B59" s="535">
        <v>45101</v>
      </c>
      <c r="C59" s="268" t="s">
        <v>2674</v>
      </c>
      <c r="D59" s="432">
        <f t="shared" si="8"/>
        <v>10012038</v>
      </c>
      <c r="E59" s="431">
        <v>3456808</v>
      </c>
      <c r="F59" s="431">
        <v>1415763</v>
      </c>
      <c r="G59" s="431">
        <v>374260</v>
      </c>
      <c r="H59" s="431">
        <v>0</v>
      </c>
      <c r="I59" s="431">
        <v>4905319</v>
      </c>
      <c r="J59" s="431">
        <v>200000</v>
      </c>
      <c r="K59" s="431">
        <v>781670</v>
      </c>
      <c r="L59" s="431">
        <v>0</v>
      </c>
      <c r="M59" s="431">
        <v>158790</v>
      </c>
      <c r="N59" s="431">
        <v>509451</v>
      </c>
      <c r="O59" s="431">
        <v>0</v>
      </c>
      <c r="P59" s="432">
        <f t="shared" si="2"/>
        <v>12199651</v>
      </c>
      <c r="Q59" s="431">
        <v>5554085</v>
      </c>
      <c r="R59" s="431">
        <v>2976859</v>
      </c>
      <c r="S59" s="431">
        <v>0</v>
      </c>
      <c r="T59" s="431">
        <v>0</v>
      </c>
      <c r="U59" s="431">
        <v>90000</v>
      </c>
      <c r="V59" s="431">
        <v>40000</v>
      </c>
      <c r="W59" s="431">
        <v>587851</v>
      </c>
      <c r="X59" s="431">
        <v>343119</v>
      </c>
      <c r="Y59" s="431">
        <v>38927</v>
      </c>
      <c r="Z59" s="431">
        <v>2568810</v>
      </c>
      <c r="AA59" s="431">
        <v>0</v>
      </c>
      <c r="AB59" s="431">
        <v>0</v>
      </c>
      <c r="AC59" s="431">
        <v>1457917</v>
      </c>
      <c r="AD59" s="431">
        <v>26109</v>
      </c>
      <c r="AE59" s="431">
        <v>4436430</v>
      </c>
      <c r="AF59" s="431">
        <v>28981</v>
      </c>
      <c r="AG59" s="431">
        <v>468259</v>
      </c>
      <c r="AH59" s="431">
        <v>762553</v>
      </c>
      <c r="AI59" s="431">
        <v>884750</v>
      </c>
      <c r="AJ59" s="431">
        <v>507201</v>
      </c>
      <c r="AK59" s="431">
        <v>0</v>
      </c>
      <c r="AL59" s="431">
        <v>3587451</v>
      </c>
      <c r="AM59" s="431">
        <v>40000</v>
      </c>
    </row>
    <row r="60" spans="1:39" s="155" customFormat="1" ht="12" x14ac:dyDescent="0.2">
      <c r="A60" s="168">
        <v>6</v>
      </c>
      <c r="B60" s="535">
        <v>45245</v>
      </c>
      <c r="C60" s="268" t="s">
        <v>2675</v>
      </c>
      <c r="D60" s="432">
        <f t="shared" si="8"/>
        <v>6286495</v>
      </c>
      <c r="E60" s="431">
        <v>702334</v>
      </c>
      <c r="F60" s="431">
        <v>123820</v>
      </c>
      <c r="G60" s="431">
        <v>381620</v>
      </c>
      <c r="H60" s="431">
        <v>0</v>
      </c>
      <c r="I60" s="431">
        <v>2256875</v>
      </c>
      <c r="J60" s="431">
        <v>200000</v>
      </c>
      <c r="K60" s="431">
        <v>1054650</v>
      </c>
      <c r="L60" s="431">
        <v>0</v>
      </c>
      <c r="M60" s="431">
        <v>890912</v>
      </c>
      <c r="N60" s="431">
        <v>1181724</v>
      </c>
      <c r="O60" s="431">
        <v>0</v>
      </c>
      <c r="P60" s="432">
        <f t="shared" si="2"/>
        <v>6789285</v>
      </c>
      <c r="Q60" s="431">
        <v>2513087</v>
      </c>
      <c r="R60" s="431">
        <v>754982</v>
      </c>
      <c r="S60" s="431">
        <v>0</v>
      </c>
      <c r="T60" s="431">
        <v>0</v>
      </c>
      <c r="U60" s="431">
        <v>0</v>
      </c>
      <c r="V60" s="431">
        <v>0</v>
      </c>
      <c r="W60" s="431">
        <v>3159229</v>
      </c>
      <c r="X60" s="431">
        <v>313087</v>
      </c>
      <c r="Y60" s="431">
        <v>0</v>
      </c>
      <c r="Z60" s="431">
        <v>48900</v>
      </c>
      <c r="AA60" s="431">
        <v>0</v>
      </c>
      <c r="AB60" s="431">
        <v>0</v>
      </c>
      <c r="AC60" s="431">
        <v>726744</v>
      </c>
      <c r="AD60" s="431">
        <v>489</v>
      </c>
      <c r="AE60" s="431">
        <v>2340878</v>
      </c>
      <c r="AF60" s="431">
        <v>22908</v>
      </c>
      <c r="AG60" s="431">
        <v>6996</v>
      </c>
      <c r="AH60" s="431">
        <v>656977</v>
      </c>
      <c r="AI60" s="431">
        <v>348749</v>
      </c>
      <c r="AJ60" s="431">
        <v>0</v>
      </c>
      <c r="AK60" s="431">
        <v>0</v>
      </c>
      <c r="AL60" s="431">
        <v>2685544</v>
      </c>
      <c r="AM60" s="431">
        <v>0</v>
      </c>
    </row>
    <row r="61" spans="1:39" s="155" customFormat="1" ht="12" x14ac:dyDescent="0.2">
      <c r="A61" s="168">
        <v>7</v>
      </c>
      <c r="B61" s="535">
        <v>45334</v>
      </c>
      <c r="C61" s="268" t="s">
        <v>2676</v>
      </c>
      <c r="D61" s="432">
        <f t="shared" si="8"/>
        <v>3329741</v>
      </c>
      <c r="E61" s="431">
        <v>614971</v>
      </c>
      <c r="F61" s="431">
        <v>46094</v>
      </c>
      <c r="G61" s="431">
        <v>422507</v>
      </c>
      <c r="H61" s="431">
        <v>0</v>
      </c>
      <c r="I61" s="431">
        <v>619639</v>
      </c>
      <c r="J61" s="431">
        <v>150000</v>
      </c>
      <c r="K61" s="431">
        <v>1033960</v>
      </c>
      <c r="L61" s="431">
        <v>0</v>
      </c>
      <c r="M61" s="431">
        <v>480818</v>
      </c>
      <c r="N61" s="431">
        <v>416669</v>
      </c>
      <c r="O61" s="431">
        <v>13684</v>
      </c>
      <c r="P61" s="432">
        <f t="shared" si="2"/>
        <v>2792564</v>
      </c>
      <c r="Q61" s="431">
        <v>770155</v>
      </c>
      <c r="R61" s="431">
        <v>257927</v>
      </c>
      <c r="S61" s="431">
        <v>0</v>
      </c>
      <c r="T61" s="431">
        <v>0</v>
      </c>
      <c r="U61" s="431">
        <v>0</v>
      </c>
      <c r="V61" s="431">
        <v>0</v>
      </c>
      <c r="W61" s="431">
        <v>561519</v>
      </c>
      <c r="X61" s="431">
        <v>150204</v>
      </c>
      <c r="Y61" s="431">
        <v>0</v>
      </c>
      <c r="Z61" s="431">
        <v>1052759</v>
      </c>
      <c r="AA61" s="431">
        <v>0</v>
      </c>
      <c r="AB61" s="431">
        <v>0</v>
      </c>
      <c r="AC61" s="431">
        <v>384151</v>
      </c>
      <c r="AD61" s="431">
        <v>0</v>
      </c>
      <c r="AE61" s="431">
        <v>494812</v>
      </c>
      <c r="AF61" s="431">
        <v>0</v>
      </c>
      <c r="AG61" s="431">
        <v>34248</v>
      </c>
      <c r="AH61" s="431">
        <v>172531</v>
      </c>
      <c r="AI61" s="431">
        <v>939315</v>
      </c>
      <c r="AJ61" s="431">
        <v>0</v>
      </c>
      <c r="AK61" s="431">
        <v>0</v>
      </c>
      <c r="AL61" s="431">
        <v>767507</v>
      </c>
      <c r="AM61" s="431">
        <v>0</v>
      </c>
    </row>
    <row r="62" spans="1:39" s="155" customFormat="1" ht="12" x14ac:dyDescent="0.2">
      <c r="A62" s="168">
        <v>8</v>
      </c>
      <c r="B62" s="535">
        <v>45361</v>
      </c>
      <c r="C62" s="268" t="s">
        <v>2677</v>
      </c>
      <c r="D62" s="432">
        <f t="shared" si="8"/>
        <v>3230334</v>
      </c>
      <c r="E62" s="431">
        <v>1347499</v>
      </c>
      <c r="F62" s="431">
        <v>523032</v>
      </c>
      <c r="G62" s="431">
        <v>228777</v>
      </c>
      <c r="H62" s="431">
        <v>0</v>
      </c>
      <c r="I62" s="431">
        <v>934000</v>
      </c>
      <c r="J62" s="431">
        <v>150000</v>
      </c>
      <c r="K62" s="431">
        <v>647630</v>
      </c>
      <c r="L62" s="431">
        <v>0</v>
      </c>
      <c r="M62" s="431">
        <v>147705</v>
      </c>
      <c r="N62" s="431">
        <v>0</v>
      </c>
      <c r="O62" s="431">
        <v>3500</v>
      </c>
      <c r="P62" s="432">
        <f t="shared" si="2"/>
        <v>2716413</v>
      </c>
      <c r="Q62" s="431">
        <v>1110582</v>
      </c>
      <c r="R62" s="431">
        <v>460583</v>
      </c>
      <c r="S62" s="431">
        <v>0</v>
      </c>
      <c r="T62" s="431">
        <v>0</v>
      </c>
      <c r="U62" s="431">
        <v>0</v>
      </c>
      <c r="V62" s="431">
        <v>0</v>
      </c>
      <c r="W62" s="431">
        <v>0</v>
      </c>
      <c r="X62" s="431">
        <v>201620</v>
      </c>
      <c r="Y62" s="431">
        <v>34246</v>
      </c>
      <c r="Z62" s="431">
        <v>909382</v>
      </c>
      <c r="AA62" s="431">
        <v>0</v>
      </c>
      <c r="AB62" s="431">
        <v>0</v>
      </c>
      <c r="AC62" s="431">
        <v>541832</v>
      </c>
      <c r="AD62" s="431">
        <v>0</v>
      </c>
      <c r="AE62" s="431">
        <v>816792</v>
      </c>
      <c r="AF62" s="431">
        <v>0</v>
      </c>
      <c r="AG62" s="431">
        <v>109927</v>
      </c>
      <c r="AH62" s="431">
        <v>201620</v>
      </c>
      <c r="AI62" s="431">
        <v>136523</v>
      </c>
      <c r="AJ62" s="431">
        <v>25520</v>
      </c>
      <c r="AK62" s="431">
        <v>0</v>
      </c>
      <c r="AL62" s="431">
        <v>850072</v>
      </c>
      <c r="AM62" s="431">
        <v>34127</v>
      </c>
    </row>
    <row r="63" spans="1:39" s="155" customFormat="1" ht="12" x14ac:dyDescent="0.2">
      <c r="A63" s="168">
        <v>9</v>
      </c>
      <c r="B63" s="535">
        <v>45389</v>
      </c>
      <c r="C63" s="268" t="s">
        <v>2678</v>
      </c>
      <c r="D63" s="432">
        <f t="shared" si="8"/>
        <v>3286033</v>
      </c>
      <c r="E63" s="431">
        <v>622999</v>
      </c>
      <c r="F63" s="431">
        <v>59932</v>
      </c>
      <c r="G63" s="431">
        <v>426402</v>
      </c>
      <c r="H63" s="431">
        <v>0</v>
      </c>
      <c r="I63" s="431">
        <v>760000</v>
      </c>
      <c r="J63" s="431">
        <v>150000</v>
      </c>
      <c r="K63" s="431">
        <v>1046530</v>
      </c>
      <c r="L63" s="431">
        <v>0</v>
      </c>
      <c r="M63" s="431">
        <v>238618</v>
      </c>
      <c r="N63" s="431">
        <v>464386</v>
      </c>
      <c r="O63" s="431">
        <v>3500</v>
      </c>
      <c r="P63" s="432">
        <f t="shared" si="2"/>
        <v>2676336</v>
      </c>
      <c r="Q63" s="431">
        <v>1109879</v>
      </c>
      <c r="R63" s="431">
        <v>551482</v>
      </c>
      <c r="S63" s="431">
        <v>0</v>
      </c>
      <c r="T63" s="431">
        <v>0</v>
      </c>
      <c r="U63" s="431">
        <v>0</v>
      </c>
      <c r="V63" s="431">
        <v>0</v>
      </c>
      <c r="W63" s="431">
        <v>486253</v>
      </c>
      <c r="X63" s="431">
        <v>160611</v>
      </c>
      <c r="Y63" s="431">
        <v>28300</v>
      </c>
      <c r="Z63" s="431">
        <v>339811</v>
      </c>
      <c r="AA63" s="431">
        <v>0</v>
      </c>
      <c r="AB63" s="431">
        <v>0</v>
      </c>
      <c r="AC63" s="431">
        <v>557992</v>
      </c>
      <c r="AD63" s="431">
        <v>0</v>
      </c>
      <c r="AE63" s="431">
        <v>667302</v>
      </c>
      <c r="AF63" s="431">
        <v>82458</v>
      </c>
      <c r="AG63" s="431">
        <v>137405</v>
      </c>
      <c r="AH63" s="431">
        <v>220087</v>
      </c>
      <c r="AI63" s="431">
        <v>692369</v>
      </c>
      <c r="AJ63" s="431">
        <v>0</v>
      </c>
      <c r="AK63" s="431">
        <v>0</v>
      </c>
      <c r="AL63" s="431">
        <v>270135</v>
      </c>
      <c r="AM63" s="431">
        <v>48588</v>
      </c>
    </row>
    <row r="64" spans="1:39" s="155" customFormat="1" ht="12" x14ac:dyDescent="0.2">
      <c r="A64" s="168">
        <v>10</v>
      </c>
      <c r="B64" s="535">
        <v>45496</v>
      </c>
      <c r="C64" s="268" t="s">
        <v>2679</v>
      </c>
      <c r="D64" s="432">
        <f t="shared" si="8"/>
        <v>3919343</v>
      </c>
      <c r="E64" s="431">
        <v>1010940</v>
      </c>
      <c r="F64" s="431">
        <v>182538</v>
      </c>
      <c r="G64" s="431">
        <v>313473</v>
      </c>
      <c r="H64" s="431">
        <v>0</v>
      </c>
      <c r="I64" s="431">
        <v>1490000</v>
      </c>
      <c r="J64" s="431">
        <v>150000</v>
      </c>
      <c r="K64" s="431">
        <v>885800</v>
      </c>
      <c r="L64" s="431">
        <v>0</v>
      </c>
      <c r="M64" s="431">
        <v>66893</v>
      </c>
      <c r="N64" s="431">
        <v>315710</v>
      </c>
      <c r="O64" s="431">
        <v>0</v>
      </c>
      <c r="P64" s="432">
        <f t="shared" si="2"/>
        <v>3739145</v>
      </c>
      <c r="Q64" s="431">
        <v>1551405</v>
      </c>
      <c r="R64" s="431">
        <v>752610</v>
      </c>
      <c r="S64" s="431">
        <v>0</v>
      </c>
      <c r="T64" s="431">
        <v>0</v>
      </c>
      <c r="U64" s="431">
        <v>0</v>
      </c>
      <c r="V64" s="431">
        <v>0</v>
      </c>
      <c r="W64" s="431">
        <v>405754</v>
      </c>
      <c r="X64" s="431">
        <v>321729</v>
      </c>
      <c r="Y64" s="431">
        <v>0</v>
      </c>
      <c r="Z64" s="431">
        <v>707647</v>
      </c>
      <c r="AA64" s="431">
        <v>0</v>
      </c>
      <c r="AB64" s="431">
        <v>0</v>
      </c>
      <c r="AC64" s="431">
        <v>436779</v>
      </c>
      <c r="AD64" s="431">
        <v>81330</v>
      </c>
      <c r="AE64" s="431">
        <v>1282782</v>
      </c>
      <c r="AF64" s="431">
        <v>0</v>
      </c>
      <c r="AG64" s="431">
        <v>103699</v>
      </c>
      <c r="AH64" s="431">
        <v>487684</v>
      </c>
      <c r="AI64" s="431">
        <v>1173359</v>
      </c>
      <c r="AJ64" s="431">
        <v>0</v>
      </c>
      <c r="AK64" s="431">
        <v>0</v>
      </c>
      <c r="AL64" s="431">
        <v>173512</v>
      </c>
      <c r="AM64" s="431">
        <v>0</v>
      </c>
    </row>
    <row r="65" spans="1:39" s="155" customFormat="1" ht="12" x14ac:dyDescent="0.2">
      <c r="A65" s="168">
        <v>11</v>
      </c>
      <c r="B65" s="535">
        <v>45539</v>
      </c>
      <c r="C65" s="268" t="s">
        <v>2680</v>
      </c>
      <c r="D65" s="432">
        <f t="shared" si="8"/>
        <v>3615059</v>
      </c>
      <c r="E65" s="431">
        <v>675339</v>
      </c>
      <c r="F65" s="431">
        <v>106816</v>
      </c>
      <c r="G65" s="431">
        <v>376752</v>
      </c>
      <c r="H65" s="431">
        <v>0</v>
      </c>
      <c r="I65" s="431">
        <v>1417057</v>
      </c>
      <c r="J65" s="431">
        <v>250000</v>
      </c>
      <c r="K65" s="431">
        <v>1044570</v>
      </c>
      <c r="L65" s="431">
        <v>0</v>
      </c>
      <c r="M65" s="431">
        <v>200142</v>
      </c>
      <c r="N65" s="431">
        <v>0</v>
      </c>
      <c r="O65" s="431">
        <v>27951</v>
      </c>
      <c r="P65" s="432">
        <f t="shared" si="2"/>
        <v>3415801</v>
      </c>
      <c r="Q65" s="431">
        <v>1593460</v>
      </c>
      <c r="R65" s="431">
        <v>729786</v>
      </c>
      <c r="S65" s="431">
        <v>0</v>
      </c>
      <c r="T65" s="431">
        <v>0</v>
      </c>
      <c r="U65" s="431">
        <v>0</v>
      </c>
      <c r="V65" s="431">
        <v>0</v>
      </c>
      <c r="W65" s="431">
        <v>0</v>
      </c>
      <c r="X65" s="431">
        <v>257748</v>
      </c>
      <c r="Y65" s="431">
        <v>49952</v>
      </c>
      <c r="Z65" s="431">
        <v>784855</v>
      </c>
      <c r="AA65" s="431">
        <v>0</v>
      </c>
      <c r="AB65" s="431">
        <v>0</v>
      </c>
      <c r="AC65" s="431">
        <v>729502</v>
      </c>
      <c r="AD65" s="431">
        <v>13727</v>
      </c>
      <c r="AE65" s="431">
        <v>1297893</v>
      </c>
      <c r="AF65" s="431">
        <v>0</v>
      </c>
      <c r="AG65" s="431">
        <v>645287</v>
      </c>
      <c r="AH65" s="431">
        <v>257748</v>
      </c>
      <c r="AI65" s="431">
        <v>196769</v>
      </c>
      <c r="AJ65" s="431">
        <v>0</v>
      </c>
      <c r="AK65" s="431">
        <v>0</v>
      </c>
      <c r="AL65" s="431">
        <v>246924</v>
      </c>
      <c r="AM65" s="431">
        <v>27951</v>
      </c>
    </row>
    <row r="66" spans="1:39" s="155" customFormat="1" ht="12" x14ac:dyDescent="0.2">
      <c r="A66" s="168">
        <v>12</v>
      </c>
      <c r="B66" s="535">
        <v>45619</v>
      </c>
      <c r="C66" s="268" t="s">
        <v>1803</v>
      </c>
      <c r="D66" s="432">
        <f t="shared" si="8"/>
        <v>3848947</v>
      </c>
      <c r="E66" s="431">
        <v>1046983</v>
      </c>
      <c r="F66" s="431">
        <v>111213</v>
      </c>
      <c r="G66" s="431">
        <v>298871</v>
      </c>
      <c r="H66" s="431">
        <v>0</v>
      </c>
      <c r="I66" s="431">
        <v>923537</v>
      </c>
      <c r="J66" s="431">
        <v>150000</v>
      </c>
      <c r="K66" s="431">
        <v>762940</v>
      </c>
      <c r="L66" s="431">
        <v>0</v>
      </c>
      <c r="M66" s="431">
        <v>312423</v>
      </c>
      <c r="N66" s="431">
        <v>653064</v>
      </c>
      <c r="O66" s="431">
        <v>0</v>
      </c>
      <c r="P66" s="432">
        <f t="shared" si="2"/>
        <v>3244904</v>
      </c>
      <c r="Q66" s="431">
        <v>1074861</v>
      </c>
      <c r="R66" s="431">
        <v>755657</v>
      </c>
      <c r="S66" s="431">
        <v>0</v>
      </c>
      <c r="T66" s="431">
        <v>0</v>
      </c>
      <c r="U66" s="431">
        <v>0</v>
      </c>
      <c r="V66" s="431">
        <v>0</v>
      </c>
      <c r="W66" s="431">
        <v>644004</v>
      </c>
      <c r="X66" s="431">
        <v>221581</v>
      </c>
      <c r="Y66" s="431">
        <v>0</v>
      </c>
      <c r="Z66" s="431">
        <v>548801</v>
      </c>
      <c r="AA66" s="431">
        <v>0</v>
      </c>
      <c r="AB66" s="431">
        <v>0</v>
      </c>
      <c r="AC66" s="431">
        <v>659525</v>
      </c>
      <c r="AD66" s="431">
        <v>0</v>
      </c>
      <c r="AE66" s="431">
        <v>840111</v>
      </c>
      <c r="AF66" s="431">
        <v>23115</v>
      </c>
      <c r="AG66" s="431">
        <v>0</v>
      </c>
      <c r="AH66" s="431">
        <v>221581</v>
      </c>
      <c r="AI66" s="431">
        <v>362119</v>
      </c>
      <c r="AJ66" s="431">
        <v>227234</v>
      </c>
      <c r="AK66" s="431">
        <v>0</v>
      </c>
      <c r="AL66" s="431">
        <v>911219</v>
      </c>
      <c r="AM66" s="431">
        <v>0</v>
      </c>
    </row>
    <row r="67" spans="1:39" s="155" customFormat="1" ht="12" x14ac:dyDescent="0.2">
      <c r="A67" s="168">
        <v>13</v>
      </c>
      <c r="B67" s="535">
        <v>45673</v>
      </c>
      <c r="C67" s="268" t="s">
        <v>2681</v>
      </c>
      <c r="D67" s="432">
        <f t="shared" si="8"/>
        <v>3963306</v>
      </c>
      <c r="E67" s="431">
        <v>715383</v>
      </c>
      <c r="F67" s="431">
        <v>93200</v>
      </c>
      <c r="G67" s="431">
        <v>350467</v>
      </c>
      <c r="H67" s="431">
        <v>0</v>
      </c>
      <c r="I67" s="431">
        <v>1321952</v>
      </c>
      <c r="J67" s="431">
        <v>200000</v>
      </c>
      <c r="K67" s="431">
        <v>961900</v>
      </c>
      <c r="L67" s="431">
        <v>0</v>
      </c>
      <c r="M67" s="431">
        <v>235570</v>
      </c>
      <c r="N67" s="431">
        <v>528501</v>
      </c>
      <c r="O67" s="431">
        <v>0</v>
      </c>
      <c r="P67" s="432">
        <f t="shared" si="2"/>
        <v>3923248</v>
      </c>
      <c r="Q67" s="431">
        <v>1609511</v>
      </c>
      <c r="R67" s="431">
        <v>393058</v>
      </c>
      <c r="S67" s="431">
        <v>15000</v>
      </c>
      <c r="T67" s="431">
        <v>0</v>
      </c>
      <c r="U67" s="431">
        <v>0</v>
      </c>
      <c r="V67" s="431">
        <v>0</v>
      </c>
      <c r="W67" s="431">
        <v>6500</v>
      </c>
      <c r="X67" s="431">
        <v>256867</v>
      </c>
      <c r="Y67" s="431">
        <v>0</v>
      </c>
      <c r="Z67" s="431">
        <v>961540</v>
      </c>
      <c r="AA67" s="431">
        <v>680772</v>
      </c>
      <c r="AB67" s="431">
        <v>0</v>
      </c>
      <c r="AC67" s="431">
        <v>812280</v>
      </c>
      <c r="AD67" s="431">
        <v>10010</v>
      </c>
      <c r="AE67" s="431">
        <v>1173952</v>
      </c>
      <c r="AF67" s="431">
        <v>38420</v>
      </c>
      <c r="AG67" s="431">
        <v>15517</v>
      </c>
      <c r="AH67" s="431">
        <v>256867</v>
      </c>
      <c r="AI67" s="431">
        <v>43601</v>
      </c>
      <c r="AJ67" s="431">
        <v>316678</v>
      </c>
      <c r="AK67" s="431">
        <v>0</v>
      </c>
      <c r="AL67" s="431">
        <v>1255923</v>
      </c>
      <c r="AM67" s="431">
        <v>0</v>
      </c>
    </row>
    <row r="68" spans="1:39" s="155" customFormat="1" ht="12" x14ac:dyDescent="0.2">
      <c r="A68" s="168">
        <v>14</v>
      </c>
      <c r="B68" s="535">
        <v>45888</v>
      </c>
      <c r="C68" s="268" t="s">
        <v>2682</v>
      </c>
      <c r="D68" s="432">
        <f t="shared" si="8"/>
        <v>2478147</v>
      </c>
      <c r="E68" s="431">
        <v>612827</v>
      </c>
      <c r="F68" s="431">
        <v>84979</v>
      </c>
      <c r="G68" s="431">
        <v>417640</v>
      </c>
      <c r="H68" s="431">
        <v>0</v>
      </c>
      <c r="I68" s="431">
        <v>667023</v>
      </c>
      <c r="J68" s="431">
        <v>150000</v>
      </c>
      <c r="K68" s="431">
        <v>1015150</v>
      </c>
      <c r="L68" s="431">
        <v>0</v>
      </c>
      <c r="M68" s="431">
        <v>33147</v>
      </c>
      <c r="N68" s="431">
        <v>0</v>
      </c>
      <c r="O68" s="431">
        <v>0</v>
      </c>
      <c r="P68" s="432">
        <f t="shared" si="2"/>
        <v>2473772</v>
      </c>
      <c r="Q68" s="431">
        <v>962986</v>
      </c>
      <c r="R68" s="431">
        <v>940184</v>
      </c>
      <c r="S68" s="431">
        <v>0</v>
      </c>
      <c r="T68" s="431">
        <v>0</v>
      </c>
      <c r="U68" s="431">
        <v>0</v>
      </c>
      <c r="V68" s="431">
        <v>0</v>
      </c>
      <c r="W68" s="431">
        <v>0</v>
      </c>
      <c r="X68" s="431">
        <v>75283</v>
      </c>
      <c r="Y68" s="431">
        <v>0</v>
      </c>
      <c r="Z68" s="431">
        <v>495319</v>
      </c>
      <c r="AA68" s="431">
        <v>0</v>
      </c>
      <c r="AB68" s="431">
        <v>0</v>
      </c>
      <c r="AC68" s="431">
        <v>641435</v>
      </c>
      <c r="AD68" s="431">
        <v>0</v>
      </c>
      <c r="AE68" s="431">
        <v>852868</v>
      </c>
      <c r="AF68" s="431">
        <v>23048</v>
      </c>
      <c r="AG68" s="431">
        <v>86000</v>
      </c>
      <c r="AH68" s="431">
        <v>148784</v>
      </c>
      <c r="AI68" s="431">
        <v>77373</v>
      </c>
      <c r="AJ68" s="431">
        <v>0</v>
      </c>
      <c r="AK68" s="431">
        <v>0</v>
      </c>
      <c r="AL68" s="431">
        <v>624264</v>
      </c>
      <c r="AM68" s="431">
        <v>20000</v>
      </c>
    </row>
    <row r="69" spans="1:39" s="155" customFormat="1" ht="12" x14ac:dyDescent="0.2">
      <c r="A69" s="168">
        <v>15</v>
      </c>
      <c r="B69" s="535">
        <v>45753</v>
      </c>
      <c r="C69" s="268" t="s">
        <v>2683</v>
      </c>
      <c r="D69" s="432">
        <f t="shared" si="8"/>
        <v>5024722</v>
      </c>
      <c r="E69" s="431">
        <v>887532</v>
      </c>
      <c r="F69" s="431">
        <v>149744</v>
      </c>
      <c r="G69" s="431">
        <v>329050</v>
      </c>
      <c r="H69" s="431">
        <v>0</v>
      </c>
      <c r="I69" s="431">
        <v>2321000</v>
      </c>
      <c r="J69" s="431">
        <v>150000</v>
      </c>
      <c r="K69" s="431">
        <v>904550</v>
      </c>
      <c r="L69" s="431">
        <v>0</v>
      </c>
      <c r="M69" s="431">
        <v>278470</v>
      </c>
      <c r="N69" s="431">
        <v>465570</v>
      </c>
      <c r="O69" s="431">
        <v>17600</v>
      </c>
      <c r="P69" s="432">
        <f t="shared" si="2"/>
        <v>5123416</v>
      </c>
      <c r="Q69" s="431">
        <v>2362615</v>
      </c>
      <c r="R69" s="431">
        <v>1243453</v>
      </c>
      <c r="S69" s="431">
        <v>0</v>
      </c>
      <c r="T69" s="431">
        <v>0</v>
      </c>
      <c r="U69" s="431">
        <v>0</v>
      </c>
      <c r="V69" s="431">
        <v>0</v>
      </c>
      <c r="W69" s="431">
        <v>692503</v>
      </c>
      <c r="X69" s="431">
        <v>469684</v>
      </c>
      <c r="Y69" s="431">
        <v>80258</v>
      </c>
      <c r="Z69" s="431">
        <v>319997</v>
      </c>
      <c r="AA69" s="431">
        <v>0</v>
      </c>
      <c r="AB69" s="431">
        <v>-45094</v>
      </c>
      <c r="AC69" s="431">
        <v>910513</v>
      </c>
      <c r="AD69" s="431">
        <v>7378</v>
      </c>
      <c r="AE69" s="431">
        <v>1896354</v>
      </c>
      <c r="AF69" s="431">
        <v>30692</v>
      </c>
      <c r="AG69" s="431">
        <v>72482</v>
      </c>
      <c r="AH69" s="431">
        <v>593664</v>
      </c>
      <c r="AI69" s="431">
        <v>338896</v>
      </c>
      <c r="AJ69" s="431">
        <v>114339</v>
      </c>
      <c r="AK69" s="431">
        <v>0</v>
      </c>
      <c r="AL69" s="431">
        <v>1159098</v>
      </c>
      <c r="AM69" s="431">
        <v>0</v>
      </c>
    </row>
    <row r="70" spans="1:39" s="155" customFormat="1" ht="12" x14ac:dyDescent="0.2">
      <c r="A70" s="168">
        <v>16</v>
      </c>
      <c r="B70" s="535">
        <v>45815</v>
      </c>
      <c r="C70" s="268" t="s">
        <v>2684</v>
      </c>
      <c r="D70" s="432">
        <f t="shared" si="8"/>
        <v>15428957</v>
      </c>
      <c r="E70" s="431">
        <v>1737747</v>
      </c>
      <c r="F70" s="431">
        <v>301093</v>
      </c>
      <c r="G70" s="431">
        <v>354965</v>
      </c>
      <c r="H70" s="431">
        <v>0</v>
      </c>
      <c r="I70" s="431">
        <v>1748160</v>
      </c>
      <c r="J70" s="431">
        <v>150000</v>
      </c>
      <c r="K70" s="431">
        <v>788540</v>
      </c>
      <c r="L70" s="431">
        <v>0</v>
      </c>
      <c r="M70" s="431">
        <v>10959971</v>
      </c>
      <c r="N70" s="431">
        <v>0</v>
      </c>
      <c r="O70" s="431">
        <v>44539</v>
      </c>
      <c r="P70" s="432">
        <f t="shared" si="2"/>
        <v>15550217</v>
      </c>
      <c r="Q70" s="431">
        <v>1934717</v>
      </c>
      <c r="R70" s="431">
        <v>1545339</v>
      </c>
      <c r="S70" s="431">
        <v>0</v>
      </c>
      <c r="T70" s="431">
        <v>0</v>
      </c>
      <c r="U70" s="431">
        <v>0</v>
      </c>
      <c r="V70" s="431">
        <v>0</v>
      </c>
      <c r="W70" s="431">
        <v>0</v>
      </c>
      <c r="X70" s="431">
        <v>339272</v>
      </c>
      <c r="Y70" s="431">
        <v>24633</v>
      </c>
      <c r="Z70" s="431">
        <v>11784338</v>
      </c>
      <c r="AA70" s="431">
        <v>0</v>
      </c>
      <c r="AB70" s="431">
        <v>-78082</v>
      </c>
      <c r="AC70" s="431">
        <v>1033079</v>
      </c>
      <c r="AD70" s="431">
        <v>3000</v>
      </c>
      <c r="AE70" s="431">
        <v>1371160</v>
      </c>
      <c r="AF70" s="431">
        <v>15998</v>
      </c>
      <c r="AG70" s="431">
        <v>103549</v>
      </c>
      <c r="AH70" s="431">
        <v>655013</v>
      </c>
      <c r="AI70" s="431">
        <v>75469</v>
      </c>
      <c r="AJ70" s="431">
        <v>8746255</v>
      </c>
      <c r="AK70" s="431">
        <v>0</v>
      </c>
      <c r="AL70" s="431">
        <v>3546694</v>
      </c>
      <c r="AM70" s="431">
        <v>0</v>
      </c>
    </row>
    <row r="71" spans="1:39" s="155" customFormat="1" ht="12" x14ac:dyDescent="0.2">
      <c r="A71" s="168">
        <v>17</v>
      </c>
      <c r="B71" s="535">
        <v>45959</v>
      </c>
      <c r="C71" s="268" t="s">
        <v>2685</v>
      </c>
      <c r="D71" s="432">
        <f t="shared" si="8"/>
        <v>4097445</v>
      </c>
      <c r="E71" s="431">
        <v>681782</v>
      </c>
      <c r="F71" s="431">
        <v>102212</v>
      </c>
      <c r="G71" s="431">
        <v>407905</v>
      </c>
      <c r="H71" s="431">
        <v>0</v>
      </c>
      <c r="I71" s="431">
        <v>1566000</v>
      </c>
      <c r="J71" s="431">
        <v>200000</v>
      </c>
      <c r="K71" s="431">
        <v>1076370</v>
      </c>
      <c r="L71" s="431">
        <v>0</v>
      </c>
      <c r="M71" s="431">
        <v>172435</v>
      </c>
      <c r="N71" s="431">
        <v>369348</v>
      </c>
      <c r="O71" s="431">
        <v>31510</v>
      </c>
      <c r="P71" s="432">
        <f t="shared" si="2"/>
        <v>3986042</v>
      </c>
      <c r="Q71" s="431">
        <v>1868248</v>
      </c>
      <c r="R71" s="431">
        <v>1339788</v>
      </c>
      <c r="S71" s="431">
        <v>0</v>
      </c>
      <c r="T71" s="431">
        <v>0</v>
      </c>
      <c r="U71" s="431">
        <v>0</v>
      </c>
      <c r="V71" s="431">
        <v>0</v>
      </c>
      <c r="W71" s="431">
        <v>634696</v>
      </c>
      <c r="X71" s="431">
        <v>145150</v>
      </c>
      <c r="Y71" s="431">
        <v>0</v>
      </c>
      <c r="Z71" s="431">
        <v>0</v>
      </c>
      <c r="AA71" s="431">
        <v>0</v>
      </c>
      <c r="AB71" s="431">
        <v>-1840</v>
      </c>
      <c r="AC71" s="431">
        <v>657011</v>
      </c>
      <c r="AD71" s="431">
        <v>367739</v>
      </c>
      <c r="AE71" s="431">
        <v>1290065</v>
      </c>
      <c r="AF71" s="431">
        <v>0</v>
      </c>
      <c r="AG71" s="431">
        <v>100983</v>
      </c>
      <c r="AH71" s="431">
        <v>417327</v>
      </c>
      <c r="AI71" s="431">
        <v>799347</v>
      </c>
      <c r="AJ71" s="431">
        <v>86348</v>
      </c>
      <c r="AK71" s="431">
        <v>0</v>
      </c>
      <c r="AL71" s="431">
        <v>267222</v>
      </c>
      <c r="AM71" s="431">
        <v>0</v>
      </c>
    </row>
    <row r="72" spans="1:39" s="155" customFormat="1" ht="12" x14ac:dyDescent="0.2">
      <c r="A72" s="168">
        <v>18</v>
      </c>
      <c r="B72" s="535">
        <v>46019</v>
      </c>
      <c r="C72" s="268" t="s">
        <v>1528</v>
      </c>
      <c r="D72" s="432">
        <f t="shared" si="8"/>
        <v>3760904</v>
      </c>
      <c r="E72" s="431">
        <v>1013770</v>
      </c>
      <c r="F72" s="431">
        <v>167301</v>
      </c>
      <c r="G72" s="431">
        <v>328076</v>
      </c>
      <c r="H72" s="431">
        <v>0</v>
      </c>
      <c r="I72" s="431">
        <v>1608275</v>
      </c>
      <c r="J72" s="431">
        <v>200000</v>
      </c>
      <c r="K72" s="431">
        <v>913490</v>
      </c>
      <c r="L72" s="431">
        <v>0</v>
      </c>
      <c r="M72" s="431">
        <v>25369</v>
      </c>
      <c r="N72" s="431">
        <v>0</v>
      </c>
      <c r="O72" s="431">
        <v>0</v>
      </c>
      <c r="P72" s="432">
        <f t="shared" si="2"/>
        <v>4418773</v>
      </c>
      <c r="Q72" s="431">
        <v>1870304</v>
      </c>
      <c r="R72" s="431">
        <v>1338453</v>
      </c>
      <c r="S72" s="431">
        <v>0</v>
      </c>
      <c r="T72" s="431">
        <v>0</v>
      </c>
      <c r="U72" s="431">
        <v>5000</v>
      </c>
      <c r="V72" s="431">
        <v>0</v>
      </c>
      <c r="W72" s="431">
        <v>0</v>
      </c>
      <c r="X72" s="431">
        <v>191240</v>
      </c>
      <c r="Y72" s="431">
        <v>15000</v>
      </c>
      <c r="Z72" s="431">
        <v>998776</v>
      </c>
      <c r="AA72" s="431">
        <v>0</v>
      </c>
      <c r="AB72" s="431">
        <v>0</v>
      </c>
      <c r="AC72" s="431">
        <v>915364</v>
      </c>
      <c r="AD72" s="431">
        <v>5000</v>
      </c>
      <c r="AE72" s="431">
        <v>1534673</v>
      </c>
      <c r="AF72" s="431">
        <v>22132</v>
      </c>
      <c r="AG72" s="431">
        <v>226123</v>
      </c>
      <c r="AH72" s="431">
        <v>419806</v>
      </c>
      <c r="AI72" s="431">
        <v>164282</v>
      </c>
      <c r="AJ72" s="431">
        <v>62000</v>
      </c>
      <c r="AK72" s="431">
        <v>0</v>
      </c>
      <c r="AL72" s="431">
        <v>1038262</v>
      </c>
      <c r="AM72" s="431">
        <v>31131</v>
      </c>
    </row>
    <row r="73" spans="1:39" s="155" customFormat="1" ht="12" x14ac:dyDescent="0.2">
      <c r="A73" s="168">
        <v>19</v>
      </c>
      <c r="B73" s="535">
        <v>46108</v>
      </c>
      <c r="C73" s="268" t="s">
        <v>2686</v>
      </c>
      <c r="D73" s="432">
        <f t="shared" si="8"/>
        <v>2194213</v>
      </c>
      <c r="E73" s="431">
        <v>556861</v>
      </c>
      <c r="F73" s="431">
        <v>28358</v>
      </c>
      <c r="G73" s="431">
        <v>436137</v>
      </c>
      <c r="H73" s="431">
        <v>0</v>
      </c>
      <c r="I73" s="431">
        <v>277677</v>
      </c>
      <c r="J73" s="431">
        <v>200000</v>
      </c>
      <c r="K73" s="431">
        <v>1061380</v>
      </c>
      <c r="L73" s="431">
        <v>0</v>
      </c>
      <c r="M73" s="431">
        <v>98295</v>
      </c>
      <c r="N73" s="431">
        <v>0</v>
      </c>
      <c r="O73" s="431">
        <v>0</v>
      </c>
      <c r="P73" s="432">
        <f t="shared" si="2"/>
        <v>2084969</v>
      </c>
      <c r="Q73" s="431">
        <v>578689</v>
      </c>
      <c r="R73" s="431">
        <v>1173589</v>
      </c>
      <c r="S73" s="431">
        <v>0</v>
      </c>
      <c r="T73" s="431">
        <v>0</v>
      </c>
      <c r="U73" s="431">
        <v>0</v>
      </c>
      <c r="V73" s="431">
        <v>54185</v>
      </c>
      <c r="W73" s="431">
        <v>0</v>
      </c>
      <c r="X73" s="431">
        <v>83693</v>
      </c>
      <c r="Y73" s="431">
        <v>24000</v>
      </c>
      <c r="Z73" s="431">
        <v>170813</v>
      </c>
      <c r="AA73" s="431">
        <v>0</v>
      </c>
      <c r="AB73" s="431">
        <v>0</v>
      </c>
      <c r="AC73" s="431">
        <v>665855</v>
      </c>
      <c r="AD73" s="431">
        <v>14702</v>
      </c>
      <c r="AE73" s="431">
        <v>382155</v>
      </c>
      <c r="AF73" s="431">
        <v>26011</v>
      </c>
      <c r="AG73" s="431">
        <v>106278</v>
      </c>
      <c r="AH73" s="431">
        <v>83693</v>
      </c>
      <c r="AI73" s="431">
        <v>112368</v>
      </c>
      <c r="AJ73" s="431">
        <v>0</v>
      </c>
      <c r="AK73" s="431">
        <v>0</v>
      </c>
      <c r="AL73" s="431">
        <v>693907</v>
      </c>
      <c r="AM73" s="431">
        <v>0</v>
      </c>
    </row>
    <row r="74" spans="1:39" s="155" customFormat="1" ht="12" x14ac:dyDescent="0.2">
      <c r="A74" s="168">
        <v>20</v>
      </c>
      <c r="B74" s="535">
        <v>46180</v>
      </c>
      <c r="C74" s="268" t="s">
        <v>2687</v>
      </c>
      <c r="D74" s="432">
        <f t="shared" si="8"/>
        <v>3922231</v>
      </c>
      <c r="E74" s="431">
        <v>943660</v>
      </c>
      <c r="F74" s="431">
        <v>202051</v>
      </c>
      <c r="G74" s="431">
        <v>299844</v>
      </c>
      <c r="H74" s="431">
        <v>0</v>
      </c>
      <c r="I74" s="431">
        <v>1834000</v>
      </c>
      <c r="J74" s="431">
        <v>200000</v>
      </c>
      <c r="K74" s="431">
        <v>928630</v>
      </c>
      <c r="L74" s="431">
        <v>0</v>
      </c>
      <c r="M74" s="431">
        <v>15941</v>
      </c>
      <c r="N74" s="431">
        <v>0</v>
      </c>
      <c r="O74" s="431">
        <v>0</v>
      </c>
      <c r="P74" s="432">
        <f t="shared" si="2"/>
        <v>3735178</v>
      </c>
      <c r="Q74" s="431">
        <v>1865883</v>
      </c>
      <c r="R74" s="431">
        <v>1427578</v>
      </c>
      <c r="S74" s="431">
        <v>0</v>
      </c>
      <c r="T74" s="431">
        <v>0</v>
      </c>
      <c r="U74" s="431">
        <v>0</v>
      </c>
      <c r="V74" s="431">
        <v>0</v>
      </c>
      <c r="W74" s="431">
        <v>0</v>
      </c>
      <c r="X74" s="431">
        <v>322709</v>
      </c>
      <c r="Y74" s="431">
        <v>0</v>
      </c>
      <c r="Z74" s="431">
        <v>119008</v>
      </c>
      <c r="AA74" s="431">
        <v>0</v>
      </c>
      <c r="AB74" s="431">
        <v>0</v>
      </c>
      <c r="AC74" s="431">
        <v>481098</v>
      </c>
      <c r="AD74" s="431">
        <v>991</v>
      </c>
      <c r="AE74" s="431">
        <v>1635583</v>
      </c>
      <c r="AF74" s="431">
        <v>0</v>
      </c>
      <c r="AG74" s="431">
        <v>250922</v>
      </c>
      <c r="AH74" s="431">
        <v>341907</v>
      </c>
      <c r="AI74" s="431">
        <v>383317</v>
      </c>
      <c r="AJ74" s="431">
        <v>0</v>
      </c>
      <c r="AK74" s="431">
        <v>0</v>
      </c>
      <c r="AL74" s="431">
        <v>623372</v>
      </c>
      <c r="AM74" s="431">
        <v>17988</v>
      </c>
    </row>
    <row r="75" spans="1:39" s="155" customFormat="1" ht="12" x14ac:dyDescent="0.2">
      <c r="A75" s="168">
        <v>21</v>
      </c>
      <c r="B75" s="535">
        <v>46251</v>
      </c>
      <c r="C75" s="268" t="s">
        <v>2688</v>
      </c>
      <c r="D75" s="432">
        <f t="shared" si="8"/>
        <v>3449289</v>
      </c>
      <c r="E75" s="431">
        <v>819007</v>
      </c>
      <c r="F75" s="431">
        <v>167732</v>
      </c>
      <c r="G75" s="431">
        <v>235592</v>
      </c>
      <c r="H75" s="431">
        <v>0</v>
      </c>
      <c r="I75" s="431">
        <v>782997</v>
      </c>
      <c r="J75" s="431">
        <v>200000</v>
      </c>
      <c r="K75" s="431">
        <v>656180</v>
      </c>
      <c r="L75" s="431">
        <v>0</v>
      </c>
      <c r="M75" s="431">
        <v>225401</v>
      </c>
      <c r="N75" s="431">
        <v>765704</v>
      </c>
      <c r="O75" s="431">
        <v>0</v>
      </c>
      <c r="P75" s="432">
        <f t="shared" si="2"/>
        <v>3345814</v>
      </c>
      <c r="Q75" s="431">
        <v>1209912</v>
      </c>
      <c r="R75" s="431">
        <v>764488</v>
      </c>
      <c r="S75" s="431">
        <v>0</v>
      </c>
      <c r="T75" s="431">
        <v>0</v>
      </c>
      <c r="U75" s="431">
        <v>0</v>
      </c>
      <c r="V75" s="431">
        <v>40000</v>
      </c>
      <c r="W75" s="431">
        <v>966865</v>
      </c>
      <c r="X75" s="431">
        <v>72093</v>
      </c>
      <c r="Y75" s="431">
        <v>0</v>
      </c>
      <c r="Z75" s="431">
        <v>297757</v>
      </c>
      <c r="AA75" s="431">
        <v>0</v>
      </c>
      <c r="AB75" s="431">
        <v>-5301</v>
      </c>
      <c r="AC75" s="431">
        <v>1058538</v>
      </c>
      <c r="AD75" s="431">
        <v>0</v>
      </c>
      <c r="AE75" s="431">
        <v>654087</v>
      </c>
      <c r="AF75" s="431">
        <v>33000</v>
      </c>
      <c r="AG75" s="431">
        <v>44375</v>
      </c>
      <c r="AH75" s="431">
        <v>218830</v>
      </c>
      <c r="AI75" s="431">
        <v>534987</v>
      </c>
      <c r="AJ75" s="431">
        <v>547506</v>
      </c>
      <c r="AK75" s="431">
        <v>0</v>
      </c>
      <c r="AL75" s="431">
        <v>254491</v>
      </c>
      <c r="AM75" s="431">
        <v>0</v>
      </c>
    </row>
    <row r="76" spans="1:39" s="155" customFormat="1" ht="12" x14ac:dyDescent="0.2">
      <c r="A76" s="168">
        <v>22</v>
      </c>
      <c r="B76" s="535">
        <v>46313</v>
      </c>
      <c r="C76" s="268" t="s">
        <v>2689</v>
      </c>
      <c r="D76" s="432">
        <f t="shared" si="8"/>
        <v>5834225</v>
      </c>
      <c r="E76" s="431">
        <v>1400459</v>
      </c>
      <c r="F76" s="431">
        <v>560271</v>
      </c>
      <c r="G76" s="431">
        <v>376654</v>
      </c>
      <c r="H76" s="431">
        <v>0</v>
      </c>
      <c r="I76" s="431">
        <v>2349000</v>
      </c>
      <c r="J76" s="431">
        <v>200000</v>
      </c>
      <c r="K76" s="431">
        <v>960890</v>
      </c>
      <c r="L76" s="431">
        <v>0</v>
      </c>
      <c r="M76" s="431">
        <v>193272</v>
      </c>
      <c r="N76" s="431">
        <v>693409</v>
      </c>
      <c r="O76" s="431">
        <v>37195</v>
      </c>
      <c r="P76" s="432">
        <f t="shared" si="2"/>
        <v>5850058</v>
      </c>
      <c r="Q76" s="431">
        <v>2466535</v>
      </c>
      <c r="R76" s="431">
        <v>1719226</v>
      </c>
      <c r="S76" s="431">
        <v>699</v>
      </c>
      <c r="T76" s="431">
        <v>0</v>
      </c>
      <c r="U76" s="431">
        <v>0</v>
      </c>
      <c r="V76" s="431">
        <v>0</v>
      </c>
      <c r="W76" s="431">
        <v>913414</v>
      </c>
      <c r="X76" s="431">
        <v>543855</v>
      </c>
      <c r="Y76" s="431">
        <v>0</v>
      </c>
      <c r="Z76" s="431">
        <v>209329</v>
      </c>
      <c r="AA76" s="431">
        <v>0</v>
      </c>
      <c r="AB76" s="431">
        <v>-3000</v>
      </c>
      <c r="AC76" s="431">
        <v>1684767</v>
      </c>
      <c r="AD76" s="431">
        <v>0</v>
      </c>
      <c r="AE76" s="431">
        <v>1838449</v>
      </c>
      <c r="AF76" s="431">
        <v>0</v>
      </c>
      <c r="AG76" s="431">
        <v>543670</v>
      </c>
      <c r="AH76" s="431">
        <v>679172</v>
      </c>
      <c r="AI76" s="431">
        <v>132031</v>
      </c>
      <c r="AJ76" s="431">
        <v>27892</v>
      </c>
      <c r="AK76" s="431">
        <v>0</v>
      </c>
      <c r="AL76" s="431">
        <v>878958</v>
      </c>
      <c r="AM76" s="431">
        <v>65119</v>
      </c>
    </row>
    <row r="77" spans="1:39" s="155" customFormat="1" ht="12" x14ac:dyDescent="0.2">
      <c r="A77" s="168">
        <v>23</v>
      </c>
      <c r="B77" s="535">
        <v>46484</v>
      </c>
      <c r="C77" s="268" t="s">
        <v>2690</v>
      </c>
      <c r="D77" s="432">
        <f t="shared" si="8"/>
        <v>9464618</v>
      </c>
      <c r="E77" s="431">
        <v>2622307</v>
      </c>
      <c r="F77" s="431">
        <v>481719</v>
      </c>
      <c r="G77" s="431">
        <v>428816</v>
      </c>
      <c r="H77" s="431">
        <v>0</v>
      </c>
      <c r="I77" s="431">
        <v>2154575</v>
      </c>
      <c r="J77" s="431">
        <v>150000</v>
      </c>
      <c r="K77" s="431">
        <v>833740</v>
      </c>
      <c r="L77" s="431">
        <v>0</v>
      </c>
      <c r="M77" s="431">
        <v>1615137</v>
      </c>
      <c r="N77" s="431">
        <v>2088859</v>
      </c>
      <c r="O77" s="431">
        <v>0</v>
      </c>
      <c r="P77" s="432">
        <f t="shared" si="2"/>
        <v>8277289</v>
      </c>
      <c r="Q77" s="431">
        <v>2325601</v>
      </c>
      <c r="R77" s="431">
        <v>1319185</v>
      </c>
      <c r="S77" s="431">
        <v>0</v>
      </c>
      <c r="T77" s="431">
        <v>0</v>
      </c>
      <c r="U77" s="431">
        <v>0</v>
      </c>
      <c r="V77" s="431">
        <v>0</v>
      </c>
      <c r="W77" s="431">
        <v>2947927</v>
      </c>
      <c r="X77" s="431">
        <v>381691</v>
      </c>
      <c r="Y77" s="431">
        <v>193644</v>
      </c>
      <c r="Z77" s="431">
        <v>1109241</v>
      </c>
      <c r="AA77" s="431">
        <v>0</v>
      </c>
      <c r="AB77" s="431">
        <v>0</v>
      </c>
      <c r="AC77" s="431">
        <v>1074889</v>
      </c>
      <c r="AD77" s="431">
        <v>5373</v>
      </c>
      <c r="AE77" s="431">
        <v>2031684</v>
      </c>
      <c r="AF77" s="431">
        <v>42061</v>
      </c>
      <c r="AG77" s="431">
        <v>295630</v>
      </c>
      <c r="AH77" s="431">
        <v>3125742</v>
      </c>
      <c r="AI77" s="431">
        <v>331107</v>
      </c>
      <c r="AJ77" s="431">
        <v>208739</v>
      </c>
      <c r="AK77" s="431">
        <v>0</v>
      </c>
      <c r="AL77" s="431">
        <v>1162064</v>
      </c>
      <c r="AM77" s="431">
        <v>0</v>
      </c>
    </row>
    <row r="78" spans="1:39" s="155" customFormat="1" ht="12" x14ac:dyDescent="0.2">
      <c r="A78" s="168">
        <v>24</v>
      </c>
      <c r="B78" s="535">
        <v>46377</v>
      </c>
      <c r="C78" s="268" t="s">
        <v>2691</v>
      </c>
      <c r="D78" s="432">
        <f t="shared" si="8"/>
        <v>8145555</v>
      </c>
      <c r="E78" s="431">
        <v>2543626</v>
      </c>
      <c r="F78" s="431">
        <v>1795019</v>
      </c>
      <c r="G78" s="431">
        <v>122274</v>
      </c>
      <c r="H78" s="431">
        <v>0</v>
      </c>
      <c r="I78" s="431">
        <v>2788510</v>
      </c>
      <c r="J78" s="431">
        <v>250000</v>
      </c>
      <c r="K78" s="431">
        <v>271300</v>
      </c>
      <c r="L78" s="431">
        <v>0</v>
      </c>
      <c r="M78" s="431">
        <v>2055220</v>
      </c>
      <c r="N78" s="431">
        <v>236899</v>
      </c>
      <c r="O78" s="431">
        <v>0</v>
      </c>
      <c r="P78" s="432">
        <f t="shared" si="2"/>
        <v>7759459</v>
      </c>
      <c r="Q78" s="431">
        <v>2888253</v>
      </c>
      <c r="R78" s="431">
        <v>1404814</v>
      </c>
      <c r="S78" s="431">
        <v>0</v>
      </c>
      <c r="T78" s="431">
        <v>0</v>
      </c>
      <c r="U78" s="431">
        <v>0</v>
      </c>
      <c r="V78" s="431">
        <v>0</v>
      </c>
      <c r="W78" s="431">
        <v>649148</v>
      </c>
      <c r="X78" s="431">
        <v>578230</v>
      </c>
      <c r="Y78" s="431">
        <v>4100</v>
      </c>
      <c r="Z78" s="431">
        <v>2377331</v>
      </c>
      <c r="AA78" s="431">
        <v>0</v>
      </c>
      <c r="AB78" s="431">
        <v>-142417</v>
      </c>
      <c r="AC78" s="431">
        <v>910076</v>
      </c>
      <c r="AD78" s="431">
        <v>136245</v>
      </c>
      <c r="AE78" s="431">
        <v>2394970</v>
      </c>
      <c r="AF78" s="431">
        <v>50246</v>
      </c>
      <c r="AG78" s="431">
        <v>580977</v>
      </c>
      <c r="AH78" s="431">
        <v>668026</v>
      </c>
      <c r="AI78" s="431">
        <v>496418</v>
      </c>
      <c r="AJ78" s="431">
        <v>1595741</v>
      </c>
      <c r="AK78" s="431">
        <v>0</v>
      </c>
      <c r="AL78" s="431">
        <v>869180</v>
      </c>
      <c r="AM78" s="431">
        <v>57580</v>
      </c>
    </row>
    <row r="79" spans="1:39" s="155" customFormat="1" ht="12" x14ac:dyDescent="0.2">
      <c r="A79" s="168">
        <v>25</v>
      </c>
      <c r="B79" s="535">
        <v>46554</v>
      </c>
      <c r="C79" s="268" t="s">
        <v>2692</v>
      </c>
      <c r="D79" s="432">
        <f t="shared" si="8"/>
        <v>2951285</v>
      </c>
      <c r="E79" s="431">
        <v>896615</v>
      </c>
      <c r="F79" s="431">
        <v>206968</v>
      </c>
      <c r="G79" s="431">
        <v>354361</v>
      </c>
      <c r="H79" s="431">
        <v>0</v>
      </c>
      <c r="I79" s="431">
        <v>807619</v>
      </c>
      <c r="J79" s="431">
        <v>200000</v>
      </c>
      <c r="K79" s="431">
        <v>974660</v>
      </c>
      <c r="L79" s="431">
        <v>0</v>
      </c>
      <c r="M79" s="431">
        <v>39039</v>
      </c>
      <c r="N79" s="431">
        <v>0</v>
      </c>
      <c r="O79" s="431">
        <v>33352</v>
      </c>
      <c r="P79" s="432">
        <f t="shared" ref="P79:P141" si="11">IF(SUM(Q79:AB79)=SUM(AC79:AM79),SUM(Q79:AB79),"  EROARE ART/CAP")</f>
        <v>2911795</v>
      </c>
      <c r="Q79" s="431">
        <v>1015602</v>
      </c>
      <c r="R79" s="431">
        <v>854101</v>
      </c>
      <c r="S79" s="431">
        <v>0</v>
      </c>
      <c r="T79" s="431">
        <v>0</v>
      </c>
      <c r="U79" s="431">
        <v>0</v>
      </c>
      <c r="V79" s="431">
        <v>0</v>
      </c>
      <c r="W79" s="431">
        <v>102430</v>
      </c>
      <c r="X79" s="431">
        <v>232636</v>
      </c>
      <c r="Y79" s="431">
        <v>23750</v>
      </c>
      <c r="Z79" s="431">
        <v>683276</v>
      </c>
      <c r="AA79" s="431">
        <v>0</v>
      </c>
      <c r="AB79" s="431">
        <v>0</v>
      </c>
      <c r="AC79" s="431">
        <v>586739</v>
      </c>
      <c r="AD79" s="431">
        <v>8863</v>
      </c>
      <c r="AE79" s="431">
        <v>696796</v>
      </c>
      <c r="AF79" s="431">
        <v>18248</v>
      </c>
      <c r="AG79" s="431">
        <v>133968</v>
      </c>
      <c r="AH79" s="431">
        <v>232636</v>
      </c>
      <c r="AI79" s="431">
        <v>473313</v>
      </c>
      <c r="AJ79" s="431">
        <v>31639</v>
      </c>
      <c r="AK79" s="431">
        <v>0</v>
      </c>
      <c r="AL79" s="431">
        <v>696241</v>
      </c>
      <c r="AM79" s="431">
        <v>33352</v>
      </c>
    </row>
    <row r="80" spans="1:39" s="155" customFormat="1" ht="12" x14ac:dyDescent="0.2">
      <c r="A80" s="168">
        <v>26</v>
      </c>
      <c r="B80" s="535">
        <v>46439</v>
      </c>
      <c r="C80" s="268" t="s">
        <v>2693</v>
      </c>
      <c r="D80" s="432">
        <f t="shared" si="8"/>
        <v>4207156</v>
      </c>
      <c r="E80" s="431">
        <v>598315</v>
      </c>
      <c r="F80" s="431">
        <v>53238</v>
      </c>
      <c r="G80" s="431">
        <v>434190</v>
      </c>
      <c r="H80" s="431">
        <v>0</v>
      </c>
      <c r="I80" s="431">
        <v>501165</v>
      </c>
      <c r="J80" s="431">
        <v>150000</v>
      </c>
      <c r="K80" s="431">
        <v>2008890</v>
      </c>
      <c r="L80" s="431">
        <v>0</v>
      </c>
      <c r="M80" s="431">
        <v>275520</v>
      </c>
      <c r="N80" s="431">
        <v>668766</v>
      </c>
      <c r="O80" s="431">
        <v>4500</v>
      </c>
      <c r="P80" s="432">
        <f t="shared" si="11"/>
        <v>3965706</v>
      </c>
      <c r="Q80" s="431">
        <v>778798</v>
      </c>
      <c r="R80" s="431">
        <v>500327</v>
      </c>
      <c r="S80" s="431">
        <v>0</v>
      </c>
      <c r="T80" s="431">
        <v>0</v>
      </c>
      <c r="U80" s="431">
        <v>0</v>
      </c>
      <c r="V80" s="431">
        <v>0</v>
      </c>
      <c r="W80" s="431">
        <v>541279</v>
      </c>
      <c r="X80" s="431">
        <v>61196</v>
      </c>
      <c r="Y80" s="431">
        <v>33000</v>
      </c>
      <c r="Z80" s="431">
        <v>2051106</v>
      </c>
      <c r="AA80" s="431">
        <v>0</v>
      </c>
      <c r="AB80" s="431">
        <v>0</v>
      </c>
      <c r="AC80" s="431">
        <v>438818</v>
      </c>
      <c r="AD80" s="431">
        <v>4031</v>
      </c>
      <c r="AE80" s="431">
        <v>1414245</v>
      </c>
      <c r="AF80" s="431">
        <v>22253</v>
      </c>
      <c r="AG80" s="431">
        <v>32680</v>
      </c>
      <c r="AH80" s="431">
        <v>90600</v>
      </c>
      <c r="AI80" s="431">
        <v>36339</v>
      </c>
      <c r="AJ80" s="431">
        <v>32240</v>
      </c>
      <c r="AK80" s="431">
        <v>0</v>
      </c>
      <c r="AL80" s="431">
        <v>1839541</v>
      </c>
      <c r="AM80" s="431">
        <v>54959</v>
      </c>
    </row>
    <row r="81" spans="1:39" s="155" customFormat="1" ht="12" x14ac:dyDescent="0.2">
      <c r="A81" s="168">
        <v>27</v>
      </c>
      <c r="B81" s="535">
        <v>46769</v>
      </c>
      <c r="C81" s="268" t="s">
        <v>2275</v>
      </c>
      <c r="D81" s="432">
        <f t="shared" si="8"/>
        <v>5093645</v>
      </c>
      <c r="E81" s="431">
        <v>1506614</v>
      </c>
      <c r="F81" s="431">
        <v>204841</v>
      </c>
      <c r="G81" s="431">
        <v>426363</v>
      </c>
      <c r="H81" s="431">
        <v>0</v>
      </c>
      <c r="I81" s="431">
        <v>1912483</v>
      </c>
      <c r="J81" s="431">
        <v>200000</v>
      </c>
      <c r="K81" s="431">
        <v>879940</v>
      </c>
      <c r="L81" s="431">
        <v>0</v>
      </c>
      <c r="M81" s="431">
        <v>144329</v>
      </c>
      <c r="N81" s="431">
        <v>450279</v>
      </c>
      <c r="O81" s="431">
        <v>0</v>
      </c>
      <c r="P81" s="432">
        <f t="shared" si="11"/>
        <v>4555653</v>
      </c>
      <c r="Q81" s="431">
        <v>2141712</v>
      </c>
      <c r="R81" s="431">
        <v>958301</v>
      </c>
      <c r="S81" s="431">
        <v>0</v>
      </c>
      <c r="T81" s="431">
        <v>0</v>
      </c>
      <c r="U81" s="431">
        <v>0</v>
      </c>
      <c r="V81" s="431">
        <v>0</v>
      </c>
      <c r="W81" s="431">
        <v>905689</v>
      </c>
      <c r="X81" s="431">
        <v>354083</v>
      </c>
      <c r="Y81" s="431">
        <v>54325</v>
      </c>
      <c r="Z81" s="431">
        <v>142785</v>
      </c>
      <c r="AA81" s="431">
        <v>0</v>
      </c>
      <c r="AB81" s="431">
        <v>-1242</v>
      </c>
      <c r="AC81" s="431">
        <v>785237</v>
      </c>
      <c r="AD81" s="431">
        <v>14646</v>
      </c>
      <c r="AE81" s="431">
        <v>1650222</v>
      </c>
      <c r="AF81" s="431">
        <v>16809</v>
      </c>
      <c r="AG81" s="431">
        <v>124108</v>
      </c>
      <c r="AH81" s="431">
        <v>429547</v>
      </c>
      <c r="AI81" s="431">
        <v>319935</v>
      </c>
      <c r="AJ81" s="431">
        <v>138745</v>
      </c>
      <c r="AK81" s="431">
        <v>0</v>
      </c>
      <c r="AL81" s="431">
        <v>1074603</v>
      </c>
      <c r="AM81" s="431">
        <v>1801</v>
      </c>
    </row>
    <row r="82" spans="1:39" s="155" customFormat="1" ht="12" x14ac:dyDescent="0.2">
      <c r="A82" s="168">
        <v>28</v>
      </c>
      <c r="B82" s="535">
        <v>46803</v>
      </c>
      <c r="C82" s="268" t="s">
        <v>2694</v>
      </c>
      <c r="D82" s="432">
        <f t="shared" si="8"/>
        <v>4366924</v>
      </c>
      <c r="E82" s="431">
        <v>1028380</v>
      </c>
      <c r="F82" s="431">
        <v>175375</v>
      </c>
      <c r="G82" s="431">
        <v>269003</v>
      </c>
      <c r="H82" s="431">
        <v>0</v>
      </c>
      <c r="I82" s="431">
        <v>1649259</v>
      </c>
      <c r="J82" s="431">
        <v>150000</v>
      </c>
      <c r="K82" s="431">
        <v>751280</v>
      </c>
      <c r="L82" s="431">
        <v>0</v>
      </c>
      <c r="M82" s="431">
        <v>108999</v>
      </c>
      <c r="N82" s="431">
        <v>434194</v>
      </c>
      <c r="O82" s="431">
        <v>244812</v>
      </c>
      <c r="P82" s="432">
        <f t="shared" si="11"/>
        <v>4302277</v>
      </c>
      <c r="Q82" s="431">
        <v>1910177</v>
      </c>
      <c r="R82" s="431">
        <v>1234625</v>
      </c>
      <c r="S82" s="431">
        <v>0</v>
      </c>
      <c r="T82" s="431">
        <v>0</v>
      </c>
      <c r="U82" s="431">
        <v>0</v>
      </c>
      <c r="V82" s="431">
        <v>0</v>
      </c>
      <c r="W82" s="431">
        <v>557875</v>
      </c>
      <c r="X82" s="431">
        <v>206791</v>
      </c>
      <c r="Y82" s="431">
        <v>56118</v>
      </c>
      <c r="Z82" s="431">
        <v>336691</v>
      </c>
      <c r="AA82" s="431">
        <v>0</v>
      </c>
      <c r="AB82" s="431">
        <v>0</v>
      </c>
      <c r="AC82" s="431">
        <v>873213</v>
      </c>
      <c r="AD82" s="431">
        <v>3602</v>
      </c>
      <c r="AE82" s="431">
        <v>1297639</v>
      </c>
      <c r="AF82" s="431">
        <v>0</v>
      </c>
      <c r="AG82" s="431">
        <v>158788</v>
      </c>
      <c r="AH82" s="431">
        <v>469720</v>
      </c>
      <c r="AI82" s="431">
        <v>246216</v>
      </c>
      <c r="AJ82" s="431">
        <v>208318</v>
      </c>
      <c r="AK82" s="431">
        <v>0</v>
      </c>
      <c r="AL82" s="431">
        <v>890073</v>
      </c>
      <c r="AM82" s="431">
        <v>154708</v>
      </c>
    </row>
    <row r="83" spans="1:39" s="155" customFormat="1" ht="12" x14ac:dyDescent="0.2">
      <c r="A83" s="168">
        <v>29</v>
      </c>
      <c r="B83" s="535">
        <v>46830</v>
      </c>
      <c r="C83" s="268" t="s">
        <v>2695</v>
      </c>
      <c r="D83" s="432">
        <f t="shared" si="8"/>
        <v>2665235</v>
      </c>
      <c r="E83" s="431">
        <v>875902</v>
      </c>
      <c r="F83" s="431">
        <v>130811</v>
      </c>
      <c r="G83" s="431">
        <v>296923</v>
      </c>
      <c r="H83" s="431">
        <v>0</v>
      </c>
      <c r="I83" s="431">
        <v>777038</v>
      </c>
      <c r="J83" s="431">
        <v>144763</v>
      </c>
      <c r="K83" s="431">
        <v>842660</v>
      </c>
      <c r="L83" s="431">
        <v>0</v>
      </c>
      <c r="M83" s="431">
        <v>24872</v>
      </c>
      <c r="N83" s="431">
        <v>0</v>
      </c>
      <c r="O83" s="431">
        <v>0</v>
      </c>
      <c r="P83" s="432">
        <f t="shared" si="11"/>
        <v>2509242</v>
      </c>
      <c r="Q83" s="431">
        <v>1126058</v>
      </c>
      <c r="R83" s="431">
        <v>811430</v>
      </c>
      <c r="S83" s="431">
        <v>0</v>
      </c>
      <c r="T83" s="431">
        <v>0</v>
      </c>
      <c r="U83" s="431">
        <v>0</v>
      </c>
      <c r="V83" s="431">
        <v>0</v>
      </c>
      <c r="W83" s="431">
        <v>0</v>
      </c>
      <c r="X83" s="431">
        <v>72730</v>
      </c>
      <c r="Y83" s="431">
        <v>6500</v>
      </c>
      <c r="Z83" s="431">
        <v>492524</v>
      </c>
      <c r="AA83" s="431">
        <v>0</v>
      </c>
      <c r="AB83" s="431">
        <v>0</v>
      </c>
      <c r="AC83" s="431">
        <v>727264</v>
      </c>
      <c r="AD83" s="431">
        <v>79510</v>
      </c>
      <c r="AE83" s="431">
        <v>784002</v>
      </c>
      <c r="AF83" s="431">
        <v>22902</v>
      </c>
      <c r="AG83" s="431">
        <v>270646</v>
      </c>
      <c r="AH83" s="431">
        <v>72730</v>
      </c>
      <c r="AI83" s="431">
        <v>374379</v>
      </c>
      <c r="AJ83" s="431">
        <v>33046</v>
      </c>
      <c r="AK83" s="431">
        <v>0</v>
      </c>
      <c r="AL83" s="431">
        <v>144763</v>
      </c>
      <c r="AM83" s="431">
        <v>0</v>
      </c>
    </row>
    <row r="84" spans="1:39" s="155" customFormat="1" ht="12" x14ac:dyDescent="0.2">
      <c r="A84" s="168">
        <v>30</v>
      </c>
      <c r="B84" s="535">
        <v>46910</v>
      </c>
      <c r="C84" s="268" t="s">
        <v>2696</v>
      </c>
      <c r="D84" s="432">
        <f t="shared" si="8"/>
        <v>8260684</v>
      </c>
      <c r="E84" s="431">
        <v>2297591</v>
      </c>
      <c r="F84" s="431">
        <v>461695</v>
      </c>
      <c r="G84" s="431">
        <v>315849</v>
      </c>
      <c r="H84" s="431">
        <v>0</v>
      </c>
      <c r="I84" s="431">
        <v>1639646</v>
      </c>
      <c r="J84" s="431">
        <v>200000</v>
      </c>
      <c r="K84" s="431">
        <v>589380</v>
      </c>
      <c r="L84" s="431">
        <v>0</v>
      </c>
      <c r="M84" s="431">
        <v>2628708</v>
      </c>
      <c r="N84" s="431">
        <v>805159</v>
      </c>
      <c r="O84" s="431">
        <v>100200</v>
      </c>
      <c r="P84" s="432">
        <f t="shared" si="11"/>
        <v>7993241</v>
      </c>
      <c r="Q84" s="431">
        <v>1813456</v>
      </c>
      <c r="R84" s="431">
        <v>1448030</v>
      </c>
      <c r="S84" s="431">
        <v>0</v>
      </c>
      <c r="T84" s="431">
        <v>0</v>
      </c>
      <c r="U84" s="431">
        <v>0</v>
      </c>
      <c r="V84" s="431">
        <v>0</v>
      </c>
      <c r="W84" s="431">
        <v>1349208</v>
      </c>
      <c r="X84" s="431">
        <v>261673</v>
      </c>
      <c r="Y84" s="431">
        <v>7500</v>
      </c>
      <c r="Z84" s="431">
        <v>3113501</v>
      </c>
      <c r="AA84" s="431">
        <v>0</v>
      </c>
      <c r="AB84" s="431">
        <v>-127</v>
      </c>
      <c r="AC84" s="431">
        <v>704470</v>
      </c>
      <c r="AD84" s="431">
        <v>144561</v>
      </c>
      <c r="AE84" s="431">
        <v>2853447</v>
      </c>
      <c r="AF84" s="431">
        <v>0</v>
      </c>
      <c r="AG84" s="431">
        <v>152263</v>
      </c>
      <c r="AH84" s="431">
        <v>318483</v>
      </c>
      <c r="AI84" s="431">
        <v>3046899</v>
      </c>
      <c r="AJ84" s="431">
        <v>135736</v>
      </c>
      <c r="AK84" s="431">
        <v>0</v>
      </c>
      <c r="AL84" s="431">
        <v>637382</v>
      </c>
      <c r="AM84" s="431">
        <v>0</v>
      </c>
    </row>
    <row r="85" spans="1:39" s="155" customFormat="1" ht="12" x14ac:dyDescent="0.2">
      <c r="A85" s="168">
        <v>31</v>
      </c>
      <c r="B85" s="535">
        <v>46867</v>
      </c>
      <c r="C85" s="268" t="s">
        <v>2697</v>
      </c>
      <c r="D85" s="432">
        <f t="shared" si="8"/>
        <v>5317298</v>
      </c>
      <c r="E85" s="431">
        <v>1557736</v>
      </c>
      <c r="F85" s="431">
        <v>237725</v>
      </c>
      <c r="G85" s="431">
        <v>499211</v>
      </c>
      <c r="H85" s="431">
        <v>0</v>
      </c>
      <c r="I85" s="431">
        <v>1848019</v>
      </c>
      <c r="J85" s="431">
        <v>200000</v>
      </c>
      <c r="K85" s="431">
        <v>1057190</v>
      </c>
      <c r="L85" s="431">
        <v>0</v>
      </c>
      <c r="M85" s="431">
        <v>328732</v>
      </c>
      <c r="N85" s="431">
        <v>325621</v>
      </c>
      <c r="O85" s="431">
        <v>0</v>
      </c>
      <c r="P85" s="432">
        <f t="shared" si="11"/>
        <v>5462056</v>
      </c>
      <c r="Q85" s="431">
        <v>2147988</v>
      </c>
      <c r="R85" s="431">
        <v>1016704</v>
      </c>
      <c r="S85" s="431">
        <v>0</v>
      </c>
      <c r="T85" s="431">
        <v>0</v>
      </c>
      <c r="U85" s="431">
        <v>0</v>
      </c>
      <c r="V85" s="431">
        <v>0</v>
      </c>
      <c r="W85" s="431">
        <v>0</v>
      </c>
      <c r="X85" s="431">
        <v>301476</v>
      </c>
      <c r="Y85" s="431">
        <v>92473</v>
      </c>
      <c r="Z85" s="431">
        <v>1908415</v>
      </c>
      <c r="AA85" s="431">
        <v>0</v>
      </c>
      <c r="AB85" s="431">
        <v>-5000</v>
      </c>
      <c r="AC85" s="431">
        <v>810262</v>
      </c>
      <c r="AD85" s="431">
        <v>58803</v>
      </c>
      <c r="AE85" s="431">
        <v>1811532</v>
      </c>
      <c r="AF85" s="431">
        <v>0</v>
      </c>
      <c r="AG85" s="431">
        <v>156473</v>
      </c>
      <c r="AH85" s="431">
        <v>296476</v>
      </c>
      <c r="AI85" s="431">
        <v>1114910</v>
      </c>
      <c r="AJ85" s="431">
        <v>0</v>
      </c>
      <c r="AK85" s="431">
        <v>0</v>
      </c>
      <c r="AL85" s="431">
        <v>1178299</v>
      </c>
      <c r="AM85" s="431">
        <v>35301</v>
      </c>
    </row>
    <row r="86" spans="1:39" s="155" customFormat="1" ht="12" x14ac:dyDescent="0.2">
      <c r="A86" s="168">
        <v>32</v>
      </c>
      <c r="B86" s="535">
        <v>47006</v>
      </c>
      <c r="C86" s="268" t="s">
        <v>2698</v>
      </c>
      <c r="D86" s="432">
        <f t="shared" si="8"/>
        <v>5214865</v>
      </c>
      <c r="E86" s="431">
        <v>1346081</v>
      </c>
      <c r="F86" s="431">
        <v>302303</v>
      </c>
      <c r="G86" s="431">
        <v>513464</v>
      </c>
      <c r="H86" s="431">
        <v>0</v>
      </c>
      <c r="I86" s="431">
        <v>2430501</v>
      </c>
      <c r="J86" s="431">
        <v>150000</v>
      </c>
      <c r="K86" s="431">
        <v>1234830</v>
      </c>
      <c r="L86" s="431">
        <v>0</v>
      </c>
      <c r="M86" s="431">
        <v>53453</v>
      </c>
      <c r="N86" s="431">
        <v>0</v>
      </c>
      <c r="O86" s="431">
        <v>0</v>
      </c>
      <c r="P86" s="432">
        <f t="shared" si="11"/>
        <v>5168922</v>
      </c>
      <c r="Q86" s="431">
        <v>2533626</v>
      </c>
      <c r="R86" s="431">
        <v>1168531</v>
      </c>
      <c r="S86" s="431">
        <v>0</v>
      </c>
      <c r="T86" s="431">
        <v>0</v>
      </c>
      <c r="U86" s="431">
        <v>60000</v>
      </c>
      <c r="V86" s="431">
        <v>125000</v>
      </c>
      <c r="W86" s="431">
        <v>0</v>
      </c>
      <c r="X86" s="431">
        <v>315359</v>
      </c>
      <c r="Y86" s="431">
        <v>43011</v>
      </c>
      <c r="Z86" s="431">
        <v>936307</v>
      </c>
      <c r="AA86" s="431">
        <v>0</v>
      </c>
      <c r="AB86" s="431">
        <v>-12912</v>
      </c>
      <c r="AC86" s="431">
        <v>971780</v>
      </c>
      <c r="AD86" s="431">
        <v>0</v>
      </c>
      <c r="AE86" s="431">
        <v>2016867</v>
      </c>
      <c r="AF86" s="431">
        <v>0</v>
      </c>
      <c r="AG86" s="431">
        <v>98309</v>
      </c>
      <c r="AH86" s="431">
        <v>634917</v>
      </c>
      <c r="AI86" s="431">
        <v>474870</v>
      </c>
      <c r="AJ86" s="431">
        <v>4861</v>
      </c>
      <c r="AK86" s="431">
        <v>0</v>
      </c>
      <c r="AL86" s="431">
        <v>967318</v>
      </c>
      <c r="AM86" s="431">
        <v>0</v>
      </c>
    </row>
    <row r="87" spans="1:39" s="155" customFormat="1" ht="12" x14ac:dyDescent="0.2">
      <c r="A87" s="168">
        <v>33</v>
      </c>
      <c r="B87" s="535">
        <v>47079</v>
      </c>
      <c r="C87" s="268" t="s">
        <v>2699</v>
      </c>
      <c r="D87" s="432">
        <f t="shared" si="8"/>
        <v>4084582</v>
      </c>
      <c r="E87" s="431">
        <v>1442422</v>
      </c>
      <c r="F87" s="431">
        <v>408448</v>
      </c>
      <c r="G87" s="431">
        <v>277112</v>
      </c>
      <c r="H87" s="431">
        <v>0</v>
      </c>
      <c r="I87" s="431">
        <v>1660063</v>
      </c>
      <c r="J87" s="431">
        <v>150000</v>
      </c>
      <c r="K87" s="431">
        <v>778390</v>
      </c>
      <c r="L87" s="431">
        <v>0</v>
      </c>
      <c r="M87" s="431">
        <v>53707</v>
      </c>
      <c r="N87" s="431">
        <v>0</v>
      </c>
      <c r="O87" s="431">
        <v>0</v>
      </c>
      <c r="P87" s="432">
        <f t="shared" si="11"/>
        <v>3730106</v>
      </c>
      <c r="Q87" s="431">
        <v>1976451</v>
      </c>
      <c r="R87" s="431">
        <v>1110393</v>
      </c>
      <c r="S87" s="431">
        <v>0</v>
      </c>
      <c r="T87" s="431">
        <v>0</v>
      </c>
      <c r="U87" s="431">
        <v>0</v>
      </c>
      <c r="V87" s="431">
        <v>0</v>
      </c>
      <c r="W87" s="431">
        <v>0</v>
      </c>
      <c r="X87" s="431">
        <v>252468</v>
      </c>
      <c r="Y87" s="431">
        <v>29600</v>
      </c>
      <c r="Z87" s="431">
        <v>431288</v>
      </c>
      <c r="AA87" s="431">
        <v>0</v>
      </c>
      <c r="AB87" s="431">
        <v>-70094</v>
      </c>
      <c r="AC87" s="431">
        <v>746858</v>
      </c>
      <c r="AD87" s="431">
        <v>106967</v>
      </c>
      <c r="AE87" s="431">
        <v>1638957</v>
      </c>
      <c r="AF87" s="431">
        <v>0</v>
      </c>
      <c r="AG87" s="431">
        <v>92461</v>
      </c>
      <c r="AH87" s="431">
        <v>252468</v>
      </c>
      <c r="AI87" s="431">
        <v>742348</v>
      </c>
      <c r="AJ87" s="431">
        <v>0</v>
      </c>
      <c r="AK87" s="431">
        <v>0</v>
      </c>
      <c r="AL87" s="431">
        <v>150047</v>
      </c>
      <c r="AM87" s="431">
        <v>0</v>
      </c>
    </row>
    <row r="88" spans="1:39" s="155" customFormat="1" ht="12" x14ac:dyDescent="0.2">
      <c r="A88" s="168">
        <v>34</v>
      </c>
      <c r="B88" s="535">
        <v>47159</v>
      </c>
      <c r="C88" s="268" t="s">
        <v>2700</v>
      </c>
      <c r="D88" s="432">
        <f t="shared" si="8"/>
        <v>3143605</v>
      </c>
      <c r="E88" s="431">
        <v>638070</v>
      </c>
      <c r="F88" s="431">
        <v>118525</v>
      </c>
      <c r="G88" s="431">
        <v>298871</v>
      </c>
      <c r="H88" s="431">
        <v>0</v>
      </c>
      <c r="I88" s="431">
        <v>701876</v>
      </c>
      <c r="J88" s="431">
        <v>150000</v>
      </c>
      <c r="K88" s="431">
        <v>811580</v>
      </c>
      <c r="L88" s="431">
        <v>0</v>
      </c>
      <c r="M88" s="431">
        <v>233590</v>
      </c>
      <c r="N88" s="431">
        <v>608489</v>
      </c>
      <c r="O88" s="431">
        <v>0</v>
      </c>
      <c r="P88" s="432">
        <f t="shared" si="11"/>
        <v>2824001</v>
      </c>
      <c r="Q88" s="431">
        <v>918715</v>
      </c>
      <c r="R88" s="431">
        <v>410315</v>
      </c>
      <c r="S88" s="431">
        <v>0</v>
      </c>
      <c r="T88" s="431">
        <v>0</v>
      </c>
      <c r="U88" s="431">
        <v>0</v>
      </c>
      <c r="V88" s="431">
        <v>0</v>
      </c>
      <c r="W88" s="431">
        <v>894339</v>
      </c>
      <c r="X88" s="431">
        <v>150976</v>
      </c>
      <c r="Y88" s="431">
        <v>8000</v>
      </c>
      <c r="Z88" s="431">
        <v>446177</v>
      </c>
      <c r="AA88" s="431">
        <v>0</v>
      </c>
      <c r="AB88" s="431">
        <v>-4521</v>
      </c>
      <c r="AC88" s="431">
        <v>607168</v>
      </c>
      <c r="AD88" s="431">
        <v>9242</v>
      </c>
      <c r="AE88" s="431">
        <v>545232</v>
      </c>
      <c r="AF88" s="431">
        <v>0</v>
      </c>
      <c r="AG88" s="431">
        <v>32351</v>
      </c>
      <c r="AH88" s="431">
        <v>244839</v>
      </c>
      <c r="AI88" s="431">
        <v>566708</v>
      </c>
      <c r="AJ88" s="431">
        <v>10400</v>
      </c>
      <c r="AK88" s="431">
        <v>0</v>
      </c>
      <c r="AL88" s="431">
        <v>808061</v>
      </c>
      <c r="AM88" s="431">
        <v>0</v>
      </c>
    </row>
    <row r="89" spans="1:39" s="155" customFormat="1" ht="12" x14ac:dyDescent="0.2">
      <c r="A89" s="168">
        <v>35</v>
      </c>
      <c r="B89" s="535">
        <v>47186</v>
      </c>
      <c r="C89" s="268" t="s">
        <v>2701</v>
      </c>
      <c r="D89" s="432">
        <f t="shared" si="8"/>
        <v>5482140</v>
      </c>
      <c r="E89" s="431">
        <v>1126437</v>
      </c>
      <c r="F89" s="431">
        <v>242627</v>
      </c>
      <c r="G89" s="431">
        <v>349056</v>
      </c>
      <c r="H89" s="431">
        <v>0</v>
      </c>
      <c r="I89" s="431">
        <v>2705061</v>
      </c>
      <c r="J89" s="431">
        <v>200000</v>
      </c>
      <c r="K89" s="431">
        <v>895400</v>
      </c>
      <c r="L89" s="431">
        <v>0</v>
      </c>
      <c r="M89" s="431">
        <v>36697</v>
      </c>
      <c r="N89" s="431">
        <v>518545</v>
      </c>
      <c r="O89" s="431">
        <v>0</v>
      </c>
      <c r="P89" s="432">
        <f t="shared" si="11"/>
        <v>5563832</v>
      </c>
      <c r="Q89" s="431">
        <v>2878102</v>
      </c>
      <c r="R89" s="431">
        <v>1228057</v>
      </c>
      <c r="S89" s="431">
        <v>0</v>
      </c>
      <c r="T89" s="431">
        <v>0</v>
      </c>
      <c r="U89" s="431">
        <v>0</v>
      </c>
      <c r="V89" s="431">
        <v>0</v>
      </c>
      <c r="W89" s="431">
        <v>527083</v>
      </c>
      <c r="X89" s="431">
        <v>363458</v>
      </c>
      <c r="Y89" s="431">
        <v>0</v>
      </c>
      <c r="Z89" s="431">
        <v>589064</v>
      </c>
      <c r="AA89" s="431">
        <v>0</v>
      </c>
      <c r="AB89" s="431">
        <v>-21932</v>
      </c>
      <c r="AC89" s="431">
        <v>1218797</v>
      </c>
      <c r="AD89" s="431">
        <v>0</v>
      </c>
      <c r="AE89" s="431">
        <v>3304103</v>
      </c>
      <c r="AF89" s="431">
        <v>0</v>
      </c>
      <c r="AG89" s="431">
        <v>303226</v>
      </c>
      <c r="AH89" s="431">
        <v>397369</v>
      </c>
      <c r="AI89" s="431">
        <v>38006</v>
      </c>
      <c r="AJ89" s="431">
        <v>0</v>
      </c>
      <c r="AK89" s="431">
        <v>0</v>
      </c>
      <c r="AL89" s="431">
        <v>302331</v>
      </c>
      <c r="AM89" s="431">
        <v>0</v>
      </c>
    </row>
    <row r="90" spans="1:39" s="155" customFormat="1" ht="12" x14ac:dyDescent="0.2">
      <c r="A90" s="168">
        <v>36</v>
      </c>
      <c r="B90" s="535">
        <v>47300</v>
      </c>
      <c r="C90" s="268" t="s">
        <v>2702</v>
      </c>
      <c r="D90" s="432">
        <f t="shared" si="8"/>
        <v>4783934</v>
      </c>
      <c r="E90" s="431">
        <v>1104781</v>
      </c>
      <c r="F90" s="431">
        <v>170989</v>
      </c>
      <c r="G90" s="431">
        <v>275818</v>
      </c>
      <c r="H90" s="431">
        <v>0</v>
      </c>
      <c r="I90" s="431">
        <v>1243108</v>
      </c>
      <c r="J90" s="431">
        <v>150000</v>
      </c>
      <c r="K90" s="431">
        <v>826810</v>
      </c>
      <c r="L90" s="431">
        <v>0</v>
      </c>
      <c r="M90" s="431">
        <v>1233375</v>
      </c>
      <c r="N90" s="431">
        <v>225860</v>
      </c>
      <c r="O90" s="431">
        <v>0</v>
      </c>
      <c r="P90" s="432">
        <f t="shared" si="11"/>
        <v>4595444</v>
      </c>
      <c r="Q90" s="431">
        <v>1372207</v>
      </c>
      <c r="R90" s="431">
        <v>695513</v>
      </c>
      <c r="S90" s="431">
        <v>0</v>
      </c>
      <c r="T90" s="431">
        <v>0</v>
      </c>
      <c r="U90" s="431">
        <v>0</v>
      </c>
      <c r="V90" s="431">
        <v>0</v>
      </c>
      <c r="W90" s="431">
        <v>295725</v>
      </c>
      <c r="X90" s="431">
        <v>318790</v>
      </c>
      <c r="Y90" s="431">
        <v>11938</v>
      </c>
      <c r="Z90" s="431">
        <v>1901271</v>
      </c>
      <c r="AA90" s="431">
        <v>0</v>
      </c>
      <c r="AB90" s="431">
        <v>0</v>
      </c>
      <c r="AC90" s="431">
        <v>620466</v>
      </c>
      <c r="AD90" s="431">
        <v>0</v>
      </c>
      <c r="AE90" s="431">
        <v>1043108</v>
      </c>
      <c r="AF90" s="431">
        <v>0</v>
      </c>
      <c r="AG90" s="431">
        <v>367989</v>
      </c>
      <c r="AH90" s="431">
        <v>318790</v>
      </c>
      <c r="AI90" s="431">
        <v>1732547</v>
      </c>
      <c r="AJ90" s="431">
        <v>82387</v>
      </c>
      <c r="AK90" s="431">
        <v>0</v>
      </c>
      <c r="AL90" s="431">
        <v>430157</v>
      </c>
      <c r="AM90" s="431">
        <v>0</v>
      </c>
    </row>
    <row r="91" spans="1:39" s="155" customFormat="1" ht="12" x14ac:dyDescent="0.2">
      <c r="A91" s="168">
        <v>37</v>
      </c>
      <c r="B91" s="535">
        <v>47337</v>
      </c>
      <c r="C91" s="268" t="s">
        <v>1909</v>
      </c>
      <c r="D91" s="432">
        <f t="shared" si="8"/>
        <v>3661491</v>
      </c>
      <c r="E91" s="431">
        <v>937460</v>
      </c>
      <c r="F91" s="431">
        <v>335777</v>
      </c>
      <c r="G91" s="431">
        <v>269665</v>
      </c>
      <c r="H91" s="431">
        <v>0</v>
      </c>
      <c r="I91" s="431">
        <v>1176000</v>
      </c>
      <c r="J91" s="431">
        <v>150000</v>
      </c>
      <c r="K91" s="431">
        <v>816020</v>
      </c>
      <c r="L91" s="431">
        <v>0</v>
      </c>
      <c r="M91" s="431">
        <v>169936</v>
      </c>
      <c r="N91" s="431">
        <v>386223</v>
      </c>
      <c r="O91" s="431">
        <v>25852</v>
      </c>
      <c r="P91" s="432">
        <f t="shared" si="11"/>
        <v>3816252</v>
      </c>
      <c r="Q91" s="431">
        <v>1399298</v>
      </c>
      <c r="R91" s="431">
        <v>823274</v>
      </c>
      <c r="S91" s="431">
        <v>0</v>
      </c>
      <c r="T91" s="431">
        <v>0</v>
      </c>
      <c r="U91" s="431">
        <v>0</v>
      </c>
      <c r="V91" s="431">
        <v>0</v>
      </c>
      <c r="W91" s="431">
        <v>915761</v>
      </c>
      <c r="X91" s="431">
        <v>220607</v>
      </c>
      <c r="Y91" s="431">
        <v>0</v>
      </c>
      <c r="Z91" s="431">
        <v>457312</v>
      </c>
      <c r="AA91" s="431">
        <v>0</v>
      </c>
      <c r="AB91" s="431">
        <v>0</v>
      </c>
      <c r="AC91" s="431">
        <v>590997</v>
      </c>
      <c r="AD91" s="431">
        <v>0</v>
      </c>
      <c r="AE91" s="431">
        <v>1070703</v>
      </c>
      <c r="AF91" s="431">
        <v>33110</v>
      </c>
      <c r="AG91" s="431">
        <v>128325</v>
      </c>
      <c r="AH91" s="431">
        <v>220607</v>
      </c>
      <c r="AI91" s="431">
        <v>984776</v>
      </c>
      <c r="AJ91" s="431">
        <v>19071</v>
      </c>
      <c r="AK91" s="431">
        <v>0</v>
      </c>
      <c r="AL91" s="431">
        <v>734763</v>
      </c>
      <c r="AM91" s="431">
        <v>33900</v>
      </c>
    </row>
    <row r="92" spans="1:39" s="155" customFormat="1" ht="12" x14ac:dyDescent="0.2">
      <c r="A92" s="168">
        <v>38</v>
      </c>
      <c r="B92" s="535">
        <v>47373</v>
      </c>
      <c r="C92" s="268" t="s">
        <v>2703</v>
      </c>
      <c r="D92" s="432">
        <f t="shared" si="8"/>
        <v>8516313</v>
      </c>
      <c r="E92" s="431">
        <v>4148397</v>
      </c>
      <c r="F92" s="431">
        <v>1944918</v>
      </c>
      <c r="G92" s="431">
        <v>453475</v>
      </c>
      <c r="H92" s="431">
        <v>0</v>
      </c>
      <c r="I92" s="431">
        <v>3083773</v>
      </c>
      <c r="J92" s="431">
        <v>250000</v>
      </c>
      <c r="K92" s="431">
        <v>997120</v>
      </c>
      <c r="L92" s="431">
        <v>0</v>
      </c>
      <c r="M92" s="431">
        <v>37023</v>
      </c>
      <c r="N92" s="431">
        <v>0</v>
      </c>
      <c r="O92" s="431">
        <v>0</v>
      </c>
      <c r="P92" s="432">
        <f t="shared" si="11"/>
        <v>7764674</v>
      </c>
      <c r="Q92" s="431">
        <v>3369626</v>
      </c>
      <c r="R92" s="431">
        <v>1636319</v>
      </c>
      <c r="S92" s="431">
        <v>0</v>
      </c>
      <c r="T92" s="431">
        <v>0</v>
      </c>
      <c r="U92" s="431">
        <v>0</v>
      </c>
      <c r="V92" s="431">
        <v>0</v>
      </c>
      <c r="W92" s="431">
        <v>0</v>
      </c>
      <c r="X92" s="431">
        <v>441568</v>
      </c>
      <c r="Y92" s="431">
        <v>148360</v>
      </c>
      <c r="Z92" s="431">
        <v>2168917</v>
      </c>
      <c r="AA92" s="431">
        <v>0</v>
      </c>
      <c r="AB92" s="431">
        <v>-116</v>
      </c>
      <c r="AC92" s="431">
        <v>1178725</v>
      </c>
      <c r="AD92" s="431">
        <v>109314</v>
      </c>
      <c r="AE92" s="431">
        <v>2518295</v>
      </c>
      <c r="AF92" s="431">
        <v>0</v>
      </c>
      <c r="AG92" s="431">
        <v>182686</v>
      </c>
      <c r="AH92" s="431">
        <v>788535</v>
      </c>
      <c r="AI92" s="431">
        <v>1131932</v>
      </c>
      <c r="AJ92" s="431">
        <v>213197</v>
      </c>
      <c r="AK92" s="431">
        <v>0</v>
      </c>
      <c r="AL92" s="431">
        <v>1634990</v>
      </c>
      <c r="AM92" s="431">
        <v>7000</v>
      </c>
    </row>
    <row r="93" spans="1:39" s="155" customFormat="1" ht="12" x14ac:dyDescent="0.2">
      <c r="A93" s="168">
        <v>39</v>
      </c>
      <c r="B93" s="535">
        <v>47417</v>
      </c>
      <c r="C93" s="268" t="s">
        <v>2704</v>
      </c>
      <c r="D93" s="432">
        <f t="shared" si="8"/>
        <v>2160494</v>
      </c>
      <c r="E93" s="431">
        <v>550731</v>
      </c>
      <c r="F93" s="431">
        <v>33329</v>
      </c>
      <c r="G93" s="431">
        <v>442952</v>
      </c>
      <c r="H93" s="431">
        <v>0</v>
      </c>
      <c r="I93" s="431">
        <v>323193</v>
      </c>
      <c r="J93" s="431">
        <v>200000</v>
      </c>
      <c r="K93" s="431">
        <v>1068570</v>
      </c>
      <c r="L93" s="431">
        <v>0</v>
      </c>
      <c r="M93" s="431">
        <v>18000</v>
      </c>
      <c r="N93" s="431">
        <v>0</v>
      </c>
      <c r="O93" s="431">
        <v>0</v>
      </c>
      <c r="P93" s="432">
        <f t="shared" si="11"/>
        <v>2105731</v>
      </c>
      <c r="Q93" s="431">
        <v>657962</v>
      </c>
      <c r="R93" s="431">
        <v>280836</v>
      </c>
      <c r="S93" s="431">
        <v>0</v>
      </c>
      <c r="T93" s="431">
        <v>0</v>
      </c>
      <c r="U93" s="431">
        <v>0</v>
      </c>
      <c r="V93" s="431">
        <v>0</v>
      </c>
      <c r="W93" s="431">
        <v>0</v>
      </c>
      <c r="X93" s="431">
        <v>37588</v>
      </c>
      <c r="Y93" s="431">
        <v>0</v>
      </c>
      <c r="Z93" s="431">
        <v>1157572</v>
      </c>
      <c r="AA93" s="431">
        <v>0</v>
      </c>
      <c r="AB93" s="431">
        <v>-28227</v>
      </c>
      <c r="AC93" s="431">
        <v>550414</v>
      </c>
      <c r="AD93" s="431">
        <v>0</v>
      </c>
      <c r="AE93" s="431">
        <v>300605</v>
      </c>
      <c r="AF93" s="431">
        <v>18000</v>
      </c>
      <c r="AG93" s="431">
        <v>49821</v>
      </c>
      <c r="AH93" s="431">
        <v>67579</v>
      </c>
      <c r="AI93" s="431">
        <v>542613</v>
      </c>
      <c r="AJ93" s="431">
        <v>0</v>
      </c>
      <c r="AK93" s="431">
        <v>0</v>
      </c>
      <c r="AL93" s="431">
        <v>576699</v>
      </c>
      <c r="AM93" s="431">
        <v>0</v>
      </c>
    </row>
    <row r="94" spans="1:39" s="155" customFormat="1" ht="12" x14ac:dyDescent="0.2">
      <c r="A94" s="168">
        <v>40</v>
      </c>
      <c r="B94" s="535">
        <v>47578</v>
      </c>
      <c r="C94" s="268" t="s">
        <v>2705</v>
      </c>
      <c r="D94" s="432">
        <f t="shared" si="8"/>
        <v>3201962</v>
      </c>
      <c r="E94" s="431">
        <v>1110181</v>
      </c>
      <c r="F94" s="431">
        <v>191781</v>
      </c>
      <c r="G94" s="431">
        <v>287188</v>
      </c>
      <c r="H94" s="431">
        <v>0</v>
      </c>
      <c r="I94" s="431">
        <v>1119693</v>
      </c>
      <c r="J94" s="431">
        <v>150000</v>
      </c>
      <c r="K94" s="431">
        <v>794230</v>
      </c>
      <c r="L94" s="431">
        <v>0</v>
      </c>
      <c r="M94" s="431">
        <v>27858</v>
      </c>
      <c r="N94" s="431">
        <v>0</v>
      </c>
      <c r="O94" s="431">
        <v>0</v>
      </c>
      <c r="P94" s="432">
        <f t="shared" si="11"/>
        <v>3016891</v>
      </c>
      <c r="Q94" s="431">
        <v>1170094</v>
      </c>
      <c r="R94" s="431">
        <v>775026</v>
      </c>
      <c r="S94" s="431">
        <v>0</v>
      </c>
      <c r="T94" s="431">
        <v>0</v>
      </c>
      <c r="U94" s="431">
        <v>0</v>
      </c>
      <c r="V94" s="431">
        <v>0</v>
      </c>
      <c r="W94" s="431">
        <v>7902</v>
      </c>
      <c r="X94" s="431">
        <v>286423</v>
      </c>
      <c r="Y94" s="431">
        <v>21342</v>
      </c>
      <c r="Z94" s="431">
        <v>764650</v>
      </c>
      <c r="AA94" s="431">
        <v>0</v>
      </c>
      <c r="AB94" s="431">
        <v>-8546</v>
      </c>
      <c r="AC94" s="431">
        <v>916123</v>
      </c>
      <c r="AD94" s="431">
        <v>4900</v>
      </c>
      <c r="AE94" s="431">
        <v>945617</v>
      </c>
      <c r="AF94" s="431">
        <v>0</v>
      </c>
      <c r="AG94" s="431">
        <v>265146</v>
      </c>
      <c r="AH94" s="431">
        <v>336693</v>
      </c>
      <c r="AI94" s="431">
        <v>311737</v>
      </c>
      <c r="AJ94" s="431">
        <v>0</v>
      </c>
      <c r="AK94" s="431">
        <v>0</v>
      </c>
      <c r="AL94" s="431">
        <v>222185</v>
      </c>
      <c r="AM94" s="431">
        <v>14490</v>
      </c>
    </row>
    <row r="95" spans="1:39" s="155" customFormat="1" ht="12" x14ac:dyDescent="0.2">
      <c r="A95" s="168">
        <v>41</v>
      </c>
      <c r="B95" s="535">
        <v>47453</v>
      </c>
      <c r="C95" s="268" t="s">
        <v>2706</v>
      </c>
      <c r="D95" s="432">
        <f t="shared" si="8"/>
        <v>11049456</v>
      </c>
      <c r="E95" s="431">
        <v>3118069</v>
      </c>
      <c r="F95" s="431">
        <v>1150578</v>
      </c>
      <c r="G95" s="431">
        <v>311390</v>
      </c>
      <c r="H95" s="431">
        <v>0</v>
      </c>
      <c r="I95" s="431">
        <v>2905796</v>
      </c>
      <c r="J95" s="431">
        <v>200000</v>
      </c>
      <c r="K95" s="431">
        <v>674850</v>
      </c>
      <c r="L95" s="431">
        <v>0</v>
      </c>
      <c r="M95" s="431">
        <v>3821705</v>
      </c>
      <c r="N95" s="431">
        <v>311436</v>
      </c>
      <c r="O95" s="431">
        <v>17600</v>
      </c>
      <c r="P95" s="432">
        <f t="shared" si="11"/>
        <v>10596294</v>
      </c>
      <c r="Q95" s="431">
        <v>3034843</v>
      </c>
      <c r="R95" s="431">
        <v>1760035</v>
      </c>
      <c r="S95" s="431">
        <v>0</v>
      </c>
      <c r="T95" s="431">
        <v>0</v>
      </c>
      <c r="U95" s="431">
        <v>0</v>
      </c>
      <c r="V95" s="431">
        <v>0</v>
      </c>
      <c r="W95" s="431">
        <v>578774</v>
      </c>
      <c r="X95" s="431">
        <v>562025</v>
      </c>
      <c r="Y95" s="431">
        <v>106830</v>
      </c>
      <c r="Z95" s="431">
        <v>4557445</v>
      </c>
      <c r="AA95" s="431">
        <v>0</v>
      </c>
      <c r="AB95" s="431">
        <v>-3658</v>
      </c>
      <c r="AC95" s="431">
        <v>1083573</v>
      </c>
      <c r="AD95" s="431">
        <v>20160</v>
      </c>
      <c r="AE95" s="431">
        <v>2997058</v>
      </c>
      <c r="AF95" s="431">
        <v>0</v>
      </c>
      <c r="AG95" s="431">
        <v>538809</v>
      </c>
      <c r="AH95" s="431">
        <v>591406</v>
      </c>
      <c r="AI95" s="431">
        <v>2003723</v>
      </c>
      <c r="AJ95" s="431">
        <v>54399</v>
      </c>
      <c r="AK95" s="431">
        <v>0</v>
      </c>
      <c r="AL95" s="431">
        <v>2704576</v>
      </c>
      <c r="AM95" s="431">
        <v>602590</v>
      </c>
    </row>
    <row r="96" spans="1:39" s="155" customFormat="1" ht="12" x14ac:dyDescent="0.2">
      <c r="A96" s="168">
        <v>42</v>
      </c>
      <c r="B96" s="535">
        <v>47630</v>
      </c>
      <c r="C96" s="268" t="s">
        <v>2707</v>
      </c>
      <c r="D96" s="432">
        <f t="shared" si="8"/>
        <v>4939043</v>
      </c>
      <c r="E96" s="431">
        <v>783069</v>
      </c>
      <c r="F96" s="431">
        <v>175773</v>
      </c>
      <c r="G96" s="431">
        <v>363123</v>
      </c>
      <c r="H96" s="431">
        <v>0</v>
      </c>
      <c r="I96" s="431">
        <v>2018726</v>
      </c>
      <c r="J96" s="431">
        <v>150000</v>
      </c>
      <c r="K96" s="431">
        <v>934760</v>
      </c>
      <c r="L96" s="431">
        <v>0</v>
      </c>
      <c r="M96" s="431">
        <v>717565</v>
      </c>
      <c r="N96" s="431">
        <v>334923</v>
      </c>
      <c r="O96" s="431">
        <v>0</v>
      </c>
      <c r="P96" s="432">
        <f t="shared" si="11"/>
        <v>4543611</v>
      </c>
      <c r="Q96" s="431">
        <v>2224785</v>
      </c>
      <c r="R96" s="431">
        <v>973295</v>
      </c>
      <c r="S96" s="431">
        <v>26816</v>
      </c>
      <c r="T96" s="431">
        <v>0</v>
      </c>
      <c r="U96" s="431">
        <v>5000</v>
      </c>
      <c r="V96" s="431">
        <v>0</v>
      </c>
      <c r="W96" s="431">
        <v>178225</v>
      </c>
      <c r="X96" s="431">
        <v>256229</v>
      </c>
      <c r="Y96" s="431">
        <v>14914</v>
      </c>
      <c r="Z96" s="431">
        <v>115132</v>
      </c>
      <c r="AA96" s="431">
        <v>749215</v>
      </c>
      <c r="AB96" s="431">
        <v>0</v>
      </c>
      <c r="AC96" s="431">
        <v>796354</v>
      </c>
      <c r="AD96" s="431">
        <v>56698</v>
      </c>
      <c r="AE96" s="431">
        <v>1740463</v>
      </c>
      <c r="AF96" s="431">
        <v>0</v>
      </c>
      <c r="AG96" s="431">
        <v>74038</v>
      </c>
      <c r="AH96" s="431">
        <v>438403</v>
      </c>
      <c r="AI96" s="431">
        <v>87664</v>
      </c>
      <c r="AJ96" s="431">
        <v>37512</v>
      </c>
      <c r="AK96" s="431">
        <v>0</v>
      </c>
      <c r="AL96" s="431">
        <v>1310479</v>
      </c>
      <c r="AM96" s="431">
        <v>2000</v>
      </c>
    </row>
    <row r="97" spans="1:39" s="155" customFormat="1" ht="12" x14ac:dyDescent="0.2">
      <c r="A97" s="168">
        <v>43</v>
      </c>
      <c r="B97" s="535">
        <v>47774</v>
      </c>
      <c r="C97" s="268" t="s">
        <v>2708</v>
      </c>
      <c r="D97" s="432">
        <f t="shared" si="8"/>
        <v>3106199</v>
      </c>
      <c r="E97" s="431">
        <v>938519</v>
      </c>
      <c r="F97" s="431">
        <v>147852</v>
      </c>
      <c r="G97" s="431">
        <v>278427</v>
      </c>
      <c r="H97" s="431">
        <v>0</v>
      </c>
      <c r="I97" s="431">
        <v>1222705</v>
      </c>
      <c r="J97" s="431">
        <v>150000</v>
      </c>
      <c r="K97" s="431">
        <v>773030</v>
      </c>
      <c r="L97" s="431">
        <v>0</v>
      </c>
      <c r="M97" s="431">
        <v>21945</v>
      </c>
      <c r="N97" s="431">
        <v>0</v>
      </c>
      <c r="O97" s="431">
        <v>0</v>
      </c>
      <c r="P97" s="432">
        <f t="shared" si="11"/>
        <v>3053515</v>
      </c>
      <c r="Q97" s="431">
        <v>1399581</v>
      </c>
      <c r="R97" s="431">
        <v>771578</v>
      </c>
      <c r="S97" s="431">
        <v>0</v>
      </c>
      <c r="T97" s="431">
        <v>0</v>
      </c>
      <c r="U97" s="431">
        <v>0</v>
      </c>
      <c r="V97" s="431">
        <v>0</v>
      </c>
      <c r="W97" s="431">
        <v>0</v>
      </c>
      <c r="X97" s="431">
        <v>254657</v>
      </c>
      <c r="Y97" s="431">
        <v>0</v>
      </c>
      <c r="Z97" s="431">
        <v>627699</v>
      </c>
      <c r="AA97" s="431">
        <v>0</v>
      </c>
      <c r="AB97" s="431">
        <v>0</v>
      </c>
      <c r="AC97" s="431">
        <v>571164</v>
      </c>
      <c r="AD97" s="431">
        <v>37957</v>
      </c>
      <c r="AE97" s="431">
        <v>1123651</v>
      </c>
      <c r="AF97" s="431">
        <v>0</v>
      </c>
      <c r="AG97" s="431">
        <v>54682</v>
      </c>
      <c r="AH97" s="431">
        <v>254657</v>
      </c>
      <c r="AI97" s="431">
        <v>653922</v>
      </c>
      <c r="AJ97" s="431">
        <v>12500</v>
      </c>
      <c r="AK97" s="431">
        <v>0</v>
      </c>
      <c r="AL97" s="431">
        <v>290239</v>
      </c>
      <c r="AM97" s="431">
        <v>54743</v>
      </c>
    </row>
    <row r="98" spans="1:39" s="155" customFormat="1" ht="12" x14ac:dyDescent="0.2">
      <c r="A98" s="168">
        <v>44</v>
      </c>
      <c r="B98" s="535">
        <v>47818</v>
      </c>
      <c r="C98" s="268" t="s">
        <v>2709</v>
      </c>
      <c r="D98" s="432">
        <f t="shared" si="8"/>
        <v>3914767</v>
      </c>
      <c r="E98" s="431">
        <v>579561</v>
      </c>
      <c r="F98" s="431">
        <v>30040</v>
      </c>
      <c r="G98" s="431">
        <v>426402</v>
      </c>
      <c r="H98" s="431">
        <v>0</v>
      </c>
      <c r="I98" s="431">
        <v>459413</v>
      </c>
      <c r="J98" s="431">
        <v>150000</v>
      </c>
      <c r="K98" s="431">
        <v>1002910</v>
      </c>
      <c r="L98" s="431">
        <v>0</v>
      </c>
      <c r="M98" s="431">
        <v>1722883</v>
      </c>
      <c r="N98" s="431">
        <v>0</v>
      </c>
      <c r="O98" s="431">
        <v>0</v>
      </c>
      <c r="P98" s="432">
        <f t="shared" si="11"/>
        <v>3865660</v>
      </c>
      <c r="Q98" s="431">
        <v>745950</v>
      </c>
      <c r="R98" s="431">
        <v>719130</v>
      </c>
      <c r="S98" s="431">
        <v>0</v>
      </c>
      <c r="T98" s="431">
        <v>0</v>
      </c>
      <c r="U98" s="431">
        <v>0</v>
      </c>
      <c r="V98" s="431">
        <v>220000</v>
      </c>
      <c r="W98" s="431">
        <v>0</v>
      </c>
      <c r="X98" s="431">
        <v>17597</v>
      </c>
      <c r="Y98" s="431">
        <v>0</v>
      </c>
      <c r="Z98" s="431">
        <v>2162983</v>
      </c>
      <c r="AA98" s="431">
        <v>0</v>
      </c>
      <c r="AB98" s="431">
        <v>0</v>
      </c>
      <c r="AC98" s="431">
        <v>730365</v>
      </c>
      <c r="AD98" s="431">
        <v>0</v>
      </c>
      <c r="AE98" s="431">
        <v>362413</v>
      </c>
      <c r="AF98" s="431">
        <v>24716</v>
      </c>
      <c r="AG98" s="431">
        <v>92121</v>
      </c>
      <c r="AH98" s="431">
        <v>128607</v>
      </c>
      <c r="AI98" s="431">
        <v>74924</v>
      </c>
      <c r="AJ98" s="431">
        <v>0</v>
      </c>
      <c r="AK98" s="431">
        <v>0</v>
      </c>
      <c r="AL98" s="431">
        <v>2423124</v>
      </c>
      <c r="AM98" s="431">
        <v>29390</v>
      </c>
    </row>
    <row r="99" spans="1:39" s="155" customFormat="1" ht="12" x14ac:dyDescent="0.2">
      <c r="A99" s="168">
        <v>45</v>
      </c>
      <c r="B99" s="535">
        <v>47854</v>
      </c>
      <c r="C99" s="268" t="s">
        <v>2710</v>
      </c>
      <c r="D99" s="432">
        <f t="shared" si="8"/>
        <v>4467733</v>
      </c>
      <c r="E99" s="431">
        <v>886509</v>
      </c>
      <c r="F99" s="431">
        <v>178327</v>
      </c>
      <c r="G99" s="431">
        <v>277453</v>
      </c>
      <c r="H99" s="431">
        <v>0</v>
      </c>
      <c r="I99" s="431">
        <v>975000</v>
      </c>
      <c r="J99" s="431">
        <v>150000</v>
      </c>
      <c r="K99" s="431">
        <v>733170</v>
      </c>
      <c r="L99" s="431">
        <v>0</v>
      </c>
      <c r="M99" s="431">
        <v>1723054</v>
      </c>
      <c r="N99" s="431">
        <v>0</v>
      </c>
      <c r="O99" s="431">
        <v>0</v>
      </c>
      <c r="P99" s="432">
        <f t="shared" si="11"/>
        <v>4461145</v>
      </c>
      <c r="Q99" s="431">
        <v>1303385</v>
      </c>
      <c r="R99" s="431">
        <v>1224460</v>
      </c>
      <c r="S99" s="431">
        <v>0</v>
      </c>
      <c r="T99" s="431">
        <v>0</v>
      </c>
      <c r="U99" s="431">
        <v>0</v>
      </c>
      <c r="V99" s="431">
        <v>0</v>
      </c>
      <c r="W99" s="431">
        <v>0</v>
      </c>
      <c r="X99" s="431">
        <v>111480</v>
      </c>
      <c r="Y99" s="431">
        <v>21988</v>
      </c>
      <c r="Z99" s="431">
        <v>1799832</v>
      </c>
      <c r="AA99" s="431">
        <v>0</v>
      </c>
      <c r="AB99" s="431">
        <v>0</v>
      </c>
      <c r="AC99" s="431">
        <v>756776</v>
      </c>
      <c r="AD99" s="431">
        <v>0</v>
      </c>
      <c r="AE99" s="431">
        <v>955982</v>
      </c>
      <c r="AF99" s="431">
        <v>25042</v>
      </c>
      <c r="AG99" s="431">
        <v>71059</v>
      </c>
      <c r="AH99" s="431">
        <v>111480</v>
      </c>
      <c r="AI99" s="431">
        <v>443892</v>
      </c>
      <c r="AJ99" s="431">
        <v>0</v>
      </c>
      <c r="AK99" s="431">
        <v>0</v>
      </c>
      <c r="AL99" s="431">
        <v>2096914</v>
      </c>
      <c r="AM99" s="431">
        <v>0</v>
      </c>
    </row>
    <row r="100" spans="1:39" s="155" customFormat="1" ht="12" x14ac:dyDescent="0.2">
      <c r="A100" s="168">
        <v>46</v>
      </c>
      <c r="B100" s="535">
        <v>48021</v>
      </c>
      <c r="C100" s="268" t="s">
        <v>2711</v>
      </c>
      <c r="D100" s="432">
        <f t="shared" si="8"/>
        <v>2395496</v>
      </c>
      <c r="E100" s="431">
        <v>572070</v>
      </c>
      <c r="F100" s="431">
        <v>43448</v>
      </c>
      <c r="G100" s="431">
        <v>435163</v>
      </c>
      <c r="H100" s="431">
        <v>0</v>
      </c>
      <c r="I100" s="431">
        <v>574000</v>
      </c>
      <c r="J100" s="431">
        <v>150000</v>
      </c>
      <c r="K100" s="431">
        <v>1070320</v>
      </c>
      <c r="L100" s="431">
        <v>0</v>
      </c>
      <c r="M100" s="431">
        <v>7530</v>
      </c>
      <c r="N100" s="431">
        <v>0</v>
      </c>
      <c r="O100" s="431">
        <v>21576</v>
      </c>
      <c r="P100" s="432">
        <f t="shared" si="11"/>
        <v>2181877</v>
      </c>
      <c r="Q100" s="431">
        <v>833420</v>
      </c>
      <c r="R100" s="431">
        <v>489377</v>
      </c>
      <c r="S100" s="431">
        <v>0</v>
      </c>
      <c r="T100" s="431">
        <v>0</v>
      </c>
      <c r="U100" s="431">
        <v>0</v>
      </c>
      <c r="V100" s="431">
        <v>0</v>
      </c>
      <c r="W100" s="431">
        <v>0</v>
      </c>
      <c r="X100" s="431">
        <v>64717</v>
      </c>
      <c r="Y100" s="431">
        <v>0</v>
      </c>
      <c r="Z100" s="431">
        <v>794363</v>
      </c>
      <c r="AA100" s="431">
        <v>0</v>
      </c>
      <c r="AB100" s="431">
        <v>0</v>
      </c>
      <c r="AC100" s="431">
        <v>516183</v>
      </c>
      <c r="AD100" s="431">
        <v>0</v>
      </c>
      <c r="AE100" s="431">
        <v>594456</v>
      </c>
      <c r="AF100" s="431">
        <v>0</v>
      </c>
      <c r="AG100" s="431">
        <v>30138</v>
      </c>
      <c r="AH100" s="431">
        <v>181268</v>
      </c>
      <c r="AI100" s="431">
        <v>32422</v>
      </c>
      <c r="AJ100" s="431">
        <v>0</v>
      </c>
      <c r="AK100" s="431">
        <v>0</v>
      </c>
      <c r="AL100" s="431">
        <v>827410</v>
      </c>
      <c r="AM100" s="431">
        <v>0</v>
      </c>
    </row>
    <row r="101" spans="1:39" s="155" customFormat="1" ht="12" x14ac:dyDescent="0.2">
      <c r="A101" s="168">
        <v>47</v>
      </c>
      <c r="B101" s="535">
        <v>48138</v>
      </c>
      <c r="C101" s="268" t="s">
        <v>542</v>
      </c>
      <c r="D101" s="432">
        <f t="shared" si="8"/>
        <v>6234761</v>
      </c>
      <c r="E101" s="431">
        <v>2885978</v>
      </c>
      <c r="F101" s="431">
        <v>1081649</v>
      </c>
      <c r="G101" s="431">
        <v>438123</v>
      </c>
      <c r="H101" s="431">
        <v>0</v>
      </c>
      <c r="I101" s="431">
        <v>1622000</v>
      </c>
      <c r="J101" s="431">
        <v>200000</v>
      </c>
      <c r="K101" s="431">
        <v>733790</v>
      </c>
      <c r="L101" s="431">
        <v>0</v>
      </c>
      <c r="M101" s="431">
        <v>99691</v>
      </c>
      <c r="N101" s="431">
        <v>230448</v>
      </c>
      <c r="O101" s="431">
        <v>462854</v>
      </c>
      <c r="P101" s="432">
        <f t="shared" si="11"/>
        <v>4892107</v>
      </c>
      <c r="Q101" s="431">
        <v>2037930</v>
      </c>
      <c r="R101" s="431">
        <v>1205622</v>
      </c>
      <c r="S101" s="431">
        <v>0</v>
      </c>
      <c r="T101" s="431">
        <v>0</v>
      </c>
      <c r="U101" s="431">
        <v>0</v>
      </c>
      <c r="V101" s="431">
        <v>0</v>
      </c>
      <c r="W101" s="431">
        <v>311240</v>
      </c>
      <c r="X101" s="431">
        <v>234502</v>
      </c>
      <c r="Y101" s="431">
        <v>53146</v>
      </c>
      <c r="Z101" s="431">
        <v>1065255</v>
      </c>
      <c r="AA101" s="431">
        <v>0</v>
      </c>
      <c r="AB101" s="431">
        <v>-15588</v>
      </c>
      <c r="AC101" s="431">
        <v>1536178</v>
      </c>
      <c r="AD101" s="431">
        <v>112716</v>
      </c>
      <c r="AE101" s="431">
        <v>1517262</v>
      </c>
      <c r="AF101" s="431">
        <v>0</v>
      </c>
      <c r="AG101" s="431">
        <v>135473</v>
      </c>
      <c r="AH101" s="431">
        <v>387937</v>
      </c>
      <c r="AI101" s="431">
        <v>488402</v>
      </c>
      <c r="AJ101" s="431">
        <v>30604</v>
      </c>
      <c r="AK101" s="431">
        <v>0</v>
      </c>
      <c r="AL101" s="431">
        <v>683535</v>
      </c>
      <c r="AM101" s="431">
        <v>0</v>
      </c>
    </row>
    <row r="102" spans="1:39" s="155" customFormat="1" ht="12" x14ac:dyDescent="0.2">
      <c r="A102" s="168">
        <v>48</v>
      </c>
      <c r="B102" s="535">
        <v>48165</v>
      </c>
      <c r="C102" s="268" t="s">
        <v>2712</v>
      </c>
      <c r="D102" s="432">
        <f t="shared" si="8"/>
        <v>4075177</v>
      </c>
      <c r="E102" s="431">
        <v>521564</v>
      </c>
      <c r="F102" s="431">
        <v>14018</v>
      </c>
      <c r="G102" s="431">
        <v>446845</v>
      </c>
      <c r="H102" s="431">
        <v>0</v>
      </c>
      <c r="I102" s="431">
        <v>100000</v>
      </c>
      <c r="J102" s="431">
        <v>150000</v>
      </c>
      <c r="K102" s="431">
        <v>1062240</v>
      </c>
      <c r="L102" s="431">
        <v>0</v>
      </c>
      <c r="M102" s="431">
        <v>2241373</v>
      </c>
      <c r="N102" s="431">
        <v>0</v>
      </c>
      <c r="O102" s="431">
        <v>0</v>
      </c>
      <c r="P102" s="432">
        <f t="shared" si="11"/>
        <v>4111740</v>
      </c>
      <c r="Q102" s="431">
        <v>288272</v>
      </c>
      <c r="R102" s="431">
        <v>670404</v>
      </c>
      <c r="S102" s="431">
        <v>0</v>
      </c>
      <c r="T102" s="431">
        <v>0</v>
      </c>
      <c r="U102" s="431">
        <v>0</v>
      </c>
      <c r="V102" s="431">
        <v>0</v>
      </c>
      <c r="W102" s="431">
        <v>0</v>
      </c>
      <c r="X102" s="431">
        <v>31412</v>
      </c>
      <c r="Y102" s="431">
        <v>0</v>
      </c>
      <c r="Z102" s="431">
        <v>3121652</v>
      </c>
      <c r="AA102" s="431">
        <v>0</v>
      </c>
      <c r="AB102" s="431">
        <v>0</v>
      </c>
      <c r="AC102" s="431">
        <v>422346</v>
      </c>
      <c r="AD102" s="431">
        <v>0</v>
      </c>
      <c r="AE102" s="431">
        <v>95741</v>
      </c>
      <c r="AF102" s="431">
        <v>63214</v>
      </c>
      <c r="AG102" s="431">
        <v>30602</v>
      </c>
      <c r="AH102" s="431">
        <v>31412</v>
      </c>
      <c r="AI102" s="431">
        <v>36894</v>
      </c>
      <c r="AJ102" s="431">
        <v>0</v>
      </c>
      <c r="AK102" s="431">
        <v>0</v>
      </c>
      <c r="AL102" s="431">
        <v>3431531</v>
      </c>
      <c r="AM102" s="431">
        <v>0</v>
      </c>
    </row>
    <row r="103" spans="1:39" s="155" customFormat="1" ht="12" x14ac:dyDescent="0.2">
      <c r="A103" s="168">
        <v>49</v>
      </c>
      <c r="B103" s="535">
        <v>48227</v>
      </c>
      <c r="C103" s="268" t="s">
        <v>2713</v>
      </c>
      <c r="D103" s="432">
        <f t="shared" si="8"/>
        <v>6962381</v>
      </c>
      <c r="E103" s="431">
        <v>686032</v>
      </c>
      <c r="F103" s="431">
        <v>84323</v>
      </c>
      <c r="G103" s="431">
        <v>397196</v>
      </c>
      <c r="H103" s="431">
        <v>0</v>
      </c>
      <c r="I103" s="431">
        <v>828024</v>
      </c>
      <c r="J103" s="431">
        <v>150000</v>
      </c>
      <c r="K103" s="431">
        <v>1029910</v>
      </c>
      <c r="L103" s="431">
        <v>0</v>
      </c>
      <c r="M103" s="431">
        <v>3764798</v>
      </c>
      <c r="N103" s="431">
        <v>503617</v>
      </c>
      <c r="O103" s="431">
        <v>0</v>
      </c>
      <c r="P103" s="432">
        <f t="shared" si="11"/>
        <v>7767173</v>
      </c>
      <c r="Q103" s="431">
        <v>1048449</v>
      </c>
      <c r="R103" s="431">
        <v>778694</v>
      </c>
      <c r="S103" s="431">
        <v>0</v>
      </c>
      <c r="T103" s="431">
        <v>0</v>
      </c>
      <c r="U103" s="431">
        <v>0</v>
      </c>
      <c r="V103" s="431">
        <v>0</v>
      </c>
      <c r="W103" s="431">
        <v>1614539</v>
      </c>
      <c r="X103" s="431">
        <v>336333</v>
      </c>
      <c r="Y103" s="431">
        <v>9350</v>
      </c>
      <c r="Z103" s="431">
        <v>3979808</v>
      </c>
      <c r="AA103" s="431">
        <v>0</v>
      </c>
      <c r="AB103" s="431">
        <v>0</v>
      </c>
      <c r="AC103" s="431">
        <v>857542</v>
      </c>
      <c r="AD103" s="431">
        <v>1666</v>
      </c>
      <c r="AE103" s="431">
        <v>706454</v>
      </c>
      <c r="AF103" s="431">
        <v>0</v>
      </c>
      <c r="AG103" s="431">
        <v>48818</v>
      </c>
      <c r="AH103" s="431">
        <v>336333</v>
      </c>
      <c r="AI103" s="431">
        <v>249136</v>
      </c>
      <c r="AJ103" s="431">
        <v>2790</v>
      </c>
      <c r="AK103" s="431">
        <v>0</v>
      </c>
      <c r="AL103" s="431">
        <v>5564434</v>
      </c>
      <c r="AM103" s="431">
        <v>0</v>
      </c>
    </row>
    <row r="104" spans="1:39" s="155" customFormat="1" ht="12" x14ac:dyDescent="0.2">
      <c r="A104" s="168">
        <v>50</v>
      </c>
      <c r="B104" s="535">
        <v>48487</v>
      </c>
      <c r="C104" s="268" t="s">
        <v>2714</v>
      </c>
      <c r="D104" s="432">
        <f t="shared" si="8"/>
        <v>4312572</v>
      </c>
      <c r="E104" s="431">
        <v>1316035</v>
      </c>
      <c r="F104" s="431">
        <v>421352</v>
      </c>
      <c r="G104" s="431">
        <v>233012</v>
      </c>
      <c r="H104" s="431">
        <v>0</v>
      </c>
      <c r="I104" s="431">
        <v>1627941</v>
      </c>
      <c r="J104" s="431">
        <v>200000</v>
      </c>
      <c r="K104" s="431">
        <v>757870</v>
      </c>
      <c r="L104" s="431">
        <v>0</v>
      </c>
      <c r="M104" s="431">
        <v>151274</v>
      </c>
      <c r="N104" s="431">
        <v>259452</v>
      </c>
      <c r="O104" s="431">
        <v>0</v>
      </c>
      <c r="P104" s="432">
        <f t="shared" si="11"/>
        <v>4188263</v>
      </c>
      <c r="Q104" s="431">
        <v>1801638</v>
      </c>
      <c r="R104" s="431">
        <v>1106234</v>
      </c>
      <c r="S104" s="431">
        <v>0</v>
      </c>
      <c r="T104" s="431">
        <v>9000</v>
      </c>
      <c r="U104" s="431">
        <v>0</v>
      </c>
      <c r="V104" s="431">
        <v>0</v>
      </c>
      <c r="W104" s="431">
        <v>0</v>
      </c>
      <c r="X104" s="431">
        <v>244637</v>
      </c>
      <c r="Y104" s="431">
        <v>76710</v>
      </c>
      <c r="Z104" s="431">
        <v>950044</v>
      </c>
      <c r="AA104" s="431">
        <v>0</v>
      </c>
      <c r="AB104" s="431">
        <v>0</v>
      </c>
      <c r="AC104" s="431">
        <v>672959</v>
      </c>
      <c r="AD104" s="431">
        <v>127005</v>
      </c>
      <c r="AE104" s="431">
        <v>1338377</v>
      </c>
      <c r="AF104" s="431">
        <v>404606</v>
      </c>
      <c r="AG104" s="431">
        <v>64189</v>
      </c>
      <c r="AH104" s="431">
        <v>389776</v>
      </c>
      <c r="AI104" s="431">
        <v>323966</v>
      </c>
      <c r="AJ104" s="431">
        <v>317287</v>
      </c>
      <c r="AK104" s="431">
        <v>0</v>
      </c>
      <c r="AL104" s="431">
        <v>550098</v>
      </c>
      <c r="AM104" s="431">
        <v>0</v>
      </c>
    </row>
    <row r="105" spans="1:39" s="155" customFormat="1" ht="12" x14ac:dyDescent="0.2">
      <c r="A105" s="168">
        <v>51</v>
      </c>
      <c r="B105" s="535">
        <v>48557</v>
      </c>
      <c r="C105" s="268" t="s">
        <v>2715</v>
      </c>
      <c r="D105" s="432">
        <f t="shared" si="8"/>
        <v>5207198</v>
      </c>
      <c r="E105" s="431">
        <v>1763264</v>
      </c>
      <c r="F105" s="431">
        <v>622127</v>
      </c>
      <c r="G105" s="431">
        <v>437675</v>
      </c>
      <c r="H105" s="431">
        <v>0</v>
      </c>
      <c r="I105" s="431">
        <v>2207921</v>
      </c>
      <c r="J105" s="431">
        <v>150000</v>
      </c>
      <c r="K105" s="431">
        <v>819650</v>
      </c>
      <c r="L105" s="431">
        <v>0</v>
      </c>
      <c r="M105" s="431">
        <v>133611</v>
      </c>
      <c r="N105" s="431">
        <v>132752</v>
      </c>
      <c r="O105" s="431">
        <v>0</v>
      </c>
      <c r="P105" s="432">
        <f t="shared" si="11"/>
        <v>4968179</v>
      </c>
      <c r="Q105" s="431">
        <v>2717661</v>
      </c>
      <c r="R105" s="431">
        <v>1283004</v>
      </c>
      <c r="S105" s="431">
        <v>0</v>
      </c>
      <c r="T105" s="431">
        <v>0</v>
      </c>
      <c r="U105" s="431">
        <v>0</v>
      </c>
      <c r="V105" s="431">
        <v>0</v>
      </c>
      <c r="W105" s="431">
        <v>416646</v>
      </c>
      <c r="X105" s="431">
        <v>255882</v>
      </c>
      <c r="Y105" s="431">
        <v>35722</v>
      </c>
      <c r="Z105" s="431">
        <v>259264</v>
      </c>
      <c r="AA105" s="431">
        <v>0</v>
      </c>
      <c r="AB105" s="431">
        <v>0</v>
      </c>
      <c r="AC105" s="431">
        <v>1121734</v>
      </c>
      <c r="AD105" s="431">
        <v>65214</v>
      </c>
      <c r="AE105" s="431">
        <v>1809185</v>
      </c>
      <c r="AF105" s="431">
        <v>21260</v>
      </c>
      <c r="AG105" s="431">
        <v>592460</v>
      </c>
      <c r="AH105" s="431">
        <v>669463</v>
      </c>
      <c r="AI105" s="431">
        <v>535061</v>
      </c>
      <c r="AJ105" s="431">
        <v>0</v>
      </c>
      <c r="AK105" s="431">
        <v>0</v>
      </c>
      <c r="AL105" s="431">
        <v>153802</v>
      </c>
      <c r="AM105" s="431">
        <v>0</v>
      </c>
    </row>
    <row r="106" spans="1:39" s="155" customFormat="1" ht="12" x14ac:dyDescent="0.2">
      <c r="A106" s="168">
        <v>52</v>
      </c>
      <c r="B106" s="535">
        <v>48682</v>
      </c>
      <c r="C106" s="268" t="s">
        <v>2716</v>
      </c>
      <c r="D106" s="432">
        <f t="shared" si="8"/>
        <v>6111534</v>
      </c>
      <c r="E106" s="431">
        <v>1116914</v>
      </c>
      <c r="F106" s="431">
        <v>246040</v>
      </c>
      <c r="G106" s="431">
        <v>293029</v>
      </c>
      <c r="H106" s="431">
        <v>0</v>
      </c>
      <c r="I106" s="431">
        <v>1660334</v>
      </c>
      <c r="J106" s="431">
        <v>150000</v>
      </c>
      <c r="K106" s="431">
        <v>893720</v>
      </c>
      <c r="L106" s="431">
        <v>0</v>
      </c>
      <c r="M106" s="431">
        <v>1980123</v>
      </c>
      <c r="N106" s="431">
        <v>270443</v>
      </c>
      <c r="O106" s="431">
        <v>40000</v>
      </c>
      <c r="P106" s="432">
        <f t="shared" si="11"/>
        <v>6139822</v>
      </c>
      <c r="Q106" s="431">
        <v>2083805</v>
      </c>
      <c r="R106" s="431">
        <v>1627374</v>
      </c>
      <c r="S106" s="431">
        <v>8574</v>
      </c>
      <c r="T106" s="431">
        <v>0</v>
      </c>
      <c r="U106" s="431">
        <v>0</v>
      </c>
      <c r="V106" s="431">
        <v>0</v>
      </c>
      <c r="W106" s="431">
        <v>353779</v>
      </c>
      <c r="X106" s="431">
        <v>154826</v>
      </c>
      <c r="Y106" s="431">
        <v>0</v>
      </c>
      <c r="Z106" s="431">
        <v>1891464</v>
      </c>
      <c r="AA106" s="431">
        <v>20000</v>
      </c>
      <c r="AB106" s="431">
        <v>0</v>
      </c>
      <c r="AC106" s="431">
        <v>890545</v>
      </c>
      <c r="AD106" s="431">
        <v>0</v>
      </c>
      <c r="AE106" s="431">
        <v>1405206</v>
      </c>
      <c r="AF106" s="431">
        <v>86003</v>
      </c>
      <c r="AG106" s="431">
        <v>139634</v>
      </c>
      <c r="AH106" s="431">
        <v>355620</v>
      </c>
      <c r="AI106" s="431">
        <v>788116</v>
      </c>
      <c r="AJ106" s="431">
        <v>31500</v>
      </c>
      <c r="AK106" s="431">
        <v>0</v>
      </c>
      <c r="AL106" s="431">
        <v>2225763</v>
      </c>
      <c r="AM106" s="431">
        <v>217435</v>
      </c>
    </row>
    <row r="107" spans="1:39" s="155" customFormat="1" ht="12" x14ac:dyDescent="0.2">
      <c r="A107" s="168">
        <v>53</v>
      </c>
      <c r="B107" s="535">
        <v>48771</v>
      </c>
      <c r="C107" s="268" t="s">
        <v>2717</v>
      </c>
      <c r="D107" s="432">
        <f t="shared" si="8"/>
        <v>16503256</v>
      </c>
      <c r="E107" s="431">
        <v>2136554</v>
      </c>
      <c r="F107" s="431">
        <v>677527</v>
      </c>
      <c r="G107" s="431">
        <v>594100</v>
      </c>
      <c r="H107" s="431">
        <v>0</v>
      </c>
      <c r="I107" s="431">
        <v>2542670</v>
      </c>
      <c r="J107" s="431">
        <v>200000</v>
      </c>
      <c r="K107" s="431">
        <v>892220</v>
      </c>
      <c r="L107" s="431">
        <v>0</v>
      </c>
      <c r="M107" s="431">
        <v>10527262</v>
      </c>
      <c r="N107" s="431">
        <v>204550</v>
      </c>
      <c r="O107" s="431">
        <v>0</v>
      </c>
      <c r="P107" s="432">
        <f t="shared" si="11"/>
        <v>16666135</v>
      </c>
      <c r="Q107" s="431">
        <v>2586059</v>
      </c>
      <c r="R107" s="431">
        <v>1399958</v>
      </c>
      <c r="S107" s="431">
        <v>0</v>
      </c>
      <c r="T107" s="431">
        <v>0</v>
      </c>
      <c r="U107" s="431">
        <v>0</v>
      </c>
      <c r="V107" s="431">
        <v>0</v>
      </c>
      <c r="W107" s="431">
        <v>528911</v>
      </c>
      <c r="X107" s="431">
        <v>553713</v>
      </c>
      <c r="Y107" s="431">
        <v>19731</v>
      </c>
      <c r="Z107" s="431">
        <v>11577763</v>
      </c>
      <c r="AA107" s="431">
        <v>0</v>
      </c>
      <c r="AB107" s="431">
        <v>0</v>
      </c>
      <c r="AC107" s="431">
        <v>978376</v>
      </c>
      <c r="AD107" s="431">
        <v>0</v>
      </c>
      <c r="AE107" s="431">
        <v>2309847</v>
      </c>
      <c r="AF107" s="431">
        <v>0</v>
      </c>
      <c r="AG107" s="431">
        <v>38798</v>
      </c>
      <c r="AH107" s="431">
        <v>589905</v>
      </c>
      <c r="AI107" s="431">
        <v>1160471</v>
      </c>
      <c r="AJ107" s="431">
        <v>208217</v>
      </c>
      <c r="AK107" s="431">
        <v>0</v>
      </c>
      <c r="AL107" s="431">
        <v>11362403</v>
      </c>
      <c r="AM107" s="431">
        <v>18118</v>
      </c>
    </row>
    <row r="108" spans="1:39" s="155" customFormat="1" ht="12" x14ac:dyDescent="0.2">
      <c r="A108" s="168">
        <v>54</v>
      </c>
      <c r="B108" s="535">
        <v>48842</v>
      </c>
      <c r="C108" s="268" t="s">
        <v>2718</v>
      </c>
      <c r="D108" s="432">
        <f t="shared" si="8"/>
        <v>8763811</v>
      </c>
      <c r="E108" s="431">
        <v>2094094</v>
      </c>
      <c r="F108" s="431">
        <v>457517</v>
      </c>
      <c r="G108" s="431">
        <v>499776</v>
      </c>
      <c r="H108" s="431">
        <v>0</v>
      </c>
      <c r="I108" s="431">
        <v>1699210</v>
      </c>
      <c r="J108" s="431">
        <v>200000</v>
      </c>
      <c r="K108" s="431">
        <v>936920</v>
      </c>
      <c r="L108" s="431">
        <v>0</v>
      </c>
      <c r="M108" s="431">
        <v>1011586</v>
      </c>
      <c r="N108" s="431">
        <v>2822001</v>
      </c>
      <c r="O108" s="431">
        <v>0</v>
      </c>
      <c r="P108" s="432">
        <f t="shared" si="11"/>
        <v>6858945</v>
      </c>
      <c r="Q108" s="431">
        <v>1835482</v>
      </c>
      <c r="R108" s="431">
        <v>1170850</v>
      </c>
      <c r="S108" s="431">
        <v>0</v>
      </c>
      <c r="T108" s="431">
        <v>0</v>
      </c>
      <c r="U108" s="431">
        <v>0</v>
      </c>
      <c r="V108" s="431">
        <v>0</v>
      </c>
      <c r="W108" s="431">
        <v>2111914</v>
      </c>
      <c r="X108" s="431">
        <v>348572</v>
      </c>
      <c r="Y108" s="431">
        <v>25000</v>
      </c>
      <c r="Z108" s="431">
        <v>1367127</v>
      </c>
      <c r="AA108" s="431">
        <v>0</v>
      </c>
      <c r="AB108" s="431">
        <v>0</v>
      </c>
      <c r="AC108" s="431">
        <v>668484</v>
      </c>
      <c r="AD108" s="431">
        <v>341333</v>
      </c>
      <c r="AE108" s="431">
        <v>1485204</v>
      </c>
      <c r="AF108" s="431">
        <v>0</v>
      </c>
      <c r="AG108" s="431">
        <v>48979</v>
      </c>
      <c r="AH108" s="431">
        <v>361347</v>
      </c>
      <c r="AI108" s="431">
        <v>330358</v>
      </c>
      <c r="AJ108" s="431">
        <v>185451</v>
      </c>
      <c r="AK108" s="431">
        <v>0</v>
      </c>
      <c r="AL108" s="431">
        <v>3365843</v>
      </c>
      <c r="AM108" s="431">
        <v>71946</v>
      </c>
    </row>
    <row r="109" spans="1:39" s="155" customFormat="1" ht="12" x14ac:dyDescent="0.2">
      <c r="A109" s="168">
        <v>55</v>
      </c>
      <c r="B109" s="535">
        <v>48922</v>
      </c>
      <c r="C109" s="268" t="s">
        <v>2719</v>
      </c>
      <c r="D109" s="432">
        <f t="shared" si="8"/>
        <v>2266848</v>
      </c>
      <c r="E109" s="431">
        <v>461884</v>
      </c>
      <c r="F109" s="431">
        <v>60054</v>
      </c>
      <c r="G109" s="431">
        <v>306659</v>
      </c>
      <c r="H109" s="431">
        <v>0</v>
      </c>
      <c r="I109" s="431">
        <v>825772</v>
      </c>
      <c r="J109" s="431">
        <v>150000</v>
      </c>
      <c r="K109" s="431">
        <v>802630</v>
      </c>
      <c r="L109" s="431">
        <v>0</v>
      </c>
      <c r="M109" s="431">
        <v>26562</v>
      </c>
      <c r="N109" s="431">
        <v>0</v>
      </c>
      <c r="O109" s="431">
        <v>0</v>
      </c>
      <c r="P109" s="432">
        <f t="shared" si="11"/>
        <v>1844383</v>
      </c>
      <c r="Q109" s="431">
        <v>1079305</v>
      </c>
      <c r="R109" s="431">
        <v>551254</v>
      </c>
      <c r="S109" s="431">
        <v>0</v>
      </c>
      <c r="T109" s="431">
        <v>0</v>
      </c>
      <c r="U109" s="431">
        <v>0</v>
      </c>
      <c r="V109" s="431">
        <v>0</v>
      </c>
      <c r="W109" s="431">
        <v>0</v>
      </c>
      <c r="X109" s="431">
        <v>100538</v>
      </c>
      <c r="Y109" s="431">
        <v>0</v>
      </c>
      <c r="Z109" s="431">
        <v>113286</v>
      </c>
      <c r="AA109" s="431">
        <v>0</v>
      </c>
      <c r="AB109" s="431">
        <v>0</v>
      </c>
      <c r="AC109" s="431">
        <v>451530</v>
      </c>
      <c r="AD109" s="431">
        <v>0</v>
      </c>
      <c r="AE109" s="431">
        <v>790354</v>
      </c>
      <c r="AF109" s="431">
        <v>19213</v>
      </c>
      <c r="AG109" s="431">
        <v>103471</v>
      </c>
      <c r="AH109" s="431">
        <v>170553</v>
      </c>
      <c r="AI109" s="431">
        <v>46799</v>
      </c>
      <c r="AJ109" s="431">
        <v>13920</v>
      </c>
      <c r="AK109" s="431">
        <v>0</v>
      </c>
      <c r="AL109" s="431">
        <v>235007</v>
      </c>
      <c r="AM109" s="431">
        <v>13536</v>
      </c>
    </row>
    <row r="110" spans="1:39" s="155" customFormat="1" ht="12" x14ac:dyDescent="0.2">
      <c r="A110" s="168">
        <v>56</v>
      </c>
      <c r="B110" s="535">
        <v>48968</v>
      </c>
      <c r="C110" s="268" t="s">
        <v>2650</v>
      </c>
      <c r="D110" s="432">
        <f t="shared" si="8"/>
        <v>4360057</v>
      </c>
      <c r="E110" s="431">
        <v>872897</v>
      </c>
      <c r="F110" s="431">
        <v>260518</v>
      </c>
      <c r="G110" s="431">
        <v>299844</v>
      </c>
      <c r="H110" s="431">
        <v>0</v>
      </c>
      <c r="I110" s="431">
        <v>2383298</v>
      </c>
      <c r="J110" s="431">
        <v>149996</v>
      </c>
      <c r="K110" s="431">
        <v>876960</v>
      </c>
      <c r="L110" s="431">
        <v>0</v>
      </c>
      <c r="M110" s="431">
        <v>76906</v>
      </c>
      <c r="N110" s="431">
        <v>0</v>
      </c>
      <c r="O110" s="431">
        <v>0</v>
      </c>
      <c r="P110" s="432">
        <f t="shared" si="11"/>
        <v>4433196</v>
      </c>
      <c r="Q110" s="431">
        <v>2479486</v>
      </c>
      <c r="R110" s="431">
        <v>1263412</v>
      </c>
      <c r="S110" s="431">
        <v>0</v>
      </c>
      <c r="T110" s="431">
        <v>0</v>
      </c>
      <c r="U110" s="431">
        <v>0</v>
      </c>
      <c r="V110" s="431">
        <v>0</v>
      </c>
      <c r="W110" s="431">
        <v>0</v>
      </c>
      <c r="X110" s="431">
        <v>383295</v>
      </c>
      <c r="Y110" s="431">
        <v>51967</v>
      </c>
      <c r="Z110" s="431">
        <v>304698</v>
      </c>
      <c r="AA110" s="431">
        <v>0</v>
      </c>
      <c r="AB110" s="431">
        <v>-49662</v>
      </c>
      <c r="AC110" s="431">
        <v>591403</v>
      </c>
      <c r="AD110" s="431">
        <v>0</v>
      </c>
      <c r="AE110" s="431">
        <v>2095290</v>
      </c>
      <c r="AF110" s="431">
        <v>34519</v>
      </c>
      <c r="AG110" s="431">
        <v>123018</v>
      </c>
      <c r="AH110" s="431">
        <v>529267</v>
      </c>
      <c r="AI110" s="431">
        <v>665482</v>
      </c>
      <c r="AJ110" s="431">
        <v>51584</v>
      </c>
      <c r="AK110" s="431">
        <v>0</v>
      </c>
      <c r="AL110" s="431">
        <v>149996</v>
      </c>
      <c r="AM110" s="431">
        <v>192637</v>
      </c>
    </row>
    <row r="111" spans="1:39" s="155" customFormat="1" ht="12" x14ac:dyDescent="0.2">
      <c r="A111" s="168">
        <v>57</v>
      </c>
      <c r="B111" s="535">
        <v>49019</v>
      </c>
      <c r="C111" s="268" t="s">
        <v>2720</v>
      </c>
      <c r="D111" s="432">
        <f t="shared" si="8"/>
        <v>3124249</v>
      </c>
      <c r="E111" s="431">
        <v>698355</v>
      </c>
      <c r="F111" s="431">
        <v>79411</v>
      </c>
      <c r="G111" s="431">
        <v>377726</v>
      </c>
      <c r="H111" s="431">
        <v>0</v>
      </c>
      <c r="I111" s="431">
        <v>612418</v>
      </c>
      <c r="J111" s="431">
        <v>150000</v>
      </c>
      <c r="K111" s="431">
        <v>914930</v>
      </c>
      <c r="L111" s="431">
        <v>0</v>
      </c>
      <c r="M111" s="431">
        <v>733810</v>
      </c>
      <c r="N111" s="431">
        <v>0</v>
      </c>
      <c r="O111" s="431">
        <v>14736</v>
      </c>
      <c r="P111" s="432">
        <f t="shared" si="11"/>
        <v>2344576</v>
      </c>
      <c r="Q111" s="431">
        <v>679167</v>
      </c>
      <c r="R111" s="431">
        <v>315473</v>
      </c>
      <c r="S111" s="431">
        <v>0</v>
      </c>
      <c r="T111" s="431">
        <v>0</v>
      </c>
      <c r="U111" s="431">
        <v>0</v>
      </c>
      <c r="V111" s="431">
        <v>0</v>
      </c>
      <c r="W111" s="431">
        <v>0</v>
      </c>
      <c r="X111" s="431">
        <v>198133</v>
      </c>
      <c r="Y111" s="431">
        <v>6224</v>
      </c>
      <c r="Z111" s="431">
        <v>1145579</v>
      </c>
      <c r="AA111" s="431">
        <v>0</v>
      </c>
      <c r="AB111" s="431">
        <v>0</v>
      </c>
      <c r="AC111" s="431">
        <v>359024</v>
      </c>
      <c r="AD111" s="431">
        <v>4052</v>
      </c>
      <c r="AE111" s="431">
        <v>787930</v>
      </c>
      <c r="AF111" s="431">
        <v>20338</v>
      </c>
      <c r="AG111" s="431">
        <v>6516</v>
      </c>
      <c r="AH111" s="431">
        <v>198133</v>
      </c>
      <c r="AI111" s="431">
        <v>755796</v>
      </c>
      <c r="AJ111" s="431">
        <v>741</v>
      </c>
      <c r="AK111" s="431">
        <v>0</v>
      </c>
      <c r="AL111" s="431">
        <v>212046</v>
      </c>
      <c r="AM111" s="431">
        <v>0</v>
      </c>
    </row>
    <row r="112" spans="1:39" s="155" customFormat="1" ht="12" x14ac:dyDescent="0.2">
      <c r="A112" s="168">
        <v>58</v>
      </c>
      <c r="B112" s="535">
        <v>49046</v>
      </c>
      <c r="C112" s="268" t="s">
        <v>2721</v>
      </c>
      <c r="D112" s="432">
        <f t="shared" si="8"/>
        <v>4691741</v>
      </c>
      <c r="E112" s="431">
        <v>1794914</v>
      </c>
      <c r="F112" s="431">
        <v>333356</v>
      </c>
      <c r="G112" s="431">
        <v>373004</v>
      </c>
      <c r="H112" s="431">
        <v>0</v>
      </c>
      <c r="I112" s="431">
        <v>1780698</v>
      </c>
      <c r="J112" s="431">
        <v>200000</v>
      </c>
      <c r="K112" s="431">
        <v>617130</v>
      </c>
      <c r="L112" s="431">
        <v>0</v>
      </c>
      <c r="M112" s="431">
        <v>106433</v>
      </c>
      <c r="N112" s="431">
        <v>189566</v>
      </c>
      <c r="O112" s="431">
        <v>3000</v>
      </c>
      <c r="P112" s="432">
        <f t="shared" si="11"/>
        <v>4806314</v>
      </c>
      <c r="Q112" s="431">
        <v>1866665</v>
      </c>
      <c r="R112" s="431">
        <v>1093333</v>
      </c>
      <c r="S112" s="431">
        <v>0</v>
      </c>
      <c r="T112" s="431">
        <v>0</v>
      </c>
      <c r="U112" s="431">
        <v>0</v>
      </c>
      <c r="V112" s="431">
        <v>0</v>
      </c>
      <c r="W112" s="431">
        <v>313720</v>
      </c>
      <c r="X112" s="431">
        <v>496627</v>
      </c>
      <c r="Y112" s="431">
        <v>0</v>
      </c>
      <c r="Z112" s="431">
        <v>1050306</v>
      </c>
      <c r="AA112" s="431">
        <v>0</v>
      </c>
      <c r="AB112" s="431">
        <v>-14337</v>
      </c>
      <c r="AC112" s="431">
        <v>780552</v>
      </c>
      <c r="AD112" s="431">
        <v>365046</v>
      </c>
      <c r="AE112" s="431">
        <v>1475864</v>
      </c>
      <c r="AF112" s="431">
        <v>0</v>
      </c>
      <c r="AG112" s="431">
        <v>122497</v>
      </c>
      <c r="AH112" s="431">
        <v>496627</v>
      </c>
      <c r="AI112" s="431">
        <v>195518</v>
      </c>
      <c r="AJ112" s="431">
        <v>125762</v>
      </c>
      <c r="AK112" s="431">
        <v>0</v>
      </c>
      <c r="AL112" s="431">
        <v>1111263</v>
      </c>
      <c r="AM112" s="431">
        <v>133185</v>
      </c>
    </row>
    <row r="113" spans="1:39" s="155" customFormat="1" ht="12" x14ac:dyDescent="0.2">
      <c r="A113" s="168">
        <v>59</v>
      </c>
      <c r="B113" s="535">
        <v>49073</v>
      </c>
      <c r="C113" s="268" t="s">
        <v>2722</v>
      </c>
      <c r="D113" s="432">
        <f t="shared" si="8"/>
        <v>10854888</v>
      </c>
      <c r="E113" s="431">
        <v>1992513</v>
      </c>
      <c r="F113" s="431">
        <v>393936</v>
      </c>
      <c r="G113" s="431">
        <v>574279</v>
      </c>
      <c r="H113" s="431">
        <v>0</v>
      </c>
      <c r="I113" s="431">
        <v>2224657</v>
      </c>
      <c r="J113" s="431">
        <v>200000</v>
      </c>
      <c r="K113" s="431">
        <v>878670</v>
      </c>
      <c r="L113" s="431">
        <v>0</v>
      </c>
      <c r="M113" s="431">
        <v>5121049</v>
      </c>
      <c r="N113" s="431">
        <v>437999</v>
      </c>
      <c r="O113" s="431">
        <v>0</v>
      </c>
      <c r="P113" s="432">
        <f t="shared" si="11"/>
        <v>10797443</v>
      </c>
      <c r="Q113" s="431">
        <v>2427577</v>
      </c>
      <c r="R113" s="431">
        <v>1634136</v>
      </c>
      <c r="S113" s="431">
        <v>0</v>
      </c>
      <c r="T113" s="431">
        <v>0</v>
      </c>
      <c r="U113" s="431">
        <v>0</v>
      </c>
      <c r="V113" s="431">
        <v>0</v>
      </c>
      <c r="W113" s="431">
        <v>551940</v>
      </c>
      <c r="X113" s="431">
        <v>422571</v>
      </c>
      <c r="Y113" s="431">
        <v>60072</v>
      </c>
      <c r="Z113" s="431">
        <v>5712762</v>
      </c>
      <c r="AA113" s="431">
        <v>0</v>
      </c>
      <c r="AB113" s="431">
        <v>-11615</v>
      </c>
      <c r="AC113" s="431">
        <v>1022741</v>
      </c>
      <c r="AD113" s="431">
        <v>87899</v>
      </c>
      <c r="AE113" s="431">
        <v>1882576</v>
      </c>
      <c r="AF113" s="431">
        <v>45663</v>
      </c>
      <c r="AG113" s="431">
        <v>211971</v>
      </c>
      <c r="AH113" s="431">
        <v>686859</v>
      </c>
      <c r="AI113" s="431">
        <v>2475026</v>
      </c>
      <c r="AJ113" s="431">
        <v>3870497</v>
      </c>
      <c r="AK113" s="431">
        <v>0</v>
      </c>
      <c r="AL113" s="431">
        <v>485146</v>
      </c>
      <c r="AM113" s="431">
        <v>29065</v>
      </c>
    </row>
    <row r="114" spans="1:39" s="155" customFormat="1" ht="12" x14ac:dyDescent="0.2">
      <c r="A114" s="168">
        <v>60</v>
      </c>
      <c r="B114" s="535">
        <v>49153</v>
      </c>
      <c r="C114" s="268" t="s">
        <v>2723</v>
      </c>
      <c r="D114" s="432">
        <f t="shared" si="8"/>
        <v>4297398</v>
      </c>
      <c r="E114" s="431">
        <v>1559376</v>
      </c>
      <c r="F114" s="431">
        <v>363110</v>
      </c>
      <c r="G114" s="431">
        <v>259560</v>
      </c>
      <c r="H114" s="431">
        <v>0</v>
      </c>
      <c r="I114" s="431">
        <v>1724116</v>
      </c>
      <c r="J114" s="431">
        <v>150000</v>
      </c>
      <c r="K114" s="431">
        <v>575770</v>
      </c>
      <c r="L114" s="431">
        <v>0</v>
      </c>
      <c r="M114" s="431">
        <v>163634</v>
      </c>
      <c r="N114" s="431">
        <v>121502</v>
      </c>
      <c r="O114" s="431">
        <v>3000</v>
      </c>
      <c r="P114" s="432">
        <f t="shared" si="11"/>
        <v>4067610</v>
      </c>
      <c r="Q114" s="431">
        <v>1875424</v>
      </c>
      <c r="R114" s="431">
        <v>768238</v>
      </c>
      <c r="S114" s="431">
        <v>0</v>
      </c>
      <c r="T114" s="431">
        <v>0</v>
      </c>
      <c r="U114" s="431">
        <v>0</v>
      </c>
      <c r="V114" s="431">
        <v>0</v>
      </c>
      <c r="W114" s="431">
        <v>229474</v>
      </c>
      <c r="X114" s="431">
        <v>356049</v>
      </c>
      <c r="Y114" s="431">
        <v>87756</v>
      </c>
      <c r="Z114" s="431">
        <v>750669</v>
      </c>
      <c r="AA114" s="431">
        <v>0</v>
      </c>
      <c r="AB114" s="431">
        <v>0</v>
      </c>
      <c r="AC114" s="431">
        <v>785172</v>
      </c>
      <c r="AD114" s="431">
        <v>177518</v>
      </c>
      <c r="AE114" s="431">
        <v>1518825</v>
      </c>
      <c r="AF114" s="431">
        <v>131548</v>
      </c>
      <c r="AG114" s="431">
        <v>82103</v>
      </c>
      <c r="AH114" s="431">
        <v>491834</v>
      </c>
      <c r="AI114" s="431">
        <v>260344</v>
      </c>
      <c r="AJ114" s="431">
        <v>262071</v>
      </c>
      <c r="AK114" s="431">
        <v>0</v>
      </c>
      <c r="AL114" s="431">
        <v>358195</v>
      </c>
      <c r="AM114" s="431">
        <v>0</v>
      </c>
    </row>
    <row r="115" spans="1:39" s="155" customFormat="1" ht="12" x14ac:dyDescent="0.2">
      <c r="A115" s="168">
        <v>61</v>
      </c>
      <c r="B115" s="535">
        <v>49206</v>
      </c>
      <c r="C115" s="268" t="s">
        <v>2724</v>
      </c>
      <c r="D115" s="432">
        <f t="shared" si="8"/>
        <v>3780122</v>
      </c>
      <c r="E115" s="431">
        <v>1599596</v>
      </c>
      <c r="F115" s="431">
        <v>721598</v>
      </c>
      <c r="G115" s="431">
        <v>156990</v>
      </c>
      <c r="H115" s="431">
        <v>0</v>
      </c>
      <c r="I115" s="431">
        <v>1444487</v>
      </c>
      <c r="J115" s="431">
        <v>150000</v>
      </c>
      <c r="K115" s="431">
        <v>526570</v>
      </c>
      <c r="L115" s="431">
        <v>0</v>
      </c>
      <c r="M115" s="431">
        <v>43502</v>
      </c>
      <c r="N115" s="431">
        <v>0</v>
      </c>
      <c r="O115" s="431">
        <v>15967</v>
      </c>
      <c r="P115" s="432">
        <f t="shared" si="11"/>
        <v>3630247</v>
      </c>
      <c r="Q115" s="431">
        <v>1696714</v>
      </c>
      <c r="R115" s="431">
        <v>1153057</v>
      </c>
      <c r="S115" s="431">
        <v>0</v>
      </c>
      <c r="T115" s="431">
        <v>0</v>
      </c>
      <c r="U115" s="431">
        <v>0</v>
      </c>
      <c r="V115" s="431">
        <v>0</v>
      </c>
      <c r="W115" s="431">
        <v>0</v>
      </c>
      <c r="X115" s="431">
        <v>320655</v>
      </c>
      <c r="Y115" s="431">
        <v>118232</v>
      </c>
      <c r="Z115" s="431">
        <v>342634</v>
      </c>
      <c r="AA115" s="431">
        <v>0</v>
      </c>
      <c r="AB115" s="431">
        <v>-1045</v>
      </c>
      <c r="AC115" s="431">
        <v>768523</v>
      </c>
      <c r="AD115" s="431">
        <v>52985</v>
      </c>
      <c r="AE115" s="431">
        <v>1288749</v>
      </c>
      <c r="AF115" s="431">
        <v>97708</v>
      </c>
      <c r="AG115" s="431">
        <v>154770</v>
      </c>
      <c r="AH115" s="431">
        <v>334070</v>
      </c>
      <c r="AI115" s="431">
        <v>501181</v>
      </c>
      <c r="AJ115" s="431">
        <v>178700</v>
      </c>
      <c r="AK115" s="431">
        <v>0</v>
      </c>
      <c r="AL115" s="431">
        <v>231219</v>
      </c>
      <c r="AM115" s="431">
        <v>22342</v>
      </c>
    </row>
    <row r="116" spans="1:39" s="155" customFormat="1" ht="12" x14ac:dyDescent="0.2">
      <c r="A116" s="168">
        <v>62</v>
      </c>
      <c r="B116" s="535">
        <v>49233</v>
      </c>
      <c r="C116" s="268" t="s">
        <v>2293</v>
      </c>
      <c r="D116" s="432">
        <f t="shared" si="8"/>
        <v>2794443</v>
      </c>
      <c r="E116" s="431">
        <v>605202</v>
      </c>
      <c r="F116" s="431">
        <v>57916</v>
      </c>
      <c r="G116" s="431">
        <v>423481</v>
      </c>
      <c r="H116" s="431">
        <v>0</v>
      </c>
      <c r="I116" s="431">
        <v>989031</v>
      </c>
      <c r="J116" s="431">
        <v>150000</v>
      </c>
      <c r="K116" s="431">
        <v>1063670</v>
      </c>
      <c r="L116" s="431">
        <v>0</v>
      </c>
      <c r="M116" s="431">
        <v>-33652</v>
      </c>
      <c r="N116" s="431">
        <v>0</v>
      </c>
      <c r="O116" s="431">
        <v>20192</v>
      </c>
      <c r="P116" s="432">
        <f t="shared" si="11"/>
        <v>2689368</v>
      </c>
      <c r="Q116" s="431">
        <v>1067250</v>
      </c>
      <c r="R116" s="431">
        <v>976983</v>
      </c>
      <c r="S116" s="431">
        <v>0</v>
      </c>
      <c r="T116" s="431">
        <v>0</v>
      </c>
      <c r="U116" s="431">
        <v>5000</v>
      </c>
      <c r="V116" s="431">
        <v>0</v>
      </c>
      <c r="W116" s="431">
        <v>0</v>
      </c>
      <c r="X116" s="431">
        <v>256640</v>
      </c>
      <c r="Y116" s="431">
        <v>64180</v>
      </c>
      <c r="Z116" s="431">
        <v>319315</v>
      </c>
      <c r="AA116" s="431">
        <v>0</v>
      </c>
      <c r="AB116" s="431">
        <v>0</v>
      </c>
      <c r="AC116" s="431">
        <v>596308</v>
      </c>
      <c r="AD116" s="431">
        <v>39647</v>
      </c>
      <c r="AE116" s="431">
        <v>923975</v>
      </c>
      <c r="AF116" s="431">
        <v>22156</v>
      </c>
      <c r="AG116" s="431">
        <v>31871</v>
      </c>
      <c r="AH116" s="431">
        <v>256640</v>
      </c>
      <c r="AI116" s="431">
        <v>343600</v>
      </c>
      <c r="AJ116" s="431">
        <v>29791</v>
      </c>
      <c r="AK116" s="431">
        <v>0</v>
      </c>
      <c r="AL116" s="431">
        <v>445380</v>
      </c>
      <c r="AM116" s="431">
        <v>0</v>
      </c>
    </row>
    <row r="117" spans="1:39" s="155" customFormat="1" ht="12" x14ac:dyDescent="0.2">
      <c r="A117" s="168">
        <v>63</v>
      </c>
      <c r="B117" s="535">
        <v>49313</v>
      </c>
      <c r="C117" s="268" t="s">
        <v>2725</v>
      </c>
      <c r="D117" s="432">
        <f t="shared" si="8"/>
        <v>3902321</v>
      </c>
      <c r="E117" s="431">
        <v>1011783</v>
      </c>
      <c r="F117" s="431">
        <v>225689</v>
      </c>
      <c r="G117" s="431">
        <v>296924</v>
      </c>
      <c r="H117" s="431">
        <v>0</v>
      </c>
      <c r="I117" s="431">
        <v>1565734</v>
      </c>
      <c r="J117" s="431">
        <v>150000</v>
      </c>
      <c r="K117" s="431">
        <v>913000</v>
      </c>
      <c r="L117" s="431">
        <v>0</v>
      </c>
      <c r="M117" s="431">
        <v>124161</v>
      </c>
      <c r="N117" s="431">
        <v>110139</v>
      </c>
      <c r="O117" s="431">
        <v>27504</v>
      </c>
      <c r="P117" s="432">
        <f t="shared" si="11"/>
        <v>3296859</v>
      </c>
      <c r="Q117" s="431">
        <v>1849001</v>
      </c>
      <c r="R117" s="431">
        <v>902087</v>
      </c>
      <c r="S117" s="431">
        <v>0</v>
      </c>
      <c r="T117" s="431">
        <v>0</v>
      </c>
      <c r="U117" s="431">
        <v>0</v>
      </c>
      <c r="V117" s="431">
        <v>0</v>
      </c>
      <c r="W117" s="431">
        <v>0</v>
      </c>
      <c r="X117" s="431">
        <v>287868</v>
      </c>
      <c r="Y117" s="431">
        <v>36900</v>
      </c>
      <c r="Z117" s="431">
        <v>221008</v>
      </c>
      <c r="AA117" s="431">
        <v>0</v>
      </c>
      <c r="AB117" s="431">
        <v>-5</v>
      </c>
      <c r="AC117" s="431">
        <v>669971</v>
      </c>
      <c r="AD117" s="431">
        <v>63249</v>
      </c>
      <c r="AE117" s="431">
        <v>1382737</v>
      </c>
      <c r="AF117" s="431">
        <v>26271</v>
      </c>
      <c r="AG117" s="431">
        <v>82907</v>
      </c>
      <c r="AH117" s="431">
        <v>383975</v>
      </c>
      <c r="AI117" s="431">
        <v>115311</v>
      </c>
      <c r="AJ117" s="431">
        <v>564</v>
      </c>
      <c r="AK117" s="431">
        <v>0</v>
      </c>
      <c r="AL117" s="431">
        <v>558070</v>
      </c>
      <c r="AM117" s="431">
        <v>13804</v>
      </c>
    </row>
    <row r="118" spans="1:39" s="155" customFormat="1" ht="12" x14ac:dyDescent="0.2">
      <c r="A118" s="168">
        <v>64</v>
      </c>
      <c r="B118" s="535">
        <v>49439</v>
      </c>
      <c r="C118" s="268" t="s">
        <v>2726</v>
      </c>
      <c r="D118" s="432">
        <f t="shared" ref="D118:D143" si="12">E118+SUM(H118:O118)</f>
        <v>2987279</v>
      </c>
      <c r="E118" s="431">
        <v>936941</v>
      </c>
      <c r="F118" s="431">
        <v>219650</v>
      </c>
      <c r="G118" s="431">
        <v>182048</v>
      </c>
      <c r="H118" s="431">
        <v>0</v>
      </c>
      <c r="I118" s="431">
        <v>1249776</v>
      </c>
      <c r="J118" s="431">
        <v>200000</v>
      </c>
      <c r="K118" s="431">
        <v>546170</v>
      </c>
      <c r="L118" s="431">
        <v>0</v>
      </c>
      <c r="M118" s="431">
        <v>29392</v>
      </c>
      <c r="N118" s="431">
        <v>0</v>
      </c>
      <c r="O118" s="431">
        <v>25000</v>
      </c>
      <c r="P118" s="432">
        <f t="shared" si="11"/>
        <v>2350939</v>
      </c>
      <c r="Q118" s="431">
        <v>1372245</v>
      </c>
      <c r="R118" s="431">
        <v>663630</v>
      </c>
      <c r="S118" s="431">
        <v>0</v>
      </c>
      <c r="T118" s="431">
        <v>0</v>
      </c>
      <c r="U118" s="431">
        <v>0</v>
      </c>
      <c r="V118" s="431">
        <v>0</v>
      </c>
      <c r="W118" s="431">
        <v>0</v>
      </c>
      <c r="X118" s="431">
        <v>207773</v>
      </c>
      <c r="Y118" s="431">
        <v>3000</v>
      </c>
      <c r="Z118" s="431">
        <v>112241</v>
      </c>
      <c r="AA118" s="431">
        <v>0</v>
      </c>
      <c r="AB118" s="431">
        <v>-7950</v>
      </c>
      <c r="AC118" s="431">
        <v>735773</v>
      </c>
      <c r="AD118" s="431">
        <v>7624</v>
      </c>
      <c r="AE118" s="431">
        <v>1180605</v>
      </c>
      <c r="AF118" s="431">
        <v>11745</v>
      </c>
      <c r="AG118" s="431">
        <v>0</v>
      </c>
      <c r="AH118" s="431">
        <v>245613</v>
      </c>
      <c r="AI118" s="431">
        <v>32192</v>
      </c>
      <c r="AJ118" s="431">
        <v>9971</v>
      </c>
      <c r="AK118" s="431">
        <v>0</v>
      </c>
      <c r="AL118" s="431">
        <v>127416</v>
      </c>
      <c r="AM118" s="431">
        <v>0</v>
      </c>
    </row>
    <row r="119" spans="1:39" s="155" customFormat="1" ht="12" x14ac:dyDescent="0.2">
      <c r="A119" s="168">
        <v>65</v>
      </c>
      <c r="B119" s="535">
        <v>49484</v>
      </c>
      <c r="C119" s="268" t="s">
        <v>2727</v>
      </c>
      <c r="D119" s="432">
        <f t="shared" si="12"/>
        <v>4772655</v>
      </c>
      <c r="E119" s="431">
        <v>1340698</v>
      </c>
      <c r="F119" s="431">
        <v>520715</v>
      </c>
      <c r="G119" s="431">
        <v>123987</v>
      </c>
      <c r="H119" s="431">
        <v>0</v>
      </c>
      <c r="I119" s="431">
        <v>1910000</v>
      </c>
      <c r="J119" s="431">
        <v>200000</v>
      </c>
      <c r="K119" s="431">
        <v>750460</v>
      </c>
      <c r="L119" s="431">
        <v>0</v>
      </c>
      <c r="M119" s="431">
        <v>134294</v>
      </c>
      <c r="N119" s="431">
        <v>324853</v>
      </c>
      <c r="O119" s="431">
        <v>112350</v>
      </c>
      <c r="P119" s="432">
        <f t="shared" si="11"/>
        <v>4102926</v>
      </c>
      <c r="Q119" s="431">
        <v>2240866</v>
      </c>
      <c r="R119" s="431">
        <v>805133</v>
      </c>
      <c r="S119" s="431">
        <v>0</v>
      </c>
      <c r="T119" s="431">
        <v>0</v>
      </c>
      <c r="U119" s="431">
        <v>0</v>
      </c>
      <c r="V119" s="431">
        <v>0</v>
      </c>
      <c r="W119" s="431">
        <v>0</v>
      </c>
      <c r="X119" s="431">
        <v>175998</v>
      </c>
      <c r="Y119" s="431">
        <v>15563</v>
      </c>
      <c r="Z119" s="431">
        <v>865366</v>
      </c>
      <c r="AA119" s="431">
        <v>0</v>
      </c>
      <c r="AB119" s="431">
        <v>0</v>
      </c>
      <c r="AC119" s="431">
        <v>818487</v>
      </c>
      <c r="AD119" s="431">
        <v>77660</v>
      </c>
      <c r="AE119" s="431">
        <v>1605320</v>
      </c>
      <c r="AF119" s="431">
        <v>7270</v>
      </c>
      <c r="AG119" s="431">
        <v>326357</v>
      </c>
      <c r="AH119" s="431">
        <v>472894</v>
      </c>
      <c r="AI119" s="431">
        <v>125926</v>
      </c>
      <c r="AJ119" s="431">
        <v>50808</v>
      </c>
      <c r="AK119" s="431">
        <v>0</v>
      </c>
      <c r="AL119" s="431">
        <v>618204</v>
      </c>
      <c r="AM119" s="431">
        <v>0</v>
      </c>
    </row>
    <row r="120" spans="1:39" s="155" customFormat="1" ht="12" x14ac:dyDescent="0.2">
      <c r="A120" s="168">
        <v>66</v>
      </c>
      <c r="B120" s="535">
        <v>49545</v>
      </c>
      <c r="C120" s="268" t="s">
        <v>2728</v>
      </c>
      <c r="D120" s="432">
        <f t="shared" si="12"/>
        <v>8154177</v>
      </c>
      <c r="E120" s="431">
        <v>2202957</v>
      </c>
      <c r="F120" s="431">
        <v>761881</v>
      </c>
      <c r="G120" s="431">
        <v>475749</v>
      </c>
      <c r="H120" s="431">
        <v>0</v>
      </c>
      <c r="I120" s="431">
        <v>4197000</v>
      </c>
      <c r="J120" s="431">
        <v>200000</v>
      </c>
      <c r="K120" s="431">
        <v>813330</v>
      </c>
      <c r="L120" s="431">
        <v>0</v>
      </c>
      <c r="M120" s="431">
        <v>83333</v>
      </c>
      <c r="N120" s="431">
        <v>465265</v>
      </c>
      <c r="O120" s="431">
        <v>192292</v>
      </c>
      <c r="P120" s="432">
        <f t="shared" si="11"/>
        <v>7601581</v>
      </c>
      <c r="Q120" s="431">
        <v>4270471</v>
      </c>
      <c r="R120" s="431">
        <v>2032699</v>
      </c>
      <c r="S120" s="431">
        <v>0</v>
      </c>
      <c r="T120" s="431">
        <v>0</v>
      </c>
      <c r="U120" s="431">
        <v>96430</v>
      </c>
      <c r="V120" s="431">
        <v>0</v>
      </c>
      <c r="W120" s="431">
        <v>571561</v>
      </c>
      <c r="X120" s="431">
        <v>318035</v>
      </c>
      <c r="Y120" s="431">
        <v>0</v>
      </c>
      <c r="Z120" s="431">
        <v>312385</v>
      </c>
      <c r="AA120" s="431">
        <v>0</v>
      </c>
      <c r="AB120" s="431">
        <v>0</v>
      </c>
      <c r="AC120" s="431">
        <v>771253</v>
      </c>
      <c r="AD120" s="431">
        <v>0</v>
      </c>
      <c r="AE120" s="431">
        <v>3803372</v>
      </c>
      <c r="AF120" s="431">
        <v>667991</v>
      </c>
      <c r="AG120" s="431">
        <v>181255</v>
      </c>
      <c r="AH120" s="431">
        <v>666581</v>
      </c>
      <c r="AI120" s="431">
        <v>1213467</v>
      </c>
      <c r="AJ120" s="431">
        <v>32666</v>
      </c>
      <c r="AK120" s="431">
        <v>0</v>
      </c>
      <c r="AL120" s="431">
        <v>264996</v>
      </c>
      <c r="AM120" s="431">
        <v>0</v>
      </c>
    </row>
    <row r="121" spans="1:39" s="155" customFormat="1" ht="12" x14ac:dyDescent="0.2">
      <c r="A121" s="168">
        <v>67</v>
      </c>
      <c r="B121" s="535">
        <v>49625</v>
      </c>
      <c r="C121" s="268" t="s">
        <v>2729</v>
      </c>
      <c r="D121" s="432">
        <f t="shared" si="12"/>
        <v>3589692</v>
      </c>
      <c r="E121" s="431">
        <v>1023597</v>
      </c>
      <c r="F121" s="431">
        <v>337768</v>
      </c>
      <c r="G121" s="431">
        <v>228777</v>
      </c>
      <c r="H121" s="431">
        <v>0</v>
      </c>
      <c r="I121" s="431">
        <v>1310458</v>
      </c>
      <c r="J121" s="431">
        <v>150000</v>
      </c>
      <c r="K121" s="431">
        <v>677570</v>
      </c>
      <c r="L121" s="431">
        <v>0</v>
      </c>
      <c r="M121" s="431">
        <v>124931</v>
      </c>
      <c r="N121" s="431">
        <v>297136</v>
      </c>
      <c r="O121" s="431">
        <v>6000</v>
      </c>
      <c r="P121" s="432">
        <f t="shared" si="11"/>
        <v>3597555</v>
      </c>
      <c r="Q121" s="431">
        <v>1505864</v>
      </c>
      <c r="R121" s="431">
        <v>637372</v>
      </c>
      <c r="S121" s="431">
        <v>0</v>
      </c>
      <c r="T121" s="431">
        <v>0</v>
      </c>
      <c r="U121" s="431">
        <v>0</v>
      </c>
      <c r="V121" s="431">
        <v>0</v>
      </c>
      <c r="W121" s="431">
        <v>363885</v>
      </c>
      <c r="X121" s="431">
        <v>274907</v>
      </c>
      <c r="Y121" s="431">
        <v>20731</v>
      </c>
      <c r="Z121" s="431">
        <v>794796</v>
      </c>
      <c r="AA121" s="431">
        <v>0</v>
      </c>
      <c r="AB121" s="431">
        <v>0</v>
      </c>
      <c r="AC121" s="431">
        <v>688262</v>
      </c>
      <c r="AD121" s="431">
        <v>455254</v>
      </c>
      <c r="AE121" s="431">
        <v>1116742</v>
      </c>
      <c r="AF121" s="431">
        <v>30637</v>
      </c>
      <c r="AG121" s="431">
        <v>151925</v>
      </c>
      <c r="AH121" s="431">
        <v>274907</v>
      </c>
      <c r="AI121" s="431">
        <v>546987</v>
      </c>
      <c r="AJ121" s="431">
        <v>40850</v>
      </c>
      <c r="AK121" s="431">
        <v>0</v>
      </c>
      <c r="AL121" s="431">
        <v>291991</v>
      </c>
      <c r="AM121" s="431">
        <v>0</v>
      </c>
    </row>
    <row r="122" spans="1:39" s="155" customFormat="1" ht="12" x14ac:dyDescent="0.2">
      <c r="A122" s="168">
        <v>68</v>
      </c>
      <c r="B122" s="535">
        <v>49643</v>
      </c>
      <c r="C122" s="268" t="s">
        <v>2730</v>
      </c>
      <c r="D122" s="432">
        <f t="shared" si="12"/>
        <v>7303918</v>
      </c>
      <c r="E122" s="431">
        <v>1614992</v>
      </c>
      <c r="F122" s="431">
        <v>674119</v>
      </c>
      <c r="G122" s="431">
        <v>226480</v>
      </c>
      <c r="H122" s="431">
        <v>0</v>
      </c>
      <c r="I122" s="431">
        <v>2449097</v>
      </c>
      <c r="J122" s="431">
        <v>150000</v>
      </c>
      <c r="K122" s="431">
        <v>614200</v>
      </c>
      <c r="L122" s="431">
        <v>0</v>
      </c>
      <c r="M122" s="431">
        <v>1221619</v>
      </c>
      <c r="N122" s="431">
        <v>1188010</v>
      </c>
      <c r="O122" s="431">
        <v>66000</v>
      </c>
      <c r="P122" s="432">
        <f t="shared" si="11"/>
        <v>6283498</v>
      </c>
      <c r="Q122" s="431">
        <v>2625824</v>
      </c>
      <c r="R122" s="431">
        <v>1479190</v>
      </c>
      <c r="S122" s="431">
        <v>0</v>
      </c>
      <c r="T122" s="431">
        <v>0</v>
      </c>
      <c r="U122" s="431">
        <v>0</v>
      </c>
      <c r="V122" s="431">
        <v>0</v>
      </c>
      <c r="W122" s="431">
        <v>781926</v>
      </c>
      <c r="X122" s="431">
        <v>562128</v>
      </c>
      <c r="Y122" s="431">
        <v>14208</v>
      </c>
      <c r="Z122" s="431">
        <v>833426</v>
      </c>
      <c r="AA122" s="431">
        <v>0</v>
      </c>
      <c r="AB122" s="431">
        <v>-13204</v>
      </c>
      <c r="AC122" s="431">
        <v>1382309</v>
      </c>
      <c r="AD122" s="431">
        <v>0</v>
      </c>
      <c r="AE122" s="431">
        <v>1959348</v>
      </c>
      <c r="AF122" s="431">
        <v>47621</v>
      </c>
      <c r="AG122" s="431">
        <v>157279</v>
      </c>
      <c r="AH122" s="431">
        <v>774263</v>
      </c>
      <c r="AI122" s="431">
        <v>867743</v>
      </c>
      <c r="AJ122" s="431">
        <v>0</v>
      </c>
      <c r="AK122" s="431">
        <v>0</v>
      </c>
      <c r="AL122" s="431">
        <v>1038752</v>
      </c>
      <c r="AM122" s="431">
        <v>56183</v>
      </c>
    </row>
    <row r="123" spans="1:39" s="155" customFormat="1" ht="12" x14ac:dyDescent="0.2">
      <c r="A123" s="168">
        <v>69</v>
      </c>
      <c r="B123" s="535">
        <v>49769</v>
      </c>
      <c r="C123" s="268" t="s">
        <v>2731</v>
      </c>
      <c r="D123" s="432">
        <f t="shared" si="12"/>
        <v>4718408</v>
      </c>
      <c r="E123" s="431">
        <v>1785094</v>
      </c>
      <c r="F123" s="431">
        <v>390633</v>
      </c>
      <c r="G123" s="431">
        <v>278135</v>
      </c>
      <c r="H123" s="431">
        <v>0</v>
      </c>
      <c r="I123" s="431">
        <v>1986121</v>
      </c>
      <c r="J123" s="431">
        <v>150000</v>
      </c>
      <c r="K123" s="431">
        <v>737640</v>
      </c>
      <c r="L123" s="431">
        <v>0</v>
      </c>
      <c r="M123" s="431">
        <v>59553</v>
      </c>
      <c r="N123" s="431">
        <v>0</v>
      </c>
      <c r="O123" s="431">
        <v>0</v>
      </c>
      <c r="P123" s="432">
        <f t="shared" si="11"/>
        <v>4430370</v>
      </c>
      <c r="Q123" s="431">
        <v>2297196</v>
      </c>
      <c r="R123" s="431">
        <v>1216696</v>
      </c>
      <c r="S123" s="431">
        <v>0</v>
      </c>
      <c r="T123" s="431">
        <v>0</v>
      </c>
      <c r="U123" s="431">
        <v>0</v>
      </c>
      <c r="V123" s="431">
        <v>0</v>
      </c>
      <c r="W123" s="431">
        <v>186517</v>
      </c>
      <c r="X123" s="431">
        <v>307374</v>
      </c>
      <c r="Y123" s="431">
        <v>26000</v>
      </c>
      <c r="Z123" s="431">
        <v>396857</v>
      </c>
      <c r="AA123" s="431">
        <v>0</v>
      </c>
      <c r="AB123" s="431">
        <v>-270</v>
      </c>
      <c r="AC123" s="431">
        <v>1052708</v>
      </c>
      <c r="AD123" s="431">
        <v>10673</v>
      </c>
      <c r="AE123" s="431">
        <v>1815712</v>
      </c>
      <c r="AF123" s="431">
        <v>15691</v>
      </c>
      <c r="AG123" s="431">
        <v>86534</v>
      </c>
      <c r="AH123" s="431">
        <v>534692</v>
      </c>
      <c r="AI123" s="431">
        <v>187847</v>
      </c>
      <c r="AJ123" s="431">
        <v>169816</v>
      </c>
      <c r="AK123" s="431">
        <v>0</v>
      </c>
      <c r="AL123" s="431">
        <v>453431</v>
      </c>
      <c r="AM123" s="431">
        <v>103266</v>
      </c>
    </row>
    <row r="124" spans="1:39" s="155" customFormat="1" ht="12" x14ac:dyDescent="0.2">
      <c r="A124" s="168">
        <v>70</v>
      </c>
      <c r="B124" s="535">
        <v>49849</v>
      </c>
      <c r="C124" s="268" t="s">
        <v>2732</v>
      </c>
      <c r="D124" s="432">
        <f t="shared" si="12"/>
        <v>5714088</v>
      </c>
      <c r="E124" s="431">
        <v>2006951</v>
      </c>
      <c r="F124" s="431">
        <v>682530</v>
      </c>
      <c r="G124" s="431">
        <v>393078</v>
      </c>
      <c r="H124" s="431">
        <v>0</v>
      </c>
      <c r="I124" s="431">
        <v>2235646</v>
      </c>
      <c r="J124" s="431">
        <v>150000</v>
      </c>
      <c r="K124" s="431">
        <v>707840</v>
      </c>
      <c r="L124" s="431">
        <v>0</v>
      </c>
      <c r="M124" s="431">
        <v>377001</v>
      </c>
      <c r="N124" s="431">
        <v>227150</v>
      </c>
      <c r="O124" s="431">
        <v>9500</v>
      </c>
      <c r="P124" s="432">
        <f t="shared" si="11"/>
        <v>5210604</v>
      </c>
      <c r="Q124" s="431">
        <v>3048314</v>
      </c>
      <c r="R124" s="431">
        <v>1093249</v>
      </c>
      <c r="S124" s="431">
        <v>0</v>
      </c>
      <c r="T124" s="431">
        <v>0</v>
      </c>
      <c r="U124" s="431">
        <v>0</v>
      </c>
      <c r="V124" s="431">
        <v>0</v>
      </c>
      <c r="W124" s="431">
        <v>359600</v>
      </c>
      <c r="X124" s="431">
        <v>206229</v>
      </c>
      <c r="Y124" s="431">
        <v>119997</v>
      </c>
      <c r="Z124" s="431">
        <v>446932</v>
      </c>
      <c r="AA124" s="431">
        <v>0</v>
      </c>
      <c r="AB124" s="431">
        <v>-63717</v>
      </c>
      <c r="AC124" s="431">
        <v>1253590</v>
      </c>
      <c r="AD124" s="431">
        <v>95622</v>
      </c>
      <c r="AE124" s="431">
        <v>1954421</v>
      </c>
      <c r="AF124" s="431">
        <v>0</v>
      </c>
      <c r="AG124" s="431">
        <v>307203</v>
      </c>
      <c r="AH124" s="431">
        <v>588751</v>
      </c>
      <c r="AI124" s="431">
        <v>253927</v>
      </c>
      <c r="AJ124" s="431">
        <v>0</v>
      </c>
      <c r="AK124" s="431">
        <v>0</v>
      </c>
      <c r="AL124" s="431">
        <v>757090</v>
      </c>
      <c r="AM124" s="431">
        <v>0</v>
      </c>
    </row>
    <row r="125" spans="1:39" s="155" customFormat="1" ht="12" x14ac:dyDescent="0.2">
      <c r="A125" s="168">
        <v>71</v>
      </c>
      <c r="B125" s="535">
        <v>49894</v>
      </c>
      <c r="C125" s="268" t="s">
        <v>2299</v>
      </c>
      <c r="D125" s="432">
        <f t="shared" si="12"/>
        <v>3343330</v>
      </c>
      <c r="E125" s="431">
        <v>1026748</v>
      </c>
      <c r="F125" s="431">
        <v>229053</v>
      </c>
      <c r="G125" s="431">
        <v>213201</v>
      </c>
      <c r="H125" s="431">
        <v>0</v>
      </c>
      <c r="I125" s="431">
        <v>1321275</v>
      </c>
      <c r="J125" s="431">
        <v>150000</v>
      </c>
      <c r="K125" s="431">
        <v>638340</v>
      </c>
      <c r="L125" s="431">
        <v>0</v>
      </c>
      <c r="M125" s="431">
        <v>76205</v>
      </c>
      <c r="N125" s="431">
        <v>111059</v>
      </c>
      <c r="O125" s="431">
        <v>19703</v>
      </c>
      <c r="P125" s="432">
        <f t="shared" si="11"/>
        <v>3208245</v>
      </c>
      <c r="Q125" s="431">
        <v>1527284</v>
      </c>
      <c r="R125" s="431">
        <v>600436</v>
      </c>
      <c r="S125" s="431">
        <v>0</v>
      </c>
      <c r="T125" s="431">
        <v>0</v>
      </c>
      <c r="U125" s="431">
        <v>0</v>
      </c>
      <c r="V125" s="431">
        <v>0</v>
      </c>
      <c r="W125" s="431">
        <v>353590</v>
      </c>
      <c r="X125" s="431">
        <v>266748</v>
      </c>
      <c r="Y125" s="431">
        <v>24479</v>
      </c>
      <c r="Z125" s="431">
        <v>435708</v>
      </c>
      <c r="AA125" s="431">
        <v>0</v>
      </c>
      <c r="AB125" s="431">
        <v>0</v>
      </c>
      <c r="AC125" s="431">
        <v>585218</v>
      </c>
      <c r="AD125" s="431">
        <v>0</v>
      </c>
      <c r="AE125" s="431">
        <v>1238600</v>
      </c>
      <c r="AF125" s="431">
        <v>18815</v>
      </c>
      <c r="AG125" s="431">
        <v>59703</v>
      </c>
      <c r="AH125" s="431">
        <v>266748</v>
      </c>
      <c r="AI125" s="431">
        <v>362785</v>
      </c>
      <c r="AJ125" s="431">
        <v>0</v>
      </c>
      <c r="AK125" s="431">
        <v>0</v>
      </c>
      <c r="AL125" s="431">
        <v>676376</v>
      </c>
      <c r="AM125" s="431">
        <v>0</v>
      </c>
    </row>
    <row r="126" spans="1:39" s="155" customFormat="1" ht="12" x14ac:dyDescent="0.2">
      <c r="A126" s="168">
        <v>72</v>
      </c>
      <c r="B126" s="535">
        <v>49956</v>
      </c>
      <c r="C126" s="268" t="s">
        <v>2733</v>
      </c>
      <c r="D126" s="432">
        <f t="shared" si="12"/>
        <v>9890578</v>
      </c>
      <c r="E126" s="431">
        <v>3432171</v>
      </c>
      <c r="F126" s="431">
        <v>724858</v>
      </c>
      <c r="G126" s="431">
        <v>1023754</v>
      </c>
      <c r="H126" s="431">
        <v>0</v>
      </c>
      <c r="I126" s="431">
        <v>4143371</v>
      </c>
      <c r="J126" s="431">
        <v>250000</v>
      </c>
      <c r="K126" s="431">
        <v>1478580</v>
      </c>
      <c r="L126" s="431">
        <v>0</v>
      </c>
      <c r="M126" s="431">
        <v>177300</v>
      </c>
      <c r="N126" s="431">
        <v>409156</v>
      </c>
      <c r="O126" s="431">
        <v>0</v>
      </c>
      <c r="P126" s="432">
        <f t="shared" si="11"/>
        <v>8762920</v>
      </c>
      <c r="Q126" s="431">
        <v>4245650</v>
      </c>
      <c r="R126" s="431">
        <v>2251263</v>
      </c>
      <c r="S126" s="431">
        <v>0</v>
      </c>
      <c r="T126" s="431">
        <v>0</v>
      </c>
      <c r="U126" s="431">
        <v>0</v>
      </c>
      <c r="V126" s="431">
        <v>0</v>
      </c>
      <c r="W126" s="431">
        <v>498168</v>
      </c>
      <c r="X126" s="431">
        <v>639021</v>
      </c>
      <c r="Y126" s="431">
        <v>72005</v>
      </c>
      <c r="Z126" s="431">
        <v>1056813</v>
      </c>
      <c r="AA126" s="431">
        <v>0</v>
      </c>
      <c r="AB126" s="431">
        <v>0</v>
      </c>
      <c r="AC126" s="431">
        <v>1135107</v>
      </c>
      <c r="AD126" s="431">
        <v>97914</v>
      </c>
      <c r="AE126" s="431">
        <v>3855416</v>
      </c>
      <c r="AF126" s="431">
        <v>24425</v>
      </c>
      <c r="AG126" s="431">
        <v>104669</v>
      </c>
      <c r="AH126" s="431">
        <v>885929</v>
      </c>
      <c r="AI126" s="431">
        <v>780067</v>
      </c>
      <c r="AJ126" s="431">
        <v>223796</v>
      </c>
      <c r="AK126" s="431">
        <v>0</v>
      </c>
      <c r="AL126" s="431">
        <v>1655597</v>
      </c>
      <c r="AM126" s="431">
        <v>0</v>
      </c>
    </row>
    <row r="127" spans="1:39" s="155" customFormat="1" ht="12" x14ac:dyDescent="0.2">
      <c r="A127" s="168">
        <v>73</v>
      </c>
      <c r="B127" s="535">
        <v>50022</v>
      </c>
      <c r="C127" s="268" t="s">
        <v>2734</v>
      </c>
      <c r="D127" s="432">
        <f t="shared" si="12"/>
        <v>5434062</v>
      </c>
      <c r="E127" s="431">
        <v>1662227</v>
      </c>
      <c r="F127" s="431">
        <v>379016</v>
      </c>
      <c r="G127" s="431">
        <v>450740</v>
      </c>
      <c r="H127" s="431">
        <v>0</v>
      </c>
      <c r="I127" s="431">
        <v>2155769</v>
      </c>
      <c r="J127" s="431">
        <v>150000</v>
      </c>
      <c r="K127" s="431">
        <v>870560</v>
      </c>
      <c r="L127" s="431">
        <v>0</v>
      </c>
      <c r="M127" s="431">
        <v>95664</v>
      </c>
      <c r="N127" s="431">
        <v>499842</v>
      </c>
      <c r="O127" s="431">
        <v>0</v>
      </c>
      <c r="P127" s="432">
        <f t="shared" si="11"/>
        <v>6477578</v>
      </c>
      <c r="Q127" s="431">
        <v>2231619</v>
      </c>
      <c r="R127" s="431">
        <v>1176227</v>
      </c>
      <c r="S127" s="431">
        <v>0</v>
      </c>
      <c r="T127" s="431">
        <v>0</v>
      </c>
      <c r="U127" s="431">
        <v>0</v>
      </c>
      <c r="V127" s="431">
        <v>252319</v>
      </c>
      <c r="W127" s="431">
        <v>686415</v>
      </c>
      <c r="X127" s="431">
        <v>329373</v>
      </c>
      <c r="Y127" s="431">
        <v>95695</v>
      </c>
      <c r="Z127" s="431">
        <v>1705930</v>
      </c>
      <c r="AA127" s="431">
        <v>0</v>
      </c>
      <c r="AB127" s="431">
        <v>0</v>
      </c>
      <c r="AC127" s="431">
        <v>1063146</v>
      </c>
      <c r="AD127" s="431">
        <v>87016</v>
      </c>
      <c r="AE127" s="431">
        <v>2741818</v>
      </c>
      <c r="AF127" s="431">
        <v>0</v>
      </c>
      <c r="AG127" s="431">
        <v>319586</v>
      </c>
      <c r="AH127" s="431">
        <v>402690</v>
      </c>
      <c r="AI127" s="431">
        <v>423496</v>
      </c>
      <c r="AJ127" s="431">
        <v>165049</v>
      </c>
      <c r="AK127" s="431">
        <v>0</v>
      </c>
      <c r="AL127" s="431">
        <v>1214777</v>
      </c>
      <c r="AM127" s="431">
        <v>60000</v>
      </c>
    </row>
    <row r="128" spans="1:39" s="155" customFormat="1" ht="12" x14ac:dyDescent="0.2">
      <c r="A128" s="168">
        <v>74</v>
      </c>
      <c r="B128" s="535">
        <v>50068</v>
      </c>
      <c r="C128" s="268" t="s">
        <v>2735</v>
      </c>
      <c r="D128" s="432">
        <f t="shared" si="12"/>
        <v>3074464</v>
      </c>
      <c r="E128" s="431">
        <v>603434</v>
      </c>
      <c r="F128" s="431">
        <v>83972</v>
      </c>
      <c r="G128" s="431">
        <v>423481</v>
      </c>
      <c r="H128" s="431">
        <v>0</v>
      </c>
      <c r="I128" s="431">
        <v>537330</v>
      </c>
      <c r="J128" s="431">
        <v>150000</v>
      </c>
      <c r="K128" s="431">
        <v>1074990</v>
      </c>
      <c r="L128" s="431">
        <v>0</v>
      </c>
      <c r="M128" s="431">
        <v>684997</v>
      </c>
      <c r="N128" s="431">
        <v>0</v>
      </c>
      <c r="O128" s="431">
        <v>23713</v>
      </c>
      <c r="P128" s="432">
        <f t="shared" si="11"/>
        <v>3758608</v>
      </c>
      <c r="Q128" s="431">
        <v>721285</v>
      </c>
      <c r="R128" s="431">
        <v>570763</v>
      </c>
      <c r="S128" s="431">
        <v>1575</v>
      </c>
      <c r="T128" s="431">
        <v>0</v>
      </c>
      <c r="U128" s="431">
        <v>0</v>
      </c>
      <c r="V128" s="431">
        <v>0</v>
      </c>
      <c r="W128" s="431">
        <v>0</v>
      </c>
      <c r="X128" s="431">
        <v>111987</v>
      </c>
      <c r="Y128" s="431">
        <v>100000</v>
      </c>
      <c r="Z128" s="431">
        <v>2039015</v>
      </c>
      <c r="AA128" s="431">
        <v>213983</v>
      </c>
      <c r="AB128" s="431">
        <v>0</v>
      </c>
      <c r="AC128" s="431">
        <v>528056</v>
      </c>
      <c r="AD128" s="431">
        <v>0</v>
      </c>
      <c r="AE128" s="431">
        <v>453330</v>
      </c>
      <c r="AF128" s="431">
        <v>9993</v>
      </c>
      <c r="AG128" s="431">
        <v>549275</v>
      </c>
      <c r="AH128" s="431">
        <v>111987</v>
      </c>
      <c r="AI128" s="431">
        <v>150591</v>
      </c>
      <c r="AJ128" s="431">
        <v>0</v>
      </c>
      <c r="AK128" s="431">
        <v>0</v>
      </c>
      <c r="AL128" s="431">
        <v>1934176</v>
      </c>
      <c r="AM128" s="431">
        <v>21200</v>
      </c>
    </row>
    <row r="129" spans="1:39" s="155" customFormat="1" ht="12" x14ac:dyDescent="0.2">
      <c r="A129" s="168">
        <v>75</v>
      </c>
      <c r="B129" s="535">
        <v>50102</v>
      </c>
      <c r="C129" s="268" t="s">
        <v>2736</v>
      </c>
      <c r="D129" s="432">
        <f t="shared" si="12"/>
        <v>9276196</v>
      </c>
      <c r="E129" s="431">
        <v>2972969</v>
      </c>
      <c r="F129" s="431">
        <v>985251</v>
      </c>
      <c r="G129" s="431">
        <v>559414</v>
      </c>
      <c r="H129" s="431">
        <v>0</v>
      </c>
      <c r="I129" s="431">
        <v>4995851</v>
      </c>
      <c r="J129" s="431">
        <v>250000</v>
      </c>
      <c r="K129" s="431">
        <v>995980</v>
      </c>
      <c r="L129" s="431">
        <v>0</v>
      </c>
      <c r="M129" s="431">
        <v>61396</v>
      </c>
      <c r="N129" s="431">
        <v>0</v>
      </c>
      <c r="O129" s="431">
        <v>0</v>
      </c>
      <c r="P129" s="432">
        <f t="shared" si="11"/>
        <v>9188775</v>
      </c>
      <c r="Q129" s="431">
        <v>4815472</v>
      </c>
      <c r="R129" s="431">
        <v>2683636</v>
      </c>
      <c r="S129" s="431">
        <v>0</v>
      </c>
      <c r="T129" s="431">
        <v>0</v>
      </c>
      <c r="U129" s="431">
        <v>14468</v>
      </c>
      <c r="V129" s="431">
        <v>197885</v>
      </c>
      <c r="W129" s="431">
        <v>0</v>
      </c>
      <c r="X129" s="431">
        <v>836396</v>
      </c>
      <c r="Y129" s="431">
        <v>182947</v>
      </c>
      <c r="Z129" s="431">
        <v>457971</v>
      </c>
      <c r="AA129" s="431">
        <v>0</v>
      </c>
      <c r="AB129" s="431">
        <v>0</v>
      </c>
      <c r="AC129" s="431">
        <v>1663863</v>
      </c>
      <c r="AD129" s="431">
        <v>0</v>
      </c>
      <c r="AE129" s="431">
        <v>4565923</v>
      </c>
      <c r="AF129" s="431">
        <v>0</v>
      </c>
      <c r="AG129" s="431">
        <v>208057</v>
      </c>
      <c r="AH129" s="431">
        <v>857459</v>
      </c>
      <c r="AI129" s="431">
        <v>630748</v>
      </c>
      <c r="AJ129" s="431">
        <v>250406</v>
      </c>
      <c r="AK129" s="431">
        <v>0</v>
      </c>
      <c r="AL129" s="431">
        <v>912402</v>
      </c>
      <c r="AM129" s="431">
        <v>99917</v>
      </c>
    </row>
    <row r="130" spans="1:39" s="155" customFormat="1" ht="12" x14ac:dyDescent="0.2">
      <c r="A130" s="168">
        <v>76</v>
      </c>
      <c r="B130" s="535">
        <v>50228</v>
      </c>
      <c r="C130" s="268" t="s">
        <v>2737</v>
      </c>
      <c r="D130" s="432">
        <f t="shared" si="12"/>
        <v>4249780</v>
      </c>
      <c r="E130" s="431">
        <v>1012611</v>
      </c>
      <c r="F130" s="431">
        <v>300030</v>
      </c>
      <c r="G130" s="431">
        <v>275506</v>
      </c>
      <c r="H130" s="431">
        <v>0</v>
      </c>
      <c r="I130" s="431">
        <v>1327000</v>
      </c>
      <c r="J130" s="431">
        <v>150000</v>
      </c>
      <c r="K130" s="431">
        <v>920130</v>
      </c>
      <c r="L130" s="431">
        <v>0</v>
      </c>
      <c r="M130" s="431">
        <v>840039</v>
      </c>
      <c r="N130" s="431">
        <v>0</v>
      </c>
      <c r="O130" s="431">
        <v>0</v>
      </c>
      <c r="P130" s="432">
        <f t="shared" si="11"/>
        <v>4082785</v>
      </c>
      <c r="Q130" s="431">
        <v>1406404</v>
      </c>
      <c r="R130" s="431">
        <v>1365309</v>
      </c>
      <c r="S130" s="431">
        <v>0</v>
      </c>
      <c r="T130" s="431">
        <v>0</v>
      </c>
      <c r="U130" s="431">
        <v>739648</v>
      </c>
      <c r="V130" s="431">
        <v>0</v>
      </c>
      <c r="W130" s="431">
        <v>0</v>
      </c>
      <c r="X130" s="431">
        <v>400063</v>
      </c>
      <c r="Y130" s="431">
        <v>0</v>
      </c>
      <c r="Z130" s="431">
        <v>171361</v>
      </c>
      <c r="AA130" s="431">
        <v>0</v>
      </c>
      <c r="AB130" s="431">
        <v>0</v>
      </c>
      <c r="AC130" s="431">
        <v>842870</v>
      </c>
      <c r="AD130" s="431">
        <v>92721</v>
      </c>
      <c r="AE130" s="431">
        <v>1165734</v>
      </c>
      <c r="AF130" s="431">
        <v>0</v>
      </c>
      <c r="AG130" s="431">
        <v>65732</v>
      </c>
      <c r="AH130" s="431">
        <v>1139711</v>
      </c>
      <c r="AI130" s="431">
        <v>31508</v>
      </c>
      <c r="AJ130" s="431">
        <v>50811</v>
      </c>
      <c r="AK130" s="431">
        <v>0</v>
      </c>
      <c r="AL130" s="431">
        <v>670725</v>
      </c>
      <c r="AM130" s="431">
        <v>22973</v>
      </c>
    </row>
    <row r="131" spans="1:39" s="155" customFormat="1" ht="12" x14ac:dyDescent="0.2">
      <c r="A131" s="168">
        <v>77</v>
      </c>
      <c r="B131" s="535">
        <v>50326</v>
      </c>
      <c r="C131" s="268" t="s">
        <v>2738</v>
      </c>
      <c r="D131" s="432">
        <f t="shared" si="12"/>
        <v>4610515</v>
      </c>
      <c r="E131" s="431">
        <v>695879</v>
      </c>
      <c r="F131" s="431">
        <v>118408</v>
      </c>
      <c r="G131" s="431">
        <v>354361</v>
      </c>
      <c r="H131" s="431">
        <v>0</v>
      </c>
      <c r="I131" s="431">
        <v>1861129</v>
      </c>
      <c r="J131" s="431">
        <v>150000</v>
      </c>
      <c r="K131" s="431">
        <v>924990</v>
      </c>
      <c r="L131" s="431">
        <v>0</v>
      </c>
      <c r="M131" s="431">
        <v>150741</v>
      </c>
      <c r="N131" s="431">
        <v>795176</v>
      </c>
      <c r="O131" s="431">
        <v>32600</v>
      </c>
      <c r="P131" s="432">
        <f t="shared" si="11"/>
        <v>4581858</v>
      </c>
      <c r="Q131" s="431">
        <v>1936151</v>
      </c>
      <c r="R131" s="431">
        <v>1033874</v>
      </c>
      <c r="S131" s="431">
        <v>0</v>
      </c>
      <c r="T131" s="431">
        <v>0</v>
      </c>
      <c r="U131" s="431">
        <v>0</v>
      </c>
      <c r="V131" s="431">
        <v>0</v>
      </c>
      <c r="W131" s="431">
        <v>1058829</v>
      </c>
      <c r="X131" s="431">
        <v>463061</v>
      </c>
      <c r="Y131" s="431">
        <v>0</v>
      </c>
      <c r="Z131" s="431">
        <v>89943</v>
      </c>
      <c r="AA131" s="431">
        <v>0</v>
      </c>
      <c r="AB131" s="431">
        <v>0</v>
      </c>
      <c r="AC131" s="431">
        <v>1405908</v>
      </c>
      <c r="AD131" s="431">
        <v>0</v>
      </c>
      <c r="AE131" s="431">
        <v>2027725</v>
      </c>
      <c r="AF131" s="431">
        <v>24537</v>
      </c>
      <c r="AG131" s="431">
        <v>128906</v>
      </c>
      <c r="AH131" s="431">
        <v>491669</v>
      </c>
      <c r="AI131" s="431">
        <v>0</v>
      </c>
      <c r="AJ131" s="431">
        <v>0</v>
      </c>
      <c r="AK131" s="431">
        <v>0</v>
      </c>
      <c r="AL131" s="431">
        <v>503113</v>
      </c>
      <c r="AM131" s="431">
        <v>0</v>
      </c>
    </row>
    <row r="132" spans="1:39" s="155" customFormat="1" ht="12" x14ac:dyDescent="0.2">
      <c r="A132" s="168">
        <v>78</v>
      </c>
      <c r="B132" s="535">
        <v>50399</v>
      </c>
      <c r="C132" s="268" t="s">
        <v>2303</v>
      </c>
      <c r="D132" s="432">
        <f t="shared" si="12"/>
        <v>3209522</v>
      </c>
      <c r="E132" s="431">
        <v>855006</v>
      </c>
      <c r="F132" s="431">
        <v>96263</v>
      </c>
      <c r="G132" s="431">
        <v>288162</v>
      </c>
      <c r="H132" s="431">
        <v>0</v>
      </c>
      <c r="I132" s="431">
        <v>592337</v>
      </c>
      <c r="J132" s="431">
        <v>199999</v>
      </c>
      <c r="K132" s="431">
        <v>773520</v>
      </c>
      <c r="L132" s="431">
        <v>0</v>
      </c>
      <c r="M132" s="431">
        <v>127797</v>
      </c>
      <c r="N132" s="431">
        <v>660863</v>
      </c>
      <c r="O132" s="431">
        <v>0</v>
      </c>
      <c r="P132" s="432">
        <f t="shared" si="11"/>
        <v>3188717</v>
      </c>
      <c r="Q132" s="431">
        <v>851343</v>
      </c>
      <c r="R132" s="431">
        <v>726699</v>
      </c>
      <c r="S132" s="431">
        <v>0</v>
      </c>
      <c r="T132" s="431">
        <v>0</v>
      </c>
      <c r="U132" s="431">
        <v>0</v>
      </c>
      <c r="V132" s="431">
        <v>0</v>
      </c>
      <c r="W132" s="431">
        <v>870256</v>
      </c>
      <c r="X132" s="431">
        <v>89953</v>
      </c>
      <c r="Y132" s="431">
        <v>20000</v>
      </c>
      <c r="Z132" s="431">
        <v>630466</v>
      </c>
      <c r="AA132" s="431">
        <v>0</v>
      </c>
      <c r="AB132" s="431">
        <v>0</v>
      </c>
      <c r="AC132" s="431">
        <v>677879</v>
      </c>
      <c r="AD132" s="431">
        <v>14702</v>
      </c>
      <c r="AE132" s="431">
        <v>1494321</v>
      </c>
      <c r="AF132" s="431">
        <v>21243</v>
      </c>
      <c r="AG132" s="431">
        <v>55522</v>
      </c>
      <c r="AH132" s="431">
        <v>113992</v>
      </c>
      <c r="AI132" s="431">
        <v>130286</v>
      </c>
      <c r="AJ132" s="431">
        <v>0</v>
      </c>
      <c r="AK132" s="431">
        <v>0</v>
      </c>
      <c r="AL132" s="431">
        <v>514999</v>
      </c>
      <c r="AM132" s="431">
        <v>165773</v>
      </c>
    </row>
    <row r="133" spans="1:39" s="155" customFormat="1" ht="12" x14ac:dyDescent="0.2">
      <c r="A133" s="168">
        <v>79</v>
      </c>
      <c r="B133" s="535">
        <v>50415</v>
      </c>
      <c r="C133" s="268" t="s">
        <v>154</v>
      </c>
      <c r="D133" s="432">
        <f t="shared" si="12"/>
        <v>8900554</v>
      </c>
      <c r="E133" s="431">
        <v>1560755</v>
      </c>
      <c r="F133" s="431">
        <v>301770</v>
      </c>
      <c r="G133" s="431">
        <v>482593</v>
      </c>
      <c r="H133" s="431">
        <v>0</v>
      </c>
      <c r="I133" s="431">
        <v>2096959</v>
      </c>
      <c r="J133" s="431">
        <v>150000</v>
      </c>
      <c r="K133" s="431">
        <v>995310</v>
      </c>
      <c r="L133" s="431">
        <v>0</v>
      </c>
      <c r="M133" s="431">
        <v>2873621</v>
      </c>
      <c r="N133" s="431">
        <v>1123994</v>
      </c>
      <c r="O133" s="431">
        <v>99915</v>
      </c>
      <c r="P133" s="432">
        <f t="shared" si="11"/>
        <v>7078923</v>
      </c>
      <c r="Q133" s="431">
        <v>2290063</v>
      </c>
      <c r="R133" s="431">
        <v>1182680</v>
      </c>
      <c r="S133" s="431">
        <v>0</v>
      </c>
      <c r="T133" s="431">
        <v>0</v>
      </c>
      <c r="U133" s="431">
        <v>0</v>
      </c>
      <c r="V133" s="431">
        <v>0</v>
      </c>
      <c r="W133" s="431">
        <v>0</v>
      </c>
      <c r="X133" s="431">
        <v>400133</v>
      </c>
      <c r="Y133" s="431">
        <v>50000</v>
      </c>
      <c r="Z133" s="431">
        <v>3156047</v>
      </c>
      <c r="AA133" s="431">
        <v>0</v>
      </c>
      <c r="AB133" s="431">
        <v>0</v>
      </c>
      <c r="AC133" s="431">
        <v>702144</v>
      </c>
      <c r="AD133" s="431">
        <v>78478</v>
      </c>
      <c r="AE133" s="431">
        <v>1867899</v>
      </c>
      <c r="AF133" s="431">
        <v>26214</v>
      </c>
      <c r="AG133" s="431">
        <v>78309</v>
      </c>
      <c r="AH133" s="431">
        <v>428184</v>
      </c>
      <c r="AI133" s="431">
        <v>1191662</v>
      </c>
      <c r="AJ133" s="431">
        <v>244002</v>
      </c>
      <c r="AK133" s="431">
        <v>0</v>
      </c>
      <c r="AL133" s="431">
        <v>2406941</v>
      </c>
      <c r="AM133" s="431">
        <v>55090</v>
      </c>
    </row>
    <row r="134" spans="1:39" s="155" customFormat="1" ht="12" x14ac:dyDescent="0.2">
      <c r="A134" s="168">
        <v>80</v>
      </c>
      <c r="B134" s="535">
        <v>50479</v>
      </c>
      <c r="C134" s="268" t="s">
        <v>2739</v>
      </c>
      <c r="D134" s="432">
        <f t="shared" si="12"/>
        <v>4340683</v>
      </c>
      <c r="E134" s="431">
        <v>1720668</v>
      </c>
      <c r="F134" s="431">
        <v>452308</v>
      </c>
      <c r="G134" s="431">
        <v>345570</v>
      </c>
      <c r="H134" s="431">
        <v>0</v>
      </c>
      <c r="I134" s="431">
        <v>1674046</v>
      </c>
      <c r="J134" s="431">
        <v>150000</v>
      </c>
      <c r="K134" s="431">
        <v>776700</v>
      </c>
      <c r="L134" s="431">
        <v>0</v>
      </c>
      <c r="M134" s="431">
        <v>14269</v>
      </c>
      <c r="N134" s="431">
        <v>0</v>
      </c>
      <c r="O134" s="431">
        <v>5000</v>
      </c>
      <c r="P134" s="432">
        <f t="shared" si="11"/>
        <v>4215450</v>
      </c>
      <c r="Q134" s="431">
        <v>1754184</v>
      </c>
      <c r="R134" s="431">
        <v>960541</v>
      </c>
      <c r="S134" s="431">
        <v>0</v>
      </c>
      <c r="T134" s="431">
        <v>0</v>
      </c>
      <c r="U134" s="431">
        <v>0</v>
      </c>
      <c r="V134" s="431">
        <v>0</v>
      </c>
      <c r="W134" s="431">
        <v>0</v>
      </c>
      <c r="X134" s="431">
        <v>346197</v>
      </c>
      <c r="Y134" s="431">
        <v>0</v>
      </c>
      <c r="Z134" s="431">
        <v>1154696</v>
      </c>
      <c r="AA134" s="431">
        <v>0</v>
      </c>
      <c r="AB134" s="431">
        <v>-168</v>
      </c>
      <c r="AC134" s="431">
        <v>793845</v>
      </c>
      <c r="AD134" s="431">
        <v>0</v>
      </c>
      <c r="AE134" s="431">
        <v>1451774</v>
      </c>
      <c r="AF134" s="431">
        <v>0</v>
      </c>
      <c r="AG134" s="431">
        <v>348169</v>
      </c>
      <c r="AH134" s="431">
        <v>385613</v>
      </c>
      <c r="AI134" s="431">
        <v>233502</v>
      </c>
      <c r="AJ134" s="431">
        <v>33883</v>
      </c>
      <c r="AK134" s="431">
        <v>0</v>
      </c>
      <c r="AL134" s="431">
        <v>968664</v>
      </c>
      <c r="AM134" s="431">
        <v>0</v>
      </c>
    </row>
    <row r="135" spans="1:39" s="155" customFormat="1" ht="12" x14ac:dyDescent="0.2">
      <c r="A135" s="168">
        <v>81</v>
      </c>
      <c r="B135" s="535">
        <v>50549</v>
      </c>
      <c r="C135" s="268" t="s">
        <v>2740</v>
      </c>
      <c r="D135" s="432">
        <f t="shared" si="12"/>
        <v>3456269</v>
      </c>
      <c r="E135" s="431">
        <v>977322</v>
      </c>
      <c r="F135" s="431">
        <v>471492</v>
      </c>
      <c r="G135" s="431">
        <v>287188</v>
      </c>
      <c r="H135" s="431">
        <v>0</v>
      </c>
      <c r="I135" s="431">
        <v>891708</v>
      </c>
      <c r="J135" s="431">
        <v>150000</v>
      </c>
      <c r="K135" s="431">
        <v>846590</v>
      </c>
      <c r="L135" s="431">
        <v>0</v>
      </c>
      <c r="M135" s="431">
        <v>171360</v>
      </c>
      <c r="N135" s="431">
        <v>419289</v>
      </c>
      <c r="O135" s="431">
        <v>0</v>
      </c>
      <c r="P135" s="432">
        <f t="shared" si="11"/>
        <v>3755911</v>
      </c>
      <c r="Q135" s="431">
        <v>1196355</v>
      </c>
      <c r="R135" s="431">
        <v>779419</v>
      </c>
      <c r="S135" s="431">
        <v>0</v>
      </c>
      <c r="T135" s="431">
        <v>0</v>
      </c>
      <c r="U135" s="431">
        <v>0</v>
      </c>
      <c r="V135" s="431">
        <v>0</v>
      </c>
      <c r="W135" s="431">
        <v>703281</v>
      </c>
      <c r="X135" s="431">
        <v>225148</v>
      </c>
      <c r="Y135" s="431">
        <v>14216</v>
      </c>
      <c r="Z135" s="431">
        <v>837492</v>
      </c>
      <c r="AA135" s="431">
        <v>0</v>
      </c>
      <c r="AB135" s="431">
        <v>0</v>
      </c>
      <c r="AC135" s="431">
        <v>727711</v>
      </c>
      <c r="AD135" s="431">
        <v>0</v>
      </c>
      <c r="AE135" s="431">
        <v>857985</v>
      </c>
      <c r="AF135" s="431">
        <v>0</v>
      </c>
      <c r="AG135" s="431">
        <v>10000</v>
      </c>
      <c r="AH135" s="431">
        <v>225148</v>
      </c>
      <c r="AI135" s="431">
        <v>329240</v>
      </c>
      <c r="AJ135" s="431">
        <v>593279</v>
      </c>
      <c r="AK135" s="431">
        <v>0</v>
      </c>
      <c r="AL135" s="431">
        <v>1012548</v>
      </c>
      <c r="AM135" s="431">
        <v>0</v>
      </c>
    </row>
    <row r="136" spans="1:39" s="155" customFormat="1" ht="12" x14ac:dyDescent="0.2">
      <c r="A136" s="168">
        <v>82</v>
      </c>
      <c r="B136" s="535">
        <v>50564</v>
      </c>
      <c r="C136" s="268" t="s">
        <v>2741</v>
      </c>
      <c r="D136" s="432">
        <f t="shared" si="12"/>
        <v>4971150</v>
      </c>
      <c r="E136" s="431">
        <v>756221</v>
      </c>
      <c r="F136" s="431">
        <v>96927</v>
      </c>
      <c r="G136" s="431">
        <v>301791</v>
      </c>
      <c r="H136" s="431">
        <v>0</v>
      </c>
      <c r="I136" s="431">
        <v>678816</v>
      </c>
      <c r="J136" s="431">
        <v>150000</v>
      </c>
      <c r="K136" s="431">
        <v>778940</v>
      </c>
      <c r="L136" s="431">
        <v>0</v>
      </c>
      <c r="M136" s="431">
        <v>2607173</v>
      </c>
      <c r="N136" s="431">
        <v>0</v>
      </c>
      <c r="O136" s="431">
        <v>0</v>
      </c>
      <c r="P136" s="432">
        <f t="shared" si="11"/>
        <v>4964155</v>
      </c>
      <c r="Q136" s="431">
        <v>952034</v>
      </c>
      <c r="R136" s="431">
        <v>679466</v>
      </c>
      <c r="S136" s="431">
        <v>0</v>
      </c>
      <c r="T136" s="431">
        <v>0</v>
      </c>
      <c r="U136" s="431">
        <v>0</v>
      </c>
      <c r="V136" s="431">
        <v>0</v>
      </c>
      <c r="W136" s="431">
        <v>0</v>
      </c>
      <c r="X136" s="431">
        <v>157977</v>
      </c>
      <c r="Y136" s="431">
        <v>30740</v>
      </c>
      <c r="Z136" s="431">
        <v>3157502</v>
      </c>
      <c r="AA136" s="431">
        <v>0</v>
      </c>
      <c r="AB136" s="431">
        <v>-13564</v>
      </c>
      <c r="AC136" s="431">
        <v>850958</v>
      </c>
      <c r="AD136" s="431">
        <v>43255</v>
      </c>
      <c r="AE136" s="431">
        <v>743816</v>
      </c>
      <c r="AF136" s="431">
        <v>23367</v>
      </c>
      <c r="AG136" s="431">
        <v>284201</v>
      </c>
      <c r="AH136" s="431">
        <v>157855</v>
      </c>
      <c r="AI136" s="431">
        <v>2635681</v>
      </c>
      <c r="AJ136" s="431">
        <v>15140</v>
      </c>
      <c r="AK136" s="431">
        <v>0</v>
      </c>
      <c r="AL136" s="431">
        <v>209882</v>
      </c>
      <c r="AM136" s="431">
        <v>0</v>
      </c>
    </row>
    <row r="137" spans="1:39" s="155" customFormat="1" ht="12" hidden="1" x14ac:dyDescent="0.2">
      <c r="A137" s="168">
        <v>83</v>
      </c>
      <c r="B137" s="171"/>
      <c r="C137" s="172"/>
      <c r="D137" s="432">
        <f t="shared" si="12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11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71"/>
      <c r="C138" s="172"/>
      <c r="D138" s="432">
        <f t="shared" si="12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1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71"/>
      <c r="C139" s="172"/>
      <c r="D139" s="432">
        <f t="shared" si="12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1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71"/>
      <c r="C140" s="172"/>
      <c r="D140" s="432">
        <f t="shared" si="12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1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173"/>
      <c r="D141" s="432">
        <f t="shared" si="12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1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2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ref="P142" si="13">IF(SUM(Q142:AB142)=SUM(AC142:AM142),SUM(Q142:AB142),"  EROARE ART/CAP")</f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2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5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565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904161945</v>
      </c>
      <c r="E14" s="432">
        <f>SUM(E15,E16,E33,E54)</f>
        <v>246982766</v>
      </c>
      <c r="F14" s="432">
        <f t="shared" ref="F14:O14" si="0">SUM(F15,F16,F33,F54)</f>
        <v>101335116</v>
      </c>
      <c r="G14" s="432">
        <f t="shared" si="0"/>
        <v>35371850</v>
      </c>
      <c r="H14" s="432">
        <f t="shared" si="0"/>
        <v>46062946</v>
      </c>
      <c r="I14" s="432">
        <f t="shared" si="0"/>
        <v>214204686</v>
      </c>
      <c r="J14" s="432">
        <f t="shared" si="0"/>
        <v>19698000</v>
      </c>
      <c r="K14" s="432">
        <f t="shared" si="0"/>
        <v>138845140</v>
      </c>
      <c r="L14" s="432">
        <f t="shared" si="0"/>
        <v>0</v>
      </c>
      <c r="M14" s="432">
        <f t="shared" si="0"/>
        <v>135474642</v>
      </c>
      <c r="N14" s="432">
        <f t="shared" si="0"/>
        <v>101774998</v>
      </c>
      <c r="O14" s="432">
        <f t="shared" si="0"/>
        <v>1118767</v>
      </c>
      <c r="P14" s="432">
        <f>IF(SUM(Q14:AB14)=SUM(AC14:AM14),SUM(Q14:AB14),"  EROARE ART/CAP")</f>
        <v>881966931</v>
      </c>
      <c r="Q14" s="432">
        <f t="shared" ref="Q14:AM14" si="1">Q15+Q16+Q33+Q54</f>
        <v>289780383</v>
      </c>
      <c r="R14" s="432">
        <f t="shared" si="1"/>
        <v>175944908</v>
      </c>
      <c r="S14" s="432">
        <f t="shared" si="1"/>
        <v>10166394</v>
      </c>
      <c r="T14" s="432">
        <f t="shared" si="1"/>
        <v>1973297</v>
      </c>
      <c r="U14" s="432">
        <f t="shared" si="1"/>
        <v>17530801</v>
      </c>
      <c r="V14" s="432">
        <f t="shared" si="1"/>
        <v>2556014</v>
      </c>
      <c r="W14" s="432">
        <f t="shared" si="1"/>
        <v>165250144</v>
      </c>
      <c r="X14" s="432">
        <f t="shared" si="1"/>
        <v>68199489</v>
      </c>
      <c r="Y14" s="432">
        <f t="shared" si="1"/>
        <v>6730037</v>
      </c>
      <c r="Z14" s="432">
        <f t="shared" si="1"/>
        <v>106692686</v>
      </c>
      <c r="AA14" s="432">
        <f t="shared" si="1"/>
        <v>42618788</v>
      </c>
      <c r="AB14" s="432">
        <f t="shared" si="1"/>
        <v>-5476010</v>
      </c>
      <c r="AC14" s="432">
        <f t="shared" si="1"/>
        <v>125417457</v>
      </c>
      <c r="AD14" s="432">
        <f t="shared" si="1"/>
        <v>9280744</v>
      </c>
      <c r="AE14" s="432">
        <f t="shared" si="1"/>
        <v>226953448</v>
      </c>
      <c r="AF14" s="432">
        <f t="shared" si="1"/>
        <v>16257492</v>
      </c>
      <c r="AG14" s="432">
        <f t="shared" si="1"/>
        <v>51850236</v>
      </c>
      <c r="AH14" s="432">
        <f t="shared" si="1"/>
        <v>121319082</v>
      </c>
      <c r="AI14" s="432">
        <f t="shared" si="1"/>
        <v>133046659</v>
      </c>
      <c r="AJ14" s="432">
        <f t="shared" si="1"/>
        <v>83827558</v>
      </c>
      <c r="AK14" s="432">
        <f t="shared" si="1"/>
        <v>24033</v>
      </c>
      <c r="AL14" s="432">
        <f t="shared" si="1"/>
        <v>79702443</v>
      </c>
      <c r="AM14" s="432">
        <f t="shared" si="1"/>
        <v>34287779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242667677</v>
      </c>
      <c r="E15" s="431">
        <v>41080582</v>
      </c>
      <c r="F15" s="431">
        <v>21509816</v>
      </c>
      <c r="G15" s="431">
        <v>18006000</v>
      </c>
      <c r="H15" s="431">
        <v>46062946</v>
      </c>
      <c r="I15" s="431">
        <v>0</v>
      </c>
      <c r="J15" s="431">
        <v>12153000</v>
      </c>
      <c r="K15" s="431">
        <v>49228000</v>
      </c>
      <c r="L15" s="431">
        <v>0</v>
      </c>
      <c r="M15" s="431">
        <v>70361046</v>
      </c>
      <c r="N15" s="431">
        <v>23782103</v>
      </c>
      <c r="O15" s="431">
        <v>0</v>
      </c>
      <c r="P15" s="432">
        <f t="shared" ref="P15:P78" si="2">IF(SUM(Q15:AB15)=SUM(AC15:AM15),SUM(Q15:AB15),"  EROARE ART/CAP")</f>
        <v>249296690</v>
      </c>
      <c r="Q15" s="431">
        <v>45422954</v>
      </c>
      <c r="R15" s="431">
        <v>33650240</v>
      </c>
      <c r="S15" s="431">
        <v>4400000</v>
      </c>
      <c r="T15" s="431">
        <v>0</v>
      </c>
      <c r="U15" s="431">
        <v>8647104</v>
      </c>
      <c r="V15" s="431">
        <v>579142</v>
      </c>
      <c r="W15" s="431">
        <v>59972167</v>
      </c>
      <c r="X15" s="431">
        <v>46498828</v>
      </c>
      <c r="Y15" s="431">
        <v>5454123</v>
      </c>
      <c r="Z15" s="431">
        <v>16427737</v>
      </c>
      <c r="AA15" s="431">
        <v>28674896</v>
      </c>
      <c r="AB15" s="431">
        <v>-430501</v>
      </c>
      <c r="AC15" s="431">
        <v>27456396</v>
      </c>
      <c r="AD15" s="431">
        <v>887900</v>
      </c>
      <c r="AE15" s="431">
        <v>21335831</v>
      </c>
      <c r="AF15" s="431">
        <v>1559657</v>
      </c>
      <c r="AG15" s="431">
        <v>13358287</v>
      </c>
      <c r="AH15" s="431">
        <v>76940097</v>
      </c>
      <c r="AI15" s="431">
        <v>26474488</v>
      </c>
      <c r="AJ15" s="431">
        <v>54851228</v>
      </c>
      <c r="AK15" s="431">
        <v>0</v>
      </c>
      <c r="AL15" s="431">
        <v>0</v>
      </c>
      <c r="AM15" s="431">
        <v>26432806</v>
      </c>
    </row>
    <row r="16" spans="1:39" s="155" customFormat="1" ht="12" x14ac:dyDescent="0.2">
      <c r="A16" s="156" t="s">
        <v>72</v>
      </c>
      <c r="B16" s="159"/>
      <c r="C16" s="159"/>
      <c r="D16" s="432">
        <f>E16+SUM(H16:O16)</f>
        <v>207117146</v>
      </c>
      <c r="E16" s="433">
        <f>SUM(E18:E32)</f>
        <v>100285105</v>
      </c>
      <c r="F16" s="433">
        <f t="shared" ref="F16:O16" si="3">SUM(F18:F32)</f>
        <v>47906953</v>
      </c>
      <c r="G16" s="433">
        <f t="shared" si="3"/>
        <v>2000263</v>
      </c>
      <c r="H16" s="433">
        <f t="shared" si="3"/>
        <v>0</v>
      </c>
      <c r="I16" s="433">
        <f t="shared" si="3"/>
        <v>84567818</v>
      </c>
      <c r="J16" s="433">
        <f t="shared" si="3"/>
        <v>150000</v>
      </c>
      <c r="K16" s="433">
        <f t="shared" si="3"/>
        <v>8025130</v>
      </c>
      <c r="L16" s="433">
        <f t="shared" si="3"/>
        <v>0</v>
      </c>
      <c r="M16" s="433">
        <f t="shared" si="3"/>
        <v>6514859</v>
      </c>
      <c r="N16" s="433">
        <f t="shared" si="3"/>
        <v>7574234</v>
      </c>
      <c r="O16" s="433">
        <f t="shared" si="3"/>
        <v>0</v>
      </c>
      <c r="P16" s="432">
        <f t="shared" si="2"/>
        <v>202172440</v>
      </c>
      <c r="Q16" s="432">
        <f>SUM(Q18:Q32)</f>
        <v>96578724</v>
      </c>
      <c r="R16" s="432">
        <f t="shared" ref="R16:AM16" si="4">SUM(R18:R32)</f>
        <v>54581420</v>
      </c>
      <c r="S16" s="432">
        <f t="shared" si="4"/>
        <v>4200260</v>
      </c>
      <c r="T16" s="432">
        <f t="shared" si="4"/>
        <v>1973297</v>
      </c>
      <c r="U16" s="432">
        <f t="shared" si="4"/>
        <v>5114535</v>
      </c>
      <c r="V16" s="432">
        <f t="shared" si="4"/>
        <v>306000</v>
      </c>
      <c r="W16" s="432">
        <f t="shared" si="4"/>
        <v>13162403</v>
      </c>
      <c r="X16" s="432">
        <f t="shared" si="4"/>
        <v>6548179</v>
      </c>
      <c r="Y16" s="432">
        <f t="shared" si="4"/>
        <v>248289</v>
      </c>
      <c r="Z16" s="432">
        <f t="shared" si="4"/>
        <v>16581888</v>
      </c>
      <c r="AA16" s="432">
        <f t="shared" si="4"/>
        <v>7338032</v>
      </c>
      <c r="AB16" s="432">
        <f t="shared" si="4"/>
        <v>-4460587</v>
      </c>
      <c r="AC16" s="432">
        <f t="shared" si="4"/>
        <v>28905137</v>
      </c>
      <c r="AD16" s="432">
        <f t="shared" si="4"/>
        <v>4117346</v>
      </c>
      <c r="AE16" s="432">
        <f t="shared" si="4"/>
        <v>81744452</v>
      </c>
      <c r="AF16" s="432">
        <f t="shared" si="4"/>
        <v>10265872</v>
      </c>
      <c r="AG16" s="432">
        <f t="shared" si="4"/>
        <v>10617947</v>
      </c>
      <c r="AH16" s="432">
        <f t="shared" si="4"/>
        <v>15988091</v>
      </c>
      <c r="AI16" s="432">
        <f t="shared" si="4"/>
        <v>25330424</v>
      </c>
      <c r="AJ16" s="432">
        <f t="shared" si="4"/>
        <v>2581258</v>
      </c>
      <c r="AK16" s="432">
        <f t="shared" si="4"/>
        <v>24033</v>
      </c>
      <c r="AL16" s="432">
        <f t="shared" si="4"/>
        <v>22597880</v>
      </c>
      <c r="AM16" s="432">
        <f t="shared" si="4"/>
        <v>0</v>
      </c>
    </row>
    <row r="17" spans="1:39" s="155" customFormat="1" ht="22.5" x14ac:dyDescent="0.2">
      <c r="A17" s="277" t="s">
        <v>2306</v>
      </c>
      <c r="B17" s="281" t="s">
        <v>74</v>
      </c>
      <c r="C17" s="236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203" customFormat="1" ht="12" x14ac:dyDescent="0.2">
      <c r="A18" s="231">
        <v>1</v>
      </c>
      <c r="B18" s="230">
        <v>50790</v>
      </c>
      <c r="C18" s="536" t="s">
        <v>566</v>
      </c>
      <c r="D18" s="432">
        <f t="shared" ref="D18:D81" si="5">E18+SUM(H18:O18)</f>
        <v>136255191</v>
      </c>
      <c r="E18" s="431">
        <v>68209629</v>
      </c>
      <c r="F18" s="431">
        <v>34037499</v>
      </c>
      <c r="G18" s="431">
        <v>1371577</v>
      </c>
      <c r="H18" s="431">
        <v>0</v>
      </c>
      <c r="I18" s="431">
        <v>59262487</v>
      </c>
      <c r="J18" s="431">
        <v>0</v>
      </c>
      <c r="K18" s="431">
        <v>4463260</v>
      </c>
      <c r="L18" s="431">
        <v>0</v>
      </c>
      <c r="M18" s="431">
        <v>2307476</v>
      </c>
      <c r="N18" s="431">
        <v>2012339</v>
      </c>
      <c r="O18" s="431">
        <v>0</v>
      </c>
      <c r="P18" s="432">
        <f t="shared" si="2"/>
        <v>135867206</v>
      </c>
      <c r="Q18" s="431">
        <v>70593411</v>
      </c>
      <c r="R18" s="431">
        <v>35330484</v>
      </c>
      <c r="S18" s="431">
        <v>4200260</v>
      </c>
      <c r="T18" s="431">
        <v>1973297</v>
      </c>
      <c r="U18" s="431">
        <v>0</v>
      </c>
      <c r="V18" s="431">
        <v>0</v>
      </c>
      <c r="W18" s="431">
        <v>2349019</v>
      </c>
      <c r="X18" s="431">
        <v>5016264</v>
      </c>
      <c r="Y18" s="431">
        <v>248289</v>
      </c>
      <c r="Z18" s="431">
        <v>8828577</v>
      </c>
      <c r="AA18" s="431">
        <v>7338032</v>
      </c>
      <c r="AB18" s="431">
        <v>-10427</v>
      </c>
      <c r="AC18" s="431">
        <v>28431762</v>
      </c>
      <c r="AD18" s="431">
        <v>3269785</v>
      </c>
      <c r="AE18" s="431">
        <v>53828317</v>
      </c>
      <c r="AF18" s="431">
        <v>1225268</v>
      </c>
      <c r="AG18" s="431">
        <v>5156437</v>
      </c>
      <c r="AH18" s="431">
        <v>12405629</v>
      </c>
      <c r="AI18" s="431">
        <v>21010421</v>
      </c>
      <c r="AJ18" s="431">
        <v>1405693</v>
      </c>
      <c r="AK18" s="431">
        <v>24033</v>
      </c>
      <c r="AL18" s="431">
        <v>9109861</v>
      </c>
      <c r="AM18" s="431">
        <v>0</v>
      </c>
    </row>
    <row r="19" spans="1:39" s="203" customFormat="1" ht="12" x14ac:dyDescent="0.2">
      <c r="A19" s="231">
        <v>2</v>
      </c>
      <c r="B19" s="537">
        <v>51010</v>
      </c>
      <c r="C19" s="538" t="s">
        <v>567</v>
      </c>
      <c r="D19" s="432">
        <f t="shared" si="5"/>
        <v>70861955</v>
      </c>
      <c r="E19" s="431">
        <v>32075476</v>
      </c>
      <c r="F19" s="431">
        <v>13869454</v>
      </c>
      <c r="G19" s="431">
        <v>628686</v>
      </c>
      <c r="H19" s="431">
        <v>0</v>
      </c>
      <c r="I19" s="431">
        <v>25305331</v>
      </c>
      <c r="J19" s="431">
        <v>150000</v>
      </c>
      <c r="K19" s="431">
        <v>3561870</v>
      </c>
      <c r="L19" s="431">
        <v>0</v>
      </c>
      <c r="M19" s="431">
        <v>4207383</v>
      </c>
      <c r="N19" s="431">
        <v>5561895</v>
      </c>
      <c r="O19" s="431">
        <v>0</v>
      </c>
      <c r="P19" s="432">
        <f t="shared" si="2"/>
        <v>66305234</v>
      </c>
      <c r="Q19" s="431">
        <v>25985313</v>
      </c>
      <c r="R19" s="431">
        <v>19250936</v>
      </c>
      <c r="S19" s="431">
        <v>0</v>
      </c>
      <c r="T19" s="431">
        <v>0</v>
      </c>
      <c r="U19" s="431">
        <v>5114535</v>
      </c>
      <c r="V19" s="431">
        <v>306000</v>
      </c>
      <c r="W19" s="431">
        <v>10813384</v>
      </c>
      <c r="X19" s="431">
        <v>1531915</v>
      </c>
      <c r="Y19" s="431">
        <v>0</v>
      </c>
      <c r="Z19" s="431">
        <v>7753311</v>
      </c>
      <c r="AA19" s="431">
        <v>0</v>
      </c>
      <c r="AB19" s="431">
        <v>-4450160</v>
      </c>
      <c r="AC19" s="431">
        <v>473375</v>
      </c>
      <c r="AD19" s="431">
        <v>847561</v>
      </c>
      <c r="AE19" s="431">
        <v>27916135</v>
      </c>
      <c r="AF19" s="431">
        <v>9040604</v>
      </c>
      <c r="AG19" s="431">
        <v>5461510</v>
      </c>
      <c r="AH19" s="431">
        <v>3582462</v>
      </c>
      <c r="AI19" s="431">
        <v>4320003</v>
      </c>
      <c r="AJ19" s="431">
        <v>1175565</v>
      </c>
      <c r="AK19" s="431">
        <v>0</v>
      </c>
      <c r="AL19" s="431">
        <v>13488019</v>
      </c>
      <c r="AM19" s="431">
        <v>0</v>
      </c>
    </row>
    <row r="20" spans="1:39" s="203" customFormat="1" ht="12" hidden="1" x14ac:dyDescent="0.2">
      <c r="A20" s="181">
        <v>3</v>
      </c>
      <c r="B20" s="181"/>
      <c r="C20" s="249"/>
      <c r="D20" s="432">
        <f t="shared" si="5"/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2">
        <f t="shared" si="2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</row>
    <row r="21" spans="1:39" s="203" customFormat="1" ht="12" hidden="1" x14ac:dyDescent="0.2">
      <c r="A21" s="181">
        <v>4</v>
      </c>
      <c r="B21" s="181"/>
      <c r="C21" s="249"/>
      <c r="D21" s="432">
        <f t="shared" si="5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2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203" customFormat="1" ht="12" hidden="1" x14ac:dyDescent="0.2">
      <c r="A22" s="181">
        <v>5</v>
      </c>
      <c r="B22" s="181"/>
      <c r="C22" s="249"/>
      <c r="D22" s="432">
        <f t="shared" si="5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2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203" customFormat="1" ht="12" hidden="1" x14ac:dyDescent="0.2">
      <c r="A23" s="181">
        <v>6</v>
      </c>
      <c r="B23" s="181"/>
      <c r="C23" s="249"/>
      <c r="D23" s="432">
        <f t="shared" si="5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2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203" customFormat="1" ht="12" hidden="1" x14ac:dyDescent="0.2">
      <c r="A24" s="181">
        <v>7</v>
      </c>
      <c r="B24" s="181"/>
      <c r="C24" s="249"/>
      <c r="D24" s="432">
        <f t="shared" si="5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2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203" customFormat="1" ht="12" hidden="1" x14ac:dyDescent="0.2">
      <c r="A25" s="181">
        <v>8</v>
      </c>
      <c r="B25" s="181"/>
      <c r="C25" s="249"/>
      <c r="D25" s="432">
        <f t="shared" si="5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2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203" customFormat="1" ht="12" hidden="1" x14ac:dyDescent="0.2">
      <c r="A26" s="181">
        <v>9</v>
      </c>
      <c r="B26" s="181"/>
      <c r="C26" s="249"/>
      <c r="D26" s="432">
        <f t="shared" si="5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2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203" customFormat="1" ht="12" hidden="1" x14ac:dyDescent="0.2">
      <c r="A27" s="181">
        <v>10</v>
      </c>
      <c r="B27" s="181"/>
      <c r="C27" s="249"/>
      <c r="D27" s="432">
        <f t="shared" si="5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2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203" customFormat="1" ht="12" hidden="1" x14ac:dyDescent="0.2">
      <c r="A28" s="181">
        <v>11</v>
      </c>
      <c r="B28" s="181"/>
      <c r="C28" s="249"/>
      <c r="D28" s="432">
        <f t="shared" si="5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2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203" customFormat="1" ht="12" hidden="1" x14ac:dyDescent="0.2">
      <c r="A29" s="181">
        <v>12</v>
      </c>
      <c r="B29" s="181"/>
      <c r="C29" s="249"/>
      <c r="D29" s="432">
        <f t="shared" si="5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2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203" customFormat="1" ht="12" hidden="1" x14ac:dyDescent="0.2">
      <c r="A30" s="181">
        <v>13</v>
      </c>
      <c r="B30" s="181"/>
      <c r="C30" s="249"/>
      <c r="D30" s="432">
        <f t="shared" si="5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2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203" customFormat="1" ht="12" hidden="1" x14ac:dyDescent="0.2">
      <c r="A31" s="181">
        <v>14</v>
      </c>
      <c r="B31" s="181"/>
      <c r="C31" s="249"/>
      <c r="D31" s="432">
        <f t="shared" si="5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2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203" customFormat="1" ht="12" hidden="1" x14ac:dyDescent="0.2">
      <c r="A32" s="181">
        <v>15</v>
      </c>
      <c r="B32" s="181"/>
      <c r="C32" s="250"/>
      <c r="D32" s="432">
        <f t="shared" si="5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2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203" customFormat="1" ht="12" x14ac:dyDescent="0.2">
      <c r="A33" s="164" t="s">
        <v>75</v>
      </c>
      <c r="B33" s="204"/>
      <c r="C33" s="251"/>
      <c r="D33" s="432">
        <f t="shared" si="5"/>
        <v>147585083</v>
      </c>
      <c r="E33" s="432">
        <f>SUM(E34:E42)</f>
        <v>37582942</v>
      </c>
      <c r="F33" s="432">
        <f t="shared" ref="F33:O33" si="6">SUM(F34:F42)</f>
        <v>16828060</v>
      </c>
      <c r="G33" s="432">
        <f t="shared" si="6"/>
        <v>2341149</v>
      </c>
      <c r="H33" s="432">
        <f t="shared" si="6"/>
        <v>0</v>
      </c>
      <c r="I33" s="432">
        <f t="shared" si="6"/>
        <v>50462162</v>
      </c>
      <c r="J33" s="432">
        <f t="shared" si="6"/>
        <v>100000</v>
      </c>
      <c r="K33" s="432">
        <f t="shared" si="6"/>
        <v>15193790</v>
      </c>
      <c r="L33" s="432">
        <f t="shared" si="6"/>
        <v>0</v>
      </c>
      <c r="M33" s="432">
        <f t="shared" si="6"/>
        <v>14050863</v>
      </c>
      <c r="N33" s="432">
        <f t="shared" si="6"/>
        <v>30141455</v>
      </c>
      <c r="O33" s="432">
        <f t="shared" si="6"/>
        <v>53871</v>
      </c>
      <c r="P33" s="432">
        <f t="shared" si="2"/>
        <v>143825914</v>
      </c>
      <c r="Q33" s="432">
        <f>SUM(Q34:Q42)</f>
        <v>54789293</v>
      </c>
      <c r="R33" s="432">
        <f t="shared" ref="R33:AM33" si="7">SUM(R34:R42)</f>
        <v>24995560</v>
      </c>
      <c r="S33" s="432">
        <f t="shared" si="7"/>
        <v>1140405</v>
      </c>
      <c r="T33" s="432">
        <f t="shared" si="7"/>
        <v>0</v>
      </c>
      <c r="U33" s="432">
        <f t="shared" si="7"/>
        <v>3769162</v>
      </c>
      <c r="V33" s="432">
        <f t="shared" si="7"/>
        <v>954394</v>
      </c>
      <c r="W33" s="432">
        <f t="shared" si="7"/>
        <v>36719996</v>
      </c>
      <c r="X33" s="432">
        <f t="shared" si="7"/>
        <v>4532910</v>
      </c>
      <c r="Y33" s="432">
        <f t="shared" si="7"/>
        <v>498376</v>
      </c>
      <c r="Z33" s="432">
        <f t="shared" si="7"/>
        <v>14648537</v>
      </c>
      <c r="AA33" s="432">
        <f t="shared" si="7"/>
        <v>1887630</v>
      </c>
      <c r="AB33" s="432">
        <f t="shared" si="7"/>
        <v>-110349</v>
      </c>
      <c r="AC33" s="432">
        <f t="shared" si="7"/>
        <v>13880497</v>
      </c>
      <c r="AD33" s="432">
        <f t="shared" si="7"/>
        <v>2105831</v>
      </c>
      <c r="AE33" s="432">
        <f t="shared" si="7"/>
        <v>56062977</v>
      </c>
      <c r="AF33" s="432">
        <f t="shared" si="7"/>
        <v>4018555</v>
      </c>
      <c r="AG33" s="432">
        <f t="shared" si="7"/>
        <v>6252530</v>
      </c>
      <c r="AH33" s="432">
        <f t="shared" si="7"/>
        <v>9985481</v>
      </c>
      <c r="AI33" s="432">
        <f t="shared" si="7"/>
        <v>37896532</v>
      </c>
      <c r="AJ33" s="432">
        <f t="shared" si="7"/>
        <v>3057006</v>
      </c>
      <c r="AK33" s="432">
        <f t="shared" si="7"/>
        <v>0</v>
      </c>
      <c r="AL33" s="432">
        <f>SUM(AL34:AL42)</f>
        <v>8693797</v>
      </c>
      <c r="AM33" s="432">
        <f t="shared" si="7"/>
        <v>1872708</v>
      </c>
    </row>
    <row r="34" spans="1:39" s="203" customFormat="1" ht="12" x14ac:dyDescent="0.2">
      <c r="A34" s="231">
        <v>1</v>
      </c>
      <c r="B34" s="539">
        <v>50889</v>
      </c>
      <c r="C34" s="540" t="s">
        <v>568</v>
      </c>
      <c r="D34" s="432">
        <f t="shared" si="5"/>
        <v>14910570</v>
      </c>
      <c r="E34" s="431">
        <v>3496359</v>
      </c>
      <c r="F34" s="431">
        <v>734519</v>
      </c>
      <c r="G34" s="431">
        <v>770551</v>
      </c>
      <c r="H34" s="431">
        <v>0</v>
      </c>
      <c r="I34" s="431">
        <v>5929802</v>
      </c>
      <c r="J34" s="431">
        <v>100000</v>
      </c>
      <c r="K34" s="431">
        <v>4130670</v>
      </c>
      <c r="L34" s="431">
        <v>0</v>
      </c>
      <c r="M34" s="431">
        <v>973671</v>
      </c>
      <c r="N34" s="431">
        <v>275618</v>
      </c>
      <c r="O34" s="431">
        <v>4450</v>
      </c>
      <c r="P34" s="432">
        <f t="shared" si="2"/>
        <v>14676596</v>
      </c>
      <c r="Q34" s="431">
        <v>7381913</v>
      </c>
      <c r="R34" s="431">
        <v>4160208</v>
      </c>
      <c r="S34" s="431">
        <v>20510</v>
      </c>
      <c r="T34" s="431">
        <v>0</v>
      </c>
      <c r="U34" s="431">
        <v>710395</v>
      </c>
      <c r="V34" s="431">
        <v>139879</v>
      </c>
      <c r="W34" s="431">
        <v>470130</v>
      </c>
      <c r="X34" s="431">
        <v>422328</v>
      </c>
      <c r="Y34" s="431">
        <v>0</v>
      </c>
      <c r="Z34" s="431">
        <v>1331060</v>
      </c>
      <c r="AA34" s="431">
        <v>40847</v>
      </c>
      <c r="AB34" s="431">
        <v>-674</v>
      </c>
      <c r="AC34" s="431">
        <v>2289358</v>
      </c>
      <c r="AD34" s="431">
        <v>274033</v>
      </c>
      <c r="AE34" s="431">
        <v>5272217</v>
      </c>
      <c r="AF34" s="431">
        <v>19769</v>
      </c>
      <c r="AG34" s="431">
        <v>918602</v>
      </c>
      <c r="AH34" s="431">
        <v>2229384</v>
      </c>
      <c r="AI34" s="431">
        <v>512975</v>
      </c>
      <c r="AJ34" s="431">
        <v>1168315</v>
      </c>
      <c r="AK34" s="431">
        <v>0</v>
      </c>
      <c r="AL34" s="431">
        <v>1430070</v>
      </c>
      <c r="AM34" s="431">
        <v>561873</v>
      </c>
    </row>
    <row r="35" spans="1:39" s="203" customFormat="1" ht="12" x14ac:dyDescent="0.2">
      <c r="A35" s="231">
        <v>2</v>
      </c>
      <c r="B35" s="539">
        <v>50923</v>
      </c>
      <c r="C35" s="540" t="s">
        <v>569</v>
      </c>
      <c r="D35" s="432">
        <f t="shared" si="5"/>
        <v>34893657</v>
      </c>
      <c r="E35" s="431">
        <v>4338086</v>
      </c>
      <c r="F35" s="431">
        <v>1642850</v>
      </c>
      <c r="G35" s="431">
        <v>289021</v>
      </c>
      <c r="H35" s="431">
        <v>0</v>
      </c>
      <c r="I35" s="431">
        <v>4105231</v>
      </c>
      <c r="J35" s="431">
        <v>0</v>
      </c>
      <c r="K35" s="431">
        <v>2931890</v>
      </c>
      <c r="L35" s="431">
        <v>0</v>
      </c>
      <c r="M35" s="431">
        <v>5446321</v>
      </c>
      <c r="N35" s="431">
        <v>18072129</v>
      </c>
      <c r="O35" s="431">
        <v>0</v>
      </c>
      <c r="P35" s="432">
        <f t="shared" si="2"/>
        <v>36732346</v>
      </c>
      <c r="Q35" s="431">
        <v>4870391</v>
      </c>
      <c r="R35" s="431">
        <v>2787674</v>
      </c>
      <c r="S35" s="431">
        <v>626685</v>
      </c>
      <c r="T35" s="431">
        <v>0</v>
      </c>
      <c r="U35" s="431">
        <v>0</v>
      </c>
      <c r="V35" s="431">
        <v>0</v>
      </c>
      <c r="W35" s="431">
        <v>22893520</v>
      </c>
      <c r="X35" s="431">
        <v>323697</v>
      </c>
      <c r="Y35" s="431">
        <v>0</v>
      </c>
      <c r="Z35" s="431">
        <v>4898407</v>
      </c>
      <c r="AA35" s="431">
        <v>334228</v>
      </c>
      <c r="AB35" s="431">
        <v>-2256</v>
      </c>
      <c r="AC35" s="431">
        <v>1973922</v>
      </c>
      <c r="AD35" s="431">
        <v>186281</v>
      </c>
      <c r="AE35" s="431">
        <v>3748601</v>
      </c>
      <c r="AF35" s="431">
        <v>60668</v>
      </c>
      <c r="AG35" s="431">
        <v>336939</v>
      </c>
      <c r="AH35" s="431">
        <v>555094</v>
      </c>
      <c r="AI35" s="431">
        <v>28151630</v>
      </c>
      <c r="AJ35" s="431">
        <v>453666</v>
      </c>
      <c r="AK35" s="431">
        <v>0</v>
      </c>
      <c r="AL35" s="431">
        <v>1265545</v>
      </c>
      <c r="AM35" s="431">
        <v>0</v>
      </c>
    </row>
    <row r="36" spans="1:39" s="203" customFormat="1" ht="12" x14ac:dyDescent="0.2">
      <c r="A36" s="231">
        <v>3</v>
      </c>
      <c r="B36" s="539">
        <v>50969</v>
      </c>
      <c r="C36" s="540" t="s">
        <v>570</v>
      </c>
      <c r="D36" s="432">
        <f t="shared" si="5"/>
        <v>21504206</v>
      </c>
      <c r="E36" s="431">
        <v>7727788</v>
      </c>
      <c r="F36" s="431">
        <v>3415089</v>
      </c>
      <c r="G36" s="431">
        <v>379794</v>
      </c>
      <c r="H36" s="431">
        <v>0</v>
      </c>
      <c r="I36" s="431">
        <v>10918160</v>
      </c>
      <c r="J36" s="431">
        <v>0</v>
      </c>
      <c r="K36" s="431">
        <v>2057780</v>
      </c>
      <c r="L36" s="431">
        <v>0</v>
      </c>
      <c r="M36" s="431">
        <v>798978</v>
      </c>
      <c r="N36" s="431">
        <v>0</v>
      </c>
      <c r="O36" s="431">
        <v>1500</v>
      </c>
      <c r="P36" s="432">
        <f t="shared" si="2"/>
        <v>19533984</v>
      </c>
      <c r="Q36" s="431">
        <v>11338358</v>
      </c>
      <c r="R36" s="431">
        <v>4270456</v>
      </c>
      <c r="S36" s="431">
        <v>143272</v>
      </c>
      <c r="T36" s="431">
        <v>0</v>
      </c>
      <c r="U36" s="431">
        <v>790061</v>
      </c>
      <c r="V36" s="431">
        <v>228304</v>
      </c>
      <c r="W36" s="431">
        <v>0</v>
      </c>
      <c r="X36" s="431">
        <v>1310659</v>
      </c>
      <c r="Y36" s="431">
        <v>257680</v>
      </c>
      <c r="Z36" s="431">
        <v>692789</v>
      </c>
      <c r="AA36" s="431">
        <v>518470</v>
      </c>
      <c r="AB36" s="431">
        <v>-16065</v>
      </c>
      <c r="AC36" s="431">
        <v>3022199</v>
      </c>
      <c r="AD36" s="431">
        <v>631470</v>
      </c>
      <c r="AE36" s="431">
        <v>9717750</v>
      </c>
      <c r="AF36" s="431">
        <v>29635</v>
      </c>
      <c r="AG36" s="431">
        <v>1043938</v>
      </c>
      <c r="AH36" s="431">
        <v>3308590</v>
      </c>
      <c r="AI36" s="431">
        <v>1001791</v>
      </c>
      <c r="AJ36" s="431">
        <v>380284</v>
      </c>
      <c r="AK36" s="431">
        <v>0</v>
      </c>
      <c r="AL36" s="431">
        <v>225891</v>
      </c>
      <c r="AM36" s="431">
        <v>172436</v>
      </c>
    </row>
    <row r="37" spans="1:39" s="203" customFormat="1" ht="12" x14ac:dyDescent="0.2">
      <c r="A37" s="231">
        <v>4</v>
      </c>
      <c r="B37" s="539">
        <v>51056</v>
      </c>
      <c r="C37" s="540" t="s">
        <v>571</v>
      </c>
      <c r="D37" s="432">
        <f t="shared" si="5"/>
        <v>23243510</v>
      </c>
      <c r="E37" s="431">
        <v>8671789</v>
      </c>
      <c r="F37" s="431">
        <v>4676331</v>
      </c>
      <c r="G37" s="431">
        <v>226161</v>
      </c>
      <c r="H37" s="431">
        <v>0</v>
      </c>
      <c r="I37" s="431">
        <v>10103160</v>
      </c>
      <c r="J37" s="431">
        <v>0</v>
      </c>
      <c r="K37" s="431">
        <v>971410</v>
      </c>
      <c r="L37" s="431">
        <v>0</v>
      </c>
      <c r="M37" s="431">
        <v>1836556</v>
      </c>
      <c r="N37" s="431">
        <v>1660595</v>
      </c>
      <c r="O37" s="431">
        <v>0</v>
      </c>
      <c r="P37" s="432">
        <f t="shared" si="2"/>
        <v>21209993</v>
      </c>
      <c r="Q37" s="431">
        <v>11088233</v>
      </c>
      <c r="R37" s="431">
        <v>4323686</v>
      </c>
      <c r="S37" s="431">
        <v>35509</v>
      </c>
      <c r="T37" s="431">
        <v>0</v>
      </c>
      <c r="U37" s="431">
        <v>499617</v>
      </c>
      <c r="V37" s="431">
        <v>200000</v>
      </c>
      <c r="W37" s="431">
        <v>1035099</v>
      </c>
      <c r="X37" s="431">
        <v>681531</v>
      </c>
      <c r="Y37" s="431">
        <v>210696</v>
      </c>
      <c r="Z37" s="431">
        <v>2789802</v>
      </c>
      <c r="AA37" s="431">
        <v>427020</v>
      </c>
      <c r="AB37" s="431">
        <v>-81200</v>
      </c>
      <c r="AC37" s="431">
        <v>1905041</v>
      </c>
      <c r="AD37" s="431">
        <v>580155</v>
      </c>
      <c r="AE37" s="431">
        <v>9034027</v>
      </c>
      <c r="AF37" s="431">
        <v>761665</v>
      </c>
      <c r="AG37" s="431">
        <v>1922038</v>
      </c>
      <c r="AH37" s="431">
        <v>1213119</v>
      </c>
      <c r="AI37" s="431">
        <v>4399005</v>
      </c>
      <c r="AJ37" s="431">
        <v>823621</v>
      </c>
      <c r="AK37" s="431">
        <v>0</v>
      </c>
      <c r="AL37" s="431">
        <v>331995</v>
      </c>
      <c r="AM37" s="431">
        <v>239327</v>
      </c>
    </row>
    <row r="38" spans="1:39" s="203" customFormat="1" ht="12" x14ac:dyDescent="0.2">
      <c r="A38" s="231">
        <v>5</v>
      </c>
      <c r="B38" s="539">
        <v>51118</v>
      </c>
      <c r="C38" s="540" t="s">
        <v>572</v>
      </c>
      <c r="D38" s="432">
        <f t="shared" si="5"/>
        <v>34650352</v>
      </c>
      <c r="E38" s="431">
        <v>8162492</v>
      </c>
      <c r="F38" s="431">
        <v>3842492</v>
      </c>
      <c r="G38" s="431">
        <v>416911</v>
      </c>
      <c r="H38" s="431">
        <v>0</v>
      </c>
      <c r="I38" s="431">
        <v>11125884</v>
      </c>
      <c r="J38" s="431">
        <v>0</v>
      </c>
      <c r="K38" s="431">
        <v>3196790</v>
      </c>
      <c r="L38" s="431">
        <v>0</v>
      </c>
      <c r="M38" s="431">
        <v>3692112</v>
      </c>
      <c r="N38" s="431">
        <v>8443144</v>
      </c>
      <c r="O38" s="431">
        <v>29930</v>
      </c>
      <c r="P38" s="432">
        <f t="shared" si="2"/>
        <v>34073135</v>
      </c>
      <c r="Q38" s="431">
        <v>11373640</v>
      </c>
      <c r="R38" s="431">
        <v>6116788</v>
      </c>
      <c r="S38" s="431">
        <v>224445</v>
      </c>
      <c r="T38" s="431">
        <v>0</v>
      </c>
      <c r="U38" s="431">
        <v>1301089</v>
      </c>
      <c r="V38" s="431">
        <v>100932</v>
      </c>
      <c r="W38" s="431">
        <v>9931657</v>
      </c>
      <c r="X38" s="431">
        <v>1077326</v>
      </c>
      <c r="Y38" s="431">
        <v>0</v>
      </c>
      <c r="Z38" s="431">
        <v>3649337</v>
      </c>
      <c r="AA38" s="431">
        <v>300000</v>
      </c>
      <c r="AB38" s="431">
        <v>-2079</v>
      </c>
      <c r="AC38" s="431">
        <v>2802747</v>
      </c>
      <c r="AD38" s="431">
        <v>38722</v>
      </c>
      <c r="AE38" s="431">
        <v>20645655</v>
      </c>
      <c r="AF38" s="431">
        <v>1338374</v>
      </c>
      <c r="AG38" s="431">
        <v>1264536</v>
      </c>
      <c r="AH38" s="431">
        <v>1538997</v>
      </c>
      <c r="AI38" s="431">
        <v>1544716</v>
      </c>
      <c r="AJ38" s="431">
        <v>231120</v>
      </c>
      <c r="AK38" s="431">
        <v>0</v>
      </c>
      <c r="AL38" s="431">
        <v>4646818</v>
      </c>
      <c r="AM38" s="431">
        <v>21450</v>
      </c>
    </row>
    <row r="39" spans="1:39" s="203" customFormat="1" ht="12" x14ac:dyDescent="0.2">
      <c r="A39" s="231">
        <v>6</v>
      </c>
      <c r="B39" s="539">
        <v>51207</v>
      </c>
      <c r="C39" s="540" t="s">
        <v>573</v>
      </c>
      <c r="D39" s="432">
        <f t="shared" si="5"/>
        <v>18382788</v>
      </c>
      <c r="E39" s="431">
        <v>5186428</v>
      </c>
      <c r="F39" s="431">
        <v>2516779</v>
      </c>
      <c r="G39" s="431">
        <v>258711</v>
      </c>
      <c r="H39" s="431">
        <v>0</v>
      </c>
      <c r="I39" s="431">
        <v>8279925</v>
      </c>
      <c r="J39" s="431">
        <v>0</v>
      </c>
      <c r="K39" s="431">
        <v>1905250</v>
      </c>
      <c r="L39" s="431">
        <v>0</v>
      </c>
      <c r="M39" s="431">
        <v>1303225</v>
      </c>
      <c r="N39" s="431">
        <v>1689969</v>
      </c>
      <c r="O39" s="431">
        <v>17991</v>
      </c>
      <c r="P39" s="432">
        <f t="shared" si="2"/>
        <v>17599860</v>
      </c>
      <c r="Q39" s="431">
        <v>8736758</v>
      </c>
      <c r="R39" s="431">
        <v>3336748</v>
      </c>
      <c r="S39" s="431">
        <v>89984</v>
      </c>
      <c r="T39" s="431">
        <v>0</v>
      </c>
      <c r="U39" s="431">
        <v>468000</v>
      </c>
      <c r="V39" s="431">
        <v>285279</v>
      </c>
      <c r="W39" s="431">
        <v>2389590</v>
      </c>
      <c r="X39" s="431">
        <v>717369</v>
      </c>
      <c r="Y39" s="431">
        <v>30000</v>
      </c>
      <c r="Z39" s="431">
        <v>1287142</v>
      </c>
      <c r="AA39" s="431">
        <v>267065</v>
      </c>
      <c r="AB39" s="431">
        <v>-8075</v>
      </c>
      <c r="AC39" s="431">
        <v>1887230</v>
      </c>
      <c r="AD39" s="431">
        <v>395170</v>
      </c>
      <c r="AE39" s="431">
        <v>7644727</v>
      </c>
      <c r="AF39" s="431">
        <v>1808444</v>
      </c>
      <c r="AG39" s="431">
        <v>766477</v>
      </c>
      <c r="AH39" s="431">
        <v>1140297</v>
      </c>
      <c r="AI39" s="431">
        <v>2286415</v>
      </c>
      <c r="AJ39" s="431">
        <v>0</v>
      </c>
      <c r="AK39" s="431">
        <v>0</v>
      </c>
      <c r="AL39" s="431">
        <v>793478</v>
      </c>
      <c r="AM39" s="431">
        <v>877622</v>
      </c>
    </row>
    <row r="40" spans="1:39" s="203" customFormat="1" ht="12" hidden="1" x14ac:dyDescent="0.2">
      <c r="A40" s="181">
        <v>7</v>
      </c>
      <c r="B40" s="181"/>
      <c r="C40" s="253"/>
      <c r="D40" s="432">
        <f t="shared" si="5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2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203" customFormat="1" ht="12" hidden="1" x14ac:dyDescent="0.2">
      <c r="A41" s="181">
        <v>8</v>
      </c>
      <c r="B41" s="181"/>
      <c r="C41" s="254"/>
      <c r="D41" s="432">
        <f t="shared" si="5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2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203" customFormat="1" ht="12" hidden="1" x14ac:dyDescent="0.2">
      <c r="A42" s="181">
        <v>9</v>
      </c>
      <c r="B42" s="181"/>
      <c r="C42" s="249"/>
      <c r="D42" s="432">
        <f t="shared" si="5"/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2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203" customFormat="1" ht="12" hidden="1" x14ac:dyDescent="0.2">
      <c r="A43" s="181">
        <v>10</v>
      </c>
      <c r="B43" s="181"/>
      <c r="C43" s="249"/>
      <c r="D43" s="432">
        <f t="shared" si="5"/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2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203" customFormat="1" ht="12" hidden="1" x14ac:dyDescent="0.2">
      <c r="A44" s="181">
        <v>11</v>
      </c>
      <c r="B44" s="181"/>
      <c r="C44" s="249"/>
      <c r="D44" s="432">
        <f t="shared" si="5"/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2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203" customFormat="1" ht="12" hidden="1" x14ac:dyDescent="0.2">
      <c r="A45" s="181">
        <v>12</v>
      </c>
      <c r="B45" s="181"/>
      <c r="C45" s="249"/>
      <c r="D45" s="432">
        <f t="shared" si="5"/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2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203" customFormat="1" ht="12" hidden="1" x14ac:dyDescent="0.2">
      <c r="A46" s="181">
        <v>13</v>
      </c>
      <c r="B46" s="181"/>
      <c r="C46" s="249"/>
      <c r="D46" s="432">
        <f t="shared" si="5"/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2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203" customFormat="1" ht="12" hidden="1" x14ac:dyDescent="0.2">
      <c r="A47" s="181">
        <v>14</v>
      </c>
      <c r="B47" s="181"/>
      <c r="C47" s="249"/>
      <c r="D47" s="432">
        <f t="shared" si="5"/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2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203" customFormat="1" ht="12" hidden="1" x14ac:dyDescent="0.2">
      <c r="A48" s="181">
        <v>15</v>
      </c>
      <c r="B48" s="181"/>
      <c r="C48" s="249"/>
      <c r="D48" s="432">
        <f t="shared" si="5"/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2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203" customFormat="1" ht="12" hidden="1" x14ac:dyDescent="0.2">
      <c r="A49" s="181">
        <v>16</v>
      </c>
      <c r="B49" s="181"/>
      <c r="C49" s="249"/>
      <c r="D49" s="432">
        <f t="shared" si="5"/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2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203" customFormat="1" ht="12" hidden="1" x14ac:dyDescent="0.2">
      <c r="A50" s="181">
        <v>17</v>
      </c>
      <c r="B50" s="181"/>
      <c r="C50" s="249"/>
      <c r="D50" s="432">
        <f t="shared" si="5"/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2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203" customFormat="1" ht="12" hidden="1" x14ac:dyDescent="0.2">
      <c r="A51" s="181">
        <v>18</v>
      </c>
      <c r="B51" s="181"/>
      <c r="C51" s="249"/>
      <c r="D51" s="432">
        <f t="shared" si="5"/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2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203" customFormat="1" ht="12" hidden="1" x14ac:dyDescent="0.2">
      <c r="A52" s="181">
        <v>19</v>
      </c>
      <c r="B52" s="181"/>
      <c r="C52" s="250"/>
      <c r="D52" s="432">
        <f t="shared" si="5"/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2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203" customFormat="1" ht="12" hidden="1" x14ac:dyDescent="0.2">
      <c r="A53" s="181">
        <v>20</v>
      </c>
      <c r="B53" s="181"/>
      <c r="C53" s="250"/>
      <c r="D53" s="432">
        <f t="shared" si="5"/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2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203" customFormat="1" ht="12.75" customHeight="1" x14ac:dyDescent="0.2">
      <c r="A54" s="164" t="s">
        <v>76</v>
      </c>
      <c r="B54" s="204"/>
      <c r="C54" s="251"/>
      <c r="D54" s="432">
        <f t="shared" si="5"/>
        <v>306792039</v>
      </c>
      <c r="E54" s="432">
        <f>SUM(E55:E143)</f>
        <v>68034137</v>
      </c>
      <c r="F54" s="432">
        <f t="shared" ref="F54:O54" si="8">SUM(F55:F143)</f>
        <v>15090287</v>
      </c>
      <c r="G54" s="432">
        <f t="shared" si="8"/>
        <v>13024438</v>
      </c>
      <c r="H54" s="432">
        <f t="shared" si="8"/>
        <v>0</v>
      </c>
      <c r="I54" s="432">
        <f t="shared" si="8"/>
        <v>79174706</v>
      </c>
      <c r="J54" s="432">
        <f t="shared" si="8"/>
        <v>7295000</v>
      </c>
      <c r="K54" s="432">
        <f t="shared" si="8"/>
        <v>66398220</v>
      </c>
      <c r="L54" s="432">
        <f t="shared" si="8"/>
        <v>0</v>
      </c>
      <c r="M54" s="432">
        <f t="shared" si="8"/>
        <v>44547874</v>
      </c>
      <c r="N54" s="432">
        <f t="shared" si="8"/>
        <v>40277206</v>
      </c>
      <c r="O54" s="432">
        <f t="shared" si="8"/>
        <v>1064896</v>
      </c>
      <c r="P54" s="432">
        <f t="shared" si="2"/>
        <v>286671887</v>
      </c>
      <c r="Q54" s="432">
        <f>SUM(Q55:Q143)</f>
        <v>92989412</v>
      </c>
      <c r="R54" s="432">
        <f t="shared" ref="R54:AM54" si="9">SUM(R55:R143)</f>
        <v>62717688</v>
      </c>
      <c r="S54" s="432">
        <f t="shared" si="9"/>
        <v>425729</v>
      </c>
      <c r="T54" s="432">
        <f t="shared" si="9"/>
        <v>0</v>
      </c>
      <c r="U54" s="432">
        <f t="shared" si="9"/>
        <v>0</v>
      </c>
      <c r="V54" s="432">
        <f t="shared" si="9"/>
        <v>716478</v>
      </c>
      <c r="W54" s="432">
        <f t="shared" si="9"/>
        <v>55395578</v>
      </c>
      <c r="X54" s="432">
        <f t="shared" si="9"/>
        <v>10619572</v>
      </c>
      <c r="Y54" s="432">
        <f t="shared" si="9"/>
        <v>529249</v>
      </c>
      <c r="Z54" s="432">
        <f t="shared" si="9"/>
        <v>59034524</v>
      </c>
      <c r="AA54" s="432">
        <f t="shared" si="9"/>
        <v>4718230</v>
      </c>
      <c r="AB54" s="432">
        <f t="shared" si="9"/>
        <v>-474573</v>
      </c>
      <c r="AC54" s="432">
        <f t="shared" si="9"/>
        <v>55175427</v>
      </c>
      <c r="AD54" s="432">
        <f t="shared" si="9"/>
        <v>2169667</v>
      </c>
      <c r="AE54" s="432">
        <f t="shared" si="9"/>
        <v>67810188</v>
      </c>
      <c r="AF54" s="432">
        <f t="shared" si="9"/>
        <v>413408</v>
      </c>
      <c r="AG54" s="432">
        <f t="shared" si="9"/>
        <v>21621472</v>
      </c>
      <c r="AH54" s="432">
        <f t="shared" si="9"/>
        <v>18405413</v>
      </c>
      <c r="AI54" s="432">
        <f t="shared" si="9"/>
        <v>43345215</v>
      </c>
      <c r="AJ54" s="432">
        <f t="shared" si="9"/>
        <v>23338066</v>
      </c>
      <c r="AK54" s="432">
        <f t="shared" si="9"/>
        <v>0</v>
      </c>
      <c r="AL54" s="432">
        <f>SUM(AL55:AL143)</f>
        <v>48410766</v>
      </c>
      <c r="AM54" s="432">
        <f t="shared" si="9"/>
        <v>5982265</v>
      </c>
    </row>
    <row r="55" spans="1:39" s="203" customFormat="1" ht="12" x14ac:dyDescent="0.2">
      <c r="A55" s="205">
        <v>1</v>
      </c>
      <c r="B55" s="541">
        <v>51243</v>
      </c>
      <c r="C55" s="538" t="s">
        <v>574</v>
      </c>
      <c r="D55" s="432">
        <f t="shared" si="5"/>
        <v>6019814</v>
      </c>
      <c r="E55" s="431">
        <v>895429</v>
      </c>
      <c r="F55" s="431">
        <v>220911</v>
      </c>
      <c r="G55" s="431">
        <v>137606</v>
      </c>
      <c r="H55" s="431">
        <v>0</v>
      </c>
      <c r="I55" s="431">
        <v>1173882</v>
      </c>
      <c r="J55" s="431">
        <v>150000</v>
      </c>
      <c r="K55" s="431">
        <v>715670</v>
      </c>
      <c r="L55" s="431">
        <v>0</v>
      </c>
      <c r="M55" s="431">
        <v>1002603</v>
      </c>
      <c r="N55" s="431">
        <v>1647603</v>
      </c>
      <c r="O55" s="431">
        <v>434627</v>
      </c>
      <c r="P55" s="432">
        <f t="shared" si="2"/>
        <v>4115372</v>
      </c>
      <c r="Q55" s="431">
        <v>1465021</v>
      </c>
      <c r="R55" s="431">
        <v>988934</v>
      </c>
      <c r="S55" s="431">
        <v>0</v>
      </c>
      <c r="T55" s="431">
        <v>0</v>
      </c>
      <c r="U55" s="431">
        <v>0</v>
      </c>
      <c r="V55" s="431">
        <v>0</v>
      </c>
      <c r="W55" s="431">
        <v>22893</v>
      </c>
      <c r="X55" s="431">
        <v>72591</v>
      </c>
      <c r="Y55" s="431">
        <v>0</v>
      </c>
      <c r="Z55" s="431">
        <v>1565933</v>
      </c>
      <c r="AA55" s="431">
        <v>0</v>
      </c>
      <c r="AB55" s="431">
        <v>0</v>
      </c>
      <c r="AC55" s="431">
        <v>512517</v>
      </c>
      <c r="AD55" s="431">
        <v>35137</v>
      </c>
      <c r="AE55" s="431">
        <v>947794</v>
      </c>
      <c r="AF55" s="431">
        <v>0</v>
      </c>
      <c r="AG55" s="431">
        <v>192882</v>
      </c>
      <c r="AH55" s="431">
        <v>245381</v>
      </c>
      <c r="AI55" s="431">
        <v>1953642</v>
      </c>
      <c r="AJ55" s="431">
        <v>67381</v>
      </c>
      <c r="AK55" s="431">
        <v>0</v>
      </c>
      <c r="AL55" s="431">
        <v>127659</v>
      </c>
      <c r="AM55" s="431">
        <v>32979</v>
      </c>
    </row>
    <row r="56" spans="1:39" s="203" customFormat="1" ht="12" x14ac:dyDescent="0.2">
      <c r="A56" s="205">
        <v>2</v>
      </c>
      <c r="B56" s="542">
        <v>51305</v>
      </c>
      <c r="C56" s="543" t="s">
        <v>575</v>
      </c>
      <c r="D56" s="432">
        <f t="shared" si="5"/>
        <v>2952189</v>
      </c>
      <c r="E56" s="431">
        <v>694856</v>
      </c>
      <c r="F56" s="431">
        <v>123540</v>
      </c>
      <c r="G56" s="431">
        <v>217077</v>
      </c>
      <c r="H56" s="431">
        <v>0</v>
      </c>
      <c r="I56" s="431">
        <v>1106895</v>
      </c>
      <c r="J56" s="431">
        <v>100000</v>
      </c>
      <c r="K56" s="431">
        <v>1037340</v>
      </c>
      <c r="L56" s="431">
        <v>0</v>
      </c>
      <c r="M56" s="431">
        <v>13098</v>
      </c>
      <c r="N56" s="431">
        <v>0</v>
      </c>
      <c r="O56" s="431">
        <v>0</v>
      </c>
      <c r="P56" s="432">
        <f t="shared" si="2"/>
        <v>2855416</v>
      </c>
      <c r="Q56" s="431">
        <v>1394138</v>
      </c>
      <c r="R56" s="431">
        <v>520803</v>
      </c>
      <c r="S56" s="431">
        <v>0</v>
      </c>
      <c r="T56" s="431">
        <v>0</v>
      </c>
      <c r="U56" s="431">
        <v>0</v>
      </c>
      <c r="V56" s="431">
        <v>38000</v>
      </c>
      <c r="W56" s="431">
        <v>165035</v>
      </c>
      <c r="X56" s="431">
        <v>109043</v>
      </c>
      <c r="Y56" s="431">
        <v>0</v>
      </c>
      <c r="Z56" s="431">
        <v>628397</v>
      </c>
      <c r="AA56" s="431">
        <v>0</v>
      </c>
      <c r="AB56" s="431">
        <v>0</v>
      </c>
      <c r="AC56" s="431">
        <v>541735</v>
      </c>
      <c r="AD56" s="431">
        <v>39222</v>
      </c>
      <c r="AE56" s="431">
        <v>864072</v>
      </c>
      <c r="AF56" s="431">
        <v>0</v>
      </c>
      <c r="AG56" s="431">
        <v>371267</v>
      </c>
      <c r="AH56" s="431">
        <v>314231</v>
      </c>
      <c r="AI56" s="431">
        <v>110231</v>
      </c>
      <c r="AJ56" s="431">
        <v>66880</v>
      </c>
      <c r="AK56" s="431">
        <v>0</v>
      </c>
      <c r="AL56" s="431">
        <v>547778</v>
      </c>
      <c r="AM56" s="431">
        <v>0</v>
      </c>
    </row>
    <row r="57" spans="1:39" s="203" customFormat="1" ht="12" x14ac:dyDescent="0.2">
      <c r="A57" s="205">
        <v>3</v>
      </c>
      <c r="B57" s="542">
        <v>51332</v>
      </c>
      <c r="C57" s="543" t="s">
        <v>576</v>
      </c>
      <c r="D57" s="432">
        <f t="shared" si="5"/>
        <v>4222331</v>
      </c>
      <c r="E57" s="431">
        <v>1238192</v>
      </c>
      <c r="F57" s="431">
        <v>343163</v>
      </c>
      <c r="G57" s="431">
        <v>190342</v>
      </c>
      <c r="H57" s="431">
        <v>0</v>
      </c>
      <c r="I57" s="431">
        <v>1546318</v>
      </c>
      <c r="J57" s="431">
        <v>0</v>
      </c>
      <c r="K57" s="431">
        <v>1026470</v>
      </c>
      <c r="L57" s="431">
        <v>0</v>
      </c>
      <c r="M57" s="431">
        <v>10636</v>
      </c>
      <c r="N57" s="431">
        <v>390115</v>
      </c>
      <c r="O57" s="431">
        <v>10600</v>
      </c>
      <c r="P57" s="432">
        <f t="shared" si="2"/>
        <v>4025363</v>
      </c>
      <c r="Q57" s="431">
        <v>1903845</v>
      </c>
      <c r="R57" s="431">
        <v>959195</v>
      </c>
      <c r="S57" s="431">
        <v>0</v>
      </c>
      <c r="T57" s="431">
        <v>0</v>
      </c>
      <c r="U57" s="431">
        <v>0</v>
      </c>
      <c r="V57" s="431">
        <v>0</v>
      </c>
      <c r="W57" s="431">
        <v>450644</v>
      </c>
      <c r="X57" s="431">
        <v>198547</v>
      </c>
      <c r="Y57" s="431">
        <v>135065</v>
      </c>
      <c r="Z57" s="431">
        <v>378967</v>
      </c>
      <c r="AA57" s="431">
        <v>0</v>
      </c>
      <c r="AB57" s="431">
        <v>-900</v>
      </c>
      <c r="AC57" s="431">
        <v>700756</v>
      </c>
      <c r="AD57" s="431">
        <v>75889</v>
      </c>
      <c r="AE57" s="431">
        <v>1196405</v>
      </c>
      <c r="AF57" s="431">
        <v>0</v>
      </c>
      <c r="AG57" s="431">
        <v>400124</v>
      </c>
      <c r="AH57" s="431">
        <v>493683</v>
      </c>
      <c r="AI57" s="431">
        <v>613739</v>
      </c>
      <c r="AJ57" s="431">
        <v>72000</v>
      </c>
      <c r="AK57" s="431">
        <v>0</v>
      </c>
      <c r="AL57" s="431">
        <v>472767</v>
      </c>
      <c r="AM57" s="431">
        <v>0</v>
      </c>
    </row>
    <row r="58" spans="1:39" s="203" customFormat="1" ht="12" x14ac:dyDescent="0.2">
      <c r="A58" s="205">
        <v>4</v>
      </c>
      <c r="B58" s="542">
        <v>51387</v>
      </c>
      <c r="C58" s="543" t="s">
        <v>577</v>
      </c>
      <c r="D58" s="432">
        <f t="shared" si="5"/>
        <v>3440267</v>
      </c>
      <c r="E58" s="431">
        <v>579684</v>
      </c>
      <c r="F58" s="431">
        <v>121316</v>
      </c>
      <c r="G58" s="431">
        <v>106561</v>
      </c>
      <c r="H58" s="431">
        <v>0</v>
      </c>
      <c r="I58" s="431">
        <v>916160</v>
      </c>
      <c r="J58" s="431">
        <v>0</v>
      </c>
      <c r="K58" s="431">
        <v>586840</v>
      </c>
      <c r="L58" s="431">
        <v>0</v>
      </c>
      <c r="M58" s="431">
        <v>73420</v>
      </c>
      <c r="N58" s="431">
        <v>1260163</v>
      </c>
      <c r="O58" s="431">
        <v>24000</v>
      </c>
      <c r="P58" s="432">
        <f t="shared" si="2"/>
        <v>1800136</v>
      </c>
      <c r="Q58" s="431">
        <v>1210013</v>
      </c>
      <c r="R58" s="431">
        <v>533146</v>
      </c>
      <c r="S58" s="431">
        <v>0</v>
      </c>
      <c r="T58" s="431">
        <v>0</v>
      </c>
      <c r="U58" s="431">
        <v>0</v>
      </c>
      <c r="V58" s="431">
        <v>0</v>
      </c>
      <c r="W58" s="431">
        <v>0</v>
      </c>
      <c r="X58" s="431">
        <v>56977</v>
      </c>
      <c r="Y58" s="431">
        <v>0</v>
      </c>
      <c r="Z58" s="431">
        <v>0</v>
      </c>
      <c r="AA58" s="431">
        <v>0</v>
      </c>
      <c r="AB58" s="431">
        <v>0</v>
      </c>
      <c r="AC58" s="431">
        <v>556537</v>
      </c>
      <c r="AD58" s="431">
        <v>56258</v>
      </c>
      <c r="AE58" s="431">
        <v>851525</v>
      </c>
      <c r="AF58" s="431">
        <v>0</v>
      </c>
      <c r="AG58" s="431">
        <v>128492</v>
      </c>
      <c r="AH58" s="431">
        <v>114946</v>
      </c>
      <c r="AI58" s="431">
        <v>52767</v>
      </c>
      <c r="AJ58" s="431">
        <v>22102</v>
      </c>
      <c r="AK58" s="431">
        <v>0</v>
      </c>
      <c r="AL58" s="431">
        <v>17509</v>
      </c>
      <c r="AM58" s="431">
        <v>0</v>
      </c>
    </row>
    <row r="59" spans="1:39" s="203" customFormat="1" ht="12" x14ac:dyDescent="0.2">
      <c r="A59" s="205">
        <v>5</v>
      </c>
      <c r="B59" s="542">
        <v>51449</v>
      </c>
      <c r="C59" s="543" t="s">
        <v>578</v>
      </c>
      <c r="D59" s="432">
        <f t="shared" si="5"/>
        <v>5393617</v>
      </c>
      <c r="E59" s="431">
        <v>1218725</v>
      </c>
      <c r="F59" s="431">
        <v>356081</v>
      </c>
      <c r="G59" s="431">
        <v>209122</v>
      </c>
      <c r="H59" s="431">
        <v>0</v>
      </c>
      <c r="I59" s="431">
        <v>1555563</v>
      </c>
      <c r="J59" s="431">
        <v>150000</v>
      </c>
      <c r="K59" s="431">
        <v>1010260</v>
      </c>
      <c r="L59" s="431">
        <v>0</v>
      </c>
      <c r="M59" s="431">
        <v>1009351</v>
      </c>
      <c r="N59" s="431">
        <v>449718</v>
      </c>
      <c r="O59" s="431">
        <v>0</v>
      </c>
      <c r="P59" s="432">
        <f t="shared" si="2"/>
        <v>6237332</v>
      </c>
      <c r="Q59" s="431">
        <v>1811472</v>
      </c>
      <c r="R59" s="431">
        <v>1310007</v>
      </c>
      <c r="S59" s="431">
        <v>119619</v>
      </c>
      <c r="T59" s="431">
        <v>0</v>
      </c>
      <c r="U59" s="431">
        <v>0</v>
      </c>
      <c r="V59" s="431">
        <v>0</v>
      </c>
      <c r="W59" s="431">
        <v>1049950</v>
      </c>
      <c r="X59" s="431">
        <v>204101</v>
      </c>
      <c r="Y59" s="431">
        <v>0</v>
      </c>
      <c r="Z59" s="431">
        <v>1605669</v>
      </c>
      <c r="AA59" s="431">
        <v>136514</v>
      </c>
      <c r="AB59" s="431">
        <v>0</v>
      </c>
      <c r="AC59" s="431">
        <v>1518799</v>
      </c>
      <c r="AD59" s="431">
        <v>62778</v>
      </c>
      <c r="AE59" s="431">
        <v>1386945</v>
      </c>
      <c r="AF59" s="431">
        <v>0</v>
      </c>
      <c r="AG59" s="431">
        <v>176798</v>
      </c>
      <c r="AH59" s="431">
        <v>204101</v>
      </c>
      <c r="AI59" s="431">
        <v>758628</v>
      </c>
      <c r="AJ59" s="431">
        <v>214372</v>
      </c>
      <c r="AK59" s="431">
        <v>0</v>
      </c>
      <c r="AL59" s="431">
        <v>1604776</v>
      </c>
      <c r="AM59" s="431">
        <v>310135</v>
      </c>
    </row>
    <row r="60" spans="1:39" s="203" customFormat="1" ht="12" x14ac:dyDescent="0.2">
      <c r="A60" s="205">
        <v>6</v>
      </c>
      <c r="B60" s="542">
        <v>51500</v>
      </c>
      <c r="C60" s="543" t="s">
        <v>579</v>
      </c>
      <c r="D60" s="432">
        <f t="shared" si="5"/>
        <v>4748820</v>
      </c>
      <c r="E60" s="431">
        <v>1124540</v>
      </c>
      <c r="F60" s="431">
        <v>262968</v>
      </c>
      <c r="G60" s="431">
        <v>250465</v>
      </c>
      <c r="H60" s="431">
        <v>0</v>
      </c>
      <c r="I60" s="431">
        <v>1975766</v>
      </c>
      <c r="J60" s="431">
        <v>150000</v>
      </c>
      <c r="K60" s="431">
        <v>1303490</v>
      </c>
      <c r="L60" s="431">
        <v>0</v>
      </c>
      <c r="M60" s="431">
        <v>52530</v>
      </c>
      <c r="N60" s="431">
        <v>137494</v>
      </c>
      <c r="O60" s="431">
        <v>5000</v>
      </c>
      <c r="P60" s="432">
        <f t="shared" si="2"/>
        <v>4268893</v>
      </c>
      <c r="Q60" s="431">
        <v>2134396</v>
      </c>
      <c r="R60" s="431">
        <v>1693277</v>
      </c>
      <c r="S60" s="431">
        <v>0</v>
      </c>
      <c r="T60" s="431">
        <v>0</v>
      </c>
      <c r="U60" s="431">
        <v>0</v>
      </c>
      <c r="V60" s="431">
        <v>0</v>
      </c>
      <c r="W60" s="431">
        <v>182918</v>
      </c>
      <c r="X60" s="431">
        <v>263347</v>
      </c>
      <c r="Y60" s="431">
        <v>0</v>
      </c>
      <c r="Z60" s="431">
        <v>0</v>
      </c>
      <c r="AA60" s="431">
        <v>0</v>
      </c>
      <c r="AB60" s="431">
        <v>-5045</v>
      </c>
      <c r="AC60" s="431">
        <v>1363836</v>
      </c>
      <c r="AD60" s="431">
        <v>41535</v>
      </c>
      <c r="AE60" s="431">
        <v>1782012</v>
      </c>
      <c r="AF60" s="431">
        <v>0</v>
      </c>
      <c r="AG60" s="431">
        <v>187472</v>
      </c>
      <c r="AH60" s="431">
        <v>274558</v>
      </c>
      <c r="AI60" s="431">
        <v>212457</v>
      </c>
      <c r="AJ60" s="431">
        <v>148151</v>
      </c>
      <c r="AK60" s="431">
        <v>0</v>
      </c>
      <c r="AL60" s="431">
        <v>182143</v>
      </c>
      <c r="AM60" s="431">
        <v>76729</v>
      </c>
    </row>
    <row r="61" spans="1:39" s="203" customFormat="1" ht="12" x14ac:dyDescent="0.2">
      <c r="A61" s="205">
        <v>7</v>
      </c>
      <c r="B61" s="542">
        <v>51546</v>
      </c>
      <c r="C61" s="543" t="s">
        <v>580</v>
      </c>
      <c r="D61" s="432">
        <f t="shared" si="5"/>
        <v>2806043</v>
      </c>
      <c r="E61" s="431">
        <v>556848</v>
      </c>
      <c r="F61" s="431">
        <v>53923</v>
      </c>
      <c r="G61" s="431">
        <v>198104</v>
      </c>
      <c r="H61" s="431">
        <v>0</v>
      </c>
      <c r="I61" s="431">
        <v>656244</v>
      </c>
      <c r="J61" s="431">
        <v>100000</v>
      </c>
      <c r="K61" s="431">
        <v>941500</v>
      </c>
      <c r="L61" s="431">
        <v>0</v>
      </c>
      <c r="M61" s="431">
        <v>551451</v>
      </c>
      <c r="N61" s="431">
        <v>0</v>
      </c>
      <c r="O61" s="431">
        <v>0</v>
      </c>
      <c r="P61" s="432">
        <f t="shared" si="2"/>
        <v>2305526</v>
      </c>
      <c r="Q61" s="431">
        <v>992169</v>
      </c>
      <c r="R61" s="431">
        <v>570766</v>
      </c>
      <c r="S61" s="431">
        <v>0</v>
      </c>
      <c r="T61" s="431">
        <v>0</v>
      </c>
      <c r="U61" s="431">
        <v>0</v>
      </c>
      <c r="V61" s="431">
        <v>0</v>
      </c>
      <c r="W61" s="431">
        <v>0</v>
      </c>
      <c r="X61" s="431">
        <v>71703</v>
      </c>
      <c r="Y61" s="431">
        <v>0</v>
      </c>
      <c r="Z61" s="431">
        <v>670888</v>
      </c>
      <c r="AA61" s="431">
        <v>0</v>
      </c>
      <c r="AB61" s="431">
        <v>0</v>
      </c>
      <c r="AC61" s="431">
        <v>467873</v>
      </c>
      <c r="AD61" s="431">
        <v>9011</v>
      </c>
      <c r="AE61" s="431">
        <v>639365</v>
      </c>
      <c r="AF61" s="431">
        <v>0</v>
      </c>
      <c r="AG61" s="431">
        <v>125326</v>
      </c>
      <c r="AH61" s="431">
        <v>141715</v>
      </c>
      <c r="AI61" s="431">
        <v>159304</v>
      </c>
      <c r="AJ61" s="431">
        <v>49964</v>
      </c>
      <c r="AK61" s="431">
        <v>0</v>
      </c>
      <c r="AL61" s="431">
        <v>634329</v>
      </c>
      <c r="AM61" s="431">
        <v>78639</v>
      </c>
    </row>
    <row r="62" spans="1:39" s="203" customFormat="1" ht="12" x14ac:dyDescent="0.2">
      <c r="A62" s="205">
        <v>8</v>
      </c>
      <c r="B62" s="542">
        <v>51573</v>
      </c>
      <c r="C62" s="543" t="s">
        <v>581</v>
      </c>
      <c r="D62" s="432">
        <f t="shared" si="5"/>
        <v>11587274</v>
      </c>
      <c r="E62" s="431">
        <v>1921818</v>
      </c>
      <c r="F62" s="431">
        <v>963215</v>
      </c>
      <c r="G62" s="431">
        <v>116999</v>
      </c>
      <c r="H62" s="431">
        <v>0</v>
      </c>
      <c r="I62" s="431">
        <v>4019218</v>
      </c>
      <c r="J62" s="431">
        <v>150000</v>
      </c>
      <c r="K62" s="431">
        <v>897660</v>
      </c>
      <c r="L62" s="431">
        <v>0</v>
      </c>
      <c r="M62" s="431">
        <v>2117825</v>
      </c>
      <c r="N62" s="431">
        <v>2480753</v>
      </c>
      <c r="O62" s="431">
        <v>0</v>
      </c>
      <c r="P62" s="432">
        <f t="shared" si="2"/>
        <v>9402275</v>
      </c>
      <c r="Q62" s="431">
        <v>4023677</v>
      </c>
      <c r="R62" s="431">
        <v>1955517</v>
      </c>
      <c r="S62" s="431">
        <v>4668</v>
      </c>
      <c r="T62" s="431">
        <v>0</v>
      </c>
      <c r="U62" s="431">
        <v>0</v>
      </c>
      <c r="V62" s="431">
        <v>0</v>
      </c>
      <c r="W62" s="431">
        <v>708850</v>
      </c>
      <c r="X62" s="431">
        <v>315314</v>
      </c>
      <c r="Y62" s="431">
        <v>67950</v>
      </c>
      <c r="Z62" s="431">
        <v>2023006</v>
      </c>
      <c r="AA62" s="431">
        <v>303293</v>
      </c>
      <c r="AB62" s="431">
        <v>0</v>
      </c>
      <c r="AC62" s="431">
        <v>735196</v>
      </c>
      <c r="AD62" s="431">
        <v>22354</v>
      </c>
      <c r="AE62" s="431">
        <v>3844019</v>
      </c>
      <c r="AF62" s="431">
        <v>0</v>
      </c>
      <c r="AG62" s="431">
        <v>425153</v>
      </c>
      <c r="AH62" s="431">
        <v>338483</v>
      </c>
      <c r="AI62" s="431">
        <v>1519983</v>
      </c>
      <c r="AJ62" s="431">
        <v>0</v>
      </c>
      <c r="AK62" s="431">
        <v>0</v>
      </c>
      <c r="AL62" s="431">
        <v>2327992</v>
      </c>
      <c r="AM62" s="431">
        <v>189095</v>
      </c>
    </row>
    <row r="63" spans="1:39" s="203" customFormat="1" ht="12" x14ac:dyDescent="0.2">
      <c r="A63" s="205">
        <v>9</v>
      </c>
      <c r="B63" s="542">
        <v>51626</v>
      </c>
      <c r="C63" s="543" t="s">
        <v>582</v>
      </c>
      <c r="D63" s="432">
        <f t="shared" si="5"/>
        <v>2860876</v>
      </c>
      <c r="E63" s="431">
        <v>611939</v>
      </c>
      <c r="F63" s="431">
        <v>66667</v>
      </c>
      <c r="G63" s="431">
        <v>191528</v>
      </c>
      <c r="H63" s="431">
        <v>0</v>
      </c>
      <c r="I63" s="431">
        <v>606796</v>
      </c>
      <c r="J63" s="431">
        <v>150000</v>
      </c>
      <c r="K63" s="431">
        <v>943900</v>
      </c>
      <c r="L63" s="431">
        <v>0</v>
      </c>
      <c r="M63" s="431">
        <v>72859</v>
      </c>
      <c r="N63" s="431">
        <v>475382</v>
      </c>
      <c r="O63" s="431">
        <v>0</v>
      </c>
      <c r="P63" s="432">
        <f t="shared" si="2"/>
        <v>1996984</v>
      </c>
      <c r="Q63" s="431">
        <v>917961</v>
      </c>
      <c r="R63" s="431">
        <v>515513</v>
      </c>
      <c r="S63" s="431">
        <v>0</v>
      </c>
      <c r="T63" s="431">
        <v>0</v>
      </c>
      <c r="U63" s="431">
        <v>0</v>
      </c>
      <c r="V63" s="431">
        <v>0</v>
      </c>
      <c r="W63" s="431">
        <v>222702</v>
      </c>
      <c r="X63" s="431">
        <v>136272</v>
      </c>
      <c r="Y63" s="431">
        <v>0</v>
      </c>
      <c r="Z63" s="431">
        <v>217847</v>
      </c>
      <c r="AA63" s="431">
        <v>0</v>
      </c>
      <c r="AB63" s="431">
        <v>-13311</v>
      </c>
      <c r="AC63" s="431">
        <v>699428</v>
      </c>
      <c r="AD63" s="431">
        <v>0</v>
      </c>
      <c r="AE63" s="431">
        <v>472008</v>
      </c>
      <c r="AF63" s="431">
        <v>0</v>
      </c>
      <c r="AG63" s="431">
        <v>258534</v>
      </c>
      <c r="AH63" s="431">
        <v>261766</v>
      </c>
      <c r="AI63" s="431">
        <v>81781</v>
      </c>
      <c r="AJ63" s="431">
        <v>52004</v>
      </c>
      <c r="AK63" s="431">
        <v>0</v>
      </c>
      <c r="AL63" s="431">
        <v>184774</v>
      </c>
      <c r="AM63" s="431">
        <v>-13311</v>
      </c>
    </row>
    <row r="64" spans="1:39" s="203" customFormat="1" ht="12" x14ac:dyDescent="0.2">
      <c r="A64" s="205">
        <v>10</v>
      </c>
      <c r="B64" s="542">
        <v>51662</v>
      </c>
      <c r="C64" s="543" t="s">
        <v>583</v>
      </c>
      <c r="D64" s="432">
        <f t="shared" si="5"/>
        <v>3559701</v>
      </c>
      <c r="E64" s="431">
        <v>1706004</v>
      </c>
      <c r="F64" s="431">
        <v>26207</v>
      </c>
      <c r="G64" s="431">
        <v>221733</v>
      </c>
      <c r="H64" s="431">
        <v>0</v>
      </c>
      <c r="I64" s="431">
        <v>10110</v>
      </c>
      <c r="J64" s="431">
        <v>150000</v>
      </c>
      <c r="K64" s="431">
        <v>995140</v>
      </c>
      <c r="L64" s="431">
        <v>0</v>
      </c>
      <c r="M64" s="431">
        <v>698447</v>
      </c>
      <c r="N64" s="431">
        <v>0</v>
      </c>
      <c r="O64" s="431">
        <v>0</v>
      </c>
      <c r="P64" s="432">
        <f t="shared" si="2"/>
        <v>2004111</v>
      </c>
      <c r="Q64" s="431">
        <v>221631</v>
      </c>
      <c r="R64" s="431">
        <v>541566</v>
      </c>
      <c r="S64" s="431">
        <v>9600</v>
      </c>
      <c r="T64" s="431">
        <v>0</v>
      </c>
      <c r="U64" s="431">
        <v>0</v>
      </c>
      <c r="V64" s="431">
        <v>0</v>
      </c>
      <c r="W64" s="431">
        <v>0</v>
      </c>
      <c r="X64" s="431">
        <v>17798</v>
      </c>
      <c r="Y64" s="431">
        <v>0</v>
      </c>
      <c r="Z64" s="431">
        <v>1191868</v>
      </c>
      <c r="AA64" s="431">
        <v>21648</v>
      </c>
      <c r="AB64" s="431">
        <v>0</v>
      </c>
      <c r="AC64" s="431">
        <v>717414</v>
      </c>
      <c r="AD64" s="431">
        <v>26055</v>
      </c>
      <c r="AE64" s="431">
        <v>0</v>
      </c>
      <c r="AF64" s="431">
        <v>0</v>
      </c>
      <c r="AG64" s="431">
        <v>63248</v>
      </c>
      <c r="AH64" s="431">
        <v>17798</v>
      </c>
      <c r="AI64" s="431">
        <v>870253</v>
      </c>
      <c r="AJ64" s="431">
        <v>131651</v>
      </c>
      <c r="AK64" s="431">
        <v>0</v>
      </c>
      <c r="AL64" s="431">
        <v>165512</v>
      </c>
      <c r="AM64" s="431">
        <v>12180</v>
      </c>
    </row>
    <row r="65" spans="1:39" s="203" customFormat="1" ht="12" x14ac:dyDescent="0.2">
      <c r="A65" s="205">
        <v>11</v>
      </c>
      <c r="B65" s="542">
        <v>51699</v>
      </c>
      <c r="C65" s="543" t="s">
        <v>584</v>
      </c>
      <c r="D65" s="432">
        <f t="shared" si="5"/>
        <v>6734365</v>
      </c>
      <c r="E65" s="431">
        <v>5274480</v>
      </c>
      <c r="F65" s="431">
        <v>4024014</v>
      </c>
      <c r="G65" s="431">
        <v>7814</v>
      </c>
      <c r="H65" s="431">
        <v>0</v>
      </c>
      <c r="I65" s="431">
        <v>711210</v>
      </c>
      <c r="J65" s="431">
        <v>150000</v>
      </c>
      <c r="K65" s="431">
        <v>32520</v>
      </c>
      <c r="L65" s="431">
        <v>0</v>
      </c>
      <c r="M65" s="431">
        <v>566155</v>
      </c>
      <c r="N65" s="431">
        <v>0</v>
      </c>
      <c r="O65" s="431">
        <v>0</v>
      </c>
      <c r="P65" s="432">
        <f t="shared" si="2"/>
        <v>5166924</v>
      </c>
      <c r="Q65" s="431">
        <v>1010248</v>
      </c>
      <c r="R65" s="431">
        <v>2301056</v>
      </c>
      <c r="S65" s="431">
        <v>3455</v>
      </c>
      <c r="T65" s="431">
        <v>0</v>
      </c>
      <c r="U65" s="431">
        <v>0</v>
      </c>
      <c r="V65" s="431">
        <v>0</v>
      </c>
      <c r="W65" s="431">
        <v>88056</v>
      </c>
      <c r="X65" s="431">
        <v>161108</v>
      </c>
      <c r="Y65" s="431">
        <v>10000</v>
      </c>
      <c r="Z65" s="431">
        <v>1505497</v>
      </c>
      <c r="AA65" s="431">
        <v>87504</v>
      </c>
      <c r="AB65" s="431">
        <v>0</v>
      </c>
      <c r="AC65" s="431">
        <v>808732</v>
      </c>
      <c r="AD65" s="431">
        <v>73572</v>
      </c>
      <c r="AE65" s="431">
        <v>807541</v>
      </c>
      <c r="AF65" s="431">
        <v>0</v>
      </c>
      <c r="AG65" s="431">
        <v>452019</v>
      </c>
      <c r="AH65" s="431">
        <v>194652</v>
      </c>
      <c r="AI65" s="431">
        <v>579744</v>
      </c>
      <c r="AJ65" s="431">
        <v>661566</v>
      </c>
      <c r="AK65" s="431">
        <v>0</v>
      </c>
      <c r="AL65" s="431">
        <v>1499544</v>
      </c>
      <c r="AM65" s="431">
        <v>89554</v>
      </c>
    </row>
    <row r="66" spans="1:39" s="203" customFormat="1" ht="12" x14ac:dyDescent="0.2">
      <c r="A66" s="205">
        <v>12</v>
      </c>
      <c r="B66" s="542">
        <v>51751</v>
      </c>
      <c r="C66" s="543" t="s">
        <v>585</v>
      </c>
      <c r="D66" s="432">
        <f t="shared" si="5"/>
        <v>3810863</v>
      </c>
      <c r="E66" s="431">
        <v>865070</v>
      </c>
      <c r="F66" s="431">
        <v>104284</v>
      </c>
      <c r="G66" s="431">
        <v>207206</v>
      </c>
      <c r="H66" s="431">
        <v>0</v>
      </c>
      <c r="I66" s="431">
        <v>1144506</v>
      </c>
      <c r="J66" s="431">
        <v>50000</v>
      </c>
      <c r="K66" s="431">
        <v>1079150</v>
      </c>
      <c r="L66" s="431">
        <v>0</v>
      </c>
      <c r="M66" s="431">
        <v>672137</v>
      </c>
      <c r="N66" s="431">
        <v>0</v>
      </c>
      <c r="O66" s="431">
        <v>0</v>
      </c>
      <c r="P66" s="432">
        <f t="shared" si="2"/>
        <v>3370280</v>
      </c>
      <c r="Q66" s="431">
        <v>1218048</v>
      </c>
      <c r="R66" s="431">
        <v>1093252</v>
      </c>
      <c r="S66" s="431">
        <v>0</v>
      </c>
      <c r="T66" s="431">
        <v>0</v>
      </c>
      <c r="U66" s="431">
        <v>0</v>
      </c>
      <c r="V66" s="431">
        <v>0</v>
      </c>
      <c r="W66" s="431">
        <v>0</v>
      </c>
      <c r="X66" s="431">
        <v>243610</v>
      </c>
      <c r="Y66" s="431">
        <v>0</v>
      </c>
      <c r="Z66" s="431">
        <v>819728</v>
      </c>
      <c r="AA66" s="431">
        <v>0</v>
      </c>
      <c r="AB66" s="431">
        <v>-4358</v>
      </c>
      <c r="AC66" s="431">
        <v>630481</v>
      </c>
      <c r="AD66" s="431">
        <v>3131</v>
      </c>
      <c r="AE66" s="431">
        <v>896466</v>
      </c>
      <c r="AF66" s="431">
        <v>0</v>
      </c>
      <c r="AG66" s="431">
        <v>98920</v>
      </c>
      <c r="AH66" s="431">
        <v>326086</v>
      </c>
      <c r="AI66" s="431">
        <v>188479</v>
      </c>
      <c r="AJ66" s="431">
        <v>36756</v>
      </c>
      <c r="AK66" s="431">
        <v>0</v>
      </c>
      <c r="AL66" s="431">
        <v>847929</v>
      </c>
      <c r="AM66" s="431">
        <v>342032</v>
      </c>
    </row>
    <row r="67" spans="1:39" s="203" customFormat="1" ht="12" x14ac:dyDescent="0.2">
      <c r="A67" s="205">
        <v>13</v>
      </c>
      <c r="B67" s="542">
        <v>51804</v>
      </c>
      <c r="C67" s="543" t="s">
        <v>586</v>
      </c>
      <c r="D67" s="432">
        <f t="shared" si="5"/>
        <v>11795644</v>
      </c>
      <c r="E67" s="431">
        <v>1217111</v>
      </c>
      <c r="F67" s="431">
        <v>277895</v>
      </c>
      <c r="G67" s="431">
        <v>179148</v>
      </c>
      <c r="H67" s="431">
        <v>0</v>
      </c>
      <c r="I67" s="431">
        <v>1741324</v>
      </c>
      <c r="J67" s="431">
        <v>150000</v>
      </c>
      <c r="K67" s="431">
        <v>711070</v>
      </c>
      <c r="L67" s="431">
        <v>0</v>
      </c>
      <c r="M67" s="431">
        <v>2113047</v>
      </c>
      <c r="N67" s="431">
        <v>5863092</v>
      </c>
      <c r="O67" s="431">
        <v>0</v>
      </c>
      <c r="P67" s="432">
        <f t="shared" si="2"/>
        <v>13454844</v>
      </c>
      <c r="Q67" s="431">
        <v>1785898</v>
      </c>
      <c r="R67" s="431">
        <v>1045388</v>
      </c>
      <c r="S67" s="431">
        <v>0</v>
      </c>
      <c r="T67" s="431">
        <v>0</v>
      </c>
      <c r="U67" s="431">
        <v>0</v>
      </c>
      <c r="V67" s="431">
        <v>0</v>
      </c>
      <c r="W67" s="431">
        <v>10156923</v>
      </c>
      <c r="X67" s="431">
        <v>244482</v>
      </c>
      <c r="Y67" s="431">
        <v>0</v>
      </c>
      <c r="Z67" s="431">
        <v>222153</v>
      </c>
      <c r="AA67" s="431">
        <v>0</v>
      </c>
      <c r="AB67" s="431">
        <v>0</v>
      </c>
      <c r="AC67" s="431">
        <v>792865</v>
      </c>
      <c r="AD67" s="431">
        <v>17544</v>
      </c>
      <c r="AE67" s="431">
        <v>1523292</v>
      </c>
      <c r="AF67" s="431">
        <v>0</v>
      </c>
      <c r="AG67" s="431">
        <v>201170</v>
      </c>
      <c r="AH67" s="431">
        <v>282862</v>
      </c>
      <c r="AI67" s="431">
        <v>105762</v>
      </c>
      <c r="AJ67" s="431">
        <v>7773980</v>
      </c>
      <c r="AK67" s="431">
        <v>0</v>
      </c>
      <c r="AL67" s="431">
        <v>2689651</v>
      </c>
      <c r="AM67" s="431">
        <v>67718</v>
      </c>
    </row>
    <row r="68" spans="1:39" s="203" customFormat="1" ht="12" x14ac:dyDescent="0.2">
      <c r="A68" s="205">
        <v>14</v>
      </c>
      <c r="B68" s="542">
        <v>51840</v>
      </c>
      <c r="C68" s="543" t="s">
        <v>587</v>
      </c>
      <c r="D68" s="432">
        <f t="shared" si="5"/>
        <v>4494911</v>
      </c>
      <c r="E68" s="431">
        <v>417166</v>
      </c>
      <c r="F68" s="431">
        <v>32789</v>
      </c>
      <c r="G68" s="431">
        <v>263775</v>
      </c>
      <c r="H68" s="431">
        <v>0</v>
      </c>
      <c r="I68" s="431">
        <v>585290</v>
      </c>
      <c r="J68" s="431">
        <v>50000</v>
      </c>
      <c r="K68" s="431">
        <v>1227060</v>
      </c>
      <c r="L68" s="431">
        <v>0</v>
      </c>
      <c r="M68" s="431">
        <v>2182293</v>
      </c>
      <c r="N68" s="431">
        <v>33102</v>
      </c>
      <c r="O68" s="431">
        <v>0</v>
      </c>
      <c r="P68" s="432">
        <f t="shared" si="2"/>
        <v>4408336</v>
      </c>
      <c r="Q68" s="431">
        <v>741922</v>
      </c>
      <c r="R68" s="431">
        <v>459898</v>
      </c>
      <c r="S68" s="431">
        <v>0</v>
      </c>
      <c r="T68" s="431">
        <v>0</v>
      </c>
      <c r="U68" s="431">
        <v>0</v>
      </c>
      <c r="V68" s="431">
        <v>20000</v>
      </c>
      <c r="W68" s="431">
        <v>0</v>
      </c>
      <c r="X68" s="431">
        <v>112921</v>
      </c>
      <c r="Y68" s="431">
        <v>0</v>
      </c>
      <c r="Z68" s="431">
        <v>3073595</v>
      </c>
      <c r="AA68" s="431">
        <v>0</v>
      </c>
      <c r="AB68" s="431">
        <v>0</v>
      </c>
      <c r="AC68" s="431">
        <v>543731</v>
      </c>
      <c r="AD68" s="431">
        <v>35916</v>
      </c>
      <c r="AE68" s="431">
        <v>504061</v>
      </c>
      <c r="AF68" s="431">
        <v>157395</v>
      </c>
      <c r="AG68" s="431">
        <v>198117</v>
      </c>
      <c r="AH68" s="431">
        <v>127420</v>
      </c>
      <c r="AI68" s="431">
        <v>236557</v>
      </c>
      <c r="AJ68" s="431">
        <v>27765</v>
      </c>
      <c r="AK68" s="431">
        <v>0</v>
      </c>
      <c r="AL68" s="431">
        <v>2519839</v>
      </c>
      <c r="AM68" s="431">
        <v>57535</v>
      </c>
    </row>
    <row r="69" spans="1:39" s="203" customFormat="1" ht="12" x14ac:dyDescent="0.2">
      <c r="A69" s="205">
        <v>15</v>
      </c>
      <c r="B69" s="542">
        <v>51948</v>
      </c>
      <c r="C69" s="543" t="s">
        <v>588</v>
      </c>
      <c r="D69" s="432">
        <f t="shared" si="5"/>
        <v>2762067</v>
      </c>
      <c r="E69" s="431">
        <v>589291</v>
      </c>
      <c r="F69" s="431">
        <v>79181</v>
      </c>
      <c r="G69" s="431">
        <v>211676</v>
      </c>
      <c r="H69" s="431">
        <v>0</v>
      </c>
      <c r="I69" s="431">
        <v>993600</v>
      </c>
      <c r="J69" s="431">
        <v>80000</v>
      </c>
      <c r="K69" s="431">
        <v>999150</v>
      </c>
      <c r="L69" s="431">
        <v>0</v>
      </c>
      <c r="M69" s="431">
        <v>91440</v>
      </c>
      <c r="N69" s="431">
        <v>8586</v>
      </c>
      <c r="O69" s="431">
        <v>0</v>
      </c>
      <c r="P69" s="432">
        <f t="shared" si="2"/>
        <v>2676757</v>
      </c>
      <c r="Q69" s="431">
        <v>1083011</v>
      </c>
      <c r="R69" s="431">
        <v>1127785</v>
      </c>
      <c r="S69" s="431">
        <v>9745</v>
      </c>
      <c r="T69" s="431">
        <v>0</v>
      </c>
      <c r="U69" s="431">
        <v>0</v>
      </c>
      <c r="V69" s="431">
        <v>0</v>
      </c>
      <c r="W69" s="431">
        <v>28076</v>
      </c>
      <c r="X69" s="431">
        <v>177786</v>
      </c>
      <c r="Y69" s="431">
        <v>0</v>
      </c>
      <c r="Z69" s="431">
        <v>144029</v>
      </c>
      <c r="AA69" s="431">
        <v>106325</v>
      </c>
      <c r="AB69" s="431">
        <v>0</v>
      </c>
      <c r="AC69" s="431">
        <v>1187857</v>
      </c>
      <c r="AD69" s="431">
        <v>2830</v>
      </c>
      <c r="AE69" s="431">
        <v>808041</v>
      </c>
      <c r="AF69" s="431">
        <v>0</v>
      </c>
      <c r="AG69" s="431">
        <v>235481</v>
      </c>
      <c r="AH69" s="431">
        <v>242444</v>
      </c>
      <c r="AI69" s="431">
        <v>53883</v>
      </c>
      <c r="AJ69" s="431">
        <v>69429</v>
      </c>
      <c r="AK69" s="431">
        <v>0</v>
      </c>
      <c r="AL69" s="431">
        <v>76792</v>
      </c>
      <c r="AM69" s="431">
        <v>0</v>
      </c>
    </row>
    <row r="70" spans="1:39" s="203" customFormat="1" ht="12" x14ac:dyDescent="0.2">
      <c r="A70" s="205">
        <v>16</v>
      </c>
      <c r="B70" s="542">
        <v>51984</v>
      </c>
      <c r="C70" s="543" t="s">
        <v>589</v>
      </c>
      <c r="D70" s="432">
        <f t="shared" si="5"/>
        <v>2856820</v>
      </c>
      <c r="E70" s="431">
        <v>490400</v>
      </c>
      <c r="F70" s="431">
        <v>37347</v>
      </c>
      <c r="G70" s="431">
        <v>178187</v>
      </c>
      <c r="H70" s="431">
        <v>0</v>
      </c>
      <c r="I70" s="431">
        <v>474320</v>
      </c>
      <c r="J70" s="431">
        <v>0</v>
      </c>
      <c r="K70" s="431">
        <v>897970</v>
      </c>
      <c r="L70" s="431">
        <v>0</v>
      </c>
      <c r="M70" s="431">
        <v>976130</v>
      </c>
      <c r="N70" s="431">
        <v>0</v>
      </c>
      <c r="O70" s="431">
        <v>18000</v>
      </c>
      <c r="P70" s="432">
        <f t="shared" si="2"/>
        <v>2896616</v>
      </c>
      <c r="Q70" s="431">
        <v>751537</v>
      </c>
      <c r="R70" s="431">
        <v>517614</v>
      </c>
      <c r="S70" s="431">
        <v>1796</v>
      </c>
      <c r="T70" s="431">
        <v>0</v>
      </c>
      <c r="U70" s="431">
        <v>0</v>
      </c>
      <c r="V70" s="431">
        <v>0</v>
      </c>
      <c r="W70" s="431">
        <v>0</v>
      </c>
      <c r="X70" s="431">
        <v>135363</v>
      </c>
      <c r="Y70" s="431">
        <v>0</v>
      </c>
      <c r="Z70" s="431">
        <v>1389680</v>
      </c>
      <c r="AA70" s="431">
        <v>103926</v>
      </c>
      <c r="AB70" s="431">
        <v>-3300</v>
      </c>
      <c r="AC70" s="431">
        <v>615643</v>
      </c>
      <c r="AD70" s="431">
        <v>24622</v>
      </c>
      <c r="AE70" s="431">
        <v>446429</v>
      </c>
      <c r="AF70" s="431">
        <v>0</v>
      </c>
      <c r="AG70" s="431">
        <v>225826</v>
      </c>
      <c r="AH70" s="431">
        <v>167341</v>
      </c>
      <c r="AI70" s="431">
        <v>185155</v>
      </c>
      <c r="AJ70" s="431">
        <v>30945</v>
      </c>
      <c r="AK70" s="431">
        <v>0</v>
      </c>
      <c r="AL70" s="431">
        <v>957327</v>
      </c>
      <c r="AM70" s="431">
        <v>243328</v>
      </c>
    </row>
    <row r="71" spans="1:39" s="203" customFormat="1" ht="12" x14ac:dyDescent="0.2">
      <c r="A71" s="205">
        <v>17</v>
      </c>
      <c r="B71" s="542">
        <v>52035</v>
      </c>
      <c r="C71" s="543" t="s">
        <v>590</v>
      </c>
      <c r="D71" s="432">
        <f t="shared" si="5"/>
        <v>3485447</v>
      </c>
      <c r="E71" s="431">
        <v>871775</v>
      </c>
      <c r="F71" s="431">
        <v>63787</v>
      </c>
      <c r="G71" s="431">
        <v>253510</v>
      </c>
      <c r="H71" s="431">
        <v>0</v>
      </c>
      <c r="I71" s="431">
        <v>592780</v>
      </c>
      <c r="J71" s="431">
        <v>0</v>
      </c>
      <c r="K71" s="431">
        <v>1155460</v>
      </c>
      <c r="L71" s="431">
        <v>0</v>
      </c>
      <c r="M71" s="431">
        <v>637998</v>
      </c>
      <c r="N71" s="431">
        <v>227434</v>
      </c>
      <c r="O71" s="431">
        <v>0</v>
      </c>
      <c r="P71" s="432">
        <f t="shared" si="2"/>
        <v>2344228</v>
      </c>
      <c r="Q71" s="431">
        <v>773784</v>
      </c>
      <c r="R71" s="431">
        <v>200094</v>
      </c>
      <c r="S71" s="431">
        <v>0</v>
      </c>
      <c r="T71" s="431">
        <v>0</v>
      </c>
      <c r="U71" s="431">
        <v>0</v>
      </c>
      <c r="V71" s="431">
        <v>0</v>
      </c>
      <c r="W71" s="431">
        <v>479365</v>
      </c>
      <c r="X71" s="431">
        <v>42251</v>
      </c>
      <c r="Y71" s="431">
        <v>0</v>
      </c>
      <c r="Z71" s="431">
        <v>848734</v>
      </c>
      <c r="AA71" s="431">
        <v>0</v>
      </c>
      <c r="AB71" s="431">
        <v>0</v>
      </c>
      <c r="AC71" s="431">
        <v>425433</v>
      </c>
      <c r="AD71" s="431">
        <v>168661</v>
      </c>
      <c r="AE71" s="431">
        <v>508988</v>
      </c>
      <c r="AF71" s="431">
        <v>0</v>
      </c>
      <c r="AG71" s="431">
        <v>485810</v>
      </c>
      <c r="AH71" s="431">
        <v>114436</v>
      </c>
      <c r="AI71" s="431">
        <v>562980</v>
      </c>
      <c r="AJ71" s="431">
        <v>22920</v>
      </c>
      <c r="AK71" s="431">
        <v>0</v>
      </c>
      <c r="AL71" s="431">
        <v>55000</v>
      </c>
      <c r="AM71" s="431">
        <v>0</v>
      </c>
    </row>
    <row r="72" spans="1:39" s="203" customFormat="1" ht="12" x14ac:dyDescent="0.2">
      <c r="A72" s="205">
        <v>18</v>
      </c>
      <c r="B72" s="542">
        <v>51877</v>
      </c>
      <c r="C72" s="543" t="s">
        <v>591</v>
      </c>
      <c r="D72" s="432">
        <f t="shared" si="5"/>
        <v>4472887</v>
      </c>
      <c r="E72" s="431">
        <v>1039553</v>
      </c>
      <c r="F72" s="431">
        <v>164328</v>
      </c>
      <c r="G72" s="431">
        <v>139740</v>
      </c>
      <c r="H72" s="431">
        <v>0</v>
      </c>
      <c r="I72" s="431">
        <v>1639803</v>
      </c>
      <c r="J72" s="431">
        <v>100000</v>
      </c>
      <c r="K72" s="431">
        <v>679850</v>
      </c>
      <c r="L72" s="431">
        <v>0</v>
      </c>
      <c r="M72" s="431">
        <v>868774</v>
      </c>
      <c r="N72" s="431">
        <v>0</v>
      </c>
      <c r="O72" s="431">
        <v>144907</v>
      </c>
      <c r="P72" s="432">
        <f t="shared" si="2"/>
        <v>4442020</v>
      </c>
      <c r="Q72" s="431">
        <v>1745286</v>
      </c>
      <c r="R72" s="431">
        <v>1170410</v>
      </c>
      <c r="S72" s="431">
        <v>0</v>
      </c>
      <c r="T72" s="431">
        <v>0</v>
      </c>
      <c r="U72" s="431">
        <v>0</v>
      </c>
      <c r="V72" s="431">
        <v>0</v>
      </c>
      <c r="W72" s="431">
        <v>0</v>
      </c>
      <c r="X72" s="431">
        <v>153525</v>
      </c>
      <c r="Y72" s="431">
        <v>5000</v>
      </c>
      <c r="Z72" s="431">
        <v>1370272</v>
      </c>
      <c r="AA72" s="431">
        <v>0</v>
      </c>
      <c r="AB72" s="431">
        <v>-2473</v>
      </c>
      <c r="AC72" s="431">
        <v>731295</v>
      </c>
      <c r="AD72" s="431">
        <v>19070</v>
      </c>
      <c r="AE72" s="431">
        <v>1606608</v>
      </c>
      <c r="AF72" s="431">
        <v>0</v>
      </c>
      <c r="AG72" s="431">
        <v>182906</v>
      </c>
      <c r="AH72" s="431">
        <v>357471</v>
      </c>
      <c r="AI72" s="431">
        <v>116829</v>
      </c>
      <c r="AJ72" s="431">
        <v>93489</v>
      </c>
      <c r="AK72" s="431">
        <v>0</v>
      </c>
      <c r="AL72" s="431">
        <v>1198827</v>
      </c>
      <c r="AM72" s="431">
        <v>135525</v>
      </c>
    </row>
    <row r="73" spans="1:39" s="203" customFormat="1" ht="12" x14ac:dyDescent="0.2">
      <c r="A73" s="205">
        <v>19</v>
      </c>
      <c r="B73" s="542">
        <v>52062</v>
      </c>
      <c r="C73" s="543" t="s">
        <v>592</v>
      </c>
      <c r="D73" s="432">
        <f t="shared" si="5"/>
        <v>2378333</v>
      </c>
      <c r="E73" s="431">
        <v>561757</v>
      </c>
      <c r="F73" s="431">
        <v>36599</v>
      </c>
      <c r="G73" s="431">
        <v>245028</v>
      </c>
      <c r="H73" s="431">
        <v>0</v>
      </c>
      <c r="I73" s="431">
        <v>511361</v>
      </c>
      <c r="J73" s="431">
        <v>150000</v>
      </c>
      <c r="K73" s="431">
        <v>1154150</v>
      </c>
      <c r="L73" s="431">
        <v>0</v>
      </c>
      <c r="M73" s="431">
        <v>1065</v>
      </c>
      <c r="N73" s="431">
        <v>0</v>
      </c>
      <c r="O73" s="431">
        <v>0</v>
      </c>
      <c r="P73" s="432">
        <f t="shared" si="2"/>
        <v>2367979</v>
      </c>
      <c r="Q73" s="431">
        <v>682859</v>
      </c>
      <c r="R73" s="431">
        <v>760228</v>
      </c>
      <c r="S73" s="431">
        <v>0</v>
      </c>
      <c r="T73" s="431">
        <v>0</v>
      </c>
      <c r="U73" s="431">
        <v>0</v>
      </c>
      <c r="V73" s="431">
        <v>0</v>
      </c>
      <c r="W73" s="431">
        <v>0</v>
      </c>
      <c r="X73" s="431">
        <v>127795</v>
      </c>
      <c r="Y73" s="431">
        <v>0</v>
      </c>
      <c r="Z73" s="431">
        <v>797097</v>
      </c>
      <c r="AA73" s="431">
        <v>0</v>
      </c>
      <c r="AB73" s="431">
        <v>0</v>
      </c>
      <c r="AC73" s="431">
        <v>891475</v>
      </c>
      <c r="AD73" s="431">
        <v>0</v>
      </c>
      <c r="AE73" s="431">
        <v>420972</v>
      </c>
      <c r="AF73" s="431">
        <v>0</v>
      </c>
      <c r="AG73" s="431">
        <v>102611</v>
      </c>
      <c r="AH73" s="431">
        <v>127795</v>
      </c>
      <c r="AI73" s="431">
        <v>314544</v>
      </c>
      <c r="AJ73" s="431">
        <v>64608</v>
      </c>
      <c r="AK73" s="431">
        <v>0</v>
      </c>
      <c r="AL73" s="431">
        <v>377422</v>
      </c>
      <c r="AM73" s="431">
        <v>68552</v>
      </c>
    </row>
    <row r="74" spans="1:39" s="203" customFormat="1" ht="12" x14ac:dyDescent="0.2">
      <c r="A74" s="205">
        <v>20</v>
      </c>
      <c r="B74" s="542">
        <v>52115</v>
      </c>
      <c r="C74" s="543" t="s">
        <v>593</v>
      </c>
      <c r="D74" s="432">
        <f t="shared" si="5"/>
        <v>3812302</v>
      </c>
      <c r="E74" s="431">
        <v>1943240</v>
      </c>
      <c r="F74" s="431">
        <v>98283</v>
      </c>
      <c r="G74" s="431">
        <v>113922</v>
      </c>
      <c r="H74" s="431">
        <v>0</v>
      </c>
      <c r="I74" s="431">
        <v>921689</v>
      </c>
      <c r="J74" s="431">
        <v>150000</v>
      </c>
      <c r="K74" s="431">
        <v>499880</v>
      </c>
      <c r="L74" s="431">
        <v>0</v>
      </c>
      <c r="M74" s="431">
        <v>148466</v>
      </c>
      <c r="N74" s="431">
        <v>149027</v>
      </c>
      <c r="O74" s="431">
        <v>0</v>
      </c>
      <c r="P74" s="432">
        <f t="shared" si="2"/>
        <v>2521871</v>
      </c>
      <c r="Q74" s="431">
        <v>1148724</v>
      </c>
      <c r="R74" s="431">
        <v>787363</v>
      </c>
      <c r="S74" s="431">
        <v>0</v>
      </c>
      <c r="T74" s="431">
        <v>0</v>
      </c>
      <c r="U74" s="431">
        <v>0</v>
      </c>
      <c r="V74" s="431">
        <v>0</v>
      </c>
      <c r="W74" s="431">
        <v>76767</v>
      </c>
      <c r="X74" s="431">
        <v>90802</v>
      </c>
      <c r="Y74" s="431">
        <v>0</v>
      </c>
      <c r="Z74" s="431">
        <v>418215</v>
      </c>
      <c r="AA74" s="431">
        <v>0</v>
      </c>
      <c r="AB74" s="431">
        <v>0</v>
      </c>
      <c r="AC74" s="431">
        <v>648607</v>
      </c>
      <c r="AD74" s="431">
        <v>26368</v>
      </c>
      <c r="AE74" s="431">
        <v>1006278</v>
      </c>
      <c r="AF74" s="431">
        <v>0</v>
      </c>
      <c r="AG74" s="431">
        <v>302262</v>
      </c>
      <c r="AH74" s="431">
        <v>182227</v>
      </c>
      <c r="AI74" s="431">
        <v>205421</v>
      </c>
      <c r="AJ74" s="431">
        <v>64478</v>
      </c>
      <c r="AK74" s="431">
        <v>0</v>
      </c>
      <c r="AL74" s="431">
        <v>37177</v>
      </c>
      <c r="AM74" s="431">
        <v>49053</v>
      </c>
    </row>
    <row r="75" spans="1:39" s="203" customFormat="1" ht="12" x14ac:dyDescent="0.2">
      <c r="A75" s="205">
        <v>21</v>
      </c>
      <c r="B75" s="542">
        <v>52160</v>
      </c>
      <c r="C75" s="543" t="s">
        <v>594</v>
      </c>
      <c r="D75" s="432">
        <f t="shared" si="5"/>
        <v>5072291</v>
      </c>
      <c r="E75" s="431">
        <v>955000</v>
      </c>
      <c r="F75" s="431">
        <v>111716</v>
      </c>
      <c r="G75" s="431">
        <v>160100</v>
      </c>
      <c r="H75" s="431">
        <v>0</v>
      </c>
      <c r="I75" s="431">
        <v>2185120</v>
      </c>
      <c r="J75" s="431">
        <v>150000</v>
      </c>
      <c r="K75" s="431">
        <v>899520</v>
      </c>
      <c r="L75" s="431">
        <v>0</v>
      </c>
      <c r="M75" s="431">
        <v>447672</v>
      </c>
      <c r="N75" s="431">
        <v>434979</v>
      </c>
      <c r="O75" s="431">
        <v>0</v>
      </c>
      <c r="P75" s="432">
        <f t="shared" si="2"/>
        <v>5041295</v>
      </c>
      <c r="Q75" s="431">
        <v>2260988</v>
      </c>
      <c r="R75" s="431">
        <v>1413401</v>
      </c>
      <c r="S75" s="431">
        <v>0</v>
      </c>
      <c r="T75" s="431">
        <v>0</v>
      </c>
      <c r="U75" s="431">
        <v>0</v>
      </c>
      <c r="V75" s="431">
        <v>0</v>
      </c>
      <c r="W75" s="431">
        <v>0</v>
      </c>
      <c r="X75" s="431">
        <v>255249</v>
      </c>
      <c r="Y75" s="431">
        <v>0</v>
      </c>
      <c r="Z75" s="431">
        <v>1113667</v>
      </c>
      <c r="AA75" s="431">
        <v>0</v>
      </c>
      <c r="AB75" s="431">
        <v>-2010</v>
      </c>
      <c r="AC75" s="431">
        <v>722334</v>
      </c>
      <c r="AD75" s="431">
        <v>1500</v>
      </c>
      <c r="AE75" s="431">
        <v>1747547</v>
      </c>
      <c r="AF75" s="431">
        <v>0</v>
      </c>
      <c r="AG75" s="431">
        <v>324047</v>
      </c>
      <c r="AH75" s="431">
        <v>535735</v>
      </c>
      <c r="AI75" s="431">
        <v>280094</v>
      </c>
      <c r="AJ75" s="431">
        <v>244216</v>
      </c>
      <c r="AK75" s="431">
        <v>0</v>
      </c>
      <c r="AL75" s="431">
        <v>944649</v>
      </c>
      <c r="AM75" s="431">
        <v>241173</v>
      </c>
    </row>
    <row r="76" spans="1:39" s="203" customFormat="1" ht="12" x14ac:dyDescent="0.2">
      <c r="A76" s="205">
        <v>22</v>
      </c>
      <c r="B76" s="542">
        <v>53489</v>
      </c>
      <c r="C76" s="543" t="s">
        <v>595</v>
      </c>
      <c r="D76" s="432">
        <f t="shared" si="5"/>
        <v>5187221</v>
      </c>
      <c r="E76" s="431">
        <v>770259</v>
      </c>
      <c r="F76" s="431">
        <v>145920</v>
      </c>
      <c r="G76" s="431">
        <v>165174</v>
      </c>
      <c r="H76" s="431">
        <v>0</v>
      </c>
      <c r="I76" s="431">
        <v>1258694</v>
      </c>
      <c r="J76" s="431">
        <v>75000</v>
      </c>
      <c r="K76" s="431">
        <v>831880</v>
      </c>
      <c r="L76" s="431">
        <v>0</v>
      </c>
      <c r="M76" s="431">
        <v>1437091</v>
      </c>
      <c r="N76" s="431">
        <v>814297</v>
      </c>
      <c r="O76" s="431">
        <v>0</v>
      </c>
      <c r="P76" s="432">
        <f t="shared" si="2"/>
        <v>5131696</v>
      </c>
      <c r="Q76" s="431">
        <v>1429359</v>
      </c>
      <c r="R76" s="431">
        <v>1235984</v>
      </c>
      <c r="S76" s="431">
        <v>8203</v>
      </c>
      <c r="T76" s="431">
        <v>0</v>
      </c>
      <c r="U76" s="431">
        <v>0</v>
      </c>
      <c r="V76" s="431">
        <v>0</v>
      </c>
      <c r="W76" s="431">
        <v>529191</v>
      </c>
      <c r="X76" s="431">
        <v>195828</v>
      </c>
      <c r="Y76" s="431">
        <v>0</v>
      </c>
      <c r="Z76" s="431">
        <v>1278154</v>
      </c>
      <c r="AA76" s="431">
        <v>454977</v>
      </c>
      <c r="AB76" s="431">
        <v>0</v>
      </c>
      <c r="AC76" s="431">
        <v>1023042</v>
      </c>
      <c r="AD76" s="431">
        <v>548232</v>
      </c>
      <c r="AE76" s="431">
        <v>1023811</v>
      </c>
      <c r="AF76" s="431">
        <v>0</v>
      </c>
      <c r="AG76" s="431">
        <v>480090</v>
      </c>
      <c r="AH76" s="431">
        <v>305092</v>
      </c>
      <c r="AI76" s="431">
        <v>714295</v>
      </c>
      <c r="AJ76" s="431">
        <v>345615</v>
      </c>
      <c r="AK76" s="431">
        <v>0</v>
      </c>
      <c r="AL76" s="431">
        <v>691519</v>
      </c>
      <c r="AM76" s="431">
        <v>0</v>
      </c>
    </row>
    <row r="77" spans="1:39" s="203" customFormat="1" ht="12" x14ac:dyDescent="0.2">
      <c r="A77" s="205">
        <v>23</v>
      </c>
      <c r="B77" s="542">
        <v>52570</v>
      </c>
      <c r="C77" s="543" t="s">
        <v>596</v>
      </c>
      <c r="D77" s="432">
        <f t="shared" si="5"/>
        <v>6525942</v>
      </c>
      <c r="E77" s="431">
        <v>748277</v>
      </c>
      <c r="F77" s="431">
        <v>85811</v>
      </c>
      <c r="G77" s="431">
        <v>241306</v>
      </c>
      <c r="H77" s="431">
        <v>0</v>
      </c>
      <c r="I77" s="431">
        <v>1018845</v>
      </c>
      <c r="J77" s="431">
        <v>50000</v>
      </c>
      <c r="K77" s="431">
        <v>1155320</v>
      </c>
      <c r="L77" s="431">
        <v>0</v>
      </c>
      <c r="M77" s="431">
        <v>1005658</v>
      </c>
      <c r="N77" s="431">
        <v>2547842</v>
      </c>
      <c r="O77" s="431">
        <v>0</v>
      </c>
      <c r="P77" s="432">
        <f t="shared" si="2"/>
        <v>6864194</v>
      </c>
      <c r="Q77" s="431">
        <v>1332380</v>
      </c>
      <c r="R77" s="431">
        <v>664476</v>
      </c>
      <c r="S77" s="431">
        <v>100000</v>
      </c>
      <c r="T77" s="431">
        <v>0</v>
      </c>
      <c r="U77" s="431">
        <v>0</v>
      </c>
      <c r="V77" s="431">
        <v>0</v>
      </c>
      <c r="W77" s="431">
        <v>4325719</v>
      </c>
      <c r="X77" s="431">
        <v>125050</v>
      </c>
      <c r="Y77" s="431">
        <v>0</v>
      </c>
      <c r="Z77" s="431">
        <v>218681</v>
      </c>
      <c r="AA77" s="431">
        <v>100000</v>
      </c>
      <c r="AB77" s="431">
        <v>-2112</v>
      </c>
      <c r="AC77" s="431">
        <v>871715</v>
      </c>
      <c r="AD77" s="431">
        <v>31129</v>
      </c>
      <c r="AE77" s="431">
        <v>806599</v>
      </c>
      <c r="AF77" s="431">
        <v>0</v>
      </c>
      <c r="AG77" s="431">
        <v>115803</v>
      </c>
      <c r="AH77" s="431">
        <v>615713</v>
      </c>
      <c r="AI77" s="431">
        <v>1850491</v>
      </c>
      <c r="AJ77" s="431">
        <v>1716480</v>
      </c>
      <c r="AK77" s="431">
        <v>0</v>
      </c>
      <c r="AL77" s="431">
        <v>786165</v>
      </c>
      <c r="AM77" s="431">
        <v>70099</v>
      </c>
    </row>
    <row r="78" spans="1:39" s="203" customFormat="1" ht="12" x14ac:dyDescent="0.2">
      <c r="A78" s="205">
        <v>24</v>
      </c>
      <c r="B78" s="542">
        <v>52650</v>
      </c>
      <c r="C78" s="543" t="s">
        <v>597</v>
      </c>
      <c r="D78" s="432">
        <f t="shared" si="5"/>
        <v>5888548</v>
      </c>
      <c r="E78" s="431">
        <v>893232</v>
      </c>
      <c r="F78" s="431">
        <v>144786</v>
      </c>
      <c r="G78" s="431">
        <v>188190</v>
      </c>
      <c r="H78" s="431">
        <v>0</v>
      </c>
      <c r="I78" s="431">
        <v>1069948</v>
      </c>
      <c r="J78" s="431">
        <v>0</v>
      </c>
      <c r="K78" s="431">
        <v>1008630</v>
      </c>
      <c r="L78" s="431">
        <v>0</v>
      </c>
      <c r="M78" s="431">
        <v>1257818</v>
      </c>
      <c r="N78" s="431">
        <v>1658920</v>
      </c>
      <c r="O78" s="431">
        <v>0</v>
      </c>
      <c r="P78" s="432">
        <f t="shared" si="2"/>
        <v>3853424</v>
      </c>
      <c r="Q78" s="431">
        <v>1367357</v>
      </c>
      <c r="R78" s="431">
        <v>779910</v>
      </c>
      <c r="S78" s="431">
        <v>0</v>
      </c>
      <c r="T78" s="431">
        <v>0</v>
      </c>
      <c r="U78" s="431">
        <v>0</v>
      </c>
      <c r="V78" s="431">
        <v>0</v>
      </c>
      <c r="W78" s="431">
        <v>188785</v>
      </c>
      <c r="X78" s="431">
        <v>73874</v>
      </c>
      <c r="Y78" s="431">
        <v>1999</v>
      </c>
      <c r="Z78" s="431">
        <v>1444826</v>
      </c>
      <c r="AA78" s="431">
        <v>0</v>
      </c>
      <c r="AB78" s="431">
        <v>-3327</v>
      </c>
      <c r="AC78" s="431">
        <v>573827</v>
      </c>
      <c r="AD78" s="431">
        <v>58819</v>
      </c>
      <c r="AE78" s="431">
        <v>945476</v>
      </c>
      <c r="AF78" s="431">
        <v>0</v>
      </c>
      <c r="AG78" s="431">
        <v>227112</v>
      </c>
      <c r="AH78" s="431">
        <v>257564</v>
      </c>
      <c r="AI78" s="431">
        <v>188161</v>
      </c>
      <c r="AJ78" s="431">
        <v>104546</v>
      </c>
      <c r="AK78" s="431">
        <v>0</v>
      </c>
      <c r="AL78" s="431">
        <v>1420502</v>
      </c>
      <c r="AM78" s="431">
        <v>77417</v>
      </c>
    </row>
    <row r="79" spans="1:39" s="203" customFormat="1" ht="12" x14ac:dyDescent="0.2">
      <c r="A79" s="205">
        <v>25</v>
      </c>
      <c r="B79" s="542">
        <v>52696</v>
      </c>
      <c r="C79" s="543" t="s">
        <v>598</v>
      </c>
      <c r="D79" s="432">
        <f t="shared" si="5"/>
        <v>3925055</v>
      </c>
      <c r="E79" s="431">
        <v>1273853</v>
      </c>
      <c r="F79" s="431">
        <v>87074</v>
      </c>
      <c r="G79" s="431">
        <v>261175</v>
      </c>
      <c r="H79" s="431">
        <v>0</v>
      </c>
      <c r="I79" s="431">
        <v>1254393</v>
      </c>
      <c r="J79" s="431">
        <v>150000</v>
      </c>
      <c r="K79" s="431">
        <v>1219320</v>
      </c>
      <c r="L79" s="431">
        <v>0</v>
      </c>
      <c r="M79" s="431">
        <v>27489</v>
      </c>
      <c r="N79" s="431">
        <v>0</v>
      </c>
      <c r="O79" s="431">
        <v>0</v>
      </c>
      <c r="P79" s="432">
        <f t="shared" ref="P79:P142" si="10">IF(SUM(Q79:AB79)=SUM(AC79:AM79),SUM(Q79:AB79),"  EROARE ART/CAP")</f>
        <v>2988865</v>
      </c>
      <c r="Q79" s="431">
        <v>1068471</v>
      </c>
      <c r="R79" s="431">
        <v>676380</v>
      </c>
      <c r="S79" s="431">
        <v>0</v>
      </c>
      <c r="T79" s="431">
        <v>0</v>
      </c>
      <c r="U79" s="431">
        <v>0</v>
      </c>
      <c r="V79" s="431">
        <v>0</v>
      </c>
      <c r="W79" s="431">
        <v>0</v>
      </c>
      <c r="X79" s="431">
        <v>325152</v>
      </c>
      <c r="Y79" s="431">
        <v>0</v>
      </c>
      <c r="Z79" s="431">
        <v>918862</v>
      </c>
      <c r="AA79" s="431">
        <v>0</v>
      </c>
      <c r="AB79" s="431">
        <v>0</v>
      </c>
      <c r="AC79" s="431">
        <v>470447</v>
      </c>
      <c r="AD79" s="431">
        <v>15628</v>
      </c>
      <c r="AE79" s="431">
        <v>956943</v>
      </c>
      <c r="AF79" s="431">
        <v>0</v>
      </c>
      <c r="AG79" s="431">
        <v>650325</v>
      </c>
      <c r="AH79" s="431">
        <v>325152</v>
      </c>
      <c r="AI79" s="431">
        <v>60918</v>
      </c>
      <c r="AJ79" s="431">
        <v>20722</v>
      </c>
      <c r="AK79" s="431">
        <v>0</v>
      </c>
      <c r="AL79" s="431">
        <v>455092</v>
      </c>
      <c r="AM79" s="431">
        <v>33638</v>
      </c>
    </row>
    <row r="80" spans="1:39" s="203" customFormat="1" ht="12" x14ac:dyDescent="0.2">
      <c r="A80" s="205">
        <v>26</v>
      </c>
      <c r="B80" s="549">
        <v>52721</v>
      </c>
      <c r="C80" s="550" t="s">
        <v>599</v>
      </c>
      <c r="D80" s="551">
        <f t="shared" si="5"/>
        <v>2923418</v>
      </c>
      <c r="E80" s="552">
        <v>625710</v>
      </c>
      <c r="F80" s="431">
        <v>72215</v>
      </c>
      <c r="G80" s="431">
        <v>109371</v>
      </c>
      <c r="H80" s="431">
        <v>0</v>
      </c>
      <c r="I80" s="431">
        <v>638181</v>
      </c>
      <c r="J80" s="431">
        <v>150000</v>
      </c>
      <c r="K80" s="431">
        <v>683290</v>
      </c>
      <c r="L80" s="431">
        <v>0</v>
      </c>
      <c r="M80" s="431">
        <v>456766</v>
      </c>
      <c r="N80" s="431">
        <v>369471</v>
      </c>
      <c r="O80" s="431">
        <v>0</v>
      </c>
      <c r="P80" s="432">
        <f t="shared" si="10"/>
        <v>2150655</v>
      </c>
      <c r="Q80" s="431">
        <v>960956</v>
      </c>
      <c r="R80" s="431">
        <v>438371</v>
      </c>
      <c r="S80" s="431">
        <v>0</v>
      </c>
      <c r="T80" s="431">
        <v>0</v>
      </c>
      <c r="U80" s="431">
        <v>0</v>
      </c>
      <c r="V80" s="431">
        <v>0</v>
      </c>
      <c r="W80" s="431">
        <v>358533</v>
      </c>
      <c r="X80" s="431">
        <v>19564</v>
      </c>
      <c r="Y80" s="431">
        <v>0</v>
      </c>
      <c r="Z80" s="431">
        <v>373231</v>
      </c>
      <c r="AA80" s="431">
        <v>0</v>
      </c>
      <c r="AB80" s="431">
        <v>0</v>
      </c>
      <c r="AC80" s="431">
        <v>755137</v>
      </c>
      <c r="AD80" s="431">
        <v>0</v>
      </c>
      <c r="AE80" s="431">
        <v>529639</v>
      </c>
      <c r="AF80" s="431">
        <v>0</v>
      </c>
      <c r="AG80" s="431">
        <v>336029</v>
      </c>
      <c r="AH80" s="431">
        <v>156862</v>
      </c>
      <c r="AI80" s="431">
        <v>76969</v>
      </c>
      <c r="AJ80" s="431">
        <v>112668</v>
      </c>
      <c r="AK80" s="431">
        <v>0</v>
      </c>
      <c r="AL80" s="431">
        <v>0</v>
      </c>
      <c r="AM80" s="431">
        <v>183351</v>
      </c>
    </row>
    <row r="81" spans="1:39" s="203" customFormat="1" ht="12" x14ac:dyDescent="0.2">
      <c r="A81" s="205">
        <v>27</v>
      </c>
      <c r="B81" s="232">
        <v>53700</v>
      </c>
      <c r="C81" s="536" t="s">
        <v>600</v>
      </c>
      <c r="D81" s="432">
        <f t="shared" si="5"/>
        <v>3290167</v>
      </c>
      <c r="E81" s="431">
        <v>948095</v>
      </c>
      <c r="F81" s="431">
        <v>64234</v>
      </c>
      <c r="G81" s="431">
        <v>229598</v>
      </c>
      <c r="H81" s="431">
        <v>0</v>
      </c>
      <c r="I81" s="431">
        <v>816431</v>
      </c>
      <c r="J81" s="431">
        <v>150000</v>
      </c>
      <c r="K81" s="431">
        <v>1066040</v>
      </c>
      <c r="L81" s="431">
        <v>0</v>
      </c>
      <c r="M81" s="431">
        <v>309601</v>
      </c>
      <c r="N81" s="431">
        <v>0</v>
      </c>
      <c r="O81" s="431">
        <v>0</v>
      </c>
      <c r="P81" s="432">
        <f t="shared" si="10"/>
        <v>2153468</v>
      </c>
      <c r="Q81" s="431">
        <v>1016771</v>
      </c>
      <c r="R81" s="431">
        <v>557637</v>
      </c>
      <c r="S81" s="431">
        <v>0</v>
      </c>
      <c r="T81" s="431">
        <v>0</v>
      </c>
      <c r="U81" s="431">
        <v>0</v>
      </c>
      <c r="V81" s="431">
        <v>0</v>
      </c>
      <c r="W81" s="431">
        <v>0</v>
      </c>
      <c r="X81" s="431">
        <v>215972</v>
      </c>
      <c r="Y81" s="431">
        <v>0</v>
      </c>
      <c r="Z81" s="431">
        <v>363088</v>
      </c>
      <c r="AA81" s="431">
        <v>0</v>
      </c>
      <c r="AB81" s="431">
        <v>0</v>
      </c>
      <c r="AC81" s="431">
        <v>505855</v>
      </c>
      <c r="AD81" s="431">
        <v>21066</v>
      </c>
      <c r="AE81" s="431">
        <v>682466</v>
      </c>
      <c r="AF81" s="431">
        <v>0</v>
      </c>
      <c r="AG81" s="431">
        <v>48480</v>
      </c>
      <c r="AH81" s="431">
        <v>215972</v>
      </c>
      <c r="AI81" s="431">
        <v>304183</v>
      </c>
      <c r="AJ81" s="431">
        <v>0</v>
      </c>
      <c r="AK81" s="431">
        <v>0</v>
      </c>
      <c r="AL81" s="431">
        <v>345531</v>
      </c>
      <c r="AM81" s="431">
        <v>29915</v>
      </c>
    </row>
    <row r="82" spans="1:39" s="203" customFormat="1" ht="12" x14ac:dyDescent="0.2">
      <c r="A82" s="205">
        <v>28</v>
      </c>
      <c r="B82" s="232">
        <v>52758</v>
      </c>
      <c r="C82" s="536" t="s">
        <v>601</v>
      </c>
      <c r="D82" s="432">
        <f t="shared" ref="D82:D143" si="11">E82+SUM(H82:O82)</f>
        <v>4719949</v>
      </c>
      <c r="E82" s="431">
        <v>2136057</v>
      </c>
      <c r="F82" s="431">
        <v>173607</v>
      </c>
      <c r="G82" s="431">
        <v>202475</v>
      </c>
      <c r="H82" s="431">
        <v>0</v>
      </c>
      <c r="I82" s="431">
        <v>882927</v>
      </c>
      <c r="J82" s="431">
        <v>150000</v>
      </c>
      <c r="K82" s="431">
        <v>968600</v>
      </c>
      <c r="L82" s="431">
        <v>0</v>
      </c>
      <c r="M82" s="431">
        <v>378115</v>
      </c>
      <c r="N82" s="431">
        <v>204250</v>
      </c>
      <c r="O82" s="431">
        <v>0</v>
      </c>
      <c r="P82" s="432">
        <f t="shared" si="10"/>
        <v>4614485</v>
      </c>
      <c r="Q82" s="431">
        <v>1200933</v>
      </c>
      <c r="R82" s="431">
        <v>1217688</v>
      </c>
      <c r="S82" s="431">
        <v>0</v>
      </c>
      <c r="T82" s="431">
        <v>0</v>
      </c>
      <c r="U82" s="431">
        <v>0</v>
      </c>
      <c r="V82" s="431">
        <v>0</v>
      </c>
      <c r="W82" s="431">
        <v>929114</v>
      </c>
      <c r="X82" s="431">
        <v>122909</v>
      </c>
      <c r="Y82" s="431">
        <v>5000</v>
      </c>
      <c r="Z82" s="431">
        <v>1140826</v>
      </c>
      <c r="AA82" s="431">
        <v>0</v>
      </c>
      <c r="AB82" s="431">
        <v>-1985</v>
      </c>
      <c r="AC82" s="431">
        <v>972975</v>
      </c>
      <c r="AD82" s="431">
        <v>39390</v>
      </c>
      <c r="AE82" s="431">
        <v>769237</v>
      </c>
      <c r="AF82" s="431">
        <v>243752</v>
      </c>
      <c r="AG82" s="431">
        <v>224964</v>
      </c>
      <c r="AH82" s="431">
        <v>182375</v>
      </c>
      <c r="AI82" s="431">
        <v>870973</v>
      </c>
      <c r="AJ82" s="431">
        <v>114580</v>
      </c>
      <c r="AK82" s="431">
        <v>0</v>
      </c>
      <c r="AL82" s="431">
        <v>953866</v>
      </c>
      <c r="AM82" s="431">
        <v>242373</v>
      </c>
    </row>
    <row r="83" spans="1:39" s="203" customFormat="1" ht="12" x14ac:dyDescent="0.2">
      <c r="A83" s="205">
        <v>29</v>
      </c>
      <c r="B83" s="232">
        <v>52785</v>
      </c>
      <c r="C83" s="536" t="s">
        <v>602</v>
      </c>
      <c r="D83" s="432">
        <f t="shared" si="11"/>
        <v>3957736</v>
      </c>
      <c r="E83" s="431">
        <v>979038</v>
      </c>
      <c r="F83" s="431">
        <v>112370</v>
      </c>
      <c r="G83" s="431">
        <v>162396</v>
      </c>
      <c r="H83" s="431">
        <v>0</v>
      </c>
      <c r="I83" s="431">
        <v>856044</v>
      </c>
      <c r="J83" s="431">
        <v>0</v>
      </c>
      <c r="K83" s="431">
        <v>675810</v>
      </c>
      <c r="L83" s="431">
        <v>0</v>
      </c>
      <c r="M83" s="431">
        <v>1155775</v>
      </c>
      <c r="N83" s="431">
        <v>291069</v>
      </c>
      <c r="O83" s="431">
        <v>0</v>
      </c>
      <c r="P83" s="432">
        <f t="shared" si="10"/>
        <v>5107862</v>
      </c>
      <c r="Q83" s="431">
        <v>1119421</v>
      </c>
      <c r="R83" s="431">
        <v>747491</v>
      </c>
      <c r="S83" s="431">
        <v>6665</v>
      </c>
      <c r="T83" s="431">
        <v>0</v>
      </c>
      <c r="U83" s="431">
        <v>0</v>
      </c>
      <c r="V83" s="431">
        <v>0</v>
      </c>
      <c r="W83" s="431">
        <v>1889745</v>
      </c>
      <c r="X83" s="431">
        <v>179495</v>
      </c>
      <c r="Y83" s="431">
        <v>5000</v>
      </c>
      <c r="Z83" s="431">
        <v>1135339</v>
      </c>
      <c r="AA83" s="431">
        <v>24706</v>
      </c>
      <c r="AB83" s="431">
        <v>0</v>
      </c>
      <c r="AC83" s="431">
        <v>901057</v>
      </c>
      <c r="AD83" s="431">
        <v>0</v>
      </c>
      <c r="AE83" s="431">
        <v>625471</v>
      </c>
      <c r="AF83" s="431">
        <v>0</v>
      </c>
      <c r="AG83" s="431">
        <v>209108</v>
      </c>
      <c r="AH83" s="431">
        <v>251941</v>
      </c>
      <c r="AI83" s="431">
        <v>189684</v>
      </c>
      <c r="AJ83" s="431">
        <v>0</v>
      </c>
      <c r="AK83" s="431">
        <v>0</v>
      </c>
      <c r="AL83" s="431">
        <v>2858178</v>
      </c>
      <c r="AM83" s="431">
        <v>72423</v>
      </c>
    </row>
    <row r="84" spans="1:39" s="203" customFormat="1" ht="12" x14ac:dyDescent="0.2">
      <c r="A84" s="205">
        <v>30</v>
      </c>
      <c r="B84" s="232">
        <v>52856</v>
      </c>
      <c r="C84" s="536" t="s">
        <v>603</v>
      </c>
      <c r="D84" s="432">
        <f t="shared" si="11"/>
        <v>3120391</v>
      </c>
      <c r="E84" s="431">
        <v>701193</v>
      </c>
      <c r="F84" s="431">
        <v>78818</v>
      </c>
      <c r="G84" s="431">
        <v>172508</v>
      </c>
      <c r="H84" s="431">
        <v>0</v>
      </c>
      <c r="I84" s="431">
        <v>1129080</v>
      </c>
      <c r="J84" s="431">
        <v>150000</v>
      </c>
      <c r="K84" s="431">
        <v>814450</v>
      </c>
      <c r="L84" s="431">
        <v>0</v>
      </c>
      <c r="M84" s="431">
        <v>77652</v>
      </c>
      <c r="N84" s="431">
        <v>248016</v>
      </c>
      <c r="O84" s="431">
        <v>0</v>
      </c>
      <c r="P84" s="432">
        <f t="shared" si="10"/>
        <v>3059978</v>
      </c>
      <c r="Q84" s="431">
        <v>1341656</v>
      </c>
      <c r="R84" s="431">
        <v>639318</v>
      </c>
      <c r="S84" s="431">
        <v>5520</v>
      </c>
      <c r="T84" s="431">
        <v>0</v>
      </c>
      <c r="U84" s="431">
        <v>0</v>
      </c>
      <c r="V84" s="431">
        <v>0</v>
      </c>
      <c r="W84" s="431">
        <v>384848</v>
      </c>
      <c r="X84" s="431">
        <v>111976</v>
      </c>
      <c r="Y84" s="431">
        <v>0</v>
      </c>
      <c r="Z84" s="431">
        <v>255901</v>
      </c>
      <c r="AA84" s="431">
        <v>323725</v>
      </c>
      <c r="AB84" s="431">
        <v>-2966</v>
      </c>
      <c r="AC84" s="431">
        <v>590305</v>
      </c>
      <c r="AD84" s="431">
        <v>2433</v>
      </c>
      <c r="AE84" s="431">
        <v>955259</v>
      </c>
      <c r="AF84" s="431">
        <v>0</v>
      </c>
      <c r="AG84" s="431">
        <v>991008</v>
      </c>
      <c r="AH84" s="431">
        <v>270747</v>
      </c>
      <c r="AI84" s="431">
        <v>87405</v>
      </c>
      <c r="AJ84" s="431">
        <v>31482</v>
      </c>
      <c r="AK84" s="431">
        <v>0</v>
      </c>
      <c r="AL84" s="431">
        <v>40200</v>
      </c>
      <c r="AM84" s="431">
        <v>91139</v>
      </c>
    </row>
    <row r="85" spans="1:39" s="203" customFormat="1" ht="12" x14ac:dyDescent="0.2">
      <c r="A85" s="205">
        <v>31</v>
      </c>
      <c r="B85" s="232">
        <v>52909</v>
      </c>
      <c r="C85" s="536" t="s">
        <v>604</v>
      </c>
      <c r="D85" s="432">
        <f t="shared" si="11"/>
        <v>5120911</v>
      </c>
      <c r="E85" s="431">
        <v>584918</v>
      </c>
      <c r="F85" s="431">
        <v>83713</v>
      </c>
      <c r="G85" s="431">
        <v>246682</v>
      </c>
      <c r="H85" s="431">
        <v>0</v>
      </c>
      <c r="I85" s="431">
        <v>973126</v>
      </c>
      <c r="J85" s="431">
        <v>120000</v>
      </c>
      <c r="K85" s="431">
        <v>1153100</v>
      </c>
      <c r="L85" s="431">
        <v>0</v>
      </c>
      <c r="M85" s="431">
        <v>1664617</v>
      </c>
      <c r="N85" s="431">
        <v>625150</v>
      </c>
      <c r="O85" s="431">
        <v>0</v>
      </c>
      <c r="P85" s="432">
        <f t="shared" si="10"/>
        <v>4135723</v>
      </c>
      <c r="Q85" s="431">
        <v>1331868</v>
      </c>
      <c r="R85" s="431">
        <v>794948</v>
      </c>
      <c r="S85" s="431">
        <v>7768</v>
      </c>
      <c r="T85" s="431">
        <v>0</v>
      </c>
      <c r="U85" s="431">
        <v>0</v>
      </c>
      <c r="V85" s="431">
        <v>0</v>
      </c>
      <c r="W85" s="431">
        <v>184108</v>
      </c>
      <c r="X85" s="431">
        <v>56554</v>
      </c>
      <c r="Y85" s="431">
        <v>0</v>
      </c>
      <c r="Z85" s="431">
        <v>1726701</v>
      </c>
      <c r="AA85" s="431">
        <v>33776</v>
      </c>
      <c r="AB85" s="431">
        <v>0</v>
      </c>
      <c r="AC85" s="431">
        <v>1270148</v>
      </c>
      <c r="AD85" s="431">
        <v>0</v>
      </c>
      <c r="AE85" s="431">
        <v>719919</v>
      </c>
      <c r="AF85" s="431">
        <v>0</v>
      </c>
      <c r="AG85" s="431">
        <v>85272</v>
      </c>
      <c r="AH85" s="431">
        <v>296112</v>
      </c>
      <c r="AI85" s="431">
        <v>457995</v>
      </c>
      <c r="AJ85" s="431">
        <v>0</v>
      </c>
      <c r="AK85" s="431">
        <v>0</v>
      </c>
      <c r="AL85" s="431">
        <v>1238504</v>
      </c>
      <c r="AM85" s="431">
        <v>67773</v>
      </c>
    </row>
    <row r="86" spans="1:39" s="203" customFormat="1" ht="12" x14ac:dyDescent="0.2">
      <c r="A86" s="205">
        <v>32</v>
      </c>
      <c r="B86" s="232">
        <v>52936</v>
      </c>
      <c r="C86" s="536" t="s">
        <v>605</v>
      </c>
      <c r="D86" s="432">
        <f t="shared" si="11"/>
        <v>2485997</v>
      </c>
      <c r="E86" s="431">
        <v>672928</v>
      </c>
      <c r="F86" s="431">
        <v>171831</v>
      </c>
      <c r="G86" s="431">
        <v>122095</v>
      </c>
      <c r="H86" s="431">
        <v>0</v>
      </c>
      <c r="I86" s="431">
        <v>943958</v>
      </c>
      <c r="J86" s="431">
        <v>150000</v>
      </c>
      <c r="K86" s="431">
        <v>659870</v>
      </c>
      <c r="L86" s="431">
        <v>0</v>
      </c>
      <c r="M86" s="431">
        <v>59241</v>
      </c>
      <c r="N86" s="431">
        <v>0</v>
      </c>
      <c r="O86" s="431">
        <v>0</v>
      </c>
      <c r="P86" s="432">
        <f t="shared" si="10"/>
        <v>2102840</v>
      </c>
      <c r="Q86" s="431">
        <v>1114757</v>
      </c>
      <c r="R86" s="431">
        <v>743401</v>
      </c>
      <c r="S86" s="431">
        <v>0</v>
      </c>
      <c r="T86" s="431">
        <v>0</v>
      </c>
      <c r="U86" s="431">
        <v>0</v>
      </c>
      <c r="V86" s="431">
        <v>0</v>
      </c>
      <c r="W86" s="431">
        <v>0</v>
      </c>
      <c r="X86" s="431">
        <v>134889</v>
      </c>
      <c r="Y86" s="431">
        <v>2000</v>
      </c>
      <c r="Z86" s="431">
        <v>113833</v>
      </c>
      <c r="AA86" s="431">
        <v>0</v>
      </c>
      <c r="AB86" s="431">
        <v>-6040</v>
      </c>
      <c r="AC86" s="431">
        <v>602098</v>
      </c>
      <c r="AD86" s="431">
        <v>0</v>
      </c>
      <c r="AE86" s="431">
        <v>817393</v>
      </c>
      <c r="AF86" s="431">
        <v>0</v>
      </c>
      <c r="AG86" s="431">
        <v>78300</v>
      </c>
      <c r="AH86" s="431">
        <v>164293</v>
      </c>
      <c r="AI86" s="431">
        <v>353768</v>
      </c>
      <c r="AJ86" s="431">
        <v>0</v>
      </c>
      <c r="AK86" s="431">
        <v>0</v>
      </c>
      <c r="AL86" s="431">
        <v>86988</v>
      </c>
      <c r="AM86" s="431">
        <v>0</v>
      </c>
    </row>
    <row r="87" spans="1:39" s="203" customFormat="1" ht="12" x14ac:dyDescent="0.2">
      <c r="A87" s="205">
        <v>33</v>
      </c>
      <c r="B87" s="232">
        <v>52954</v>
      </c>
      <c r="C87" s="536" t="s">
        <v>606</v>
      </c>
      <c r="D87" s="432">
        <f t="shared" si="11"/>
        <v>4541170</v>
      </c>
      <c r="E87" s="431">
        <v>919292</v>
      </c>
      <c r="F87" s="431">
        <v>49066</v>
      </c>
      <c r="G87" s="431">
        <v>207508</v>
      </c>
      <c r="H87" s="431">
        <v>0</v>
      </c>
      <c r="I87" s="431">
        <v>502712</v>
      </c>
      <c r="J87" s="431">
        <v>100000</v>
      </c>
      <c r="K87" s="431">
        <v>965140</v>
      </c>
      <c r="L87" s="431">
        <v>0</v>
      </c>
      <c r="M87" s="431">
        <v>928328</v>
      </c>
      <c r="N87" s="431">
        <v>1125698</v>
      </c>
      <c r="O87" s="431">
        <v>0</v>
      </c>
      <c r="P87" s="432">
        <f t="shared" si="10"/>
        <v>2686771</v>
      </c>
      <c r="Q87" s="431">
        <v>790651</v>
      </c>
      <c r="R87" s="431">
        <v>742850</v>
      </c>
      <c r="S87" s="431">
        <v>0</v>
      </c>
      <c r="T87" s="431">
        <v>0</v>
      </c>
      <c r="U87" s="431">
        <v>0</v>
      </c>
      <c r="V87" s="431">
        <v>0</v>
      </c>
      <c r="W87" s="431">
        <v>180758</v>
      </c>
      <c r="X87" s="431">
        <v>60879</v>
      </c>
      <c r="Y87" s="431">
        <v>0</v>
      </c>
      <c r="Z87" s="431">
        <v>973679</v>
      </c>
      <c r="AA87" s="431">
        <v>0</v>
      </c>
      <c r="AB87" s="431">
        <v>-62046</v>
      </c>
      <c r="AC87" s="431">
        <v>607182</v>
      </c>
      <c r="AD87" s="431">
        <v>30669</v>
      </c>
      <c r="AE87" s="431">
        <v>461788</v>
      </c>
      <c r="AF87" s="431">
        <v>0</v>
      </c>
      <c r="AG87" s="431">
        <v>217527</v>
      </c>
      <c r="AH87" s="431">
        <v>120810</v>
      </c>
      <c r="AI87" s="431">
        <v>170525</v>
      </c>
      <c r="AJ87" s="431">
        <v>99826</v>
      </c>
      <c r="AK87" s="431">
        <v>0</v>
      </c>
      <c r="AL87" s="431">
        <v>925511</v>
      </c>
      <c r="AM87" s="431">
        <v>52933</v>
      </c>
    </row>
    <row r="88" spans="1:39" s="203" customFormat="1" ht="12" x14ac:dyDescent="0.2">
      <c r="A88" s="205">
        <v>34</v>
      </c>
      <c r="B88" s="232">
        <v>52990</v>
      </c>
      <c r="C88" s="536" t="s">
        <v>607</v>
      </c>
      <c r="D88" s="432">
        <f t="shared" si="11"/>
        <v>6962217</v>
      </c>
      <c r="E88" s="431">
        <v>1028373</v>
      </c>
      <c r="F88" s="431">
        <v>400302</v>
      </c>
      <c r="G88" s="431">
        <v>155462</v>
      </c>
      <c r="H88" s="431">
        <v>0</v>
      </c>
      <c r="I88" s="431">
        <v>1232992</v>
      </c>
      <c r="J88" s="431">
        <v>150000</v>
      </c>
      <c r="K88" s="431">
        <v>2966060</v>
      </c>
      <c r="L88" s="431">
        <v>0</v>
      </c>
      <c r="M88" s="431">
        <v>1174358</v>
      </c>
      <c r="N88" s="431">
        <v>408934</v>
      </c>
      <c r="O88" s="431">
        <v>1500</v>
      </c>
      <c r="P88" s="432">
        <f t="shared" si="10"/>
        <v>6149131</v>
      </c>
      <c r="Q88" s="431">
        <v>1442778</v>
      </c>
      <c r="R88" s="431">
        <v>816209</v>
      </c>
      <c r="S88" s="431">
        <v>0</v>
      </c>
      <c r="T88" s="431">
        <v>0</v>
      </c>
      <c r="U88" s="431">
        <v>0</v>
      </c>
      <c r="V88" s="431">
        <v>0</v>
      </c>
      <c r="W88" s="431">
        <v>2619220</v>
      </c>
      <c r="X88" s="431">
        <v>104732</v>
      </c>
      <c r="Y88" s="431">
        <v>0</v>
      </c>
      <c r="Z88" s="431">
        <v>1184192</v>
      </c>
      <c r="AA88" s="431">
        <v>0</v>
      </c>
      <c r="AB88" s="431">
        <v>-18000</v>
      </c>
      <c r="AC88" s="431">
        <v>507866</v>
      </c>
      <c r="AD88" s="431">
        <v>67526</v>
      </c>
      <c r="AE88" s="431">
        <v>1091677</v>
      </c>
      <c r="AF88" s="431">
        <v>0</v>
      </c>
      <c r="AG88" s="431">
        <v>77071</v>
      </c>
      <c r="AH88" s="431">
        <v>184796</v>
      </c>
      <c r="AI88" s="431">
        <v>2891682</v>
      </c>
      <c r="AJ88" s="431">
        <v>1222402</v>
      </c>
      <c r="AK88" s="431">
        <v>0</v>
      </c>
      <c r="AL88" s="431">
        <v>101111</v>
      </c>
      <c r="AM88" s="431">
        <v>5000</v>
      </c>
    </row>
    <row r="89" spans="1:39" s="203" customFormat="1" ht="12" x14ac:dyDescent="0.2">
      <c r="A89" s="205">
        <v>35</v>
      </c>
      <c r="B89" s="232">
        <v>53023</v>
      </c>
      <c r="C89" s="536" t="s">
        <v>608</v>
      </c>
      <c r="D89" s="432">
        <f t="shared" si="11"/>
        <v>3263884</v>
      </c>
      <c r="E89" s="431">
        <v>1003501</v>
      </c>
      <c r="F89" s="431">
        <v>117580</v>
      </c>
      <c r="G89" s="431">
        <v>156335</v>
      </c>
      <c r="H89" s="431">
        <v>0</v>
      </c>
      <c r="I89" s="431">
        <v>1129379</v>
      </c>
      <c r="J89" s="431">
        <v>100000</v>
      </c>
      <c r="K89" s="431">
        <v>547890</v>
      </c>
      <c r="L89" s="431">
        <v>0</v>
      </c>
      <c r="M89" s="431">
        <v>404227</v>
      </c>
      <c r="N89" s="431">
        <v>78887</v>
      </c>
      <c r="O89" s="431">
        <v>0</v>
      </c>
      <c r="P89" s="432">
        <f t="shared" si="10"/>
        <v>3130649</v>
      </c>
      <c r="Q89" s="431">
        <v>1271914</v>
      </c>
      <c r="R89" s="431">
        <v>1029639</v>
      </c>
      <c r="S89" s="431">
        <v>0</v>
      </c>
      <c r="T89" s="431">
        <v>0</v>
      </c>
      <c r="U89" s="431">
        <v>0</v>
      </c>
      <c r="V89" s="431">
        <v>0</v>
      </c>
      <c r="W89" s="431">
        <v>175065</v>
      </c>
      <c r="X89" s="431">
        <v>189776</v>
      </c>
      <c r="Y89" s="431">
        <v>34835</v>
      </c>
      <c r="Z89" s="431">
        <v>439950</v>
      </c>
      <c r="AA89" s="431">
        <v>0</v>
      </c>
      <c r="AB89" s="431">
        <v>-10530</v>
      </c>
      <c r="AC89" s="431">
        <v>503339</v>
      </c>
      <c r="AD89" s="431">
        <v>0</v>
      </c>
      <c r="AE89" s="431">
        <v>791004</v>
      </c>
      <c r="AF89" s="431">
        <v>0</v>
      </c>
      <c r="AG89" s="431">
        <v>458921</v>
      </c>
      <c r="AH89" s="431">
        <v>434976</v>
      </c>
      <c r="AI89" s="431">
        <v>403965</v>
      </c>
      <c r="AJ89" s="431">
        <v>349254</v>
      </c>
      <c r="AK89" s="431">
        <v>0</v>
      </c>
      <c r="AL89" s="431">
        <v>0</v>
      </c>
      <c r="AM89" s="431">
        <v>189190</v>
      </c>
    </row>
    <row r="90" spans="1:39" s="203" customFormat="1" ht="12" x14ac:dyDescent="0.2">
      <c r="A90" s="205">
        <v>36</v>
      </c>
      <c r="B90" s="232">
        <v>53069</v>
      </c>
      <c r="C90" s="536" t="s">
        <v>609</v>
      </c>
      <c r="D90" s="432">
        <f t="shared" si="11"/>
        <v>2686540</v>
      </c>
      <c r="E90" s="431">
        <v>520897</v>
      </c>
      <c r="F90" s="431">
        <v>70857</v>
      </c>
      <c r="G90" s="431">
        <v>258055</v>
      </c>
      <c r="H90" s="431">
        <v>0</v>
      </c>
      <c r="I90" s="431">
        <v>525430</v>
      </c>
      <c r="J90" s="431">
        <v>150000</v>
      </c>
      <c r="K90" s="431">
        <v>1210550</v>
      </c>
      <c r="L90" s="431">
        <v>0</v>
      </c>
      <c r="M90" s="431">
        <v>137000</v>
      </c>
      <c r="N90" s="431">
        <v>142663</v>
      </c>
      <c r="O90" s="431">
        <v>0</v>
      </c>
      <c r="P90" s="432">
        <f t="shared" si="10"/>
        <v>2288113</v>
      </c>
      <c r="Q90" s="431">
        <v>649203</v>
      </c>
      <c r="R90" s="431">
        <v>987378</v>
      </c>
      <c r="S90" s="431">
        <v>0</v>
      </c>
      <c r="T90" s="431">
        <v>0</v>
      </c>
      <c r="U90" s="431">
        <v>0</v>
      </c>
      <c r="V90" s="431">
        <v>0</v>
      </c>
      <c r="W90" s="431">
        <v>328879</v>
      </c>
      <c r="X90" s="431">
        <v>204594</v>
      </c>
      <c r="Y90" s="431">
        <v>0</v>
      </c>
      <c r="Z90" s="431">
        <v>300339</v>
      </c>
      <c r="AA90" s="431">
        <v>0</v>
      </c>
      <c r="AB90" s="431">
        <v>-182280</v>
      </c>
      <c r="AC90" s="431">
        <v>797331</v>
      </c>
      <c r="AD90" s="431">
        <v>0</v>
      </c>
      <c r="AE90" s="431">
        <v>374875</v>
      </c>
      <c r="AF90" s="431">
        <v>0</v>
      </c>
      <c r="AG90" s="431">
        <v>31573</v>
      </c>
      <c r="AH90" s="431">
        <v>204594</v>
      </c>
      <c r="AI90" s="431">
        <v>452450</v>
      </c>
      <c r="AJ90" s="431">
        <v>14384</v>
      </c>
      <c r="AK90" s="431">
        <v>0</v>
      </c>
      <c r="AL90" s="431">
        <v>412906</v>
      </c>
      <c r="AM90" s="431">
        <v>0</v>
      </c>
    </row>
    <row r="91" spans="1:39" s="203" customFormat="1" ht="12" x14ac:dyDescent="0.2">
      <c r="A91" s="205">
        <v>37</v>
      </c>
      <c r="B91" s="541">
        <v>53103</v>
      </c>
      <c r="C91" s="545" t="s">
        <v>610</v>
      </c>
      <c r="D91" s="553">
        <f t="shared" si="11"/>
        <v>4204849</v>
      </c>
      <c r="E91" s="554">
        <v>606574</v>
      </c>
      <c r="F91" s="431">
        <v>86769</v>
      </c>
      <c r="G91" s="431">
        <v>241688</v>
      </c>
      <c r="H91" s="431">
        <v>0</v>
      </c>
      <c r="I91" s="431">
        <v>833957</v>
      </c>
      <c r="J91" s="431">
        <v>150000</v>
      </c>
      <c r="K91" s="431">
        <v>1189550</v>
      </c>
      <c r="L91" s="431">
        <v>0</v>
      </c>
      <c r="M91" s="431">
        <v>1424768</v>
      </c>
      <c r="N91" s="431">
        <v>0</v>
      </c>
      <c r="O91" s="431">
        <v>0</v>
      </c>
      <c r="P91" s="432">
        <f t="shared" si="10"/>
        <v>3886608</v>
      </c>
      <c r="Q91" s="431">
        <v>1216128</v>
      </c>
      <c r="R91" s="431">
        <v>583586</v>
      </c>
      <c r="S91" s="431">
        <v>0</v>
      </c>
      <c r="T91" s="431">
        <v>0</v>
      </c>
      <c r="U91" s="431">
        <v>0</v>
      </c>
      <c r="V91" s="431">
        <v>0</v>
      </c>
      <c r="W91" s="431">
        <v>0</v>
      </c>
      <c r="X91" s="431">
        <v>93657</v>
      </c>
      <c r="Y91" s="431">
        <v>0</v>
      </c>
      <c r="Z91" s="431">
        <v>1993237</v>
      </c>
      <c r="AA91" s="431">
        <v>0</v>
      </c>
      <c r="AB91" s="431">
        <v>0</v>
      </c>
      <c r="AC91" s="431">
        <v>2674277</v>
      </c>
      <c r="AD91" s="431">
        <v>9290</v>
      </c>
      <c r="AE91" s="431">
        <v>595263</v>
      </c>
      <c r="AF91" s="431">
        <v>0</v>
      </c>
      <c r="AG91" s="431">
        <v>208050</v>
      </c>
      <c r="AH91" s="431">
        <v>322440</v>
      </c>
      <c r="AI91" s="431">
        <v>77288</v>
      </c>
      <c r="AJ91" s="431">
        <v>0</v>
      </c>
      <c r="AK91" s="431">
        <v>0</v>
      </c>
      <c r="AL91" s="431">
        <v>0</v>
      </c>
      <c r="AM91" s="431">
        <v>0</v>
      </c>
    </row>
    <row r="92" spans="1:39" s="203" customFormat="1" ht="12" x14ac:dyDescent="0.2">
      <c r="A92" s="205">
        <v>38</v>
      </c>
      <c r="B92" s="542">
        <v>53130</v>
      </c>
      <c r="C92" s="544" t="s">
        <v>611</v>
      </c>
      <c r="D92" s="432">
        <f t="shared" si="11"/>
        <v>4354530</v>
      </c>
      <c r="E92" s="431">
        <v>1208992</v>
      </c>
      <c r="F92" s="431">
        <v>75659</v>
      </c>
      <c r="G92" s="431">
        <v>202478</v>
      </c>
      <c r="H92" s="431">
        <v>0</v>
      </c>
      <c r="I92" s="431">
        <v>1193636</v>
      </c>
      <c r="J92" s="431">
        <v>100000</v>
      </c>
      <c r="K92" s="431">
        <v>991280</v>
      </c>
      <c r="L92" s="431">
        <v>0</v>
      </c>
      <c r="M92" s="431">
        <v>245589</v>
      </c>
      <c r="N92" s="431">
        <v>615033</v>
      </c>
      <c r="O92" s="431">
        <v>0</v>
      </c>
      <c r="P92" s="432">
        <f t="shared" si="10"/>
        <v>4633895</v>
      </c>
      <c r="Q92" s="431">
        <v>1187496</v>
      </c>
      <c r="R92" s="431">
        <v>929103</v>
      </c>
      <c r="S92" s="431">
        <v>0</v>
      </c>
      <c r="T92" s="431">
        <v>0</v>
      </c>
      <c r="U92" s="431">
        <v>0</v>
      </c>
      <c r="V92" s="431">
        <v>0</v>
      </c>
      <c r="W92" s="431">
        <v>1943400</v>
      </c>
      <c r="X92" s="431">
        <v>203284</v>
      </c>
      <c r="Y92" s="431">
        <v>10000</v>
      </c>
      <c r="Z92" s="431">
        <v>363737</v>
      </c>
      <c r="AA92" s="431">
        <v>0</v>
      </c>
      <c r="AB92" s="431">
        <v>-3125</v>
      </c>
      <c r="AC92" s="431">
        <v>646985</v>
      </c>
      <c r="AD92" s="431">
        <v>21124</v>
      </c>
      <c r="AE92" s="431">
        <v>946092</v>
      </c>
      <c r="AF92" s="431">
        <v>0</v>
      </c>
      <c r="AG92" s="431">
        <v>449642</v>
      </c>
      <c r="AH92" s="431">
        <v>276783</v>
      </c>
      <c r="AI92" s="431">
        <v>60447</v>
      </c>
      <c r="AJ92" s="431">
        <v>142712</v>
      </c>
      <c r="AK92" s="431">
        <v>0</v>
      </c>
      <c r="AL92" s="431">
        <v>1814579</v>
      </c>
      <c r="AM92" s="431">
        <v>275531</v>
      </c>
    </row>
    <row r="93" spans="1:39" s="203" customFormat="1" ht="12" x14ac:dyDescent="0.2">
      <c r="A93" s="205">
        <v>39</v>
      </c>
      <c r="B93" s="542">
        <v>53167</v>
      </c>
      <c r="C93" s="544" t="s">
        <v>612</v>
      </c>
      <c r="D93" s="432">
        <f t="shared" si="11"/>
        <v>8577669</v>
      </c>
      <c r="E93" s="431">
        <v>1217819</v>
      </c>
      <c r="F93" s="431">
        <v>99809</v>
      </c>
      <c r="G93" s="431">
        <v>338916</v>
      </c>
      <c r="H93" s="431">
        <v>0</v>
      </c>
      <c r="I93" s="431">
        <v>1465512</v>
      </c>
      <c r="J93" s="431">
        <v>65000</v>
      </c>
      <c r="K93" s="431">
        <v>1354080</v>
      </c>
      <c r="L93" s="431">
        <v>0</v>
      </c>
      <c r="M93" s="431">
        <v>1047453</v>
      </c>
      <c r="N93" s="431">
        <v>3427805</v>
      </c>
      <c r="O93" s="431">
        <v>0</v>
      </c>
      <c r="P93" s="432">
        <f t="shared" si="10"/>
        <v>9906089</v>
      </c>
      <c r="Q93" s="431">
        <v>1747610</v>
      </c>
      <c r="R93" s="431">
        <v>697217</v>
      </c>
      <c r="S93" s="431">
        <v>0</v>
      </c>
      <c r="T93" s="431">
        <v>0</v>
      </c>
      <c r="U93" s="431">
        <v>0</v>
      </c>
      <c r="V93" s="431">
        <v>0</v>
      </c>
      <c r="W93" s="431">
        <v>5694371</v>
      </c>
      <c r="X93" s="431">
        <v>102750</v>
      </c>
      <c r="Y93" s="431">
        <v>80000</v>
      </c>
      <c r="Z93" s="431">
        <v>1584141</v>
      </c>
      <c r="AA93" s="431">
        <v>0</v>
      </c>
      <c r="AB93" s="431">
        <v>0</v>
      </c>
      <c r="AC93" s="431">
        <v>590334</v>
      </c>
      <c r="AD93" s="431">
        <v>23129</v>
      </c>
      <c r="AE93" s="431">
        <v>1241802</v>
      </c>
      <c r="AF93" s="431">
        <v>0</v>
      </c>
      <c r="AG93" s="431">
        <v>1435191</v>
      </c>
      <c r="AH93" s="431">
        <v>737169</v>
      </c>
      <c r="AI93" s="431">
        <v>1736729</v>
      </c>
      <c r="AJ93" s="431">
        <v>150000</v>
      </c>
      <c r="AK93" s="431">
        <v>0</v>
      </c>
      <c r="AL93" s="431">
        <v>3983470</v>
      </c>
      <c r="AM93" s="431">
        <v>8265</v>
      </c>
    </row>
    <row r="94" spans="1:39" s="203" customFormat="1" ht="12" x14ac:dyDescent="0.2">
      <c r="A94" s="205">
        <v>40</v>
      </c>
      <c r="B94" s="542">
        <v>53210</v>
      </c>
      <c r="C94" s="544" t="s">
        <v>613</v>
      </c>
      <c r="D94" s="432">
        <f t="shared" si="11"/>
        <v>5207799</v>
      </c>
      <c r="E94" s="431">
        <v>621061</v>
      </c>
      <c r="F94" s="431">
        <v>54789</v>
      </c>
      <c r="G94" s="431">
        <v>215069</v>
      </c>
      <c r="H94" s="431">
        <v>0</v>
      </c>
      <c r="I94" s="431">
        <v>486587</v>
      </c>
      <c r="J94" s="431">
        <v>80000</v>
      </c>
      <c r="K94" s="431">
        <v>1165330</v>
      </c>
      <c r="L94" s="431">
        <v>0</v>
      </c>
      <c r="M94" s="431">
        <v>2679778</v>
      </c>
      <c r="N94" s="431">
        <v>175043</v>
      </c>
      <c r="O94" s="431">
        <v>0</v>
      </c>
      <c r="P94" s="432">
        <f t="shared" si="10"/>
        <v>4818070</v>
      </c>
      <c r="Q94" s="431">
        <v>875888</v>
      </c>
      <c r="R94" s="431">
        <v>910284</v>
      </c>
      <c r="S94" s="431">
        <v>4671</v>
      </c>
      <c r="T94" s="431">
        <v>0</v>
      </c>
      <c r="U94" s="431">
        <v>0</v>
      </c>
      <c r="V94" s="431">
        <v>0</v>
      </c>
      <c r="W94" s="431">
        <v>445806</v>
      </c>
      <c r="X94" s="431">
        <v>22371</v>
      </c>
      <c r="Y94" s="431">
        <v>0</v>
      </c>
      <c r="Z94" s="431">
        <v>2567250</v>
      </c>
      <c r="AA94" s="431">
        <v>0</v>
      </c>
      <c r="AB94" s="431">
        <v>-8200</v>
      </c>
      <c r="AC94" s="431">
        <v>1222541</v>
      </c>
      <c r="AD94" s="431">
        <v>6541</v>
      </c>
      <c r="AE94" s="431">
        <v>404060</v>
      </c>
      <c r="AF94" s="431">
        <v>0</v>
      </c>
      <c r="AG94" s="431">
        <v>0</v>
      </c>
      <c r="AH94" s="431">
        <v>85860</v>
      </c>
      <c r="AI94" s="431">
        <v>74626</v>
      </c>
      <c r="AJ94" s="431">
        <v>1986970</v>
      </c>
      <c r="AK94" s="431">
        <v>0</v>
      </c>
      <c r="AL94" s="431">
        <v>549090</v>
      </c>
      <c r="AM94" s="431">
        <v>488382</v>
      </c>
    </row>
    <row r="95" spans="1:39" s="203" customFormat="1" ht="12" x14ac:dyDescent="0.2">
      <c r="A95" s="205">
        <v>41</v>
      </c>
      <c r="B95" s="542">
        <v>53247</v>
      </c>
      <c r="C95" s="544" t="s">
        <v>614</v>
      </c>
      <c r="D95" s="432">
        <f t="shared" si="11"/>
        <v>4906569</v>
      </c>
      <c r="E95" s="431">
        <v>1617233</v>
      </c>
      <c r="F95" s="431">
        <v>232176</v>
      </c>
      <c r="G95" s="431">
        <v>178084</v>
      </c>
      <c r="H95" s="431">
        <v>0</v>
      </c>
      <c r="I95" s="431">
        <v>1739242</v>
      </c>
      <c r="J95" s="431">
        <v>150000</v>
      </c>
      <c r="K95" s="431">
        <v>900010</v>
      </c>
      <c r="L95" s="431">
        <v>0</v>
      </c>
      <c r="M95" s="431">
        <v>268364</v>
      </c>
      <c r="N95" s="431">
        <v>231720</v>
      </c>
      <c r="O95" s="431">
        <v>0</v>
      </c>
      <c r="P95" s="432">
        <f t="shared" si="10"/>
        <v>4648341</v>
      </c>
      <c r="Q95" s="431">
        <v>1903203</v>
      </c>
      <c r="R95" s="431">
        <v>1154567</v>
      </c>
      <c r="S95" s="431">
        <v>0</v>
      </c>
      <c r="T95" s="431">
        <v>0</v>
      </c>
      <c r="U95" s="431">
        <v>0</v>
      </c>
      <c r="V95" s="431">
        <v>349978</v>
      </c>
      <c r="W95" s="431">
        <v>562654</v>
      </c>
      <c r="X95" s="431">
        <v>159050</v>
      </c>
      <c r="Y95" s="431">
        <v>0</v>
      </c>
      <c r="Z95" s="431">
        <v>518889</v>
      </c>
      <c r="AA95" s="431">
        <v>0</v>
      </c>
      <c r="AB95" s="431">
        <v>0</v>
      </c>
      <c r="AC95" s="431">
        <v>945855</v>
      </c>
      <c r="AD95" s="431">
        <v>81954</v>
      </c>
      <c r="AE95" s="431">
        <v>1695828</v>
      </c>
      <c r="AF95" s="431">
        <v>0</v>
      </c>
      <c r="AG95" s="431">
        <v>1091214</v>
      </c>
      <c r="AH95" s="431">
        <v>159050</v>
      </c>
      <c r="AI95" s="431">
        <v>89633</v>
      </c>
      <c r="AJ95" s="431">
        <v>303897</v>
      </c>
      <c r="AK95" s="431">
        <v>0</v>
      </c>
      <c r="AL95" s="431">
        <v>280910</v>
      </c>
      <c r="AM95" s="431">
        <v>0</v>
      </c>
    </row>
    <row r="96" spans="1:39" s="203" customFormat="1" ht="12" x14ac:dyDescent="0.2">
      <c r="A96" s="205">
        <v>42</v>
      </c>
      <c r="B96" s="542">
        <v>53274</v>
      </c>
      <c r="C96" s="544" t="s">
        <v>615</v>
      </c>
      <c r="D96" s="432">
        <f t="shared" si="11"/>
        <v>5910009</v>
      </c>
      <c r="E96" s="431">
        <v>1266570</v>
      </c>
      <c r="F96" s="431">
        <v>527845</v>
      </c>
      <c r="G96" s="431">
        <v>81090</v>
      </c>
      <c r="H96" s="431">
        <v>0</v>
      </c>
      <c r="I96" s="431">
        <v>3588335</v>
      </c>
      <c r="J96" s="431">
        <v>150000</v>
      </c>
      <c r="K96" s="431">
        <v>586370</v>
      </c>
      <c r="L96" s="431">
        <v>0</v>
      </c>
      <c r="M96" s="431">
        <v>126670</v>
      </c>
      <c r="N96" s="431">
        <v>192064</v>
      </c>
      <c r="O96" s="431">
        <v>0</v>
      </c>
      <c r="P96" s="432">
        <f t="shared" si="10"/>
        <v>9530729</v>
      </c>
      <c r="Q96" s="431">
        <v>3515247</v>
      </c>
      <c r="R96" s="431">
        <v>1251786</v>
      </c>
      <c r="S96" s="431">
        <v>4945</v>
      </c>
      <c r="T96" s="431">
        <v>0</v>
      </c>
      <c r="U96" s="431">
        <v>0</v>
      </c>
      <c r="V96" s="431">
        <v>0</v>
      </c>
      <c r="W96" s="431">
        <v>3868273</v>
      </c>
      <c r="X96" s="431">
        <v>330317</v>
      </c>
      <c r="Y96" s="431">
        <v>0</v>
      </c>
      <c r="Z96" s="431">
        <v>451906</v>
      </c>
      <c r="AA96" s="431">
        <v>113489</v>
      </c>
      <c r="AB96" s="431">
        <v>-5234</v>
      </c>
      <c r="AC96" s="431">
        <v>803563</v>
      </c>
      <c r="AD96" s="431">
        <v>7053</v>
      </c>
      <c r="AE96" s="431">
        <v>3401585</v>
      </c>
      <c r="AF96" s="431">
        <v>0</v>
      </c>
      <c r="AG96" s="431">
        <v>762338</v>
      </c>
      <c r="AH96" s="431">
        <v>344771</v>
      </c>
      <c r="AI96" s="431">
        <v>1792815</v>
      </c>
      <c r="AJ96" s="431">
        <v>1620300</v>
      </c>
      <c r="AK96" s="431">
        <v>0</v>
      </c>
      <c r="AL96" s="431">
        <v>784326</v>
      </c>
      <c r="AM96" s="431">
        <v>13978</v>
      </c>
    </row>
    <row r="97" spans="1:39" s="203" customFormat="1" ht="12" x14ac:dyDescent="0.2">
      <c r="A97" s="205">
        <v>43</v>
      </c>
      <c r="B97" s="542">
        <v>53327</v>
      </c>
      <c r="C97" s="544" t="s">
        <v>616</v>
      </c>
      <c r="D97" s="432">
        <f t="shared" si="11"/>
        <v>2767365</v>
      </c>
      <c r="E97" s="431">
        <v>435051</v>
      </c>
      <c r="F97" s="431">
        <v>36418</v>
      </c>
      <c r="G97" s="431">
        <v>207117</v>
      </c>
      <c r="H97" s="431">
        <v>0</v>
      </c>
      <c r="I97" s="431">
        <v>532512</v>
      </c>
      <c r="J97" s="431">
        <v>150000</v>
      </c>
      <c r="K97" s="431">
        <v>891920</v>
      </c>
      <c r="L97" s="431">
        <v>0</v>
      </c>
      <c r="M97" s="431">
        <v>181744</v>
      </c>
      <c r="N97" s="431">
        <v>564638</v>
      </c>
      <c r="O97" s="431">
        <v>11500</v>
      </c>
      <c r="P97" s="432">
        <f t="shared" si="10"/>
        <v>2653323</v>
      </c>
      <c r="Q97" s="431">
        <v>713268</v>
      </c>
      <c r="R97" s="431">
        <v>430037</v>
      </c>
      <c r="S97" s="431">
        <v>0</v>
      </c>
      <c r="T97" s="431">
        <v>0</v>
      </c>
      <c r="U97" s="431">
        <v>0</v>
      </c>
      <c r="V97" s="431">
        <v>0</v>
      </c>
      <c r="W97" s="431">
        <v>1195056</v>
      </c>
      <c r="X97" s="431">
        <v>46449</v>
      </c>
      <c r="Y97" s="431">
        <v>0</v>
      </c>
      <c r="Z97" s="431">
        <v>270449</v>
      </c>
      <c r="AA97" s="431">
        <v>0</v>
      </c>
      <c r="AB97" s="431">
        <v>-1936</v>
      </c>
      <c r="AC97" s="431">
        <v>595627</v>
      </c>
      <c r="AD97" s="431">
        <v>0</v>
      </c>
      <c r="AE97" s="431">
        <v>481812</v>
      </c>
      <c r="AF97" s="431">
        <v>0</v>
      </c>
      <c r="AG97" s="431">
        <v>951618</v>
      </c>
      <c r="AH97" s="431">
        <v>153425</v>
      </c>
      <c r="AI97" s="431">
        <v>354848</v>
      </c>
      <c r="AJ97" s="431">
        <v>66281</v>
      </c>
      <c r="AK97" s="431">
        <v>0</v>
      </c>
      <c r="AL97" s="431">
        <v>0</v>
      </c>
      <c r="AM97" s="431">
        <v>49712</v>
      </c>
    </row>
    <row r="98" spans="1:39" s="203" customFormat="1" ht="12" x14ac:dyDescent="0.2">
      <c r="A98" s="205">
        <v>44</v>
      </c>
      <c r="B98" s="542">
        <v>53345</v>
      </c>
      <c r="C98" s="544" t="s">
        <v>617</v>
      </c>
      <c r="D98" s="432">
        <f t="shared" si="11"/>
        <v>2774601</v>
      </c>
      <c r="E98" s="431">
        <v>700297</v>
      </c>
      <c r="F98" s="431">
        <v>301536</v>
      </c>
      <c r="G98" s="431">
        <v>188085</v>
      </c>
      <c r="H98" s="431">
        <v>0</v>
      </c>
      <c r="I98" s="431">
        <v>768720</v>
      </c>
      <c r="J98" s="431">
        <v>50000</v>
      </c>
      <c r="K98" s="431">
        <v>794130</v>
      </c>
      <c r="L98" s="431">
        <v>0</v>
      </c>
      <c r="M98" s="431">
        <v>453454</v>
      </c>
      <c r="N98" s="431">
        <v>0</v>
      </c>
      <c r="O98" s="431">
        <v>8000</v>
      </c>
      <c r="P98" s="432">
        <f t="shared" si="10"/>
        <v>2634071</v>
      </c>
      <c r="Q98" s="431">
        <v>979320</v>
      </c>
      <c r="R98" s="431">
        <v>574215</v>
      </c>
      <c r="S98" s="431">
        <v>0</v>
      </c>
      <c r="T98" s="431">
        <v>0</v>
      </c>
      <c r="U98" s="431">
        <v>0</v>
      </c>
      <c r="V98" s="431">
        <v>0</v>
      </c>
      <c r="W98" s="431">
        <v>0</v>
      </c>
      <c r="X98" s="431">
        <v>119196</v>
      </c>
      <c r="Y98" s="431">
        <v>0</v>
      </c>
      <c r="Z98" s="431">
        <v>961340</v>
      </c>
      <c r="AA98" s="431">
        <v>0</v>
      </c>
      <c r="AB98" s="431">
        <v>0</v>
      </c>
      <c r="AC98" s="431">
        <v>627562</v>
      </c>
      <c r="AD98" s="431">
        <v>0</v>
      </c>
      <c r="AE98" s="431">
        <v>684543</v>
      </c>
      <c r="AF98" s="431">
        <v>0</v>
      </c>
      <c r="AG98" s="431">
        <v>188174</v>
      </c>
      <c r="AH98" s="431">
        <v>223540</v>
      </c>
      <c r="AI98" s="431">
        <v>746648</v>
      </c>
      <c r="AJ98" s="431">
        <v>64500</v>
      </c>
      <c r="AK98" s="431">
        <v>0</v>
      </c>
      <c r="AL98" s="431">
        <v>99104</v>
      </c>
      <c r="AM98" s="431">
        <v>0</v>
      </c>
    </row>
    <row r="99" spans="1:39" s="203" customFormat="1" ht="12" x14ac:dyDescent="0.2">
      <c r="A99" s="205">
        <v>45</v>
      </c>
      <c r="B99" s="542">
        <v>53372</v>
      </c>
      <c r="C99" s="544" t="s">
        <v>618</v>
      </c>
      <c r="D99" s="432">
        <f t="shared" si="11"/>
        <v>4097413</v>
      </c>
      <c r="E99" s="431">
        <v>1309985</v>
      </c>
      <c r="F99" s="431">
        <v>189654</v>
      </c>
      <c r="G99" s="431">
        <v>343218</v>
      </c>
      <c r="H99" s="431">
        <v>0</v>
      </c>
      <c r="I99" s="431">
        <v>1360924</v>
      </c>
      <c r="J99" s="431">
        <v>150000</v>
      </c>
      <c r="K99" s="431">
        <v>1263880</v>
      </c>
      <c r="L99" s="431">
        <v>0</v>
      </c>
      <c r="M99" s="431">
        <v>9624</v>
      </c>
      <c r="N99" s="431">
        <v>0</v>
      </c>
      <c r="O99" s="431">
        <v>3000</v>
      </c>
      <c r="P99" s="432">
        <f t="shared" si="10"/>
        <v>4139952</v>
      </c>
      <c r="Q99" s="431">
        <v>1697828</v>
      </c>
      <c r="R99" s="431">
        <v>1520643</v>
      </c>
      <c r="S99" s="431">
        <v>0</v>
      </c>
      <c r="T99" s="431">
        <v>0</v>
      </c>
      <c r="U99" s="431">
        <v>0</v>
      </c>
      <c r="V99" s="431">
        <v>0</v>
      </c>
      <c r="W99" s="431">
        <v>0</v>
      </c>
      <c r="X99" s="431">
        <v>105293</v>
      </c>
      <c r="Y99" s="431">
        <v>0</v>
      </c>
      <c r="Z99" s="431">
        <v>816188</v>
      </c>
      <c r="AA99" s="431">
        <v>0</v>
      </c>
      <c r="AB99" s="431">
        <v>0</v>
      </c>
      <c r="AC99" s="431">
        <v>953707</v>
      </c>
      <c r="AD99" s="431">
        <v>14261</v>
      </c>
      <c r="AE99" s="431">
        <v>1109127</v>
      </c>
      <c r="AF99" s="431">
        <v>0</v>
      </c>
      <c r="AG99" s="431">
        <v>208800</v>
      </c>
      <c r="AH99" s="431">
        <v>263921</v>
      </c>
      <c r="AI99" s="431">
        <v>629505</v>
      </c>
      <c r="AJ99" s="431">
        <v>167960</v>
      </c>
      <c r="AK99" s="431">
        <v>0</v>
      </c>
      <c r="AL99" s="431">
        <v>792671</v>
      </c>
      <c r="AM99" s="431">
        <v>0</v>
      </c>
    </row>
    <row r="100" spans="1:39" s="203" customFormat="1" ht="12" x14ac:dyDescent="0.2">
      <c r="A100" s="205">
        <v>46</v>
      </c>
      <c r="B100" s="542">
        <v>50987</v>
      </c>
      <c r="C100" s="544" t="s">
        <v>619</v>
      </c>
      <c r="D100" s="432">
        <f t="shared" si="11"/>
        <v>2092880</v>
      </c>
      <c r="E100" s="431">
        <v>411355</v>
      </c>
      <c r="F100" s="431">
        <v>51827</v>
      </c>
      <c r="G100" s="431">
        <v>265484</v>
      </c>
      <c r="H100" s="431">
        <v>0</v>
      </c>
      <c r="I100" s="431">
        <v>461939</v>
      </c>
      <c r="J100" s="431">
        <v>50000</v>
      </c>
      <c r="K100" s="431">
        <v>1162730</v>
      </c>
      <c r="L100" s="431">
        <v>0</v>
      </c>
      <c r="M100" s="431">
        <v>6856</v>
      </c>
      <c r="N100" s="431">
        <v>0</v>
      </c>
      <c r="O100" s="431">
        <v>0</v>
      </c>
      <c r="P100" s="432">
        <f t="shared" si="10"/>
        <v>1088771</v>
      </c>
      <c r="Q100" s="431">
        <v>598692</v>
      </c>
      <c r="R100" s="431">
        <v>324085</v>
      </c>
      <c r="S100" s="431">
        <v>0</v>
      </c>
      <c r="T100" s="431">
        <v>0</v>
      </c>
      <c r="U100" s="431">
        <v>0</v>
      </c>
      <c r="V100" s="431">
        <v>0</v>
      </c>
      <c r="W100" s="431">
        <v>0</v>
      </c>
      <c r="X100" s="431">
        <v>50559</v>
      </c>
      <c r="Y100" s="431">
        <v>21998</v>
      </c>
      <c r="Z100" s="431">
        <v>93437</v>
      </c>
      <c r="AA100" s="431">
        <v>0</v>
      </c>
      <c r="AB100" s="431">
        <v>0</v>
      </c>
      <c r="AC100" s="431">
        <v>353740</v>
      </c>
      <c r="AD100" s="431">
        <v>0</v>
      </c>
      <c r="AE100" s="431">
        <v>409687</v>
      </c>
      <c r="AF100" s="431">
        <v>0</v>
      </c>
      <c r="AG100" s="431">
        <v>71672</v>
      </c>
      <c r="AH100" s="431">
        <v>94681</v>
      </c>
      <c r="AI100" s="431">
        <v>57881</v>
      </c>
      <c r="AJ100" s="431">
        <v>17227</v>
      </c>
      <c r="AK100" s="431">
        <v>0</v>
      </c>
      <c r="AL100" s="431">
        <v>83883</v>
      </c>
      <c r="AM100" s="431">
        <v>0</v>
      </c>
    </row>
    <row r="101" spans="1:39" s="203" customFormat="1" ht="12" x14ac:dyDescent="0.2">
      <c r="A101" s="205">
        <v>47</v>
      </c>
      <c r="B101" s="542">
        <v>53425</v>
      </c>
      <c r="C101" s="544" t="s">
        <v>620</v>
      </c>
      <c r="D101" s="432">
        <f t="shared" si="11"/>
        <v>5115007</v>
      </c>
      <c r="E101" s="431">
        <v>1095707</v>
      </c>
      <c r="F101" s="431">
        <v>230238</v>
      </c>
      <c r="G101" s="431">
        <v>117469</v>
      </c>
      <c r="H101" s="431">
        <v>0</v>
      </c>
      <c r="I101" s="431">
        <v>1166298</v>
      </c>
      <c r="J101" s="431">
        <v>150000</v>
      </c>
      <c r="K101" s="431">
        <v>732890</v>
      </c>
      <c r="L101" s="431">
        <v>0</v>
      </c>
      <c r="M101" s="431">
        <v>324046</v>
      </c>
      <c r="N101" s="431">
        <v>1646066</v>
      </c>
      <c r="O101" s="431">
        <v>0</v>
      </c>
      <c r="P101" s="432">
        <f t="shared" si="10"/>
        <v>3495209</v>
      </c>
      <c r="Q101" s="431">
        <v>1506820</v>
      </c>
      <c r="R101" s="431">
        <v>809025</v>
      </c>
      <c r="S101" s="431">
        <v>0</v>
      </c>
      <c r="T101" s="431">
        <v>0</v>
      </c>
      <c r="U101" s="431">
        <v>0</v>
      </c>
      <c r="V101" s="431">
        <v>0</v>
      </c>
      <c r="W101" s="431">
        <v>118780</v>
      </c>
      <c r="X101" s="431">
        <v>104081</v>
      </c>
      <c r="Y101" s="431">
        <v>0</v>
      </c>
      <c r="Z101" s="431">
        <v>956503</v>
      </c>
      <c r="AA101" s="431">
        <v>0</v>
      </c>
      <c r="AB101" s="431">
        <v>0</v>
      </c>
      <c r="AC101" s="431">
        <v>519438</v>
      </c>
      <c r="AD101" s="431">
        <v>1674</v>
      </c>
      <c r="AE101" s="431">
        <v>1053333</v>
      </c>
      <c r="AF101" s="431">
        <v>0</v>
      </c>
      <c r="AG101" s="431">
        <v>89188</v>
      </c>
      <c r="AH101" s="431">
        <v>285115</v>
      </c>
      <c r="AI101" s="431">
        <v>622785</v>
      </c>
      <c r="AJ101" s="431">
        <v>74884</v>
      </c>
      <c r="AK101" s="431">
        <v>0</v>
      </c>
      <c r="AL101" s="431">
        <v>643876</v>
      </c>
      <c r="AM101" s="431">
        <v>204916</v>
      </c>
    </row>
    <row r="102" spans="1:39" s="203" customFormat="1" ht="12" x14ac:dyDescent="0.2">
      <c r="A102" s="205">
        <v>48</v>
      </c>
      <c r="B102" s="542">
        <v>53513</v>
      </c>
      <c r="C102" s="543" t="s">
        <v>621</v>
      </c>
      <c r="D102" s="432">
        <f t="shared" si="11"/>
        <v>5521495</v>
      </c>
      <c r="E102" s="431">
        <v>851499</v>
      </c>
      <c r="F102" s="431">
        <v>138225</v>
      </c>
      <c r="G102" s="431">
        <v>163003</v>
      </c>
      <c r="H102" s="431">
        <v>0</v>
      </c>
      <c r="I102" s="431">
        <v>1437103</v>
      </c>
      <c r="J102" s="431">
        <v>50000</v>
      </c>
      <c r="K102" s="431">
        <v>1248500</v>
      </c>
      <c r="L102" s="431">
        <v>0</v>
      </c>
      <c r="M102" s="431">
        <v>1007205</v>
      </c>
      <c r="N102" s="431">
        <v>545426</v>
      </c>
      <c r="O102" s="431">
        <v>381762</v>
      </c>
      <c r="P102" s="432">
        <f t="shared" si="10"/>
        <v>5213972</v>
      </c>
      <c r="Q102" s="431">
        <v>1688588</v>
      </c>
      <c r="R102" s="431">
        <v>823111</v>
      </c>
      <c r="S102" s="431">
        <v>11200</v>
      </c>
      <c r="T102" s="431">
        <v>0</v>
      </c>
      <c r="U102" s="431">
        <v>0</v>
      </c>
      <c r="V102" s="431">
        <v>297000</v>
      </c>
      <c r="W102" s="431">
        <v>388291</v>
      </c>
      <c r="X102" s="431">
        <v>183738</v>
      </c>
      <c r="Y102" s="431">
        <v>0</v>
      </c>
      <c r="Z102" s="431">
        <v>1496246</v>
      </c>
      <c r="AA102" s="431">
        <v>413245</v>
      </c>
      <c r="AB102" s="431">
        <v>-87447</v>
      </c>
      <c r="AC102" s="431">
        <v>1120482</v>
      </c>
      <c r="AD102" s="431">
        <v>0</v>
      </c>
      <c r="AE102" s="431">
        <v>1084336</v>
      </c>
      <c r="AF102" s="431">
        <v>0</v>
      </c>
      <c r="AG102" s="431">
        <v>409849</v>
      </c>
      <c r="AH102" s="431">
        <v>800704</v>
      </c>
      <c r="AI102" s="431">
        <v>162150</v>
      </c>
      <c r="AJ102" s="431">
        <v>910391</v>
      </c>
      <c r="AK102" s="431">
        <v>0</v>
      </c>
      <c r="AL102" s="431">
        <v>542192</v>
      </c>
      <c r="AM102" s="431">
        <v>183868</v>
      </c>
    </row>
    <row r="103" spans="1:39" s="203" customFormat="1" ht="12" x14ac:dyDescent="0.2">
      <c r="A103" s="205">
        <v>49</v>
      </c>
      <c r="B103" s="542">
        <v>53577</v>
      </c>
      <c r="C103" s="545" t="s">
        <v>622</v>
      </c>
      <c r="D103" s="432">
        <f t="shared" si="11"/>
        <v>4186494</v>
      </c>
      <c r="E103" s="431">
        <v>777243</v>
      </c>
      <c r="F103" s="431">
        <v>268948</v>
      </c>
      <c r="G103" s="431">
        <v>150823</v>
      </c>
      <c r="H103" s="431">
        <v>0</v>
      </c>
      <c r="I103" s="431">
        <v>1836500</v>
      </c>
      <c r="J103" s="431">
        <v>100000</v>
      </c>
      <c r="K103" s="431">
        <v>747520</v>
      </c>
      <c r="L103" s="431">
        <v>0</v>
      </c>
      <c r="M103" s="431">
        <v>183099</v>
      </c>
      <c r="N103" s="431">
        <v>542132</v>
      </c>
      <c r="O103" s="431">
        <v>0</v>
      </c>
      <c r="P103" s="432">
        <f t="shared" si="10"/>
        <v>3358682</v>
      </c>
      <c r="Q103" s="431">
        <v>1923722</v>
      </c>
      <c r="R103" s="431">
        <v>453462</v>
      </c>
      <c r="S103" s="431">
        <v>0</v>
      </c>
      <c r="T103" s="431">
        <v>0</v>
      </c>
      <c r="U103" s="431">
        <v>0</v>
      </c>
      <c r="V103" s="431">
        <v>11500</v>
      </c>
      <c r="W103" s="431">
        <v>555627</v>
      </c>
      <c r="X103" s="431">
        <v>261522</v>
      </c>
      <c r="Y103" s="431">
        <v>0</v>
      </c>
      <c r="Z103" s="431">
        <v>152849</v>
      </c>
      <c r="AA103" s="431">
        <v>0</v>
      </c>
      <c r="AB103" s="431">
        <v>0</v>
      </c>
      <c r="AC103" s="431">
        <v>463315</v>
      </c>
      <c r="AD103" s="431">
        <v>0</v>
      </c>
      <c r="AE103" s="431">
        <v>1629140</v>
      </c>
      <c r="AF103" s="431">
        <v>0</v>
      </c>
      <c r="AG103" s="431">
        <v>558732</v>
      </c>
      <c r="AH103" s="431">
        <v>293448</v>
      </c>
      <c r="AI103" s="431">
        <v>198427</v>
      </c>
      <c r="AJ103" s="431">
        <v>137609</v>
      </c>
      <c r="AK103" s="431">
        <v>0</v>
      </c>
      <c r="AL103" s="431">
        <v>49211</v>
      </c>
      <c r="AM103" s="431">
        <v>28800</v>
      </c>
    </row>
    <row r="104" spans="1:39" s="203" customFormat="1" ht="12" x14ac:dyDescent="0.2">
      <c r="A104" s="205">
        <v>50</v>
      </c>
      <c r="B104" s="542">
        <v>53675</v>
      </c>
      <c r="C104" s="544" t="s">
        <v>623</v>
      </c>
      <c r="D104" s="432">
        <f t="shared" si="11"/>
        <v>4029753</v>
      </c>
      <c r="E104" s="431">
        <v>899182</v>
      </c>
      <c r="F104" s="431">
        <v>139071</v>
      </c>
      <c r="G104" s="431">
        <v>154557</v>
      </c>
      <c r="H104" s="431">
        <v>0</v>
      </c>
      <c r="I104" s="431">
        <v>1083960</v>
      </c>
      <c r="J104" s="431">
        <v>100000</v>
      </c>
      <c r="K104" s="431">
        <v>835030</v>
      </c>
      <c r="L104" s="431">
        <v>0</v>
      </c>
      <c r="M104" s="431">
        <v>351186</v>
      </c>
      <c r="N104" s="431">
        <v>760395</v>
      </c>
      <c r="O104" s="431">
        <v>0</v>
      </c>
      <c r="P104" s="432">
        <f t="shared" si="10"/>
        <v>5230112</v>
      </c>
      <c r="Q104" s="431">
        <v>1436128</v>
      </c>
      <c r="R104" s="431">
        <v>615759</v>
      </c>
      <c r="S104" s="431">
        <v>29281</v>
      </c>
      <c r="T104" s="431">
        <v>0</v>
      </c>
      <c r="U104" s="431">
        <v>0</v>
      </c>
      <c r="V104" s="431">
        <v>0</v>
      </c>
      <c r="W104" s="431">
        <v>1827669</v>
      </c>
      <c r="X104" s="431">
        <v>123738</v>
      </c>
      <c r="Y104" s="431">
        <v>40000</v>
      </c>
      <c r="Z104" s="431">
        <v>182773</v>
      </c>
      <c r="AA104" s="431">
        <v>974764</v>
      </c>
      <c r="AB104" s="431">
        <v>0</v>
      </c>
      <c r="AC104" s="431">
        <v>1049874</v>
      </c>
      <c r="AD104" s="431">
        <v>53102</v>
      </c>
      <c r="AE104" s="431">
        <v>999278</v>
      </c>
      <c r="AF104" s="431">
        <v>0</v>
      </c>
      <c r="AG104" s="431">
        <v>108441</v>
      </c>
      <c r="AH104" s="431">
        <v>230644</v>
      </c>
      <c r="AI104" s="431">
        <v>1097448</v>
      </c>
      <c r="AJ104" s="431">
        <v>1646079</v>
      </c>
      <c r="AK104" s="431">
        <v>0</v>
      </c>
      <c r="AL104" s="431">
        <v>45246</v>
      </c>
      <c r="AM104" s="431">
        <v>0</v>
      </c>
    </row>
    <row r="105" spans="1:39" s="203" customFormat="1" ht="12" x14ac:dyDescent="0.2">
      <c r="A105" s="205">
        <v>51</v>
      </c>
      <c r="B105" s="542">
        <v>53639</v>
      </c>
      <c r="C105" s="544" t="s">
        <v>624</v>
      </c>
      <c r="D105" s="432">
        <f t="shared" si="11"/>
        <v>2814436</v>
      </c>
      <c r="E105" s="431">
        <v>669769</v>
      </c>
      <c r="F105" s="431">
        <v>53800</v>
      </c>
      <c r="G105" s="431">
        <v>230856</v>
      </c>
      <c r="H105" s="431">
        <v>0</v>
      </c>
      <c r="I105" s="431">
        <v>681567</v>
      </c>
      <c r="J105" s="431">
        <v>150000</v>
      </c>
      <c r="K105" s="431">
        <v>1137750</v>
      </c>
      <c r="L105" s="431">
        <v>0</v>
      </c>
      <c r="M105" s="431">
        <v>175350</v>
      </c>
      <c r="N105" s="431">
        <v>0</v>
      </c>
      <c r="O105" s="431">
        <v>0</v>
      </c>
      <c r="P105" s="432">
        <f t="shared" si="10"/>
        <v>3022683</v>
      </c>
      <c r="Q105" s="431">
        <v>1117891</v>
      </c>
      <c r="R105" s="431">
        <v>755897</v>
      </c>
      <c r="S105" s="431">
        <v>0</v>
      </c>
      <c r="T105" s="431">
        <v>0</v>
      </c>
      <c r="U105" s="431">
        <v>0</v>
      </c>
      <c r="V105" s="431">
        <v>0</v>
      </c>
      <c r="W105" s="431">
        <v>481995</v>
      </c>
      <c r="X105" s="431">
        <v>87520</v>
      </c>
      <c r="Y105" s="431">
        <v>55000</v>
      </c>
      <c r="Z105" s="431">
        <v>524380</v>
      </c>
      <c r="AA105" s="431">
        <v>0</v>
      </c>
      <c r="AB105" s="431">
        <v>0</v>
      </c>
      <c r="AC105" s="431">
        <v>1100293</v>
      </c>
      <c r="AD105" s="431">
        <v>32778</v>
      </c>
      <c r="AE105" s="431">
        <v>610113</v>
      </c>
      <c r="AF105" s="431">
        <v>0</v>
      </c>
      <c r="AG105" s="431">
        <v>740143</v>
      </c>
      <c r="AH105" s="431">
        <v>136891</v>
      </c>
      <c r="AI105" s="431">
        <v>87271</v>
      </c>
      <c r="AJ105" s="431">
        <v>27877</v>
      </c>
      <c r="AK105" s="431">
        <v>0</v>
      </c>
      <c r="AL105" s="431">
        <v>204503</v>
      </c>
      <c r="AM105" s="431">
        <v>82814</v>
      </c>
    </row>
    <row r="106" spans="1:39" s="203" customFormat="1" ht="12" x14ac:dyDescent="0.2">
      <c r="A106" s="205">
        <v>52</v>
      </c>
      <c r="B106" s="542">
        <v>53728</v>
      </c>
      <c r="C106" s="544" t="s">
        <v>625</v>
      </c>
      <c r="D106" s="432">
        <f t="shared" si="11"/>
        <v>2648863</v>
      </c>
      <c r="E106" s="431">
        <v>893221</v>
      </c>
      <c r="F106" s="431">
        <v>326485</v>
      </c>
      <c r="G106" s="431">
        <v>64152</v>
      </c>
      <c r="H106" s="431">
        <v>0</v>
      </c>
      <c r="I106" s="431">
        <v>762123</v>
      </c>
      <c r="J106" s="431">
        <v>50000</v>
      </c>
      <c r="K106" s="431">
        <v>886040</v>
      </c>
      <c r="L106" s="431">
        <v>0</v>
      </c>
      <c r="M106" s="431">
        <v>57479</v>
      </c>
      <c r="N106" s="431">
        <v>0</v>
      </c>
      <c r="O106" s="431">
        <v>0</v>
      </c>
      <c r="P106" s="432">
        <f t="shared" si="10"/>
        <v>2800936</v>
      </c>
      <c r="Q106" s="431">
        <v>1036484</v>
      </c>
      <c r="R106" s="431">
        <v>1074845</v>
      </c>
      <c r="S106" s="431">
        <v>0</v>
      </c>
      <c r="T106" s="431">
        <v>0</v>
      </c>
      <c r="U106" s="431">
        <v>0</v>
      </c>
      <c r="V106" s="431">
        <v>0</v>
      </c>
      <c r="W106" s="431">
        <v>0</v>
      </c>
      <c r="X106" s="431">
        <v>40386</v>
      </c>
      <c r="Y106" s="431">
        <v>0</v>
      </c>
      <c r="Z106" s="431">
        <v>651015</v>
      </c>
      <c r="AA106" s="431">
        <v>0</v>
      </c>
      <c r="AB106" s="431">
        <v>-1794</v>
      </c>
      <c r="AC106" s="431">
        <v>888701</v>
      </c>
      <c r="AD106" s="431">
        <v>18300</v>
      </c>
      <c r="AE106" s="431">
        <v>661259</v>
      </c>
      <c r="AF106" s="431">
        <v>0</v>
      </c>
      <c r="AG106" s="431">
        <v>353182</v>
      </c>
      <c r="AH106" s="431">
        <v>334381</v>
      </c>
      <c r="AI106" s="431">
        <v>171394</v>
      </c>
      <c r="AJ106" s="431">
        <v>163037</v>
      </c>
      <c r="AK106" s="431">
        <v>0</v>
      </c>
      <c r="AL106" s="431">
        <v>59908</v>
      </c>
      <c r="AM106" s="431">
        <v>150774</v>
      </c>
    </row>
    <row r="107" spans="1:39" s="203" customFormat="1" ht="12" x14ac:dyDescent="0.2">
      <c r="A107" s="205">
        <v>53</v>
      </c>
      <c r="B107" s="542">
        <v>53755</v>
      </c>
      <c r="C107" s="544" t="s">
        <v>626</v>
      </c>
      <c r="D107" s="432">
        <f t="shared" si="11"/>
        <v>2770943</v>
      </c>
      <c r="E107" s="431">
        <v>660415</v>
      </c>
      <c r="F107" s="431">
        <v>77824</v>
      </c>
      <c r="G107" s="431">
        <v>186009</v>
      </c>
      <c r="H107" s="431">
        <v>0</v>
      </c>
      <c r="I107" s="431">
        <v>1011747</v>
      </c>
      <c r="J107" s="431">
        <v>25000</v>
      </c>
      <c r="K107" s="431">
        <v>988040</v>
      </c>
      <c r="L107" s="431">
        <v>0</v>
      </c>
      <c r="M107" s="431">
        <v>4389</v>
      </c>
      <c r="N107" s="431">
        <v>81352</v>
      </c>
      <c r="O107" s="431">
        <v>0</v>
      </c>
      <c r="P107" s="432">
        <f t="shared" si="10"/>
        <v>2441251</v>
      </c>
      <c r="Q107" s="431">
        <v>1167822</v>
      </c>
      <c r="R107" s="431">
        <v>920354</v>
      </c>
      <c r="S107" s="431">
        <v>0</v>
      </c>
      <c r="T107" s="431">
        <v>0</v>
      </c>
      <c r="U107" s="431">
        <v>0</v>
      </c>
      <c r="V107" s="431">
        <v>0</v>
      </c>
      <c r="W107" s="431">
        <v>0</v>
      </c>
      <c r="X107" s="431">
        <v>98924</v>
      </c>
      <c r="Y107" s="431">
        <v>0</v>
      </c>
      <c r="Z107" s="431">
        <v>254151</v>
      </c>
      <c r="AA107" s="431">
        <v>0</v>
      </c>
      <c r="AB107" s="431">
        <v>0</v>
      </c>
      <c r="AC107" s="431">
        <v>670125</v>
      </c>
      <c r="AD107" s="431">
        <v>0</v>
      </c>
      <c r="AE107" s="431">
        <v>818966</v>
      </c>
      <c r="AF107" s="431">
        <v>0</v>
      </c>
      <c r="AG107" s="431">
        <v>83136</v>
      </c>
      <c r="AH107" s="431">
        <v>212122</v>
      </c>
      <c r="AI107" s="431">
        <v>436753</v>
      </c>
      <c r="AJ107" s="431">
        <v>22000</v>
      </c>
      <c r="AK107" s="431">
        <v>0</v>
      </c>
      <c r="AL107" s="431">
        <v>175205</v>
      </c>
      <c r="AM107" s="431">
        <v>22944</v>
      </c>
    </row>
    <row r="108" spans="1:39" s="203" customFormat="1" ht="12" x14ac:dyDescent="0.2">
      <c r="A108" s="205">
        <v>54</v>
      </c>
      <c r="B108" s="542">
        <v>53791</v>
      </c>
      <c r="C108" s="544" t="s">
        <v>627</v>
      </c>
      <c r="D108" s="432">
        <f t="shared" si="11"/>
        <v>2978033</v>
      </c>
      <c r="E108" s="431">
        <v>684013</v>
      </c>
      <c r="F108" s="431">
        <v>149883</v>
      </c>
      <c r="G108" s="431">
        <v>169262</v>
      </c>
      <c r="H108" s="431">
        <v>0</v>
      </c>
      <c r="I108" s="431">
        <v>1025520</v>
      </c>
      <c r="J108" s="431">
        <v>100000</v>
      </c>
      <c r="K108" s="431">
        <v>924810</v>
      </c>
      <c r="L108" s="431">
        <v>0</v>
      </c>
      <c r="M108" s="431">
        <v>243690</v>
      </c>
      <c r="N108" s="431">
        <v>0</v>
      </c>
      <c r="O108" s="431">
        <v>0</v>
      </c>
      <c r="P108" s="432">
        <f t="shared" si="10"/>
        <v>2968025</v>
      </c>
      <c r="Q108" s="431">
        <v>1100996</v>
      </c>
      <c r="R108" s="431">
        <v>1004624</v>
      </c>
      <c r="S108" s="431">
        <v>127</v>
      </c>
      <c r="T108" s="431">
        <v>0</v>
      </c>
      <c r="U108" s="431">
        <v>0</v>
      </c>
      <c r="V108" s="431">
        <v>0</v>
      </c>
      <c r="W108" s="431">
        <v>0</v>
      </c>
      <c r="X108" s="431">
        <v>285051</v>
      </c>
      <c r="Y108" s="431">
        <v>5000</v>
      </c>
      <c r="Z108" s="431">
        <v>572227</v>
      </c>
      <c r="AA108" s="431">
        <v>0</v>
      </c>
      <c r="AB108" s="431">
        <v>0</v>
      </c>
      <c r="AC108" s="431">
        <v>991159</v>
      </c>
      <c r="AD108" s="431">
        <v>23493</v>
      </c>
      <c r="AE108" s="431">
        <v>835608</v>
      </c>
      <c r="AF108" s="431">
        <v>0</v>
      </c>
      <c r="AG108" s="431">
        <v>202977</v>
      </c>
      <c r="AH108" s="431">
        <v>285051</v>
      </c>
      <c r="AI108" s="431">
        <v>298915</v>
      </c>
      <c r="AJ108" s="431">
        <v>69338</v>
      </c>
      <c r="AK108" s="431">
        <v>0</v>
      </c>
      <c r="AL108" s="431">
        <v>221140</v>
      </c>
      <c r="AM108" s="431">
        <v>40344</v>
      </c>
    </row>
    <row r="109" spans="1:39" s="203" customFormat="1" ht="12" x14ac:dyDescent="0.2">
      <c r="A109" s="205">
        <v>55</v>
      </c>
      <c r="B109" s="542">
        <v>53853</v>
      </c>
      <c r="C109" s="544" t="s">
        <v>628</v>
      </c>
      <c r="D109" s="432">
        <f t="shared" si="11"/>
        <v>3726298</v>
      </c>
      <c r="E109" s="431">
        <v>686006</v>
      </c>
      <c r="F109" s="431">
        <v>71915</v>
      </c>
      <c r="G109" s="431">
        <v>244673</v>
      </c>
      <c r="H109" s="431">
        <v>0</v>
      </c>
      <c r="I109" s="431">
        <v>972020</v>
      </c>
      <c r="J109" s="431">
        <v>150000</v>
      </c>
      <c r="K109" s="431">
        <v>1203380</v>
      </c>
      <c r="L109" s="431">
        <v>0</v>
      </c>
      <c r="M109" s="431">
        <v>286117</v>
      </c>
      <c r="N109" s="431">
        <v>428775</v>
      </c>
      <c r="O109" s="431">
        <v>0</v>
      </c>
      <c r="P109" s="432">
        <f t="shared" si="10"/>
        <v>3206752</v>
      </c>
      <c r="Q109" s="431">
        <v>1213919</v>
      </c>
      <c r="R109" s="431">
        <v>695901</v>
      </c>
      <c r="S109" s="431">
        <v>0</v>
      </c>
      <c r="T109" s="431">
        <v>0</v>
      </c>
      <c r="U109" s="431">
        <v>0</v>
      </c>
      <c r="V109" s="431">
        <v>0</v>
      </c>
      <c r="W109" s="431">
        <v>890054</v>
      </c>
      <c r="X109" s="431">
        <v>188178</v>
      </c>
      <c r="Y109" s="431">
        <v>0</v>
      </c>
      <c r="Z109" s="431">
        <v>232461</v>
      </c>
      <c r="AA109" s="431">
        <v>0</v>
      </c>
      <c r="AB109" s="431">
        <v>-13761</v>
      </c>
      <c r="AC109" s="431">
        <v>704630</v>
      </c>
      <c r="AD109" s="431">
        <v>4295</v>
      </c>
      <c r="AE109" s="431">
        <v>811824</v>
      </c>
      <c r="AF109" s="431">
        <v>0</v>
      </c>
      <c r="AG109" s="431">
        <v>693457</v>
      </c>
      <c r="AH109" s="431">
        <v>276503</v>
      </c>
      <c r="AI109" s="431">
        <v>407755</v>
      </c>
      <c r="AJ109" s="431">
        <v>74730</v>
      </c>
      <c r="AK109" s="431">
        <v>0</v>
      </c>
      <c r="AL109" s="431">
        <v>122651</v>
      </c>
      <c r="AM109" s="431">
        <v>110907</v>
      </c>
    </row>
    <row r="110" spans="1:39" s="203" customFormat="1" ht="12" x14ac:dyDescent="0.2">
      <c r="A110" s="205">
        <v>56</v>
      </c>
      <c r="B110" s="542">
        <v>54056</v>
      </c>
      <c r="C110" s="544" t="s">
        <v>629</v>
      </c>
      <c r="D110" s="432">
        <f t="shared" si="11"/>
        <v>3829116</v>
      </c>
      <c r="E110" s="431">
        <v>1206541</v>
      </c>
      <c r="F110" s="431">
        <v>257831</v>
      </c>
      <c r="G110" s="431">
        <v>152291</v>
      </c>
      <c r="H110" s="431">
        <v>0</v>
      </c>
      <c r="I110" s="431">
        <v>1245134</v>
      </c>
      <c r="J110" s="431">
        <v>100000</v>
      </c>
      <c r="K110" s="431">
        <v>650980</v>
      </c>
      <c r="L110" s="431">
        <v>0</v>
      </c>
      <c r="M110" s="431">
        <v>626461</v>
      </c>
      <c r="N110" s="431">
        <v>0</v>
      </c>
      <c r="O110" s="431">
        <v>0</v>
      </c>
      <c r="P110" s="432">
        <f t="shared" si="10"/>
        <v>3916538</v>
      </c>
      <c r="Q110" s="431">
        <v>1432319</v>
      </c>
      <c r="R110" s="431">
        <v>1066792</v>
      </c>
      <c r="S110" s="431">
        <v>0</v>
      </c>
      <c r="T110" s="431">
        <v>0</v>
      </c>
      <c r="U110" s="431">
        <v>0</v>
      </c>
      <c r="V110" s="431">
        <v>0</v>
      </c>
      <c r="W110" s="431">
        <v>0</v>
      </c>
      <c r="X110" s="431">
        <v>179943</v>
      </c>
      <c r="Y110" s="431">
        <v>3000</v>
      </c>
      <c r="Z110" s="431">
        <v>1234484</v>
      </c>
      <c r="AA110" s="431">
        <v>0</v>
      </c>
      <c r="AB110" s="431">
        <v>0</v>
      </c>
      <c r="AC110" s="431">
        <v>646059</v>
      </c>
      <c r="AD110" s="431">
        <v>59602</v>
      </c>
      <c r="AE110" s="431">
        <v>1089278</v>
      </c>
      <c r="AF110" s="431">
        <v>0</v>
      </c>
      <c r="AG110" s="431">
        <v>273865</v>
      </c>
      <c r="AH110" s="431">
        <v>233871</v>
      </c>
      <c r="AI110" s="431">
        <v>644359</v>
      </c>
      <c r="AJ110" s="431">
        <v>482448</v>
      </c>
      <c r="AK110" s="431">
        <v>0</v>
      </c>
      <c r="AL110" s="431">
        <v>378047</v>
      </c>
      <c r="AM110" s="431">
        <v>109009</v>
      </c>
    </row>
    <row r="111" spans="1:39" s="203" customFormat="1" ht="12" x14ac:dyDescent="0.2">
      <c r="A111" s="205">
        <v>57</v>
      </c>
      <c r="B111" s="542">
        <v>54109</v>
      </c>
      <c r="C111" s="544" t="s">
        <v>630</v>
      </c>
      <c r="D111" s="432">
        <f t="shared" si="11"/>
        <v>10326371</v>
      </c>
      <c r="E111" s="431">
        <v>697698</v>
      </c>
      <c r="F111" s="431">
        <v>198882</v>
      </c>
      <c r="G111" s="431">
        <v>74604</v>
      </c>
      <c r="H111" s="431">
        <v>0</v>
      </c>
      <c r="I111" s="431">
        <v>1382951</v>
      </c>
      <c r="J111" s="431">
        <v>150000</v>
      </c>
      <c r="K111" s="431">
        <v>484320</v>
      </c>
      <c r="L111" s="431">
        <v>0</v>
      </c>
      <c r="M111" s="431">
        <v>2678024</v>
      </c>
      <c r="N111" s="431">
        <v>4925878</v>
      </c>
      <c r="O111" s="431">
        <v>7500</v>
      </c>
      <c r="P111" s="432">
        <f t="shared" si="10"/>
        <v>10145975</v>
      </c>
      <c r="Q111" s="431">
        <v>1477928</v>
      </c>
      <c r="R111" s="431">
        <v>548737</v>
      </c>
      <c r="S111" s="431">
        <v>0</v>
      </c>
      <c r="T111" s="431">
        <v>0</v>
      </c>
      <c r="U111" s="431">
        <v>0</v>
      </c>
      <c r="V111" s="431">
        <v>0</v>
      </c>
      <c r="W111" s="431">
        <v>6413642</v>
      </c>
      <c r="X111" s="431">
        <v>214889</v>
      </c>
      <c r="Y111" s="431">
        <v>0</v>
      </c>
      <c r="Z111" s="431">
        <v>1501995</v>
      </c>
      <c r="AA111" s="431">
        <v>0</v>
      </c>
      <c r="AB111" s="431">
        <v>-11216</v>
      </c>
      <c r="AC111" s="431">
        <v>573130</v>
      </c>
      <c r="AD111" s="431">
        <v>2330</v>
      </c>
      <c r="AE111" s="431">
        <v>1233691</v>
      </c>
      <c r="AF111" s="431">
        <v>0</v>
      </c>
      <c r="AG111" s="431">
        <v>57425</v>
      </c>
      <c r="AH111" s="431">
        <v>203673</v>
      </c>
      <c r="AI111" s="431">
        <v>7221381</v>
      </c>
      <c r="AJ111" s="431">
        <v>131405</v>
      </c>
      <c r="AK111" s="431">
        <v>0</v>
      </c>
      <c r="AL111" s="431">
        <v>669787</v>
      </c>
      <c r="AM111" s="431">
        <v>53153</v>
      </c>
    </row>
    <row r="112" spans="1:39" s="203" customFormat="1" ht="12" x14ac:dyDescent="0.2">
      <c r="A112" s="205">
        <v>58</v>
      </c>
      <c r="B112" s="542">
        <v>54163</v>
      </c>
      <c r="C112" s="544" t="s">
        <v>631</v>
      </c>
      <c r="D112" s="432">
        <f t="shared" si="11"/>
        <v>5073296</v>
      </c>
      <c r="E112" s="431">
        <v>454084</v>
      </c>
      <c r="F112" s="431">
        <v>69874</v>
      </c>
      <c r="G112" s="431">
        <v>247873</v>
      </c>
      <c r="H112" s="431">
        <v>0</v>
      </c>
      <c r="I112" s="431">
        <v>1189800</v>
      </c>
      <c r="J112" s="431">
        <v>100000</v>
      </c>
      <c r="K112" s="431">
        <v>1216520</v>
      </c>
      <c r="L112" s="431">
        <v>0</v>
      </c>
      <c r="M112" s="431">
        <v>657210</v>
      </c>
      <c r="N112" s="431">
        <v>1455682</v>
      </c>
      <c r="O112" s="431">
        <v>0</v>
      </c>
      <c r="P112" s="432">
        <f t="shared" si="10"/>
        <v>5685629</v>
      </c>
      <c r="Q112" s="431">
        <v>1423167</v>
      </c>
      <c r="R112" s="431">
        <v>366414</v>
      </c>
      <c r="S112" s="431">
        <v>55620</v>
      </c>
      <c r="T112" s="431">
        <v>0</v>
      </c>
      <c r="U112" s="431">
        <v>0</v>
      </c>
      <c r="V112" s="431">
        <v>0</v>
      </c>
      <c r="W112" s="431">
        <v>1822062</v>
      </c>
      <c r="X112" s="431">
        <v>80036</v>
      </c>
      <c r="Y112" s="431">
        <v>4000</v>
      </c>
      <c r="Z112" s="431">
        <v>726672</v>
      </c>
      <c r="AA112" s="431">
        <v>1209190</v>
      </c>
      <c r="AB112" s="431">
        <v>-1532</v>
      </c>
      <c r="AC112" s="431">
        <v>499646</v>
      </c>
      <c r="AD112" s="431">
        <v>25552</v>
      </c>
      <c r="AE112" s="431">
        <v>709316</v>
      </c>
      <c r="AF112" s="431">
        <v>0</v>
      </c>
      <c r="AG112" s="431">
        <v>141281</v>
      </c>
      <c r="AH112" s="431">
        <v>598459</v>
      </c>
      <c r="AI112" s="431">
        <v>3261355</v>
      </c>
      <c r="AJ112" s="431">
        <v>0</v>
      </c>
      <c r="AK112" s="431">
        <v>0</v>
      </c>
      <c r="AL112" s="431">
        <v>370852</v>
      </c>
      <c r="AM112" s="431">
        <v>79168</v>
      </c>
    </row>
    <row r="113" spans="1:39" s="203" customFormat="1" ht="12" x14ac:dyDescent="0.2">
      <c r="A113" s="205">
        <v>59</v>
      </c>
      <c r="B113" s="542">
        <v>54350</v>
      </c>
      <c r="C113" s="544" t="s">
        <v>632</v>
      </c>
      <c r="D113" s="432">
        <f t="shared" si="11"/>
        <v>5956059</v>
      </c>
      <c r="E113" s="431">
        <v>659891</v>
      </c>
      <c r="F113" s="431">
        <v>40784</v>
      </c>
      <c r="G113" s="431">
        <v>249735</v>
      </c>
      <c r="H113" s="431">
        <v>0</v>
      </c>
      <c r="I113" s="431">
        <v>907486</v>
      </c>
      <c r="J113" s="431">
        <v>150000</v>
      </c>
      <c r="K113" s="431">
        <v>1257820</v>
      </c>
      <c r="L113" s="431">
        <v>0</v>
      </c>
      <c r="M113" s="431">
        <v>2980862</v>
      </c>
      <c r="N113" s="431">
        <v>0</v>
      </c>
      <c r="O113" s="431">
        <v>0</v>
      </c>
      <c r="P113" s="432">
        <f t="shared" si="10"/>
        <v>5516638</v>
      </c>
      <c r="Q113" s="431">
        <v>923266</v>
      </c>
      <c r="R113" s="431">
        <v>753071</v>
      </c>
      <c r="S113" s="431">
        <v>0</v>
      </c>
      <c r="T113" s="431">
        <v>0</v>
      </c>
      <c r="U113" s="431">
        <v>0</v>
      </c>
      <c r="V113" s="431">
        <v>0</v>
      </c>
      <c r="W113" s="431">
        <v>81105</v>
      </c>
      <c r="X113" s="431">
        <v>271061</v>
      </c>
      <c r="Y113" s="431">
        <v>0</v>
      </c>
      <c r="Z113" s="431">
        <v>3488135</v>
      </c>
      <c r="AA113" s="431">
        <v>0</v>
      </c>
      <c r="AB113" s="431">
        <v>0</v>
      </c>
      <c r="AC113" s="431">
        <v>527704</v>
      </c>
      <c r="AD113" s="431">
        <v>92624</v>
      </c>
      <c r="AE113" s="431">
        <v>619384</v>
      </c>
      <c r="AF113" s="431">
        <v>0</v>
      </c>
      <c r="AG113" s="431">
        <v>224248</v>
      </c>
      <c r="AH113" s="431">
        <v>271061</v>
      </c>
      <c r="AI113" s="431">
        <v>398139</v>
      </c>
      <c r="AJ113" s="431">
        <v>94130</v>
      </c>
      <c r="AK113" s="431">
        <v>0</v>
      </c>
      <c r="AL113" s="431">
        <v>2869013</v>
      </c>
      <c r="AM113" s="431">
        <v>420335</v>
      </c>
    </row>
    <row r="114" spans="1:39" s="203" customFormat="1" ht="12" x14ac:dyDescent="0.2">
      <c r="A114" s="205">
        <v>60</v>
      </c>
      <c r="B114" s="542">
        <v>54270</v>
      </c>
      <c r="C114" s="544" t="s">
        <v>633</v>
      </c>
      <c r="D114" s="432">
        <f t="shared" si="11"/>
        <v>5610091</v>
      </c>
      <c r="E114" s="431">
        <v>1148003</v>
      </c>
      <c r="F114" s="431">
        <v>435008</v>
      </c>
      <c r="G114" s="431">
        <v>126385</v>
      </c>
      <c r="H114" s="431">
        <v>0</v>
      </c>
      <c r="I114" s="431">
        <v>3003999</v>
      </c>
      <c r="J114" s="431">
        <v>150000</v>
      </c>
      <c r="K114" s="431">
        <v>714510</v>
      </c>
      <c r="L114" s="431">
        <v>0</v>
      </c>
      <c r="M114" s="431">
        <v>593579</v>
      </c>
      <c r="N114" s="431">
        <v>0</v>
      </c>
      <c r="O114" s="431">
        <v>0</v>
      </c>
      <c r="P114" s="432">
        <f t="shared" si="10"/>
        <v>5375167</v>
      </c>
      <c r="Q114" s="431">
        <v>3031579</v>
      </c>
      <c r="R114" s="431">
        <v>1146731</v>
      </c>
      <c r="S114" s="431">
        <v>0</v>
      </c>
      <c r="T114" s="431">
        <v>0</v>
      </c>
      <c r="U114" s="431">
        <v>0</v>
      </c>
      <c r="V114" s="431">
        <v>0</v>
      </c>
      <c r="W114" s="431">
        <v>0</v>
      </c>
      <c r="X114" s="431">
        <v>359099</v>
      </c>
      <c r="Y114" s="431">
        <v>0</v>
      </c>
      <c r="Z114" s="431">
        <v>837758</v>
      </c>
      <c r="AA114" s="431">
        <v>0</v>
      </c>
      <c r="AB114" s="431">
        <v>0</v>
      </c>
      <c r="AC114" s="431">
        <v>944390</v>
      </c>
      <c r="AD114" s="431">
        <v>92277</v>
      </c>
      <c r="AE114" s="431">
        <v>2700339</v>
      </c>
      <c r="AF114" s="431">
        <v>0</v>
      </c>
      <c r="AG114" s="431">
        <v>465813</v>
      </c>
      <c r="AH114" s="431">
        <v>359099</v>
      </c>
      <c r="AI114" s="431">
        <v>73071</v>
      </c>
      <c r="AJ114" s="431">
        <v>586263</v>
      </c>
      <c r="AK114" s="431">
        <v>0</v>
      </c>
      <c r="AL114" s="431">
        <v>20000</v>
      </c>
      <c r="AM114" s="431">
        <v>133915</v>
      </c>
    </row>
    <row r="115" spans="1:39" s="203" customFormat="1" ht="12" x14ac:dyDescent="0.2">
      <c r="A115" s="205">
        <v>61</v>
      </c>
      <c r="B115" s="542">
        <v>54305</v>
      </c>
      <c r="C115" s="544" t="s">
        <v>634</v>
      </c>
      <c r="D115" s="432">
        <f t="shared" si="11"/>
        <v>2856927</v>
      </c>
      <c r="E115" s="431">
        <v>634174</v>
      </c>
      <c r="F115" s="431">
        <v>75711</v>
      </c>
      <c r="G115" s="431">
        <v>207657</v>
      </c>
      <c r="H115" s="431">
        <v>0</v>
      </c>
      <c r="I115" s="431">
        <v>1125730</v>
      </c>
      <c r="J115" s="431">
        <v>50000</v>
      </c>
      <c r="K115" s="431">
        <v>1037720</v>
      </c>
      <c r="L115" s="431">
        <v>0</v>
      </c>
      <c r="M115" s="431">
        <v>7303</v>
      </c>
      <c r="N115" s="431">
        <v>0</v>
      </c>
      <c r="O115" s="431">
        <v>2000</v>
      </c>
      <c r="P115" s="432">
        <f t="shared" si="10"/>
        <v>2877879</v>
      </c>
      <c r="Q115" s="431">
        <v>1322834</v>
      </c>
      <c r="R115" s="431">
        <v>1442037</v>
      </c>
      <c r="S115" s="431">
        <v>0</v>
      </c>
      <c r="T115" s="431">
        <v>0</v>
      </c>
      <c r="U115" s="431">
        <v>0</v>
      </c>
      <c r="V115" s="431">
        <v>0</v>
      </c>
      <c r="W115" s="431">
        <v>0</v>
      </c>
      <c r="X115" s="431">
        <v>119108</v>
      </c>
      <c r="Y115" s="431">
        <v>0</v>
      </c>
      <c r="Z115" s="431">
        <v>0</v>
      </c>
      <c r="AA115" s="431">
        <v>0</v>
      </c>
      <c r="AB115" s="431">
        <v>-6100</v>
      </c>
      <c r="AC115" s="431">
        <v>1387590</v>
      </c>
      <c r="AD115" s="431">
        <v>0</v>
      </c>
      <c r="AE115" s="431">
        <v>984509</v>
      </c>
      <c r="AF115" s="431">
        <v>0</v>
      </c>
      <c r="AG115" s="431">
        <v>42928</v>
      </c>
      <c r="AH115" s="431">
        <v>180813</v>
      </c>
      <c r="AI115" s="431">
        <v>59309</v>
      </c>
      <c r="AJ115" s="431">
        <v>0</v>
      </c>
      <c r="AK115" s="431">
        <v>0</v>
      </c>
      <c r="AL115" s="431">
        <v>150000</v>
      </c>
      <c r="AM115" s="431">
        <v>72730</v>
      </c>
    </row>
    <row r="116" spans="1:39" s="203" customFormat="1" ht="12" x14ac:dyDescent="0.2">
      <c r="A116" s="205">
        <v>62</v>
      </c>
      <c r="B116" s="542">
        <v>54387</v>
      </c>
      <c r="C116" s="544" t="s">
        <v>635</v>
      </c>
      <c r="D116" s="432">
        <f t="shared" si="11"/>
        <v>3463244</v>
      </c>
      <c r="E116" s="431">
        <v>647343</v>
      </c>
      <c r="F116" s="431">
        <v>144372</v>
      </c>
      <c r="G116" s="431">
        <v>230784</v>
      </c>
      <c r="H116" s="431">
        <v>0</v>
      </c>
      <c r="I116" s="431">
        <v>1434270</v>
      </c>
      <c r="J116" s="431">
        <v>50000</v>
      </c>
      <c r="K116" s="431">
        <v>1124010</v>
      </c>
      <c r="L116" s="431">
        <v>0</v>
      </c>
      <c r="M116" s="431">
        <v>61181</v>
      </c>
      <c r="N116" s="431">
        <v>146440</v>
      </c>
      <c r="O116" s="431">
        <v>0</v>
      </c>
      <c r="P116" s="432">
        <f t="shared" si="10"/>
        <v>3214313</v>
      </c>
      <c r="Q116" s="431">
        <v>1534114</v>
      </c>
      <c r="R116" s="431">
        <v>867814</v>
      </c>
      <c r="S116" s="431">
        <v>0</v>
      </c>
      <c r="T116" s="431">
        <v>0</v>
      </c>
      <c r="U116" s="431">
        <v>0</v>
      </c>
      <c r="V116" s="431">
        <v>0</v>
      </c>
      <c r="W116" s="431">
        <v>198571</v>
      </c>
      <c r="X116" s="431">
        <v>172169</v>
      </c>
      <c r="Y116" s="431">
        <v>5000</v>
      </c>
      <c r="Z116" s="431">
        <v>437713</v>
      </c>
      <c r="AA116" s="431">
        <v>0</v>
      </c>
      <c r="AB116" s="431">
        <v>-1068</v>
      </c>
      <c r="AC116" s="431">
        <v>782186</v>
      </c>
      <c r="AD116" s="431">
        <v>8448</v>
      </c>
      <c r="AE116" s="431">
        <v>1334723</v>
      </c>
      <c r="AF116" s="431">
        <v>0</v>
      </c>
      <c r="AG116" s="431">
        <v>283597</v>
      </c>
      <c r="AH116" s="431">
        <v>230972</v>
      </c>
      <c r="AI116" s="431">
        <v>71559</v>
      </c>
      <c r="AJ116" s="431">
        <v>23161</v>
      </c>
      <c r="AK116" s="431">
        <v>0</v>
      </c>
      <c r="AL116" s="431">
        <v>451522</v>
      </c>
      <c r="AM116" s="431">
        <v>28145</v>
      </c>
    </row>
    <row r="117" spans="1:39" s="203" customFormat="1" ht="12" x14ac:dyDescent="0.2">
      <c r="A117" s="205">
        <v>63</v>
      </c>
      <c r="B117" s="542">
        <v>54412</v>
      </c>
      <c r="C117" s="544" t="s">
        <v>636</v>
      </c>
      <c r="D117" s="432">
        <f t="shared" si="11"/>
        <v>4161179</v>
      </c>
      <c r="E117" s="431">
        <v>1022949</v>
      </c>
      <c r="F117" s="431">
        <v>237842</v>
      </c>
      <c r="G117" s="431">
        <v>157747</v>
      </c>
      <c r="H117" s="431">
        <v>0</v>
      </c>
      <c r="I117" s="431">
        <v>1770990</v>
      </c>
      <c r="J117" s="431">
        <v>150000</v>
      </c>
      <c r="K117" s="431">
        <v>867470</v>
      </c>
      <c r="L117" s="431">
        <v>0</v>
      </c>
      <c r="M117" s="431">
        <v>349770</v>
      </c>
      <c r="N117" s="431">
        <v>0</v>
      </c>
      <c r="O117" s="431">
        <v>0</v>
      </c>
      <c r="P117" s="432">
        <f t="shared" si="10"/>
        <v>3521351</v>
      </c>
      <c r="Q117" s="431">
        <v>2006411</v>
      </c>
      <c r="R117" s="431">
        <v>847247</v>
      </c>
      <c r="S117" s="431">
        <v>8882</v>
      </c>
      <c r="T117" s="431">
        <v>0</v>
      </c>
      <c r="U117" s="431">
        <v>0</v>
      </c>
      <c r="V117" s="431">
        <v>0</v>
      </c>
      <c r="W117" s="431">
        <v>15276</v>
      </c>
      <c r="X117" s="431">
        <v>225171</v>
      </c>
      <c r="Y117" s="431">
        <v>0</v>
      </c>
      <c r="Z117" s="431">
        <v>377168</v>
      </c>
      <c r="AA117" s="431">
        <v>41196</v>
      </c>
      <c r="AB117" s="431">
        <v>0</v>
      </c>
      <c r="AC117" s="431">
        <v>681874</v>
      </c>
      <c r="AD117" s="431">
        <v>10991</v>
      </c>
      <c r="AE117" s="431">
        <v>1453846</v>
      </c>
      <c r="AF117" s="431">
        <v>0</v>
      </c>
      <c r="AG117" s="431">
        <v>123908</v>
      </c>
      <c r="AH117" s="431">
        <v>339094</v>
      </c>
      <c r="AI117" s="431">
        <v>514587</v>
      </c>
      <c r="AJ117" s="431">
        <v>113750</v>
      </c>
      <c r="AK117" s="431">
        <v>0</v>
      </c>
      <c r="AL117" s="431">
        <v>236196</v>
      </c>
      <c r="AM117" s="431">
        <v>47105</v>
      </c>
    </row>
    <row r="118" spans="1:39" s="203" customFormat="1" ht="12" x14ac:dyDescent="0.2">
      <c r="A118" s="205">
        <v>64</v>
      </c>
      <c r="B118" s="542">
        <v>54485</v>
      </c>
      <c r="C118" s="544" t="s">
        <v>637</v>
      </c>
      <c r="D118" s="432">
        <f t="shared" si="11"/>
        <v>2050064</v>
      </c>
      <c r="E118" s="431">
        <v>749767</v>
      </c>
      <c r="F118" s="431">
        <v>181899</v>
      </c>
      <c r="G118" s="431">
        <v>119412</v>
      </c>
      <c r="H118" s="431">
        <v>0</v>
      </c>
      <c r="I118" s="431">
        <v>413017</v>
      </c>
      <c r="J118" s="431">
        <v>100000</v>
      </c>
      <c r="K118" s="431">
        <v>783570</v>
      </c>
      <c r="L118" s="431">
        <v>0</v>
      </c>
      <c r="M118" s="431">
        <v>3710</v>
      </c>
      <c r="N118" s="431">
        <v>0</v>
      </c>
      <c r="O118" s="431">
        <v>0</v>
      </c>
      <c r="P118" s="432">
        <f t="shared" si="10"/>
        <v>1941847</v>
      </c>
      <c r="Q118" s="431">
        <v>629694</v>
      </c>
      <c r="R118" s="431">
        <v>1074349</v>
      </c>
      <c r="S118" s="431">
        <v>1656</v>
      </c>
      <c r="T118" s="431">
        <v>0</v>
      </c>
      <c r="U118" s="431">
        <v>0</v>
      </c>
      <c r="V118" s="431">
        <v>0</v>
      </c>
      <c r="W118" s="431">
        <v>48336</v>
      </c>
      <c r="X118" s="431">
        <v>39886</v>
      </c>
      <c r="Y118" s="431">
        <v>18402</v>
      </c>
      <c r="Z118" s="431">
        <v>132028</v>
      </c>
      <c r="AA118" s="431">
        <v>0</v>
      </c>
      <c r="AB118" s="431">
        <v>-2504</v>
      </c>
      <c r="AC118" s="431">
        <v>1282639</v>
      </c>
      <c r="AD118" s="431">
        <v>0</v>
      </c>
      <c r="AE118" s="431">
        <v>358902</v>
      </c>
      <c r="AF118" s="431">
        <v>0</v>
      </c>
      <c r="AG118" s="431">
        <v>142846</v>
      </c>
      <c r="AH118" s="431">
        <v>69287</v>
      </c>
      <c r="AI118" s="431">
        <v>62204</v>
      </c>
      <c r="AJ118" s="431">
        <v>0</v>
      </c>
      <c r="AK118" s="431">
        <v>0</v>
      </c>
      <c r="AL118" s="431">
        <v>13333</v>
      </c>
      <c r="AM118" s="431">
        <v>12636</v>
      </c>
    </row>
    <row r="119" spans="1:39" s="203" customFormat="1" ht="12" x14ac:dyDescent="0.2">
      <c r="A119" s="205">
        <v>65</v>
      </c>
      <c r="B119" s="542">
        <v>54500</v>
      </c>
      <c r="C119" s="544" t="s">
        <v>638</v>
      </c>
      <c r="D119" s="432">
        <f t="shared" si="11"/>
        <v>3077742</v>
      </c>
      <c r="E119" s="431">
        <v>809192</v>
      </c>
      <c r="F119" s="431">
        <v>178201</v>
      </c>
      <c r="G119" s="431">
        <v>163577</v>
      </c>
      <c r="H119" s="431">
        <v>0</v>
      </c>
      <c r="I119" s="431">
        <v>915800</v>
      </c>
      <c r="J119" s="431">
        <v>100000</v>
      </c>
      <c r="K119" s="431">
        <v>788600</v>
      </c>
      <c r="L119" s="431">
        <v>0</v>
      </c>
      <c r="M119" s="431">
        <v>458650</v>
      </c>
      <c r="N119" s="431">
        <v>0</v>
      </c>
      <c r="O119" s="431">
        <v>5500</v>
      </c>
      <c r="P119" s="432">
        <f t="shared" si="10"/>
        <v>2796152</v>
      </c>
      <c r="Q119" s="431">
        <v>1087548</v>
      </c>
      <c r="R119" s="431">
        <v>910638</v>
      </c>
      <c r="S119" s="431">
        <v>0</v>
      </c>
      <c r="T119" s="431">
        <v>0</v>
      </c>
      <c r="U119" s="431">
        <v>0</v>
      </c>
      <c r="V119" s="431">
        <v>0</v>
      </c>
      <c r="W119" s="431">
        <v>0</v>
      </c>
      <c r="X119" s="431">
        <v>121611</v>
      </c>
      <c r="Y119" s="431">
        <v>0</v>
      </c>
      <c r="Z119" s="431">
        <v>677551</v>
      </c>
      <c r="AA119" s="431">
        <v>0</v>
      </c>
      <c r="AB119" s="431">
        <v>-1196</v>
      </c>
      <c r="AC119" s="431">
        <v>627638</v>
      </c>
      <c r="AD119" s="431">
        <v>3993</v>
      </c>
      <c r="AE119" s="431">
        <v>817434</v>
      </c>
      <c r="AF119" s="431">
        <v>0</v>
      </c>
      <c r="AG119" s="431">
        <v>201775</v>
      </c>
      <c r="AH119" s="431">
        <v>151005</v>
      </c>
      <c r="AI119" s="431">
        <v>653143</v>
      </c>
      <c r="AJ119" s="431">
        <v>49874</v>
      </c>
      <c r="AK119" s="431">
        <v>0</v>
      </c>
      <c r="AL119" s="431">
        <v>291290</v>
      </c>
      <c r="AM119" s="431">
        <v>0</v>
      </c>
    </row>
    <row r="120" spans="1:39" s="203" customFormat="1" ht="12" x14ac:dyDescent="0.2">
      <c r="A120" s="205">
        <v>66</v>
      </c>
      <c r="B120" s="542">
        <v>54537</v>
      </c>
      <c r="C120" s="544" t="s">
        <v>639</v>
      </c>
      <c r="D120" s="432">
        <f t="shared" si="11"/>
        <v>5858599</v>
      </c>
      <c r="E120" s="431">
        <v>822453</v>
      </c>
      <c r="F120" s="431">
        <v>64474</v>
      </c>
      <c r="G120" s="431">
        <v>177800</v>
      </c>
      <c r="H120" s="431">
        <v>0</v>
      </c>
      <c r="I120" s="431">
        <v>861257</v>
      </c>
      <c r="J120" s="431">
        <v>150000</v>
      </c>
      <c r="K120" s="431">
        <v>923430</v>
      </c>
      <c r="L120" s="431">
        <v>0</v>
      </c>
      <c r="M120" s="431">
        <v>1503450</v>
      </c>
      <c r="N120" s="431">
        <v>1598009</v>
      </c>
      <c r="O120" s="431">
        <v>0</v>
      </c>
      <c r="P120" s="432">
        <f t="shared" si="10"/>
        <v>4850655</v>
      </c>
      <c r="Q120" s="431">
        <v>1185216</v>
      </c>
      <c r="R120" s="431">
        <v>1274868</v>
      </c>
      <c r="S120" s="431">
        <v>4547</v>
      </c>
      <c r="T120" s="431">
        <v>0</v>
      </c>
      <c r="U120" s="431">
        <v>0</v>
      </c>
      <c r="V120" s="431">
        <v>0</v>
      </c>
      <c r="W120" s="431">
        <v>475055</v>
      </c>
      <c r="X120" s="431">
        <v>105865</v>
      </c>
      <c r="Y120" s="431">
        <v>0</v>
      </c>
      <c r="Z120" s="431">
        <v>1775104</v>
      </c>
      <c r="AA120" s="431">
        <v>30000</v>
      </c>
      <c r="AB120" s="431">
        <v>0</v>
      </c>
      <c r="AC120" s="431">
        <v>963924</v>
      </c>
      <c r="AD120" s="431">
        <v>4458</v>
      </c>
      <c r="AE120" s="431">
        <v>649354</v>
      </c>
      <c r="AF120" s="431">
        <v>0</v>
      </c>
      <c r="AG120" s="431">
        <v>329833</v>
      </c>
      <c r="AH120" s="431">
        <v>257712</v>
      </c>
      <c r="AI120" s="431">
        <v>696785</v>
      </c>
      <c r="AJ120" s="431">
        <v>53333</v>
      </c>
      <c r="AK120" s="431">
        <v>0</v>
      </c>
      <c r="AL120" s="431">
        <v>1815694</v>
      </c>
      <c r="AM120" s="431">
        <v>79562</v>
      </c>
    </row>
    <row r="121" spans="1:39" s="203" customFormat="1" ht="12" x14ac:dyDescent="0.2">
      <c r="A121" s="205">
        <v>67</v>
      </c>
      <c r="B121" s="542">
        <v>54573</v>
      </c>
      <c r="C121" s="544" t="s">
        <v>640</v>
      </c>
      <c r="D121" s="432">
        <f t="shared" si="11"/>
        <v>3050322</v>
      </c>
      <c r="E121" s="431">
        <v>485735</v>
      </c>
      <c r="F121" s="431">
        <v>39090</v>
      </c>
      <c r="G121" s="431">
        <v>239008</v>
      </c>
      <c r="H121" s="431">
        <v>0</v>
      </c>
      <c r="I121" s="431">
        <v>658640</v>
      </c>
      <c r="J121" s="431">
        <v>0</v>
      </c>
      <c r="K121" s="431">
        <v>1120950</v>
      </c>
      <c r="L121" s="431">
        <v>0</v>
      </c>
      <c r="M121" s="431">
        <v>128931</v>
      </c>
      <c r="N121" s="431">
        <v>649066</v>
      </c>
      <c r="O121" s="431">
        <v>7000</v>
      </c>
      <c r="P121" s="432">
        <f t="shared" si="10"/>
        <v>4421851</v>
      </c>
      <c r="Q121" s="431">
        <v>856278</v>
      </c>
      <c r="R121" s="431">
        <v>715100</v>
      </c>
      <c r="S121" s="431">
        <v>13650</v>
      </c>
      <c r="T121" s="431">
        <v>0</v>
      </c>
      <c r="U121" s="431">
        <v>0</v>
      </c>
      <c r="V121" s="431">
        <v>0</v>
      </c>
      <c r="W121" s="431">
        <v>2364064</v>
      </c>
      <c r="X121" s="431">
        <v>62430</v>
      </c>
      <c r="Y121" s="431">
        <v>0</v>
      </c>
      <c r="Z121" s="431">
        <v>200329</v>
      </c>
      <c r="AA121" s="431">
        <v>210000</v>
      </c>
      <c r="AB121" s="431">
        <v>0</v>
      </c>
      <c r="AC121" s="431">
        <v>607486</v>
      </c>
      <c r="AD121" s="431">
        <v>12000</v>
      </c>
      <c r="AE121" s="431">
        <v>671938</v>
      </c>
      <c r="AF121" s="431">
        <v>0</v>
      </c>
      <c r="AG121" s="431">
        <v>763702</v>
      </c>
      <c r="AH121" s="431">
        <v>160772</v>
      </c>
      <c r="AI121" s="431">
        <v>85000</v>
      </c>
      <c r="AJ121" s="431">
        <v>25768</v>
      </c>
      <c r="AK121" s="431">
        <v>0</v>
      </c>
      <c r="AL121" s="431">
        <v>2095185</v>
      </c>
      <c r="AM121" s="431">
        <v>0</v>
      </c>
    </row>
    <row r="122" spans="1:39" s="203" customFormat="1" ht="12" x14ac:dyDescent="0.2">
      <c r="A122" s="205">
        <v>68</v>
      </c>
      <c r="B122" s="542">
        <v>54617</v>
      </c>
      <c r="C122" s="546" t="s">
        <v>641</v>
      </c>
      <c r="D122" s="432">
        <f t="shared" si="11"/>
        <v>6142911</v>
      </c>
      <c r="E122" s="431">
        <v>2912683</v>
      </c>
      <c r="F122" s="431">
        <v>586192</v>
      </c>
      <c r="G122" s="431">
        <v>227044</v>
      </c>
      <c r="H122" s="431">
        <v>0</v>
      </c>
      <c r="I122" s="431">
        <v>2147273</v>
      </c>
      <c r="J122" s="431">
        <v>150000</v>
      </c>
      <c r="K122" s="431">
        <v>619960</v>
      </c>
      <c r="L122" s="431">
        <v>0</v>
      </c>
      <c r="M122" s="431">
        <v>93958</v>
      </c>
      <c r="N122" s="431">
        <v>219037</v>
      </c>
      <c r="O122" s="431">
        <v>0</v>
      </c>
      <c r="P122" s="432">
        <f t="shared" si="10"/>
        <v>5966611</v>
      </c>
      <c r="Q122" s="431">
        <v>2111393</v>
      </c>
      <c r="R122" s="431">
        <v>2412038</v>
      </c>
      <c r="S122" s="431">
        <v>0</v>
      </c>
      <c r="T122" s="431">
        <v>0</v>
      </c>
      <c r="U122" s="431">
        <v>0</v>
      </c>
      <c r="V122" s="431">
        <v>0</v>
      </c>
      <c r="W122" s="431">
        <v>279347</v>
      </c>
      <c r="X122" s="431">
        <v>645891</v>
      </c>
      <c r="Y122" s="431">
        <v>0</v>
      </c>
      <c r="Z122" s="431">
        <v>526259</v>
      </c>
      <c r="AA122" s="431">
        <v>0</v>
      </c>
      <c r="AB122" s="431">
        <v>-8317</v>
      </c>
      <c r="AC122" s="431">
        <v>1073623</v>
      </c>
      <c r="AD122" s="431">
        <v>0</v>
      </c>
      <c r="AE122" s="431">
        <v>1601383</v>
      </c>
      <c r="AF122" s="431">
        <v>12261</v>
      </c>
      <c r="AG122" s="431">
        <v>453285</v>
      </c>
      <c r="AH122" s="431">
        <v>645891</v>
      </c>
      <c r="AI122" s="431">
        <v>1632163</v>
      </c>
      <c r="AJ122" s="431">
        <v>0</v>
      </c>
      <c r="AK122" s="431">
        <v>0</v>
      </c>
      <c r="AL122" s="431">
        <v>374413</v>
      </c>
      <c r="AM122" s="431">
        <v>173592</v>
      </c>
    </row>
    <row r="123" spans="1:39" s="203" customFormat="1" ht="12" x14ac:dyDescent="0.2">
      <c r="A123" s="205">
        <v>69</v>
      </c>
      <c r="B123" s="547">
        <v>54699</v>
      </c>
      <c r="C123" s="548" t="s">
        <v>642</v>
      </c>
      <c r="D123" s="432">
        <f t="shared" si="11"/>
        <v>2785104</v>
      </c>
      <c r="E123" s="431">
        <v>593131</v>
      </c>
      <c r="F123" s="431">
        <v>40858</v>
      </c>
      <c r="G123" s="431">
        <v>230515</v>
      </c>
      <c r="H123" s="431">
        <v>0</v>
      </c>
      <c r="I123" s="431">
        <v>410062</v>
      </c>
      <c r="J123" s="431">
        <v>150000</v>
      </c>
      <c r="K123" s="431">
        <v>1085120</v>
      </c>
      <c r="L123" s="431">
        <v>0</v>
      </c>
      <c r="M123" s="431">
        <v>546791</v>
      </c>
      <c r="N123" s="431">
        <v>0</v>
      </c>
      <c r="O123" s="431">
        <v>0</v>
      </c>
      <c r="P123" s="432">
        <f t="shared" si="10"/>
        <v>2643398</v>
      </c>
      <c r="Q123" s="431">
        <v>625512</v>
      </c>
      <c r="R123" s="431">
        <v>1226458</v>
      </c>
      <c r="S123" s="431">
        <v>14111</v>
      </c>
      <c r="T123" s="431">
        <v>0</v>
      </c>
      <c r="U123" s="431">
        <v>0</v>
      </c>
      <c r="V123" s="431">
        <v>0</v>
      </c>
      <c r="W123" s="431">
        <v>0</v>
      </c>
      <c r="X123" s="431">
        <v>104520</v>
      </c>
      <c r="Y123" s="431">
        <v>20000</v>
      </c>
      <c r="Z123" s="431">
        <v>623305</v>
      </c>
      <c r="AA123" s="431">
        <v>29952</v>
      </c>
      <c r="AB123" s="431">
        <v>-460</v>
      </c>
      <c r="AC123" s="431">
        <v>890462</v>
      </c>
      <c r="AD123" s="431">
        <v>4053</v>
      </c>
      <c r="AE123" s="431">
        <v>300510</v>
      </c>
      <c r="AF123" s="431">
        <v>0</v>
      </c>
      <c r="AG123" s="431">
        <v>141114</v>
      </c>
      <c r="AH123" s="431">
        <v>135075</v>
      </c>
      <c r="AI123" s="431">
        <v>633145</v>
      </c>
      <c r="AJ123" s="431">
        <v>85526</v>
      </c>
      <c r="AK123" s="431">
        <v>0</v>
      </c>
      <c r="AL123" s="431">
        <v>438000</v>
      </c>
      <c r="AM123" s="431">
        <v>15513</v>
      </c>
    </row>
    <row r="124" spans="1:39" s="203" customFormat="1" ht="12" hidden="1" x14ac:dyDescent="0.2">
      <c r="A124" s="205">
        <v>70</v>
      </c>
      <c r="B124" s="205"/>
      <c r="C124" s="252"/>
      <c r="D124" s="432">
        <f t="shared" si="11"/>
        <v>0</v>
      </c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32">
        <f t="shared" si="10"/>
        <v>0</v>
      </c>
      <c r="Q124" s="431"/>
      <c r="R124" s="431"/>
      <c r="S124" s="431"/>
      <c r="T124" s="431"/>
      <c r="U124" s="431"/>
      <c r="V124" s="431"/>
      <c r="W124" s="431"/>
      <c r="X124" s="431"/>
      <c r="Y124" s="431"/>
      <c r="Z124" s="468"/>
      <c r="AA124" s="431"/>
      <c r="AB124" s="431"/>
      <c r="AC124" s="468"/>
      <c r="AD124" s="431"/>
      <c r="AE124" s="431"/>
      <c r="AF124" s="431"/>
      <c r="AG124" s="431"/>
      <c r="AH124" s="431"/>
      <c r="AI124" s="468"/>
      <c r="AJ124" s="468"/>
      <c r="AK124" s="431"/>
      <c r="AL124" s="431"/>
      <c r="AM124" s="431"/>
    </row>
    <row r="125" spans="1:39" s="203" customFormat="1" ht="12" hidden="1" x14ac:dyDescent="0.2">
      <c r="A125" s="205">
        <v>71</v>
      </c>
      <c r="B125" s="205"/>
      <c r="C125" s="252"/>
      <c r="D125" s="432">
        <f t="shared" si="11"/>
        <v>0</v>
      </c>
      <c r="E125" s="431"/>
      <c r="F125" s="431"/>
      <c r="G125" s="431"/>
      <c r="H125" s="431"/>
      <c r="I125" s="431"/>
      <c r="J125" s="431"/>
      <c r="K125" s="431"/>
      <c r="L125" s="431"/>
      <c r="M125" s="431"/>
      <c r="N125" s="431"/>
      <c r="O125" s="431"/>
      <c r="P125" s="432">
        <f t="shared" si="10"/>
        <v>0</v>
      </c>
      <c r="Q125" s="431"/>
      <c r="R125" s="431"/>
      <c r="S125" s="431"/>
      <c r="T125" s="431"/>
      <c r="U125" s="431"/>
      <c r="V125" s="431"/>
      <c r="W125" s="431"/>
      <c r="X125" s="431"/>
      <c r="Y125" s="431"/>
      <c r="Z125" s="468"/>
      <c r="AA125" s="431"/>
      <c r="AB125" s="431"/>
      <c r="AC125" s="468"/>
      <c r="AD125" s="431"/>
      <c r="AE125" s="431"/>
      <c r="AF125" s="431"/>
      <c r="AG125" s="431"/>
      <c r="AH125" s="431"/>
      <c r="AI125" s="468"/>
      <c r="AJ125" s="468"/>
      <c r="AK125" s="431"/>
      <c r="AL125" s="431"/>
      <c r="AM125" s="431"/>
    </row>
    <row r="126" spans="1:39" s="203" customFormat="1" ht="12" hidden="1" x14ac:dyDescent="0.2">
      <c r="A126" s="205">
        <v>72</v>
      </c>
      <c r="B126" s="205"/>
      <c r="C126" s="252"/>
      <c r="D126" s="432">
        <f t="shared" si="11"/>
        <v>0</v>
      </c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32">
        <f t="shared" si="10"/>
        <v>0</v>
      </c>
      <c r="Q126" s="431"/>
      <c r="R126" s="431"/>
      <c r="S126" s="431"/>
      <c r="T126" s="431"/>
      <c r="U126" s="431"/>
      <c r="V126" s="431"/>
      <c r="W126" s="431"/>
      <c r="X126" s="431"/>
      <c r="Y126" s="431"/>
      <c r="Z126" s="468"/>
      <c r="AA126" s="431"/>
      <c r="AB126" s="431"/>
      <c r="AC126" s="468"/>
      <c r="AD126" s="431"/>
      <c r="AE126" s="431"/>
      <c r="AF126" s="431"/>
      <c r="AG126" s="431"/>
      <c r="AH126" s="431"/>
      <c r="AI126" s="468"/>
      <c r="AJ126" s="468"/>
      <c r="AK126" s="431"/>
      <c r="AL126" s="431"/>
      <c r="AM126" s="431"/>
    </row>
    <row r="127" spans="1:39" s="203" customFormat="1" ht="12" hidden="1" x14ac:dyDescent="0.2">
      <c r="A127" s="205">
        <v>73</v>
      </c>
      <c r="B127" s="205"/>
      <c r="C127" s="252"/>
      <c r="D127" s="432">
        <f t="shared" si="11"/>
        <v>0</v>
      </c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32">
        <f t="shared" si="10"/>
        <v>0</v>
      </c>
      <c r="Q127" s="431"/>
      <c r="R127" s="431"/>
      <c r="S127" s="431"/>
      <c r="T127" s="431"/>
      <c r="U127" s="431"/>
      <c r="V127" s="431"/>
      <c r="W127" s="431"/>
      <c r="X127" s="431"/>
      <c r="Y127" s="431"/>
      <c r="Z127" s="468"/>
      <c r="AA127" s="431"/>
      <c r="AB127" s="431"/>
      <c r="AC127" s="468"/>
      <c r="AD127" s="431"/>
      <c r="AE127" s="431"/>
      <c r="AF127" s="431"/>
      <c r="AG127" s="431"/>
      <c r="AH127" s="431"/>
      <c r="AI127" s="468"/>
      <c r="AJ127" s="468"/>
      <c r="AK127" s="431"/>
      <c r="AL127" s="431"/>
      <c r="AM127" s="431"/>
    </row>
    <row r="128" spans="1:39" s="203" customFormat="1" ht="12" hidden="1" x14ac:dyDescent="0.2">
      <c r="A128" s="205">
        <v>74</v>
      </c>
      <c r="B128" s="205"/>
      <c r="C128" s="252"/>
      <c r="D128" s="432">
        <f t="shared" si="11"/>
        <v>0</v>
      </c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32">
        <f t="shared" si="10"/>
        <v>0</v>
      </c>
      <c r="Q128" s="431"/>
      <c r="R128" s="431"/>
      <c r="S128" s="431"/>
      <c r="T128" s="431"/>
      <c r="U128" s="431"/>
      <c r="V128" s="431"/>
      <c r="W128" s="431"/>
      <c r="X128" s="431"/>
      <c r="Y128" s="431"/>
      <c r="Z128" s="468"/>
      <c r="AA128" s="431"/>
      <c r="AB128" s="431"/>
      <c r="AC128" s="468"/>
      <c r="AD128" s="431"/>
      <c r="AE128" s="431"/>
      <c r="AF128" s="431"/>
      <c r="AG128" s="431"/>
      <c r="AH128" s="431"/>
      <c r="AI128" s="468"/>
      <c r="AJ128" s="468"/>
      <c r="AK128" s="431"/>
      <c r="AL128" s="431"/>
      <c r="AM128" s="431"/>
    </row>
    <row r="129" spans="1:39" s="203" customFormat="1" ht="12" hidden="1" x14ac:dyDescent="0.2">
      <c r="A129" s="205">
        <v>75</v>
      </c>
      <c r="B129" s="205"/>
      <c r="C129" s="252"/>
      <c r="D129" s="432">
        <f t="shared" si="11"/>
        <v>0</v>
      </c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32">
        <f t="shared" si="10"/>
        <v>0</v>
      </c>
      <c r="Q129" s="431"/>
      <c r="R129" s="431"/>
      <c r="S129" s="431"/>
      <c r="T129" s="431"/>
      <c r="U129" s="431"/>
      <c r="V129" s="431"/>
      <c r="W129" s="431"/>
      <c r="X129" s="431"/>
      <c r="Y129" s="431"/>
      <c r="Z129" s="468"/>
      <c r="AA129" s="431"/>
      <c r="AB129" s="431"/>
      <c r="AC129" s="468"/>
      <c r="AD129" s="431"/>
      <c r="AE129" s="431"/>
      <c r="AF129" s="431"/>
      <c r="AG129" s="431"/>
      <c r="AH129" s="431"/>
      <c r="AI129" s="468"/>
      <c r="AJ129" s="468"/>
      <c r="AK129" s="431"/>
      <c r="AL129" s="431"/>
      <c r="AM129" s="431"/>
    </row>
    <row r="130" spans="1:39" s="203" customFormat="1" ht="12" hidden="1" x14ac:dyDescent="0.2">
      <c r="A130" s="205">
        <v>76</v>
      </c>
      <c r="B130" s="205"/>
      <c r="C130" s="252"/>
      <c r="D130" s="432">
        <f t="shared" si="11"/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32">
        <f t="shared" si="10"/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</row>
    <row r="131" spans="1:39" s="203" customFormat="1" ht="12" hidden="1" x14ac:dyDescent="0.2">
      <c r="A131" s="205">
        <v>77</v>
      </c>
      <c r="B131" s="205"/>
      <c r="C131" s="252"/>
      <c r="D131" s="432">
        <f t="shared" si="11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2">
        <f t="shared" si="10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</row>
    <row r="132" spans="1:39" s="203" customFormat="1" ht="12" hidden="1" x14ac:dyDescent="0.2">
      <c r="A132" s="205">
        <v>78</v>
      </c>
      <c r="B132" s="205"/>
      <c r="C132" s="252"/>
      <c r="D132" s="432">
        <f t="shared" si="11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2">
        <f t="shared" si="10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</row>
    <row r="133" spans="1:39" s="203" customFormat="1" ht="12" hidden="1" x14ac:dyDescent="0.2">
      <c r="A133" s="205">
        <v>79</v>
      </c>
      <c r="B133" s="205"/>
      <c r="C133" s="252"/>
      <c r="D133" s="432">
        <f t="shared" si="11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si="10"/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203" customFormat="1" ht="12" hidden="1" x14ac:dyDescent="0.2">
      <c r="A134" s="205">
        <v>80</v>
      </c>
      <c r="B134" s="205"/>
      <c r="C134" s="252"/>
      <c r="D134" s="432">
        <f t="shared" si="11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si="10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203" customFormat="1" ht="12" hidden="1" x14ac:dyDescent="0.2">
      <c r="A135" s="205">
        <v>81</v>
      </c>
      <c r="B135" s="205"/>
      <c r="C135" s="252"/>
      <c r="D135" s="432">
        <f t="shared" si="11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10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203" customFormat="1" ht="12" hidden="1" x14ac:dyDescent="0.2">
      <c r="A136" s="205">
        <v>82</v>
      </c>
      <c r="B136" s="205"/>
      <c r="C136" s="252"/>
      <c r="D136" s="432">
        <f t="shared" si="11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10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203" customFormat="1" ht="12" hidden="1" x14ac:dyDescent="0.2">
      <c r="A137" s="205">
        <v>83</v>
      </c>
      <c r="B137" s="205"/>
      <c r="C137" s="252"/>
      <c r="D137" s="432">
        <f t="shared" si="11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10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203" customFormat="1" ht="12" hidden="1" x14ac:dyDescent="0.2">
      <c r="A138" s="205">
        <v>84</v>
      </c>
      <c r="B138" s="205"/>
      <c r="C138" s="252"/>
      <c r="D138" s="432">
        <f t="shared" si="11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0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203" customFormat="1" ht="12" hidden="1" x14ac:dyDescent="0.2">
      <c r="A139" s="205">
        <v>85</v>
      </c>
      <c r="B139" s="205"/>
      <c r="C139" s="252"/>
      <c r="D139" s="432">
        <f t="shared" si="11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0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203" customFormat="1" ht="12" hidden="1" x14ac:dyDescent="0.2">
      <c r="A140" s="205">
        <v>86</v>
      </c>
      <c r="B140" s="205"/>
      <c r="C140" s="252"/>
      <c r="D140" s="432">
        <f t="shared" si="11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0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203" customFormat="1" ht="12" hidden="1" x14ac:dyDescent="0.2">
      <c r="A141" s="205">
        <v>87</v>
      </c>
      <c r="B141" s="205"/>
      <c r="C141" s="254"/>
      <c r="D141" s="432">
        <f t="shared" si="11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0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1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0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1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954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832733181</v>
      </c>
      <c r="E14" s="432">
        <f>SUM(E15,E16,E33,E54)</f>
        <v>239852053</v>
      </c>
      <c r="F14" s="432">
        <f t="shared" ref="F14:O14" si="0">SUM(F15,F16,F33,F54)</f>
        <v>99795265</v>
      </c>
      <c r="G14" s="432">
        <f t="shared" si="0"/>
        <v>35498230</v>
      </c>
      <c r="H14" s="432">
        <f t="shared" si="0"/>
        <v>32847347</v>
      </c>
      <c r="I14" s="432">
        <f t="shared" si="0"/>
        <v>193760408</v>
      </c>
      <c r="J14" s="432">
        <f t="shared" si="0"/>
        <v>17063400</v>
      </c>
      <c r="K14" s="432">
        <f t="shared" si="0"/>
        <v>108528410</v>
      </c>
      <c r="L14" s="432">
        <f t="shared" si="0"/>
        <v>0</v>
      </c>
      <c r="M14" s="432">
        <f t="shared" si="0"/>
        <v>156570197</v>
      </c>
      <c r="N14" s="432">
        <f t="shared" si="0"/>
        <v>72144871</v>
      </c>
      <c r="O14" s="432">
        <f t="shared" si="0"/>
        <v>11966495</v>
      </c>
      <c r="P14" s="432">
        <f>IF(SUM(Q14:AB14)=SUM(AC14:AM14),SUM(Q14:AB14),"  EROARE ART/CAP")</f>
        <v>797401784</v>
      </c>
      <c r="Q14" s="432">
        <f t="shared" ref="Q14:AM14" si="1">Q15+Q16+Q33+Q54</f>
        <v>234822299</v>
      </c>
      <c r="R14" s="432">
        <f t="shared" si="1"/>
        <v>165880393</v>
      </c>
      <c r="S14" s="432">
        <f t="shared" si="1"/>
        <v>935003</v>
      </c>
      <c r="T14" s="432">
        <f t="shared" si="1"/>
        <v>951557</v>
      </c>
      <c r="U14" s="432">
        <f t="shared" si="1"/>
        <v>29736393</v>
      </c>
      <c r="V14" s="432">
        <f t="shared" si="1"/>
        <v>3808178</v>
      </c>
      <c r="W14" s="432">
        <f t="shared" si="1"/>
        <v>135138287</v>
      </c>
      <c r="X14" s="432">
        <f t="shared" si="1"/>
        <v>94274043</v>
      </c>
      <c r="Y14" s="432">
        <f t="shared" si="1"/>
        <v>11342340</v>
      </c>
      <c r="Z14" s="432">
        <f t="shared" si="1"/>
        <v>116363615</v>
      </c>
      <c r="AA14" s="432">
        <f t="shared" si="1"/>
        <v>5764519</v>
      </c>
      <c r="AB14" s="432">
        <f t="shared" si="1"/>
        <v>-1614843</v>
      </c>
      <c r="AC14" s="432">
        <f t="shared" si="1"/>
        <v>100023347</v>
      </c>
      <c r="AD14" s="432">
        <f t="shared" si="1"/>
        <v>7879962</v>
      </c>
      <c r="AE14" s="432">
        <f t="shared" si="1"/>
        <v>231691038</v>
      </c>
      <c r="AF14" s="432">
        <f t="shared" si="1"/>
        <v>17252355</v>
      </c>
      <c r="AG14" s="432">
        <f t="shared" si="1"/>
        <v>48876563</v>
      </c>
      <c r="AH14" s="432">
        <f t="shared" si="1"/>
        <v>137913963</v>
      </c>
      <c r="AI14" s="432">
        <f t="shared" si="1"/>
        <v>56675545</v>
      </c>
      <c r="AJ14" s="432">
        <f t="shared" si="1"/>
        <v>73513686</v>
      </c>
      <c r="AK14" s="432">
        <f t="shared" si="1"/>
        <v>259793</v>
      </c>
      <c r="AL14" s="432">
        <f t="shared" si="1"/>
        <v>110212787</v>
      </c>
      <c r="AM14" s="432">
        <f t="shared" si="1"/>
        <v>13102745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234303877</v>
      </c>
      <c r="E15" s="437">
        <v>42023770</v>
      </c>
      <c r="F15" s="437">
        <v>21182829</v>
      </c>
      <c r="G15" s="437">
        <v>18829000</v>
      </c>
      <c r="H15" s="437">
        <v>32847347</v>
      </c>
      <c r="I15" s="437"/>
      <c r="J15" s="437">
        <v>12029630</v>
      </c>
      <c r="K15" s="437">
        <v>51555850</v>
      </c>
      <c r="L15" s="437"/>
      <c r="M15" s="437">
        <v>73262361</v>
      </c>
      <c r="N15" s="437">
        <v>20496705</v>
      </c>
      <c r="O15" s="437">
        <v>2088214</v>
      </c>
      <c r="P15" s="438">
        <f>IF(SUM(Q15:AB15)=SUM(AC15:AM15),SUM(Q15:AB15),"  EROARE ART/CAP")</f>
        <v>212555161</v>
      </c>
      <c r="Q15" s="437">
        <v>26047825</v>
      </c>
      <c r="R15" s="437">
        <v>31167234</v>
      </c>
      <c r="S15" s="437">
        <v>601713</v>
      </c>
      <c r="T15" s="437"/>
      <c r="U15" s="437">
        <v>18691738</v>
      </c>
      <c r="V15" s="437">
        <v>3704161</v>
      </c>
      <c r="W15" s="437">
        <v>55879517</v>
      </c>
      <c r="X15" s="437">
        <v>65149667</v>
      </c>
      <c r="Y15" s="437">
        <v>4614419</v>
      </c>
      <c r="Z15" s="437">
        <v>5303556</v>
      </c>
      <c r="AA15" s="437">
        <v>1613999</v>
      </c>
      <c r="AB15" s="437">
        <v>-218668</v>
      </c>
      <c r="AC15" s="437">
        <v>21677258</v>
      </c>
      <c r="AD15" s="437">
        <v>375100</v>
      </c>
      <c r="AE15" s="437">
        <v>9073798</v>
      </c>
      <c r="AF15" s="437">
        <v>6891495</v>
      </c>
      <c r="AG15" s="437">
        <v>16748815</v>
      </c>
      <c r="AH15" s="437">
        <v>91651420</v>
      </c>
      <c r="AI15" s="437">
        <v>97960</v>
      </c>
      <c r="AJ15" s="437">
        <v>44057304</v>
      </c>
      <c r="AK15" s="437"/>
      <c r="AL15" s="437">
        <v>15784075</v>
      </c>
      <c r="AM15" s="437">
        <v>6197936</v>
      </c>
    </row>
    <row r="16" spans="1:39" s="155" customFormat="1" ht="12" x14ac:dyDescent="0.2">
      <c r="A16" s="185" t="s">
        <v>72</v>
      </c>
      <c r="B16" s="159"/>
      <c r="C16" s="159"/>
      <c r="D16" s="432">
        <f>E16+SUM(H16:O16)</f>
        <v>191037942</v>
      </c>
      <c r="E16" s="433">
        <f>SUM(E18:E32)</f>
        <v>92350347</v>
      </c>
      <c r="F16" s="433">
        <f t="shared" ref="F16:O16" si="2">SUM(F18:F32)</f>
        <v>45443829</v>
      </c>
      <c r="G16" s="433">
        <f t="shared" si="2"/>
        <v>1746346</v>
      </c>
      <c r="H16" s="433">
        <f t="shared" si="2"/>
        <v>0</v>
      </c>
      <c r="I16" s="433">
        <f t="shared" si="2"/>
        <v>83369548</v>
      </c>
      <c r="J16" s="433">
        <f t="shared" si="2"/>
        <v>0</v>
      </c>
      <c r="K16" s="433">
        <f t="shared" si="2"/>
        <v>5674000</v>
      </c>
      <c r="L16" s="433">
        <f t="shared" si="2"/>
        <v>0</v>
      </c>
      <c r="M16" s="433">
        <f t="shared" si="2"/>
        <v>7266768</v>
      </c>
      <c r="N16" s="433">
        <f t="shared" si="2"/>
        <v>1838779</v>
      </c>
      <c r="O16" s="433">
        <f t="shared" si="2"/>
        <v>538500</v>
      </c>
      <c r="P16" s="432">
        <f t="shared" ref="P16:P54" si="3">IF(SUM(Q16:AB16)=SUM(AC16:AM16),SUM(Q16:AB16),"  EROARE ART/CAP")</f>
        <v>187581635</v>
      </c>
      <c r="Q16" s="432">
        <f>SUM(Q18:Q32)</f>
        <v>88553913</v>
      </c>
      <c r="R16" s="432">
        <f t="shared" ref="R16:AM16" si="4">SUM(R18:R32)</f>
        <v>52153477</v>
      </c>
      <c r="S16" s="432">
        <f t="shared" si="4"/>
        <v>44856</v>
      </c>
      <c r="T16" s="432">
        <f t="shared" si="4"/>
        <v>951557</v>
      </c>
      <c r="U16" s="432">
        <f t="shared" si="4"/>
        <v>9508773</v>
      </c>
      <c r="V16" s="432">
        <f t="shared" si="4"/>
        <v>0</v>
      </c>
      <c r="W16" s="432">
        <f t="shared" si="4"/>
        <v>8697418</v>
      </c>
      <c r="X16" s="432">
        <f t="shared" si="4"/>
        <v>6652577</v>
      </c>
      <c r="Y16" s="432">
        <f t="shared" si="4"/>
        <v>5674120</v>
      </c>
      <c r="Z16" s="432">
        <f t="shared" si="4"/>
        <v>13604567</v>
      </c>
      <c r="AA16" s="432">
        <f t="shared" si="4"/>
        <v>2528118</v>
      </c>
      <c r="AB16" s="432">
        <f t="shared" si="4"/>
        <v>-787741</v>
      </c>
      <c r="AC16" s="432">
        <f t="shared" si="4"/>
        <v>15094621</v>
      </c>
      <c r="AD16" s="432">
        <f t="shared" si="4"/>
        <v>2853899</v>
      </c>
      <c r="AE16" s="432">
        <f t="shared" si="4"/>
        <v>88007203</v>
      </c>
      <c r="AF16" s="432">
        <f t="shared" si="4"/>
        <v>3980562</v>
      </c>
      <c r="AG16" s="432">
        <f t="shared" si="4"/>
        <v>15458759</v>
      </c>
      <c r="AH16" s="432">
        <f t="shared" si="4"/>
        <v>16363088</v>
      </c>
      <c r="AI16" s="432">
        <f t="shared" si="4"/>
        <v>19812895</v>
      </c>
      <c r="AJ16" s="432">
        <f t="shared" si="4"/>
        <v>12565057</v>
      </c>
      <c r="AK16" s="432">
        <f t="shared" si="4"/>
        <v>259793</v>
      </c>
      <c r="AL16" s="432">
        <f t="shared" si="4"/>
        <v>12284030</v>
      </c>
      <c r="AM16" s="432">
        <f t="shared" si="4"/>
        <v>901728</v>
      </c>
    </row>
    <row r="17" spans="1:39" s="155" customFormat="1" ht="22.5" x14ac:dyDescent="0.2">
      <c r="A17" s="234" t="s">
        <v>2306</v>
      </c>
      <c r="B17" s="281" t="s">
        <v>74</v>
      </c>
      <c r="C17" s="260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181">
        <v>1</v>
      </c>
      <c r="B18" s="144">
        <v>92569</v>
      </c>
      <c r="C18" s="283" t="s">
        <v>1525</v>
      </c>
      <c r="D18" s="438">
        <f t="shared" ref="D18:D19" si="5">E18+SUM(H18:O18)</f>
        <v>143604933</v>
      </c>
      <c r="E18" s="437">
        <v>73282135</v>
      </c>
      <c r="F18" s="437">
        <v>37377998</v>
      </c>
      <c r="G18" s="437">
        <v>871714</v>
      </c>
      <c r="H18" s="437"/>
      <c r="I18" s="437">
        <v>61219210</v>
      </c>
      <c r="J18" s="437"/>
      <c r="K18" s="437">
        <v>1924000</v>
      </c>
      <c r="L18" s="437"/>
      <c r="M18" s="437">
        <v>5091526</v>
      </c>
      <c r="N18" s="437">
        <v>1585562</v>
      </c>
      <c r="O18" s="437">
        <v>502500</v>
      </c>
      <c r="P18" s="438">
        <f t="shared" ref="P18:P19" si="6">IF(SUM(Q18:AB18)=SUM(AC18:AM18),SUM(Q18:AB18),"  EROARE ART/CAP")</f>
        <v>140511870</v>
      </c>
      <c r="Q18" s="439">
        <v>63684122</v>
      </c>
      <c r="R18" s="439">
        <v>40984115</v>
      </c>
      <c r="S18" s="439">
        <v>44856</v>
      </c>
      <c r="T18" s="439">
        <v>288938</v>
      </c>
      <c r="U18" s="439">
        <v>4576338</v>
      </c>
      <c r="V18" s="439">
        <v>0</v>
      </c>
      <c r="W18" s="439">
        <v>7815607</v>
      </c>
      <c r="X18" s="439">
        <v>5245191</v>
      </c>
      <c r="Y18" s="439">
        <v>5574143</v>
      </c>
      <c r="Z18" s="439">
        <v>10290821</v>
      </c>
      <c r="AA18" s="439">
        <v>2103716</v>
      </c>
      <c r="AB18" s="439">
        <v>-95977</v>
      </c>
      <c r="AC18" s="439">
        <v>9209850</v>
      </c>
      <c r="AD18" s="439">
        <v>2338508</v>
      </c>
      <c r="AE18" s="439">
        <v>65259966</v>
      </c>
      <c r="AF18" s="439">
        <v>608114</v>
      </c>
      <c r="AG18" s="439">
        <v>13731090</v>
      </c>
      <c r="AH18" s="439">
        <v>11269045</v>
      </c>
      <c r="AI18" s="439">
        <v>17307598</v>
      </c>
      <c r="AJ18" s="439">
        <v>10900656</v>
      </c>
      <c r="AK18" s="439">
        <v>288938</v>
      </c>
      <c r="AL18" s="439">
        <v>9598105</v>
      </c>
      <c r="AM18" s="439"/>
    </row>
    <row r="19" spans="1:39" s="155" customFormat="1" ht="12" x14ac:dyDescent="0.2">
      <c r="A19" s="181">
        <v>2</v>
      </c>
      <c r="B19" s="144">
        <v>100610</v>
      </c>
      <c r="C19" s="283" t="s">
        <v>2255</v>
      </c>
      <c r="D19" s="438">
        <f t="shared" si="5"/>
        <v>47433009</v>
      </c>
      <c r="E19" s="437">
        <v>19068212</v>
      </c>
      <c r="F19" s="437">
        <v>8065831</v>
      </c>
      <c r="G19" s="437">
        <v>874632</v>
      </c>
      <c r="H19" s="437"/>
      <c r="I19" s="437">
        <v>22150338</v>
      </c>
      <c r="J19" s="437"/>
      <c r="K19" s="437">
        <v>3750000</v>
      </c>
      <c r="L19" s="437"/>
      <c r="M19" s="437">
        <v>2175242</v>
      </c>
      <c r="N19" s="437">
        <v>253217</v>
      </c>
      <c r="O19" s="437">
        <v>36000</v>
      </c>
      <c r="P19" s="438">
        <f t="shared" si="6"/>
        <v>47069765</v>
      </c>
      <c r="Q19" s="439">
        <v>24869791</v>
      </c>
      <c r="R19" s="439">
        <v>11169362</v>
      </c>
      <c r="S19" s="439">
        <v>0</v>
      </c>
      <c r="T19" s="439">
        <v>662619</v>
      </c>
      <c r="U19" s="439">
        <v>4932435</v>
      </c>
      <c r="V19" s="439"/>
      <c r="W19" s="439">
        <v>881811</v>
      </c>
      <c r="X19" s="439">
        <v>1407386</v>
      </c>
      <c r="Y19" s="439">
        <v>99977</v>
      </c>
      <c r="Z19" s="439">
        <v>3313746</v>
      </c>
      <c r="AA19" s="439">
        <v>424402</v>
      </c>
      <c r="AB19" s="439">
        <v>-691764</v>
      </c>
      <c r="AC19" s="439">
        <v>5884771</v>
      </c>
      <c r="AD19" s="439">
        <v>515391</v>
      </c>
      <c r="AE19" s="439">
        <v>22747237</v>
      </c>
      <c r="AF19" s="439">
        <v>3372448</v>
      </c>
      <c r="AG19" s="439">
        <v>1727669</v>
      </c>
      <c r="AH19" s="439">
        <v>5094043</v>
      </c>
      <c r="AI19" s="439">
        <v>2505297</v>
      </c>
      <c r="AJ19" s="439">
        <v>1664401</v>
      </c>
      <c r="AK19" s="439">
        <v>-29145</v>
      </c>
      <c r="AL19" s="439">
        <v>2685925</v>
      </c>
      <c r="AM19" s="439">
        <v>901728</v>
      </c>
    </row>
    <row r="20" spans="1:39" s="155" customFormat="1" ht="12" hidden="1" x14ac:dyDescent="0.2">
      <c r="A20" s="181">
        <v>3</v>
      </c>
      <c r="B20" s="234"/>
      <c r="C20" s="259"/>
      <c r="D20" s="432">
        <f t="shared" ref="D20:D41" si="7">E20+SUM(H20:O20)</f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2">
        <f t="shared" si="3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</row>
    <row r="21" spans="1:39" s="155" customFormat="1" ht="12" hidden="1" x14ac:dyDescent="0.2">
      <c r="A21" s="181">
        <v>4</v>
      </c>
      <c r="B21" s="234"/>
      <c r="C21" s="259"/>
      <c r="D21" s="432">
        <f t="shared" si="7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3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181">
        <v>5</v>
      </c>
      <c r="B22" s="234"/>
      <c r="C22" s="259"/>
      <c r="D22" s="432">
        <f t="shared" si="7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3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81">
        <v>6</v>
      </c>
      <c r="B23" s="234"/>
      <c r="C23" s="259"/>
      <c r="D23" s="432">
        <f t="shared" si="7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3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81">
        <v>7</v>
      </c>
      <c r="B24" s="234"/>
      <c r="C24" s="259"/>
      <c r="D24" s="432">
        <f t="shared" si="7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3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81">
        <v>8</v>
      </c>
      <c r="B25" s="234"/>
      <c r="C25" s="259"/>
      <c r="D25" s="432">
        <f t="shared" si="7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3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81">
        <v>9</v>
      </c>
      <c r="B26" s="234"/>
      <c r="C26" s="259"/>
      <c r="D26" s="432">
        <f t="shared" si="7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3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81">
        <v>10</v>
      </c>
      <c r="B27" s="234"/>
      <c r="C27" s="259"/>
      <c r="D27" s="432">
        <f t="shared" si="7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3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81">
        <v>11</v>
      </c>
      <c r="B28" s="234"/>
      <c r="C28" s="259"/>
      <c r="D28" s="432">
        <f t="shared" si="7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3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81">
        <v>12</v>
      </c>
      <c r="B29" s="234"/>
      <c r="C29" s="259"/>
      <c r="D29" s="432">
        <f t="shared" si="7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3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81">
        <v>13</v>
      </c>
      <c r="B30" s="234"/>
      <c r="C30" s="259"/>
      <c r="D30" s="432">
        <f t="shared" si="7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3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81">
        <v>14</v>
      </c>
      <c r="B31" s="234"/>
      <c r="C31" s="259"/>
      <c r="D31" s="432">
        <f t="shared" si="7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3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81">
        <v>15</v>
      </c>
      <c r="B32" s="234"/>
      <c r="C32" s="207"/>
      <c r="D32" s="432">
        <f t="shared" si="7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3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236"/>
      <c r="C33" s="260"/>
      <c r="D33" s="432">
        <f t="shared" si="7"/>
        <v>60348964</v>
      </c>
      <c r="E33" s="432">
        <f>SUM(E34:E53)</f>
        <v>16591665</v>
      </c>
      <c r="F33" s="432">
        <f t="shared" ref="F33:O33" si="8">SUM(F34:F53)</f>
        <v>6269249</v>
      </c>
      <c r="G33" s="432">
        <f t="shared" si="8"/>
        <v>1015008</v>
      </c>
      <c r="H33" s="432">
        <f t="shared" si="8"/>
        <v>0</v>
      </c>
      <c r="I33" s="432">
        <f t="shared" si="8"/>
        <v>15092890</v>
      </c>
      <c r="J33" s="432">
        <f t="shared" si="8"/>
        <v>480000</v>
      </c>
      <c r="K33" s="432">
        <f t="shared" si="8"/>
        <v>4391560</v>
      </c>
      <c r="L33" s="432">
        <f t="shared" si="8"/>
        <v>0</v>
      </c>
      <c r="M33" s="432">
        <f t="shared" si="8"/>
        <v>8077006</v>
      </c>
      <c r="N33" s="432">
        <f t="shared" si="8"/>
        <v>14485343</v>
      </c>
      <c r="O33" s="432">
        <f t="shared" si="8"/>
        <v>1230500</v>
      </c>
      <c r="P33" s="432">
        <f t="shared" si="3"/>
        <v>57135900</v>
      </c>
      <c r="Q33" s="432">
        <f>SUM(Q34:Q53)</f>
        <v>15759803</v>
      </c>
      <c r="R33" s="432">
        <f t="shared" ref="R33:AM33" si="9">SUM(R34:R53)</f>
        <v>10096277</v>
      </c>
      <c r="S33" s="432">
        <f t="shared" si="9"/>
        <v>188503</v>
      </c>
      <c r="T33" s="432">
        <f t="shared" si="9"/>
        <v>0</v>
      </c>
      <c r="U33" s="432">
        <f t="shared" si="9"/>
        <v>221000</v>
      </c>
      <c r="V33" s="432">
        <f t="shared" si="9"/>
        <v>0</v>
      </c>
      <c r="W33" s="432">
        <f t="shared" si="9"/>
        <v>20664472</v>
      </c>
      <c r="X33" s="432">
        <f t="shared" si="9"/>
        <v>2237872</v>
      </c>
      <c r="Y33" s="432">
        <f t="shared" si="9"/>
        <v>19581</v>
      </c>
      <c r="Z33" s="432">
        <f t="shared" si="9"/>
        <v>7740527</v>
      </c>
      <c r="AA33" s="432">
        <f t="shared" si="9"/>
        <v>402014</v>
      </c>
      <c r="AB33" s="432">
        <f t="shared" si="9"/>
        <v>-194149</v>
      </c>
      <c r="AC33" s="432">
        <f t="shared" si="9"/>
        <v>7852645</v>
      </c>
      <c r="AD33" s="432">
        <f t="shared" si="9"/>
        <v>338904</v>
      </c>
      <c r="AE33" s="432">
        <f t="shared" si="9"/>
        <v>28397338</v>
      </c>
      <c r="AF33" s="432">
        <f t="shared" si="9"/>
        <v>5969545</v>
      </c>
      <c r="AG33" s="432">
        <f t="shared" si="9"/>
        <v>1598465</v>
      </c>
      <c r="AH33" s="432">
        <f t="shared" si="9"/>
        <v>2635504</v>
      </c>
      <c r="AI33" s="432">
        <f t="shared" si="9"/>
        <v>2768647</v>
      </c>
      <c r="AJ33" s="432">
        <f t="shared" si="9"/>
        <v>1024489</v>
      </c>
      <c r="AK33" s="432">
        <f t="shared" si="9"/>
        <v>0</v>
      </c>
      <c r="AL33" s="432">
        <f t="shared" si="9"/>
        <v>6550363</v>
      </c>
      <c r="AM33" s="432">
        <f t="shared" si="9"/>
        <v>0</v>
      </c>
    </row>
    <row r="34" spans="1:39" s="155" customFormat="1" ht="12" x14ac:dyDescent="0.2">
      <c r="A34" s="146">
        <v>1</v>
      </c>
      <c r="B34" s="144">
        <v>101458</v>
      </c>
      <c r="C34" s="283" t="s">
        <v>2256</v>
      </c>
      <c r="D34" s="438">
        <f t="shared" ref="D34:D36" si="10">E34+SUM(H34:O34)</f>
        <v>11014075</v>
      </c>
      <c r="E34" s="439">
        <v>3696618</v>
      </c>
      <c r="F34" s="439">
        <v>1175201</v>
      </c>
      <c r="G34" s="439">
        <v>706729</v>
      </c>
      <c r="H34" s="439"/>
      <c r="I34" s="439">
        <v>3385667</v>
      </c>
      <c r="J34" s="439">
        <v>134000</v>
      </c>
      <c r="K34" s="439">
        <v>3008000</v>
      </c>
      <c r="L34" s="439"/>
      <c r="M34" s="439">
        <v>192941</v>
      </c>
      <c r="N34" s="439">
        <v>596849</v>
      </c>
      <c r="O34" s="439"/>
      <c r="P34" s="438">
        <f t="shared" ref="P34:P36" si="11">IF(SUM(Q34:AB34)=SUM(AC34:AM34),SUM(Q34:AB34),"  EROARE ART/CAP")</f>
        <v>8677693</v>
      </c>
      <c r="Q34" s="439">
        <v>3689509</v>
      </c>
      <c r="R34" s="439">
        <v>1502997</v>
      </c>
      <c r="S34" s="439">
        <v>0</v>
      </c>
      <c r="T34" s="439"/>
      <c r="U34" s="439"/>
      <c r="V34" s="439"/>
      <c r="W34" s="439">
        <v>779513</v>
      </c>
      <c r="X34" s="439">
        <v>872416</v>
      </c>
      <c r="Y34" s="439"/>
      <c r="Z34" s="439">
        <v>1865010</v>
      </c>
      <c r="AA34" s="439">
        <v>0</v>
      </c>
      <c r="AB34" s="439">
        <v>-31752</v>
      </c>
      <c r="AC34" s="439">
        <v>3116034</v>
      </c>
      <c r="AD34" s="439"/>
      <c r="AE34" s="439">
        <v>3104314</v>
      </c>
      <c r="AF34" s="439">
        <v>22000</v>
      </c>
      <c r="AG34" s="439">
        <v>97686</v>
      </c>
      <c r="AH34" s="439">
        <v>869648</v>
      </c>
      <c r="AI34" s="439">
        <v>721420</v>
      </c>
      <c r="AJ34" s="439">
        <v>13181</v>
      </c>
      <c r="AK34" s="439"/>
      <c r="AL34" s="439">
        <v>733410</v>
      </c>
      <c r="AM34" s="439"/>
    </row>
    <row r="35" spans="1:39" s="155" customFormat="1" ht="12" x14ac:dyDescent="0.2">
      <c r="A35" s="181">
        <v>2</v>
      </c>
      <c r="B35" s="144">
        <v>103032</v>
      </c>
      <c r="C35" s="283" t="s">
        <v>2257</v>
      </c>
      <c r="D35" s="438">
        <f t="shared" si="10"/>
        <v>25346580</v>
      </c>
      <c r="E35" s="439">
        <v>5763301</v>
      </c>
      <c r="F35" s="439">
        <v>2108629</v>
      </c>
      <c r="G35" s="439">
        <v>49607</v>
      </c>
      <c r="H35" s="439"/>
      <c r="I35" s="439">
        <v>4939440</v>
      </c>
      <c r="J35" s="439">
        <v>48000</v>
      </c>
      <c r="K35" s="439">
        <v>239000</v>
      </c>
      <c r="L35" s="439"/>
      <c r="M35" s="439">
        <v>2960856</v>
      </c>
      <c r="N35" s="439">
        <v>11395983</v>
      </c>
      <c r="O35" s="439">
        <v>0</v>
      </c>
      <c r="P35" s="438">
        <f t="shared" si="11"/>
        <v>24519615</v>
      </c>
      <c r="Q35" s="439">
        <v>5370304</v>
      </c>
      <c r="R35" s="439">
        <v>3168271</v>
      </c>
      <c r="S35" s="439"/>
      <c r="T35" s="439"/>
      <c r="U35" s="439">
        <v>30000</v>
      </c>
      <c r="V35" s="439"/>
      <c r="W35" s="439">
        <v>14203334</v>
      </c>
      <c r="X35" s="439">
        <v>566774</v>
      </c>
      <c r="Y35" s="439">
        <v>19581</v>
      </c>
      <c r="Z35" s="439">
        <v>1323748</v>
      </c>
      <c r="AA35" s="439"/>
      <c r="AB35" s="439">
        <v>-162397</v>
      </c>
      <c r="AC35" s="439">
        <v>2127089</v>
      </c>
      <c r="AD35" s="439">
        <v>214385</v>
      </c>
      <c r="AE35" s="439">
        <v>19027241</v>
      </c>
      <c r="AF35" s="439"/>
      <c r="AG35" s="439">
        <v>100942</v>
      </c>
      <c r="AH35" s="439">
        <v>930401</v>
      </c>
      <c r="AI35" s="439">
        <v>329587</v>
      </c>
      <c r="AJ35" s="439">
        <v>656263</v>
      </c>
      <c r="AK35" s="439"/>
      <c r="AL35" s="439">
        <v>1133707</v>
      </c>
      <c r="AM35" s="439"/>
    </row>
    <row r="36" spans="1:39" s="155" customFormat="1" ht="12" x14ac:dyDescent="0.2">
      <c r="A36" s="181">
        <v>3</v>
      </c>
      <c r="B36" s="144">
        <v>93888</v>
      </c>
      <c r="C36" s="283" t="s">
        <v>2258</v>
      </c>
      <c r="D36" s="438">
        <f t="shared" si="10"/>
        <v>23988309</v>
      </c>
      <c r="E36" s="439">
        <v>7131746</v>
      </c>
      <c r="F36" s="439">
        <v>2985419</v>
      </c>
      <c r="G36" s="439">
        <v>258672</v>
      </c>
      <c r="H36" s="439"/>
      <c r="I36" s="439">
        <v>6767783</v>
      </c>
      <c r="J36" s="439">
        <v>298000</v>
      </c>
      <c r="K36" s="439">
        <v>1144560</v>
      </c>
      <c r="L36" s="439"/>
      <c r="M36" s="439">
        <v>4923209</v>
      </c>
      <c r="N36" s="439">
        <v>2492511</v>
      </c>
      <c r="O36" s="439">
        <v>1230500</v>
      </c>
      <c r="P36" s="438">
        <f t="shared" si="11"/>
        <v>23938592</v>
      </c>
      <c r="Q36" s="439">
        <v>6699990</v>
      </c>
      <c r="R36" s="439">
        <v>5425009</v>
      </c>
      <c r="S36" s="439">
        <v>188503</v>
      </c>
      <c r="T36" s="439"/>
      <c r="U36" s="439">
        <v>191000</v>
      </c>
      <c r="V36" s="439">
        <v>0</v>
      </c>
      <c r="W36" s="439">
        <v>5681625</v>
      </c>
      <c r="X36" s="439">
        <v>798682</v>
      </c>
      <c r="Y36" s="439">
        <v>0</v>
      </c>
      <c r="Z36" s="439">
        <v>4551769</v>
      </c>
      <c r="AA36" s="439">
        <v>402014</v>
      </c>
      <c r="AB36" s="439">
        <v>0</v>
      </c>
      <c r="AC36" s="439">
        <v>2609522</v>
      </c>
      <c r="AD36" s="439">
        <v>124519</v>
      </c>
      <c r="AE36" s="439">
        <v>6265783</v>
      </c>
      <c r="AF36" s="439">
        <v>5947545</v>
      </c>
      <c r="AG36" s="439">
        <v>1399837</v>
      </c>
      <c r="AH36" s="439">
        <v>835455</v>
      </c>
      <c r="AI36" s="439">
        <v>1717640</v>
      </c>
      <c r="AJ36" s="439">
        <v>355045</v>
      </c>
      <c r="AK36" s="439">
        <v>0</v>
      </c>
      <c r="AL36" s="439">
        <v>4683246</v>
      </c>
      <c r="AM36" s="439"/>
    </row>
    <row r="37" spans="1:39" s="155" customFormat="1" ht="12" hidden="1" x14ac:dyDescent="0.2">
      <c r="A37" s="181">
        <v>4</v>
      </c>
      <c r="B37" s="234"/>
      <c r="C37" s="284"/>
      <c r="D37" s="432">
        <f t="shared" si="7"/>
        <v>0</v>
      </c>
      <c r="E37" s="435"/>
      <c r="F37" s="435"/>
      <c r="G37" s="435"/>
      <c r="H37" s="435"/>
      <c r="I37" s="435"/>
      <c r="J37" s="435"/>
      <c r="K37" s="435"/>
      <c r="L37" s="435"/>
      <c r="M37" s="435"/>
      <c r="N37" s="435"/>
      <c r="O37" s="435"/>
      <c r="P37" s="432">
        <f t="shared" si="3"/>
        <v>0</v>
      </c>
      <c r="Q37" s="435"/>
      <c r="R37" s="435"/>
      <c r="S37" s="435"/>
      <c r="T37" s="435"/>
      <c r="U37" s="435"/>
      <c r="V37" s="431"/>
      <c r="W37" s="431"/>
      <c r="X37" s="431"/>
      <c r="Y37" s="431"/>
      <c r="Z37" s="431"/>
      <c r="AA37" s="431"/>
      <c r="AB37" s="431"/>
      <c r="AC37" s="445"/>
      <c r="AD37" s="435"/>
      <c r="AE37" s="435"/>
      <c r="AF37" s="435"/>
      <c r="AG37" s="435"/>
      <c r="AH37" s="435"/>
      <c r="AI37" s="435"/>
      <c r="AJ37" s="435"/>
      <c r="AK37" s="435"/>
      <c r="AL37" s="435"/>
      <c r="AM37" s="435"/>
    </row>
    <row r="38" spans="1:39" s="155" customFormat="1" ht="12" hidden="1" x14ac:dyDescent="0.2">
      <c r="A38" s="181">
        <v>5</v>
      </c>
      <c r="B38" s="234"/>
      <c r="C38" s="261"/>
      <c r="D38" s="432">
        <f t="shared" si="7"/>
        <v>0</v>
      </c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2">
        <f t="shared" si="3"/>
        <v>0</v>
      </c>
      <c r="Q38" s="435"/>
      <c r="R38" s="435"/>
      <c r="S38" s="435"/>
      <c r="T38" s="435"/>
      <c r="U38" s="435"/>
      <c r="V38" s="431"/>
      <c r="W38" s="431"/>
      <c r="X38" s="431"/>
      <c r="Y38" s="431"/>
      <c r="Z38" s="435"/>
      <c r="AA38" s="431"/>
      <c r="AB38" s="431"/>
      <c r="AC38" s="445"/>
      <c r="AD38" s="435"/>
      <c r="AE38" s="435"/>
      <c r="AF38" s="435"/>
      <c r="AG38" s="435"/>
      <c r="AH38" s="435"/>
      <c r="AI38" s="435"/>
      <c r="AJ38" s="435"/>
      <c r="AK38" s="435"/>
      <c r="AL38" s="435"/>
      <c r="AM38" s="435"/>
    </row>
    <row r="39" spans="1:39" s="155" customFormat="1" ht="12" hidden="1" x14ac:dyDescent="0.2">
      <c r="A39" s="181">
        <v>6</v>
      </c>
      <c r="B39" s="234"/>
      <c r="C39" s="261"/>
      <c r="D39" s="432">
        <f t="shared" si="7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3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</row>
    <row r="40" spans="1:39" s="155" customFormat="1" ht="12" hidden="1" x14ac:dyDescent="0.2">
      <c r="A40" s="181">
        <v>7</v>
      </c>
      <c r="B40" s="234"/>
      <c r="C40" s="262"/>
      <c r="D40" s="432">
        <f t="shared" si="7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3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155" customFormat="1" ht="12" hidden="1" x14ac:dyDescent="0.2">
      <c r="A41" s="181">
        <v>8</v>
      </c>
      <c r="B41" s="234"/>
      <c r="C41" s="263"/>
      <c r="D41" s="432">
        <f t="shared" si="7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3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181">
        <v>9</v>
      </c>
      <c r="B42" s="234"/>
      <c r="C42" s="259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3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81">
        <v>10</v>
      </c>
      <c r="B43" s="234"/>
      <c r="C43" s="259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3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81">
        <v>11</v>
      </c>
      <c r="B44" s="234"/>
      <c r="C44" s="259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3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81">
        <v>12</v>
      </c>
      <c r="B45" s="234"/>
      <c r="C45" s="259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3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81">
        <v>13</v>
      </c>
      <c r="B46" s="234"/>
      <c r="C46" s="259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3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81">
        <v>14</v>
      </c>
      <c r="B47" s="234"/>
      <c r="C47" s="259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3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81">
        <v>15</v>
      </c>
      <c r="B48" s="234"/>
      <c r="C48" s="259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3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81">
        <v>16</v>
      </c>
      <c r="B49" s="234"/>
      <c r="C49" s="259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3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81">
        <v>17</v>
      </c>
      <c r="B50" s="234"/>
      <c r="C50" s="259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3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81">
        <v>18</v>
      </c>
      <c r="B51" s="234"/>
      <c r="C51" s="259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3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81">
        <v>19</v>
      </c>
      <c r="B52" s="234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3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81">
        <v>20</v>
      </c>
      <c r="B53" s="234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3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236"/>
      <c r="C54" s="260"/>
      <c r="D54" s="432">
        <f t="shared" ref="D54:D117" si="12">E54+SUM(H54:O54)</f>
        <v>347042398</v>
      </c>
      <c r="E54" s="432">
        <f>SUM(E55:E143)</f>
        <v>88886271</v>
      </c>
      <c r="F54" s="432">
        <f t="shared" ref="F54:O54" si="13">SUM(F55:F143)</f>
        <v>26899358</v>
      </c>
      <c r="G54" s="432">
        <f t="shared" si="13"/>
        <v>13907876</v>
      </c>
      <c r="H54" s="432">
        <f t="shared" si="13"/>
        <v>0</v>
      </c>
      <c r="I54" s="432">
        <f t="shared" si="13"/>
        <v>95297970</v>
      </c>
      <c r="J54" s="432">
        <f t="shared" si="13"/>
        <v>4553770</v>
      </c>
      <c r="K54" s="432">
        <f t="shared" si="13"/>
        <v>46907000</v>
      </c>
      <c r="L54" s="432">
        <f t="shared" si="13"/>
        <v>0</v>
      </c>
      <c r="M54" s="432">
        <f t="shared" si="13"/>
        <v>67964062</v>
      </c>
      <c r="N54" s="432">
        <f t="shared" si="13"/>
        <v>35324044</v>
      </c>
      <c r="O54" s="432">
        <f t="shared" si="13"/>
        <v>8109281</v>
      </c>
      <c r="P54" s="432">
        <f t="shared" si="3"/>
        <v>340129088</v>
      </c>
      <c r="Q54" s="432">
        <f>SUM(Q55:Q143)</f>
        <v>104460758</v>
      </c>
      <c r="R54" s="432">
        <f t="shared" ref="R54:AM54" si="14">SUM(R55:R143)</f>
        <v>72463405</v>
      </c>
      <c r="S54" s="432">
        <f t="shared" si="14"/>
        <v>99931</v>
      </c>
      <c r="T54" s="432">
        <f t="shared" si="14"/>
        <v>0</v>
      </c>
      <c r="U54" s="432">
        <f t="shared" si="14"/>
        <v>1314882</v>
      </c>
      <c r="V54" s="432">
        <f t="shared" si="14"/>
        <v>104017</v>
      </c>
      <c r="W54" s="432">
        <f t="shared" si="14"/>
        <v>49896880</v>
      </c>
      <c r="X54" s="432">
        <f t="shared" si="14"/>
        <v>20233927</v>
      </c>
      <c r="Y54" s="432">
        <f t="shared" si="14"/>
        <v>1034220</v>
      </c>
      <c r="Z54" s="432">
        <f t="shared" si="14"/>
        <v>89714965</v>
      </c>
      <c r="AA54" s="432">
        <f t="shared" si="14"/>
        <v>1220388</v>
      </c>
      <c r="AB54" s="432">
        <f t="shared" si="14"/>
        <v>-414285</v>
      </c>
      <c r="AC54" s="432">
        <f t="shared" si="14"/>
        <v>55398823</v>
      </c>
      <c r="AD54" s="432">
        <f t="shared" si="14"/>
        <v>4312059</v>
      </c>
      <c r="AE54" s="432">
        <f t="shared" si="14"/>
        <v>106212699</v>
      </c>
      <c r="AF54" s="432">
        <f t="shared" si="14"/>
        <v>410753</v>
      </c>
      <c r="AG54" s="432">
        <f t="shared" si="14"/>
        <v>15070524</v>
      </c>
      <c r="AH54" s="432">
        <f t="shared" si="14"/>
        <v>27263951</v>
      </c>
      <c r="AI54" s="432">
        <f t="shared" si="14"/>
        <v>33996043</v>
      </c>
      <c r="AJ54" s="432">
        <f t="shared" si="14"/>
        <v>15866836</v>
      </c>
      <c r="AK54" s="432">
        <f t="shared" si="14"/>
        <v>0</v>
      </c>
      <c r="AL54" s="432">
        <f>SUM(AL55:AL143)</f>
        <v>75594319</v>
      </c>
      <c r="AM54" s="432">
        <f t="shared" si="14"/>
        <v>6003081</v>
      </c>
    </row>
    <row r="55" spans="1:39" s="155" customFormat="1" ht="12" x14ac:dyDescent="0.2">
      <c r="A55" s="205">
        <v>1</v>
      </c>
      <c r="B55" s="143">
        <v>94125</v>
      </c>
      <c r="C55" s="175" t="s">
        <v>2259</v>
      </c>
      <c r="D55" s="438">
        <f t="shared" ref="D55:D104" si="15">E55+SUM(H55:O55)</f>
        <v>6784718</v>
      </c>
      <c r="E55" s="437">
        <v>1076832</v>
      </c>
      <c r="F55" s="437">
        <v>279936</v>
      </c>
      <c r="G55" s="437">
        <v>132693</v>
      </c>
      <c r="H55" s="437"/>
      <c r="I55" s="437">
        <v>1516000</v>
      </c>
      <c r="J55" s="437"/>
      <c r="K55" s="437">
        <v>1402000</v>
      </c>
      <c r="L55" s="437"/>
      <c r="M55" s="437">
        <v>263281</v>
      </c>
      <c r="N55" s="437">
        <v>717756</v>
      </c>
      <c r="O55" s="437">
        <v>1808849</v>
      </c>
      <c r="P55" s="438">
        <f t="shared" ref="P55:P104" si="16">IF(SUM(Q55:AB55)=SUM(AC55:AM55),SUM(Q55:AB55),"  EROARE ART/CAP")</f>
        <v>6776548</v>
      </c>
      <c r="Q55" s="437">
        <v>1691977</v>
      </c>
      <c r="R55" s="437">
        <v>1075772</v>
      </c>
      <c r="S55" s="437"/>
      <c r="T55" s="437"/>
      <c r="U55" s="437">
        <v>61000</v>
      </c>
      <c r="V55" s="437"/>
      <c r="W55" s="437">
        <v>934576</v>
      </c>
      <c r="X55" s="437">
        <v>445031</v>
      </c>
      <c r="Y55" s="437">
        <v>2000</v>
      </c>
      <c r="Z55" s="437">
        <v>2566192</v>
      </c>
      <c r="AA55" s="437"/>
      <c r="AB55" s="437"/>
      <c r="AC55" s="437">
        <v>764567</v>
      </c>
      <c r="AD55" s="437">
        <v>436977</v>
      </c>
      <c r="AE55" s="437">
        <v>2239113</v>
      </c>
      <c r="AF55" s="437">
        <v>22042</v>
      </c>
      <c r="AG55" s="437">
        <v>85089</v>
      </c>
      <c r="AH55" s="437">
        <v>577168</v>
      </c>
      <c r="AI55" s="437">
        <v>163575</v>
      </c>
      <c r="AJ55" s="437">
        <v>1795711</v>
      </c>
      <c r="AK55" s="437"/>
      <c r="AL55" s="437">
        <v>680519</v>
      </c>
      <c r="AM55" s="437">
        <v>11787</v>
      </c>
    </row>
    <row r="56" spans="1:39" s="155" customFormat="1" ht="12" x14ac:dyDescent="0.2">
      <c r="A56" s="205">
        <v>2</v>
      </c>
      <c r="B56" s="143">
        <v>101083</v>
      </c>
      <c r="C56" s="175" t="s">
        <v>2260</v>
      </c>
      <c r="D56" s="438">
        <f t="shared" si="15"/>
        <v>8105203</v>
      </c>
      <c r="E56" s="437">
        <v>2428033</v>
      </c>
      <c r="F56" s="437">
        <v>999776</v>
      </c>
      <c r="G56" s="437">
        <v>79887</v>
      </c>
      <c r="H56" s="437"/>
      <c r="I56" s="437">
        <v>1037000</v>
      </c>
      <c r="J56" s="437">
        <v>408000</v>
      </c>
      <c r="K56" s="437">
        <v>166000</v>
      </c>
      <c r="L56" s="437"/>
      <c r="M56" s="437">
        <v>3083733</v>
      </c>
      <c r="N56" s="437">
        <v>982437</v>
      </c>
      <c r="O56" s="437">
        <v>0</v>
      </c>
      <c r="P56" s="438">
        <f t="shared" si="16"/>
        <v>8027959</v>
      </c>
      <c r="Q56" s="437">
        <v>1562761</v>
      </c>
      <c r="R56" s="437">
        <v>1117390</v>
      </c>
      <c r="S56" s="437"/>
      <c r="T56" s="437"/>
      <c r="U56" s="437"/>
      <c r="V56" s="437"/>
      <c r="W56" s="437">
        <v>1486143</v>
      </c>
      <c r="X56" s="437">
        <v>107662</v>
      </c>
      <c r="Y56" s="437">
        <v>63200</v>
      </c>
      <c r="Z56" s="437">
        <v>3692003</v>
      </c>
      <c r="AA56" s="437"/>
      <c r="AB56" s="437">
        <v>-1200</v>
      </c>
      <c r="AC56" s="437">
        <v>2159079</v>
      </c>
      <c r="AD56" s="437"/>
      <c r="AE56" s="437">
        <v>1522171</v>
      </c>
      <c r="AF56" s="437"/>
      <c r="AG56" s="437">
        <v>192943</v>
      </c>
      <c r="AH56" s="437">
        <v>358930</v>
      </c>
      <c r="AI56" s="437">
        <v>281661</v>
      </c>
      <c r="AJ56" s="437">
        <v>142726</v>
      </c>
      <c r="AK56" s="437"/>
      <c r="AL56" s="437">
        <v>3370449</v>
      </c>
      <c r="AM56" s="437"/>
    </row>
    <row r="57" spans="1:39" s="155" customFormat="1" ht="12" x14ac:dyDescent="0.2">
      <c r="A57" s="205">
        <v>3</v>
      </c>
      <c r="B57" s="143">
        <v>92961</v>
      </c>
      <c r="C57" s="175" t="s">
        <v>2261</v>
      </c>
      <c r="D57" s="438">
        <f t="shared" si="15"/>
        <v>13613517</v>
      </c>
      <c r="E57" s="437">
        <v>6029559</v>
      </c>
      <c r="F57" s="437">
        <v>2479042</v>
      </c>
      <c r="G57" s="437">
        <v>151731</v>
      </c>
      <c r="H57" s="437"/>
      <c r="I57" s="437">
        <v>4614303</v>
      </c>
      <c r="J57" s="437">
        <v>63991</v>
      </c>
      <c r="K57" s="437">
        <v>893000</v>
      </c>
      <c r="L57" s="437">
        <v>0</v>
      </c>
      <c r="M57" s="437">
        <v>1961964</v>
      </c>
      <c r="N57" s="437"/>
      <c r="O57" s="437">
        <v>50700</v>
      </c>
      <c r="P57" s="438">
        <f t="shared" si="16"/>
        <v>13111831</v>
      </c>
      <c r="Q57" s="437">
        <v>4311000</v>
      </c>
      <c r="R57" s="437">
        <v>3499321</v>
      </c>
      <c r="S57" s="437"/>
      <c r="T57" s="437"/>
      <c r="U57" s="437">
        <v>0</v>
      </c>
      <c r="V57" s="437"/>
      <c r="W57" s="437"/>
      <c r="X57" s="437">
        <v>1274246</v>
      </c>
      <c r="Y57" s="437">
        <v>109999</v>
      </c>
      <c r="Z57" s="437">
        <v>3932908</v>
      </c>
      <c r="AA57" s="437"/>
      <c r="AB57" s="437">
        <v>-15643</v>
      </c>
      <c r="AC57" s="437">
        <v>1590863</v>
      </c>
      <c r="AD57" s="437">
        <v>9420</v>
      </c>
      <c r="AE57" s="437">
        <v>4346731</v>
      </c>
      <c r="AF57" s="437"/>
      <c r="AG57" s="437">
        <v>624674</v>
      </c>
      <c r="AH57" s="437">
        <v>1258861</v>
      </c>
      <c r="AI57" s="437">
        <v>416744</v>
      </c>
      <c r="AJ57" s="437">
        <v>110656</v>
      </c>
      <c r="AK57" s="437"/>
      <c r="AL57" s="437">
        <v>4753882</v>
      </c>
      <c r="AM57" s="437"/>
    </row>
    <row r="58" spans="1:39" s="155" customFormat="1" ht="12" x14ac:dyDescent="0.2">
      <c r="A58" s="205">
        <v>4</v>
      </c>
      <c r="B58" s="143">
        <v>101724</v>
      </c>
      <c r="C58" s="175" t="s">
        <v>2262</v>
      </c>
      <c r="D58" s="438">
        <f t="shared" si="15"/>
        <v>3969659</v>
      </c>
      <c r="E58" s="437">
        <v>702627</v>
      </c>
      <c r="F58" s="437">
        <v>79349</v>
      </c>
      <c r="G58" s="437">
        <v>207988</v>
      </c>
      <c r="H58" s="437"/>
      <c r="I58" s="437">
        <v>695000</v>
      </c>
      <c r="J58" s="437"/>
      <c r="K58" s="437">
        <v>854000</v>
      </c>
      <c r="L58" s="437"/>
      <c r="M58" s="437">
        <v>1718032</v>
      </c>
      <c r="N58" s="437"/>
      <c r="O58" s="437">
        <v>0</v>
      </c>
      <c r="P58" s="438">
        <f t="shared" si="16"/>
        <v>3961844</v>
      </c>
      <c r="Q58" s="437">
        <v>923079</v>
      </c>
      <c r="R58" s="437">
        <v>848681</v>
      </c>
      <c r="S58" s="437"/>
      <c r="T58" s="437"/>
      <c r="U58" s="437"/>
      <c r="V58" s="437"/>
      <c r="W58" s="437"/>
      <c r="X58" s="437">
        <v>170200</v>
      </c>
      <c r="Y58" s="437">
        <v>4000</v>
      </c>
      <c r="Z58" s="437">
        <v>2015884</v>
      </c>
      <c r="AA58" s="437"/>
      <c r="AB58" s="437"/>
      <c r="AC58" s="437">
        <v>848288</v>
      </c>
      <c r="AD58" s="437">
        <v>132771</v>
      </c>
      <c r="AE58" s="437">
        <v>616080</v>
      </c>
      <c r="AF58" s="437">
        <v>11929</v>
      </c>
      <c r="AG58" s="437">
        <v>111717</v>
      </c>
      <c r="AH58" s="437">
        <v>199605</v>
      </c>
      <c r="AI58" s="437">
        <v>211067</v>
      </c>
      <c r="AJ58" s="437">
        <v>70664</v>
      </c>
      <c r="AK58" s="437"/>
      <c r="AL58" s="437">
        <v>1759723</v>
      </c>
      <c r="AM58" s="437"/>
    </row>
    <row r="59" spans="1:39" s="155" customFormat="1" ht="12" x14ac:dyDescent="0.2">
      <c r="A59" s="205">
        <v>5</v>
      </c>
      <c r="B59" s="143">
        <v>101804</v>
      </c>
      <c r="C59" s="175" t="s">
        <v>2263</v>
      </c>
      <c r="D59" s="438">
        <f t="shared" si="15"/>
        <v>15947516</v>
      </c>
      <c r="E59" s="437">
        <v>6543055</v>
      </c>
      <c r="F59" s="437">
        <v>4697009</v>
      </c>
      <c r="G59" s="437">
        <v>162137</v>
      </c>
      <c r="H59" s="437"/>
      <c r="I59" s="437">
        <v>3567908</v>
      </c>
      <c r="J59" s="437">
        <v>107000</v>
      </c>
      <c r="K59" s="437">
        <v>651000</v>
      </c>
      <c r="L59" s="437">
        <v>0</v>
      </c>
      <c r="M59" s="437">
        <v>4617300</v>
      </c>
      <c r="N59" s="437">
        <v>407253</v>
      </c>
      <c r="O59" s="437">
        <v>54000</v>
      </c>
      <c r="P59" s="438">
        <f t="shared" si="16"/>
        <v>15154797</v>
      </c>
      <c r="Q59" s="437">
        <v>4250597</v>
      </c>
      <c r="R59" s="437">
        <v>3910365</v>
      </c>
      <c r="S59" s="437"/>
      <c r="T59" s="437"/>
      <c r="U59" s="437"/>
      <c r="V59" s="437"/>
      <c r="W59" s="437">
        <v>407253</v>
      </c>
      <c r="X59" s="437">
        <v>578320</v>
      </c>
      <c r="Y59" s="437">
        <v>10000</v>
      </c>
      <c r="Z59" s="437">
        <v>5998262</v>
      </c>
      <c r="AA59" s="437"/>
      <c r="AB59" s="437"/>
      <c r="AC59" s="437">
        <v>3159113</v>
      </c>
      <c r="AD59" s="437">
        <v>0</v>
      </c>
      <c r="AE59" s="437">
        <v>4147867</v>
      </c>
      <c r="AF59" s="437">
        <v>39998</v>
      </c>
      <c r="AG59" s="437">
        <v>334463</v>
      </c>
      <c r="AH59" s="437">
        <v>903315</v>
      </c>
      <c r="AI59" s="437">
        <v>510168</v>
      </c>
      <c r="AJ59" s="437">
        <v>2886422</v>
      </c>
      <c r="AK59" s="437"/>
      <c r="AL59" s="437">
        <v>3115519</v>
      </c>
      <c r="AM59" s="437">
        <v>57932</v>
      </c>
    </row>
    <row r="60" spans="1:39" s="155" customFormat="1" ht="12" x14ac:dyDescent="0.2">
      <c r="A60" s="205">
        <v>6</v>
      </c>
      <c r="B60" s="143">
        <v>101822</v>
      </c>
      <c r="C60" s="175" t="s">
        <v>2264</v>
      </c>
      <c r="D60" s="438">
        <f t="shared" si="15"/>
        <v>9051822</v>
      </c>
      <c r="E60" s="437">
        <v>1029515</v>
      </c>
      <c r="F60" s="437">
        <v>314743</v>
      </c>
      <c r="G60" s="437">
        <v>190919</v>
      </c>
      <c r="H60" s="437"/>
      <c r="I60" s="437">
        <v>1673956</v>
      </c>
      <c r="J60" s="437"/>
      <c r="K60" s="437">
        <v>702000</v>
      </c>
      <c r="L60" s="437"/>
      <c r="M60" s="437">
        <v>5166933</v>
      </c>
      <c r="N60" s="437">
        <v>479418</v>
      </c>
      <c r="O60" s="437">
        <v>0</v>
      </c>
      <c r="P60" s="438">
        <f t="shared" si="16"/>
        <v>8830168</v>
      </c>
      <c r="Q60" s="437">
        <v>1926122</v>
      </c>
      <c r="R60" s="437">
        <v>868727</v>
      </c>
      <c r="S60" s="437"/>
      <c r="T60" s="437"/>
      <c r="U60" s="437"/>
      <c r="V60" s="437"/>
      <c r="W60" s="437">
        <v>537496</v>
      </c>
      <c r="X60" s="437">
        <v>245345</v>
      </c>
      <c r="Y60" s="437"/>
      <c r="Z60" s="437">
        <v>5252478</v>
      </c>
      <c r="AA60" s="437"/>
      <c r="AB60" s="437"/>
      <c r="AC60" s="437">
        <v>611675</v>
      </c>
      <c r="AD60" s="437">
        <v>49633</v>
      </c>
      <c r="AE60" s="437">
        <v>2025578</v>
      </c>
      <c r="AF60" s="437">
        <v>21115</v>
      </c>
      <c r="AG60" s="437">
        <v>19713</v>
      </c>
      <c r="AH60" s="437">
        <v>297336</v>
      </c>
      <c r="AI60" s="437">
        <v>277224</v>
      </c>
      <c r="AJ60" s="437">
        <v>113530</v>
      </c>
      <c r="AK60" s="437"/>
      <c r="AL60" s="437">
        <v>5300059</v>
      </c>
      <c r="AM60" s="437">
        <v>114305</v>
      </c>
    </row>
    <row r="61" spans="1:39" s="155" customFormat="1" ht="12" x14ac:dyDescent="0.2">
      <c r="A61" s="205">
        <v>7</v>
      </c>
      <c r="B61" s="143">
        <v>93085</v>
      </c>
      <c r="C61" s="175" t="s">
        <v>2265</v>
      </c>
      <c r="D61" s="438">
        <f t="shared" si="15"/>
        <v>9277861</v>
      </c>
      <c r="E61" s="437">
        <v>2884345</v>
      </c>
      <c r="F61" s="437">
        <v>569660</v>
      </c>
      <c r="G61" s="437">
        <v>701055</v>
      </c>
      <c r="H61" s="437"/>
      <c r="I61" s="437">
        <v>2107479</v>
      </c>
      <c r="J61" s="437"/>
      <c r="K61" s="437">
        <v>1745000</v>
      </c>
      <c r="L61" s="437"/>
      <c r="M61" s="437">
        <v>1443590</v>
      </c>
      <c r="N61" s="437">
        <v>679794</v>
      </c>
      <c r="O61" s="437">
        <v>417653</v>
      </c>
      <c r="P61" s="438">
        <f t="shared" si="16"/>
        <v>9401199</v>
      </c>
      <c r="Q61" s="437">
        <v>2177550</v>
      </c>
      <c r="R61" s="437">
        <v>2870115</v>
      </c>
      <c r="S61" s="437">
        <v>5800</v>
      </c>
      <c r="T61" s="437"/>
      <c r="U61" s="437"/>
      <c r="V61" s="437"/>
      <c r="W61" s="437">
        <v>1096812</v>
      </c>
      <c r="X61" s="437">
        <v>535476</v>
      </c>
      <c r="Y61" s="437">
        <v>174028</v>
      </c>
      <c r="Z61" s="437">
        <v>2201938</v>
      </c>
      <c r="AA61" s="437">
        <v>339480</v>
      </c>
      <c r="AB61" s="437"/>
      <c r="AC61" s="437">
        <v>817056</v>
      </c>
      <c r="AD61" s="437">
        <v>669179</v>
      </c>
      <c r="AE61" s="437">
        <v>1925197</v>
      </c>
      <c r="AF61" s="437"/>
      <c r="AG61" s="437">
        <v>650752</v>
      </c>
      <c r="AH61" s="437">
        <v>781002</v>
      </c>
      <c r="AI61" s="437">
        <v>410054</v>
      </c>
      <c r="AJ61" s="437">
        <v>65756</v>
      </c>
      <c r="AK61" s="437"/>
      <c r="AL61" s="437">
        <v>3189396</v>
      </c>
      <c r="AM61" s="437">
        <v>892807</v>
      </c>
    </row>
    <row r="62" spans="1:39" s="155" customFormat="1" ht="12" x14ac:dyDescent="0.2">
      <c r="A62" s="205">
        <v>8</v>
      </c>
      <c r="B62" s="143">
        <v>180055</v>
      </c>
      <c r="C62" s="175" t="s">
        <v>2266</v>
      </c>
      <c r="D62" s="438">
        <f t="shared" si="15"/>
        <v>4593059</v>
      </c>
      <c r="E62" s="437">
        <v>657636</v>
      </c>
      <c r="F62" s="437">
        <v>128024</v>
      </c>
      <c r="G62" s="437">
        <v>215547</v>
      </c>
      <c r="H62" s="437"/>
      <c r="I62" s="437">
        <v>1022333</v>
      </c>
      <c r="J62" s="437"/>
      <c r="K62" s="437">
        <v>1198000</v>
      </c>
      <c r="L62" s="437"/>
      <c r="M62" s="437">
        <v>1208844</v>
      </c>
      <c r="N62" s="437">
        <v>434246</v>
      </c>
      <c r="O62" s="437">
        <v>72000</v>
      </c>
      <c r="P62" s="438">
        <f t="shared" si="16"/>
        <v>4640872</v>
      </c>
      <c r="Q62" s="437">
        <v>1350153</v>
      </c>
      <c r="R62" s="437">
        <v>1453170</v>
      </c>
      <c r="S62" s="437">
        <v>0</v>
      </c>
      <c r="T62" s="437"/>
      <c r="U62" s="437"/>
      <c r="V62" s="437"/>
      <c r="W62" s="437">
        <v>510878</v>
      </c>
      <c r="X62" s="437">
        <v>144638</v>
      </c>
      <c r="Y62" s="437">
        <v>0</v>
      </c>
      <c r="Z62" s="437">
        <v>1182033</v>
      </c>
      <c r="AA62" s="437">
        <v>0</v>
      </c>
      <c r="AB62" s="437"/>
      <c r="AC62" s="437">
        <v>978937</v>
      </c>
      <c r="AD62" s="437"/>
      <c r="AE62" s="437">
        <v>1308621</v>
      </c>
      <c r="AF62" s="437"/>
      <c r="AG62" s="437">
        <v>75919</v>
      </c>
      <c r="AH62" s="437">
        <v>332568</v>
      </c>
      <c r="AI62" s="437">
        <v>327965</v>
      </c>
      <c r="AJ62" s="437">
        <v>425044</v>
      </c>
      <c r="AK62" s="437"/>
      <c r="AL62" s="437">
        <v>1181137</v>
      </c>
      <c r="AM62" s="437">
        <v>10681</v>
      </c>
    </row>
    <row r="63" spans="1:39" s="155" customFormat="1" ht="12" x14ac:dyDescent="0.2">
      <c r="A63" s="205">
        <v>9</v>
      </c>
      <c r="B63" s="143">
        <v>102419</v>
      </c>
      <c r="C63" s="175" t="s">
        <v>2267</v>
      </c>
      <c r="D63" s="438">
        <f t="shared" si="15"/>
        <v>10741207</v>
      </c>
      <c r="E63" s="437">
        <v>2070011</v>
      </c>
      <c r="F63" s="437">
        <v>610818</v>
      </c>
      <c r="G63" s="437">
        <v>666165</v>
      </c>
      <c r="H63" s="437"/>
      <c r="I63" s="437">
        <v>2488075</v>
      </c>
      <c r="J63" s="437"/>
      <c r="K63" s="437">
        <v>1429000</v>
      </c>
      <c r="L63" s="437"/>
      <c r="M63" s="437">
        <v>3725726</v>
      </c>
      <c r="N63" s="437">
        <v>666484</v>
      </c>
      <c r="O63" s="437">
        <v>361911</v>
      </c>
      <c r="P63" s="438">
        <f t="shared" si="16"/>
        <v>11143133</v>
      </c>
      <c r="Q63" s="437">
        <v>2819129</v>
      </c>
      <c r="R63" s="437">
        <v>2491020</v>
      </c>
      <c r="S63" s="437"/>
      <c r="T63" s="437">
        <v>0</v>
      </c>
      <c r="U63" s="437">
        <v>5884</v>
      </c>
      <c r="V63" s="437"/>
      <c r="W63" s="437">
        <v>738622</v>
      </c>
      <c r="X63" s="437">
        <v>827531</v>
      </c>
      <c r="Y63" s="437"/>
      <c r="Z63" s="437">
        <v>4260947</v>
      </c>
      <c r="AA63" s="437"/>
      <c r="AB63" s="437"/>
      <c r="AC63" s="437">
        <v>1801263</v>
      </c>
      <c r="AD63" s="437">
        <v>0</v>
      </c>
      <c r="AE63" s="437">
        <v>3999612</v>
      </c>
      <c r="AF63" s="437">
        <v>16882</v>
      </c>
      <c r="AG63" s="437">
        <v>73421</v>
      </c>
      <c r="AH63" s="437">
        <v>842973</v>
      </c>
      <c r="AI63" s="437">
        <v>655362</v>
      </c>
      <c r="AJ63" s="437"/>
      <c r="AK63" s="437"/>
      <c r="AL63" s="437">
        <v>3571714</v>
      </c>
      <c r="AM63" s="437">
        <v>181906</v>
      </c>
    </row>
    <row r="64" spans="1:39" s="155" customFormat="1" ht="12" x14ac:dyDescent="0.2">
      <c r="A64" s="205">
        <v>10</v>
      </c>
      <c r="B64" s="143">
        <v>93281</v>
      </c>
      <c r="C64" s="175" t="s">
        <v>2268</v>
      </c>
      <c r="D64" s="438">
        <f t="shared" si="15"/>
        <v>12282274</v>
      </c>
      <c r="E64" s="437">
        <v>2517609</v>
      </c>
      <c r="F64" s="437">
        <v>1011701</v>
      </c>
      <c r="G64" s="437">
        <v>214607</v>
      </c>
      <c r="H64" s="437"/>
      <c r="I64" s="437">
        <v>1961710</v>
      </c>
      <c r="J64" s="437">
        <v>126946</v>
      </c>
      <c r="K64" s="437">
        <v>780000</v>
      </c>
      <c r="L64" s="437">
        <v>0</v>
      </c>
      <c r="M64" s="437">
        <v>3600766</v>
      </c>
      <c r="N64" s="437">
        <v>3215500</v>
      </c>
      <c r="O64" s="437">
        <v>79743</v>
      </c>
      <c r="P64" s="438">
        <f t="shared" si="16"/>
        <v>11486987</v>
      </c>
      <c r="Q64" s="437">
        <v>2322445</v>
      </c>
      <c r="R64" s="437">
        <v>1401212</v>
      </c>
      <c r="S64" s="437"/>
      <c r="T64" s="437">
        <v>0</v>
      </c>
      <c r="U64" s="437">
        <v>6038</v>
      </c>
      <c r="V64" s="437"/>
      <c r="W64" s="437">
        <v>4732258</v>
      </c>
      <c r="X64" s="437">
        <v>365945</v>
      </c>
      <c r="Y64" s="437">
        <v>0</v>
      </c>
      <c r="Z64" s="437">
        <v>2833788</v>
      </c>
      <c r="AA64" s="437"/>
      <c r="AB64" s="437">
        <v>-174699</v>
      </c>
      <c r="AC64" s="437">
        <v>1325521</v>
      </c>
      <c r="AD64" s="437">
        <v>120506</v>
      </c>
      <c r="AE64" s="437">
        <v>6323458</v>
      </c>
      <c r="AF64" s="437"/>
      <c r="AG64" s="437">
        <v>39755</v>
      </c>
      <c r="AH64" s="437">
        <v>776270</v>
      </c>
      <c r="AI64" s="437">
        <v>-94227</v>
      </c>
      <c r="AJ64" s="437">
        <v>2296081</v>
      </c>
      <c r="AK64" s="437"/>
      <c r="AL64" s="437">
        <v>699623</v>
      </c>
      <c r="AM64" s="437">
        <v>0</v>
      </c>
    </row>
    <row r="65" spans="1:39" s="155" customFormat="1" ht="12" x14ac:dyDescent="0.2">
      <c r="A65" s="205">
        <v>11</v>
      </c>
      <c r="B65" s="143">
        <v>93325</v>
      </c>
      <c r="C65" s="175" t="s">
        <v>2269</v>
      </c>
      <c r="D65" s="438">
        <f t="shared" si="15"/>
        <v>4645319</v>
      </c>
      <c r="E65" s="437">
        <v>1334459</v>
      </c>
      <c r="F65" s="437">
        <v>219064</v>
      </c>
      <c r="G65" s="437">
        <v>194540</v>
      </c>
      <c r="H65" s="437"/>
      <c r="I65" s="437">
        <v>992433</v>
      </c>
      <c r="J65" s="437"/>
      <c r="K65" s="437">
        <v>733000</v>
      </c>
      <c r="L65" s="437"/>
      <c r="M65" s="437">
        <v>359728</v>
      </c>
      <c r="N65" s="437">
        <v>1225699</v>
      </c>
      <c r="O65" s="437">
        <v>0</v>
      </c>
      <c r="P65" s="438">
        <f t="shared" si="16"/>
        <v>5065850</v>
      </c>
      <c r="Q65" s="437">
        <v>1069913</v>
      </c>
      <c r="R65" s="437">
        <v>1411097</v>
      </c>
      <c r="S65" s="437">
        <v>6000</v>
      </c>
      <c r="T65" s="437"/>
      <c r="U65" s="437"/>
      <c r="V65" s="437"/>
      <c r="W65" s="437">
        <v>2140206</v>
      </c>
      <c r="X65" s="437">
        <v>316523</v>
      </c>
      <c r="Y65" s="437">
        <v>0</v>
      </c>
      <c r="Z65" s="437">
        <v>96814</v>
      </c>
      <c r="AA65" s="437">
        <v>29000</v>
      </c>
      <c r="AB65" s="437">
        <v>-3703</v>
      </c>
      <c r="AC65" s="437">
        <v>1144953</v>
      </c>
      <c r="AD65" s="437">
        <v>3679</v>
      </c>
      <c r="AE65" s="437">
        <v>1076747</v>
      </c>
      <c r="AF65" s="437">
        <v>6361</v>
      </c>
      <c r="AG65" s="437">
        <v>1158759</v>
      </c>
      <c r="AH65" s="437">
        <v>316193</v>
      </c>
      <c r="AI65" s="437">
        <v>152280</v>
      </c>
      <c r="AJ65" s="437">
        <v>40130</v>
      </c>
      <c r="AK65" s="437"/>
      <c r="AL65" s="437">
        <v>76289</v>
      </c>
      <c r="AM65" s="437">
        <v>1090459</v>
      </c>
    </row>
    <row r="66" spans="1:39" s="155" customFormat="1" ht="12" x14ac:dyDescent="0.2">
      <c r="A66" s="205">
        <v>12</v>
      </c>
      <c r="B66" s="143">
        <v>93441</v>
      </c>
      <c r="C66" s="175" t="s">
        <v>2005</v>
      </c>
      <c r="D66" s="438">
        <f t="shared" si="15"/>
        <v>3717227</v>
      </c>
      <c r="E66" s="437">
        <v>1138188</v>
      </c>
      <c r="F66" s="437">
        <v>284048</v>
      </c>
      <c r="G66" s="437">
        <v>114616</v>
      </c>
      <c r="H66" s="437"/>
      <c r="I66" s="437">
        <v>1475273</v>
      </c>
      <c r="J66" s="437"/>
      <c r="K66" s="437">
        <v>667000</v>
      </c>
      <c r="L66" s="437">
        <v>0</v>
      </c>
      <c r="M66" s="437">
        <v>255786</v>
      </c>
      <c r="N66" s="437">
        <v>123380</v>
      </c>
      <c r="O66" s="437">
        <v>57600</v>
      </c>
      <c r="P66" s="438">
        <f t="shared" si="16"/>
        <v>3633953</v>
      </c>
      <c r="Q66" s="437">
        <v>1655144</v>
      </c>
      <c r="R66" s="437">
        <v>1141814</v>
      </c>
      <c r="S66" s="437"/>
      <c r="T66" s="437"/>
      <c r="U66" s="437"/>
      <c r="V66" s="437"/>
      <c r="W66" s="437"/>
      <c r="X66" s="437">
        <v>288312</v>
      </c>
      <c r="Y66" s="437">
        <v>51120</v>
      </c>
      <c r="Z66" s="437">
        <v>497563</v>
      </c>
      <c r="AA66" s="437"/>
      <c r="AB66" s="437"/>
      <c r="AC66" s="437">
        <v>666528</v>
      </c>
      <c r="AD66" s="437">
        <v>150958</v>
      </c>
      <c r="AE66" s="437">
        <v>1188635</v>
      </c>
      <c r="AF66" s="437"/>
      <c r="AG66" s="437">
        <v>239078</v>
      </c>
      <c r="AH66" s="437">
        <v>491446</v>
      </c>
      <c r="AI66" s="437">
        <v>350416</v>
      </c>
      <c r="AJ66" s="437">
        <v>0</v>
      </c>
      <c r="AK66" s="437"/>
      <c r="AL66" s="437">
        <v>546892</v>
      </c>
      <c r="AM66" s="437">
        <v>0</v>
      </c>
    </row>
    <row r="67" spans="1:39" s="155" customFormat="1" ht="12" x14ac:dyDescent="0.2">
      <c r="A67" s="205">
        <v>13</v>
      </c>
      <c r="B67" s="143">
        <v>93370</v>
      </c>
      <c r="C67" s="175" t="s">
        <v>2270</v>
      </c>
      <c r="D67" s="438">
        <f t="shared" si="15"/>
        <v>8396418</v>
      </c>
      <c r="E67" s="437">
        <v>2644511</v>
      </c>
      <c r="F67" s="437">
        <v>637302</v>
      </c>
      <c r="G67" s="437">
        <v>520628</v>
      </c>
      <c r="H67" s="437"/>
      <c r="I67" s="437">
        <v>3354712</v>
      </c>
      <c r="J67" s="437">
        <v>168996</v>
      </c>
      <c r="K67" s="437">
        <v>1088000</v>
      </c>
      <c r="L67" s="437">
        <v>0</v>
      </c>
      <c r="M67" s="437">
        <v>269687</v>
      </c>
      <c r="N67" s="437">
        <v>462253</v>
      </c>
      <c r="O67" s="437">
        <v>408259</v>
      </c>
      <c r="P67" s="438">
        <f t="shared" si="16"/>
        <v>7715487</v>
      </c>
      <c r="Q67" s="437">
        <v>3659325</v>
      </c>
      <c r="R67" s="437">
        <v>1755230</v>
      </c>
      <c r="S67" s="437"/>
      <c r="T67" s="437"/>
      <c r="U67" s="437"/>
      <c r="V67" s="437">
        <v>0</v>
      </c>
      <c r="W67" s="437">
        <v>694006</v>
      </c>
      <c r="X67" s="437">
        <v>506975</v>
      </c>
      <c r="Y67" s="437"/>
      <c r="Z67" s="437">
        <v>1099951</v>
      </c>
      <c r="AA67" s="437"/>
      <c r="AB67" s="437">
        <v>0</v>
      </c>
      <c r="AC67" s="437">
        <v>1210226</v>
      </c>
      <c r="AD67" s="437"/>
      <c r="AE67" s="437">
        <v>3061807</v>
      </c>
      <c r="AF67" s="437">
        <v>0</v>
      </c>
      <c r="AG67" s="437">
        <v>150539</v>
      </c>
      <c r="AH67" s="437">
        <v>1126281</v>
      </c>
      <c r="AI67" s="437">
        <v>684823</v>
      </c>
      <c r="AJ67" s="437">
        <v>84575</v>
      </c>
      <c r="AK67" s="437"/>
      <c r="AL67" s="437">
        <v>703230</v>
      </c>
      <c r="AM67" s="437">
        <v>694006</v>
      </c>
    </row>
    <row r="68" spans="1:39" s="155" customFormat="1" ht="12" x14ac:dyDescent="0.2">
      <c r="A68" s="205">
        <v>14</v>
      </c>
      <c r="B68" s="143">
        <v>93487</v>
      </c>
      <c r="C68" s="175" t="s">
        <v>2271</v>
      </c>
      <c r="D68" s="438">
        <f t="shared" si="15"/>
        <v>13608568</v>
      </c>
      <c r="E68" s="437">
        <v>5455063</v>
      </c>
      <c r="F68" s="437">
        <v>1882082</v>
      </c>
      <c r="G68" s="437">
        <v>343682</v>
      </c>
      <c r="H68" s="437"/>
      <c r="I68" s="437">
        <v>5270452</v>
      </c>
      <c r="J68" s="437">
        <v>340000</v>
      </c>
      <c r="K68" s="437">
        <v>739000</v>
      </c>
      <c r="L68" s="437"/>
      <c r="M68" s="437">
        <v>1525334</v>
      </c>
      <c r="N68" s="437">
        <v>144369</v>
      </c>
      <c r="O68" s="437">
        <v>134350</v>
      </c>
      <c r="P68" s="438">
        <f t="shared" si="16"/>
        <v>13047312</v>
      </c>
      <c r="Q68" s="437">
        <v>5390765</v>
      </c>
      <c r="R68" s="437">
        <v>2294646</v>
      </c>
      <c r="S68" s="437"/>
      <c r="T68" s="437"/>
      <c r="U68" s="437"/>
      <c r="V68" s="437"/>
      <c r="W68" s="437"/>
      <c r="X68" s="437">
        <v>844533</v>
      </c>
      <c r="Y68" s="437">
        <v>70000</v>
      </c>
      <c r="Z68" s="437">
        <v>4452660</v>
      </c>
      <c r="AA68" s="437"/>
      <c r="AB68" s="437">
        <v>-5292</v>
      </c>
      <c r="AC68" s="437">
        <v>2254563</v>
      </c>
      <c r="AD68" s="437">
        <v>351058</v>
      </c>
      <c r="AE68" s="437">
        <v>5453500</v>
      </c>
      <c r="AF68" s="437">
        <v>49002</v>
      </c>
      <c r="AG68" s="437">
        <v>127207</v>
      </c>
      <c r="AH68" s="437">
        <v>844533</v>
      </c>
      <c r="AI68" s="437">
        <v>1507252</v>
      </c>
      <c r="AJ68" s="437">
        <v>1589457</v>
      </c>
      <c r="AK68" s="437"/>
      <c r="AL68" s="437">
        <v>582811</v>
      </c>
      <c r="AM68" s="437">
        <v>287929</v>
      </c>
    </row>
    <row r="69" spans="1:39" s="155" customFormat="1" ht="12" x14ac:dyDescent="0.2">
      <c r="A69" s="205">
        <v>15</v>
      </c>
      <c r="B69" s="143">
        <v>93539</v>
      </c>
      <c r="C69" s="175" t="s">
        <v>2272</v>
      </c>
      <c r="D69" s="438">
        <f t="shared" si="15"/>
        <v>4571519</v>
      </c>
      <c r="E69" s="437">
        <v>2255114</v>
      </c>
      <c r="F69" s="437">
        <v>776564</v>
      </c>
      <c r="G69" s="437">
        <v>72762</v>
      </c>
      <c r="H69" s="437"/>
      <c r="I69" s="437">
        <v>1288842</v>
      </c>
      <c r="J69" s="437">
        <v>93000</v>
      </c>
      <c r="K69" s="437">
        <v>223000</v>
      </c>
      <c r="L69" s="437">
        <v>0</v>
      </c>
      <c r="M69" s="437">
        <v>138301</v>
      </c>
      <c r="N69" s="437">
        <v>368262</v>
      </c>
      <c r="O69" s="437">
        <v>205000</v>
      </c>
      <c r="P69" s="438">
        <f t="shared" si="16"/>
        <v>4209345</v>
      </c>
      <c r="Q69" s="437">
        <v>1455111</v>
      </c>
      <c r="R69" s="437">
        <v>1624051</v>
      </c>
      <c r="S69" s="437"/>
      <c r="T69" s="437"/>
      <c r="U69" s="437"/>
      <c r="V69" s="437"/>
      <c r="W69" s="437">
        <v>464955</v>
      </c>
      <c r="X69" s="437">
        <v>309015</v>
      </c>
      <c r="Y69" s="437">
        <v>50000</v>
      </c>
      <c r="Z69" s="437">
        <v>333523</v>
      </c>
      <c r="AA69" s="437"/>
      <c r="AB69" s="437">
        <v>-27310</v>
      </c>
      <c r="AC69" s="437">
        <v>1476272</v>
      </c>
      <c r="AD69" s="437"/>
      <c r="AE69" s="437">
        <v>1100713</v>
      </c>
      <c r="AF69" s="437"/>
      <c r="AG69" s="437">
        <v>574933</v>
      </c>
      <c r="AH69" s="437">
        <v>570987</v>
      </c>
      <c r="AI69" s="437">
        <v>271493</v>
      </c>
      <c r="AJ69" s="437">
        <v>48000</v>
      </c>
      <c r="AK69" s="437"/>
      <c r="AL69" s="437">
        <v>166947</v>
      </c>
      <c r="AM69" s="437"/>
    </row>
    <row r="70" spans="1:39" s="155" customFormat="1" ht="12" x14ac:dyDescent="0.2">
      <c r="A70" s="205">
        <v>16</v>
      </c>
      <c r="B70" s="143">
        <v>102838</v>
      </c>
      <c r="C70" s="175" t="s">
        <v>1920</v>
      </c>
      <c r="D70" s="438">
        <f t="shared" si="15"/>
        <v>3567632</v>
      </c>
      <c r="E70" s="437">
        <v>964735</v>
      </c>
      <c r="F70" s="437">
        <v>185385</v>
      </c>
      <c r="G70" s="437">
        <v>135098</v>
      </c>
      <c r="H70" s="437"/>
      <c r="I70" s="437">
        <v>1172770</v>
      </c>
      <c r="J70" s="437">
        <v>99520</v>
      </c>
      <c r="K70" s="437">
        <v>675000</v>
      </c>
      <c r="L70" s="437">
        <v>0</v>
      </c>
      <c r="M70" s="437">
        <v>603597</v>
      </c>
      <c r="N70" s="437"/>
      <c r="O70" s="437">
        <v>52010</v>
      </c>
      <c r="P70" s="438">
        <f t="shared" si="16"/>
        <v>3046275</v>
      </c>
      <c r="Q70" s="437">
        <v>1350051</v>
      </c>
      <c r="R70" s="437">
        <v>684712</v>
      </c>
      <c r="S70" s="437"/>
      <c r="T70" s="437"/>
      <c r="U70" s="437"/>
      <c r="V70" s="437"/>
      <c r="W70" s="437"/>
      <c r="X70" s="437">
        <v>176187</v>
      </c>
      <c r="Y70" s="437"/>
      <c r="Z70" s="437">
        <v>835325</v>
      </c>
      <c r="AA70" s="437"/>
      <c r="AB70" s="437">
        <v>0</v>
      </c>
      <c r="AC70" s="437">
        <v>641319</v>
      </c>
      <c r="AD70" s="437">
        <v>0</v>
      </c>
      <c r="AE70" s="437">
        <v>1124192</v>
      </c>
      <c r="AF70" s="437"/>
      <c r="AG70" s="437">
        <v>55329</v>
      </c>
      <c r="AH70" s="437">
        <v>176187</v>
      </c>
      <c r="AI70" s="437">
        <v>821717</v>
      </c>
      <c r="AJ70" s="437">
        <v>116352</v>
      </c>
      <c r="AK70" s="437"/>
      <c r="AL70" s="437">
        <v>111179</v>
      </c>
      <c r="AM70" s="437"/>
    </row>
    <row r="71" spans="1:39" s="155" customFormat="1" ht="12" x14ac:dyDescent="0.2">
      <c r="A71" s="205">
        <v>17</v>
      </c>
      <c r="B71" s="143">
        <v>102945</v>
      </c>
      <c r="C71" s="175" t="s">
        <v>2273</v>
      </c>
      <c r="D71" s="438">
        <f t="shared" si="15"/>
        <v>10752234</v>
      </c>
      <c r="E71" s="437">
        <v>1912859</v>
      </c>
      <c r="F71" s="437">
        <v>565930</v>
      </c>
      <c r="G71" s="437">
        <v>375914</v>
      </c>
      <c r="H71" s="437"/>
      <c r="I71" s="437">
        <v>2062972</v>
      </c>
      <c r="J71" s="437">
        <v>142000</v>
      </c>
      <c r="K71" s="437">
        <v>1008000</v>
      </c>
      <c r="L71" s="437"/>
      <c r="M71" s="437">
        <v>4990267</v>
      </c>
      <c r="N71" s="437">
        <v>482811</v>
      </c>
      <c r="O71" s="437">
        <v>153325</v>
      </c>
      <c r="P71" s="438">
        <f t="shared" si="16"/>
        <v>10503970</v>
      </c>
      <c r="Q71" s="437">
        <v>2358005</v>
      </c>
      <c r="R71" s="437">
        <v>1761658</v>
      </c>
      <c r="S71" s="437"/>
      <c r="T71" s="437"/>
      <c r="U71" s="437"/>
      <c r="V71" s="437"/>
      <c r="W71" s="437">
        <v>258864</v>
      </c>
      <c r="X71" s="437">
        <v>473404</v>
      </c>
      <c r="Y71" s="437">
        <v>8500</v>
      </c>
      <c r="Z71" s="437">
        <v>5643539</v>
      </c>
      <c r="AA71" s="437"/>
      <c r="AB71" s="437"/>
      <c r="AC71" s="437">
        <v>1760723</v>
      </c>
      <c r="AD71" s="437">
        <v>0</v>
      </c>
      <c r="AE71" s="437">
        <v>2175748</v>
      </c>
      <c r="AF71" s="437"/>
      <c r="AG71" s="437">
        <v>52241</v>
      </c>
      <c r="AH71" s="437">
        <v>473404</v>
      </c>
      <c r="AI71" s="437">
        <v>406451</v>
      </c>
      <c r="AJ71" s="437">
        <v>359395</v>
      </c>
      <c r="AK71" s="437"/>
      <c r="AL71" s="437">
        <v>5240457</v>
      </c>
      <c r="AM71" s="437">
        <v>35551</v>
      </c>
    </row>
    <row r="72" spans="1:39" s="155" customFormat="1" ht="12" x14ac:dyDescent="0.2">
      <c r="A72" s="205">
        <v>18</v>
      </c>
      <c r="B72" s="143">
        <v>103014</v>
      </c>
      <c r="C72" s="175" t="s">
        <v>2274</v>
      </c>
      <c r="D72" s="438">
        <f t="shared" si="15"/>
        <v>7920756</v>
      </c>
      <c r="E72" s="437">
        <v>1505391</v>
      </c>
      <c r="F72" s="437">
        <v>243943</v>
      </c>
      <c r="G72" s="437">
        <v>461207</v>
      </c>
      <c r="H72" s="437"/>
      <c r="I72" s="437">
        <v>1753500</v>
      </c>
      <c r="J72" s="437"/>
      <c r="K72" s="437">
        <v>1295000</v>
      </c>
      <c r="L72" s="437">
        <v>0</v>
      </c>
      <c r="M72" s="437">
        <v>2410335</v>
      </c>
      <c r="N72" s="437">
        <v>778623</v>
      </c>
      <c r="O72" s="437">
        <v>177907</v>
      </c>
      <c r="P72" s="438">
        <f t="shared" si="16"/>
        <v>7418459</v>
      </c>
      <c r="Q72" s="437">
        <v>1841348</v>
      </c>
      <c r="R72" s="437">
        <v>1273266</v>
      </c>
      <c r="S72" s="437"/>
      <c r="T72" s="437"/>
      <c r="U72" s="437">
        <v>466000</v>
      </c>
      <c r="V72" s="437">
        <v>0</v>
      </c>
      <c r="W72" s="437">
        <v>547488</v>
      </c>
      <c r="X72" s="437">
        <v>495354</v>
      </c>
      <c r="Y72" s="437">
        <v>22460</v>
      </c>
      <c r="Z72" s="437">
        <v>2772543</v>
      </c>
      <c r="AA72" s="437"/>
      <c r="AB72" s="437"/>
      <c r="AC72" s="437">
        <v>1599528</v>
      </c>
      <c r="AD72" s="437">
        <v>0</v>
      </c>
      <c r="AE72" s="437">
        <v>2064528</v>
      </c>
      <c r="AF72" s="437"/>
      <c r="AG72" s="437">
        <v>343</v>
      </c>
      <c r="AH72" s="437">
        <v>568086</v>
      </c>
      <c r="AI72" s="437">
        <v>424680</v>
      </c>
      <c r="AJ72" s="437">
        <v>532235</v>
      </c>
      <c r="AK72" s="437"/>
      <c r="AL72" s="437">
        <v>2229059</v>
      </c>
      <c r="AM72" s="437"/>
    </row>
    <row r="73" spans="1:39" s="155" customFormat="1" ht="12" x14ac:dyDescent="0.2">
      <c r="A73" s="205">
        <v>19</v>
      </c>
      <c r="B73" s="143">
        <v>179962</v>
      </c>
      <c r="C73" s="175" t="s">
        <v>2275</v>
      </c>
      <c r="D73" s="438">
        <f t="shared" si="15"/>
        <v>7589477</v>
      </c>
      <c r="E73" s="437">
        <v>760196</v>
      </c>
      <c r="F73" s="437">
        <v>130517</v>
      </c>
      <c r="G73" s="437">
        <v>338289</v>
      </c>
      <c r="H73" s="437"/>
      <c r="I73" s="437">
        <v>1513641</v>
      </c>
      <c r="J73" s="437"/>
      <c r="K73" s="437">
        <v>1554000</v>
      </c>
      <c r="L73" s="437">
        <v>0</v>
      </c>
      <c r="M73" s="437">
        <v>3221269</v>
      </c>
      <c r="N73" s="437">
        <v>448916</v>
      </c>
      <c r="O73" s="437">
        <v>91455</v>
      </c>
      <c r="P73" s="438">
        <f t="shared" si="16"/>
        <v>7638293</v>
      </c>
      <c r="Q73" s="437">
        <v>1559305</v>
      </c>
      <c r="R73" s="437">
        <v>1290168</v>
      </c>
      <c r="S73" s="437"/>
      <c r="T73" s="437"/>
      <c r="U73" s="437"/>
      <c r="V73" s="437"/>
      <c r="W73" s="437">
        <v>598010</v>
      </c>
      <c r="X73" s="437">
        <v>404211</v>
      </c>
      <c r="Y73" s="437">
        <v>4000</v>
      </c>
      <c r="Z73" s="437">
        <v>3782599</v>
      </c>
      <c r="AA73" s="437"/>
      <c r="AB73" s="437"/>
      <c r="AC73" s="437">
        <v>887763</v>
      </c>
      <c r="AD73" s="437">
        <v>11729</v>
      </c>
      <c r="AE73" s="437">
        <v>1941007</v>
      </c>
      <c r="AF73" s="437"/>
      <c r="AG73" s="437">
        <v>314937</v>
      </c>
      <c r="AH73" s="437">
        <v>404211</v>
      </c>
      <c r="AI73" s="437">
        <v>698004</v>
      </c>
      <c r="AJ73" s="437">
        <v>144620</v>
      </c>
      <c r="AK73" s="437"/>
      <c r="AL73" s="437">
        <v>3206022</v>
      </c>
      <c r="AM73" s="437">
        <v>30000</v>
      </c>
    </row>
    <row r="74" spans="1:39" s="155" customFormat="1" ht="12" x14ac:dyDescent="0.2">
      <c r="A74" s="205">
        <v>20</v>
      </c>
      <c r="B74" s="143">
        <v>93664</v>
      </c>
      <c r="C74" s="175" t="s">
        <v>2276</v>
      </c>
      <c r="D74" s="438">
        <f t="shared" si="15"/>
        <v>8363674</v>
      </c>
      <c r="E74" s="437">
        <v>2302646</v>
      </c>
      <c r="F74" s="437">
        <v>551580</v>
      </c>
      <c r="G74" s="437">
        <v>238380</v>
      </c>
      <c r="H74" s="437"/>
      <c r="I74" s="437">
        <v>2861268</v>
      </c>
      <c r="J74" s="437"/>
      <c r="K74" s="437">
        <v>455000</v>
      </c>
      <c r="L74" s="437"/>
      <c r="M74" s="437">
        <v>1849232</v>
      </c>
      <c r="N74" s="437">
        <v>750528</v>
      </c>
      <c r="O74" s="437">
        <v>145000</v>
      </c>
      <c r="P74" s="438">
        <f t="shared" si="16"/>
        <v>8239913</v>
      </c>
      <c r="Q74" s="437">
        <v>2756556</v>
      </c>
      <c r="R74" s="437">
        <v>1713305</v>
      </c>
      <c r="S74" s="437">
        <v>4518</v>
      </c>
      <c r="T74" s="437"/>
      <c r="U74" s="437">
        <v>55160</v>
      </c>
      <c r="V74" s="437"/>
      <c r="W74" s="437">
        <v>770964</v>
      </c>
      <c r="X74" s="437">
        <v>508662</v>
      </c>
      <c r="Y74" s="437">
        <v>0</v>
      </c>
      <c r="Z74" s="437">
        <v>2280748</v>
      </c>
      <c r="AA74" s="437">
        <v>150000</v>
      </c>
      <c r="AB74" s="437"/>
      <c r="AC74" s="437">
        <v>705897</v>
      </c>
      <c r="AD74" s="437"/>
      <c r="AE74" s="437">
        <v>3187028</v>
      </c>
      <c r="AF74" s="437">
        <v>0</v>
      </c>
      <c r="AG74" s="437">
        <v>197993</v>
      </c>
      <c r="AH74" s="437">
        <v>891973</v>
      </c>
      <c r="AI74" s="437">
        <v>1226826</v>
      </c>
      <c r="AJ74" s="437">
        <v>105352</v>
      </c>
      <c r="AK74" s="437"/>
      <c r="AL74" s="437">
        <v>1924844</v>
      </c>
      <c r="AM74" s="437"/>
    </row>
    <row r="75" spans="1:39" s="155" customFormat="1" ht="12" x14ac:dyDescent="0.2">
      <c r="A75" s="205">
        <v>21</v>
      </c>
      <c r="B75" s="143">
        <v>103568</v>
      </c>
      <c r="C75" s="175" t="s">
        <v>2277</v>
      </c>
      <c r="D75" s="438">
        <f t="shared" si="15"/>
        <v>2929040</v>
      </c>
      <c r="E75" s="437">
        <v>987139</v>
      </c>
      <c r="F75" s="437">
        <v>197127</v>
      </c>
      <c r="G75" s="437">
        <v>164261</v>
      </c>
      <c r="H75" s="437"/>
      <c r="I75" s="437">
        <v>809000</v>
      </c>
      <c r="J75" s="437">
        <v>85000</v>
      </c>
      <c r="K75" s="437">
        <v>716000</v>
      </c>
      <c r="L75" s="437">
        <v>0</v>
      </c>
      <c r="M75" s="437">
        <v>83901</v>
      </c>
      <c r="N75" s="437"/>
      <c r="O75" s="437">
        <v>248000</v>
      </c>
      <c r="P75" s="438">
        <f t="shared" si="16"/>
        <v>2884889</v>
      </c>
      <c r="Q75" s="437">
        <v>1029660</v>
      </c>
      <c r="R75" s="437">
        <v>1058231</v>
      </c>
      <c r="S75" s="437"/>
      <c r="T75" s="437"/>
      <c r="U75" s="437"/>
      <c r="V75" s="437"/>
      <c r="W75" s="437"/>
      <c r="X75" s="437">
        <v>179883</v>
      </c>
      <c r="Y75" s="437">
        <v>0</v>
      </c>
      <c r="Z75" s="437">
        <v>617115</v>
      </c>
      <c r="AA75" s="437"/>
      <c r="AB75" s="437"/>
      <c r="AC75" s="437">
        <v>1078409</v>
      </c>
      <c r="AD75" s="437">
        <v>53016</v>
      </c>
      <c r="AE75" s="437">
        <v>965340</v>
      </c>
      <c r="AF75" s="437"/>
      <c r="AG75" s="437">
        <v>195000</v>
      </c>
      <c r="AH75" s="437">
        <v>179883</v>
      </c>
      <c r="AI75" s="437">
        <v>221877</v>
      </c>
      <c r="AJ75" s="437">
        <v>90679</v>
      </c>
      <c r="AK75" s="437"/>
      <c r="AL75" s="437">
        <v>100685</v>
      </c>
      <c r="AM75" s="437"/>
    </row>
    <row r="76" spans="1:39" s="155" customFormat="1" ht="12" x14ac:dyDescent="0.2">
      <c r="A76" s="205">
        <v>22</v>
      </c>
      <c r="B76" s="143">
        <v>103764</v>
      </c>
      <c r="C76" s="175" t="s">
        <v>2278</v>
      </c>
      <c r="D76" s="438">
        <f t="shared" si="15"/>
        <v>8613875</v>
      </c>
      <c r="E76" s="437">
        <v>1621881</v>
      </c>
      <c r="F76" s="437">
        <v>591874</v>
      </c>
      <c r="G76" s="437">
        <v>242987</v>
      </c>
      <c r="H76" s="437"/>
      <c r="I76" s="437">
        <v>1451941</v>
      </c>
      <c r="J76" s="437">
        <v>244000</v>
      </c>
      <c r="K76" s="437">
        <v>1159000</v>
      </c>
      <c r="L76" s="437"/>
      <c r="M76" s="437">
        <v>3893312</v>
      </c>
      <c r="N76" s="437">
        <v>103741</v>
      </c>
      <c r="O76" s="437">
        <v>140000</v>
      </c>
      <c r="P76" s="438">
        <f t="shared" si="16"/>
        <v>8362336</v>
      </c>
      <c r="Q76" s="437">
        <v>1626722</v>
      </c>
      <c r="R76" s="437">
        <v>2530417</v>
      </c>
      <c r="S76" s="437">
        <v>9000</v>
      </c>
      <c r="T76" s="437"/>
      <c r="U76" s="437"/>
      <c r="V76" s="437"/>
      <c r="W76" s="437"/>
      <c r="X76" s="437">
        <v>264922</v>
      </c>
      <c r="Y76" s="437">
        <v>10000</v>
      </c>
      <c r="Z76" s="437">
        <v>3870380</v>
      </c>
      <c r="AA76" s="437">
        <v>50895</v>
      </c>
      <c r="AB76" s="437"/>
      <c r="AC76" s="437">
        <v>1001824</v>
      </c>
      <c r="AD76" s="437">
        <v>10791</v>
      </c>
      <c r="AE76" s="437">
        <v>1499859</v>
      </c>
      <c r="AF76" s="437"/>
      <c r="AG76" s="437">
        <v>11404</v>
      </c>
      <c r="AH76" s="437">
        <v>390528</v>
      </c>
      <c r="AI76" s="437">
        <v>583153</v>
      </c>
      <c r="AJ76" s="437">
        <v>250252</v>
      </c>
      <c r="AK76" s="437"/>
      <c r="AL76" s="437">
        <v>4614525</v>
      </c>
      <c r="AM76" s="437"/>
    </row>
    <row r="77" spans="1:39" s="155" customFormat="1" ht="12" x14ac:dyDescent="0.2">
      <c r="A77" s="205">
        <v>23</v>
      </c>
      <c r="B77" s="143">
        <v>93771</v>
      </c>
      <c r="C77" s="175" t="s">
        <v>2279</v>
      </c>
      <c r="D77" s="438">
        <f t="shared" si="15"/>
        <v>6873265</v>
      </c>
      <c r="E77" s="437">
        <v>1233375</v>
      </c>
      <c r="F77" s="437">
        <v>579578</v>
      </c>
      <c r="G77" s="437">
        <v>81572</v>
      </c>
      <c r="H77" s="437"/>
      <c r="I77" s="437">
        <v>2171243</v>
      </c>
      <c r="J77" s="437"/>
      <c r="K77" s="437">
        <v>493000</v>
      </c>
      <c r="L77" s="437">
        <v>0</v>
      </c>
      <c r="M77" s="437">
        <v>801009</v>
      </c>
      <c r="N77" s="437">
        <v>2124638</v>
      </c>
      <c r="O77" s="437">
        <v>50000</v>
      </c>
      <c r="P77" s="438">
        <f t="shared" si="16"/>
        <v>8177572</v>
      </c>
      <c r="Q77" s="437">
        <v>2180787</v>
      </c>
      <c r="R77" s="437">
        <v>846577</v>
      </c>
      <c r="S77" s="437">
        <v>4199</v>
      </c>
      <c r="T77" s="437"/>
      <c r="U77" s="437"/>
      <c r="V77" s="437"/>
      <c r="W77" s="437">
        <v>3708988</v>
      </c>
      <c r="X77" s="437">
        <v>430569</v>
      </c>
      <c r="Y77" s="437">
        <v>10000</v>
      </c>
      <c r="Z77" s="437">
        <v>982869</v>
      </c>
      <c r="AA77" s="437">
        <v>13583</v>
      </c>
      <c r="AB77" s="437">
        <v>0</v>
      </c>
      <c r="AC77" s="437">
        <v>922518</v>
      </c>
      <c r="AD77" s="437">
        <v>0</v>
      </c>
      <c r="AE77" s="437">
        <v>1717001</v>
      </c>
      <c r="AF77" s="437">
        <v>1500</v>
      </c>
      <c r="AG77" s="437">
        <v>99353</v>
      </c>
      <c r="AH77" s="437">
        <v>602407</v>
      </c>
      <c r="AI77" s="437">
        <v>633135</v>
      </c>
      <c r="AJ77" s="437">
        <v>852</v>
      </c>
      <c r="AK77" s="437"/>
      <c r="AL77" s="437">
        <v>4196806</v>
      </c>
      <c r="AM77" s="437">
        <v>4000</v>
      </c>
    </row>
    <row r="78" spans="1:39" s="155" customFormat="1" ht="12" x14ac:dyDescent="0.2">
      <c r="A78" s="205">
        <v>24</v>
      </c>
      <c r="B78" s="143">
        <v>93815</v>
      </c>
      <c r="C78" s="175" t="s">
        <v>2280</v>
      </c>
      <c r="D78" s="438">
        <f t="shared" si="15"/>
        <v>8985483</v>
      </c>
      <c r="E78" s="437">
        <v>2008957</v>
      </c>
      <c r="F78" s="437">
        <v>479672</v>
      </c>
      <c r="G78" s="437">
        <v>318267</v>
      </c>
      <c r="H78" s="437"/>
      <c r="I78" s="437">
        <v>2060072</v>
      </c>
      <c r="J78" s="437"/>
      <c r="K78" s="437">
        <v>850000</v>
      </c>
      <c r="L78" s="437">
        <v>0</v>
      </c>
      <c r="M78" s="437">
        <v>2344910</v>
      </c>
      <c r="N78" s="437">
        <v>1407342</v>
      </c>
      <c r="O78" s="437">
        <v>314202</v>
      </c>
      <c r="P78" s="438">
        <f t="shared" si="16"/>
        <v>9684805</v>
      </c>
      <c r="Q78" s="437">
        <v>2346934</v>
      </c>
      <c r="R78" s="437">
        <v>1278333</v>
      </c>
      <c r="S78" s="437">
        <v>6934</v>
      </c>
      <c r="T78" s="437"/>
      <c r="U78" s="437">
        <v>25800</v>
      </c>
      <c r="V78" s="437"/>
      <c r="W78" s="437">
        <v>2233514</v>
      </c>
      <c r="X78" s="437">
        <v>770570</v>
      </c>
      <c r="Y78" s="437"/>
      <c r="Z78" s="437">
        <v>2555064</v>
      </c>
      <c r="AA78" s="437">
        <v>471977</v>
      </c>
      <c r="AB78" s="437">
        <v>-4321</v>
      </c>
      <c r="AC78" s="437">
        <v>1959831</v>
      </c>
      <c r="AD78" s="437">
        <v>18553</v>
      </c>
      <c r="AE78" s="437">
        <v>3393703</v>
      </c>
      <c r="AF78" s="437">
        <v>25690</v>
      </c>
      <c r="AG78" s="437">
        <v>1749559</v>
      </c>
      <c r="AH78" s="437">
        <v>770570</v>
      </c>
      <c r="AI78" s="437">
        <v>138992</v>
      </c>
      <c r="AJ78" s="437">
        <v>0</v>
      </c>
      <c r="AK78" s="437"/>
      <c r="AL78" s="437">
        <v>1627907</v>
      </c>
      <c r="AM78" s="437">
        <v>0</v>
      </c>
    </row>
    <row r="79" spans="1:39" s="155" customFormat="1" ht="12" x14ac:dyDescent="0.2">
      <c r="A79" s="205">
        <v>25</v>
      </c>
      <c r="B79" s="143">
        <v>93851</v>
      </c>
      <c r="C79" s="175" t="s">
        <v>2281</v>
      </c>
      <c r="D79" s="438">
        <f t="shared" si="15"/>
        <v>3226921</v>
      </c>
      <c r="E79" s="437">
        <v>1297301</v>
      </c>
      <c r="F79" s="437">
        <v>444639</v>
      </c>
      <c r="G79" s="437">
        <v>148380</v>
      </c>
      <c r="H79" s="437"/>
      <c r="I79" s="437">
        <v>1027367</v>
      </c>
      <c r="J79" s="437">
        <v>29000</v>
      </c>
      <c r="K79" s="437">
        <v>857000</v>
      </c>
      <c r="L79" s="437"/>
      <c r="M79" s="437">
        <v>16253</v>
      </c>
      <c r="N79" s="437"/>
      <c r="O79" s="437">
        <v>0</v>
      </c>
      <c r="P79" s="438">
        <f t="shared" si="16"/>
        <v>2809106</v>
      </c>
      <c r="Q79" s="437">
        <v>1191058</v>
      </c>
      <c r="R79" s="437">
        <v>1427081</v>
      </c>
      <c r="S79" s="437"/>
      <c r="T79" s="437"/>
      <c r="U79" s="437"/>
      <c r="V79" s="437"/>
      <c r="W79" s="437"/>
      <c r="X79" s="437">
        <v>190967</v>
      </c>
      <c r="Y79" s="437"/>
      <c r="Z79" s="437">
        <v>0</v>
      </c>
      <c r="AA79" s="437"/>
      <c r="AB79" s="437"/>
      <c r="AC79" s="437">
        <v>997062</v>
      </c>
      <c r="AD79" s="437">
        <v>49819</v>
      </c>
      <c r="AE79" s="437">
        <v>1119367</v>
      </c>
      <c r="AF79" s="437"/>
      <c r="AG79" s="437"/>
      <c r="AH79" s="437">
        <v>190967</v>
      </c>
      <c r="AI79" s="437">
        <v>451891</v>
      </c>
      <c r="AJ79" s="437"/>
      <c r="AK79" s="437"/>
      <c r="AL79" s="437">
        <v>0</v>
      </c>
      <c r="AM79" s="437"/>
    </row>
    <row r="80" spans="1:39" s="155" customFormat="1" ht="12" x14ac:dyDescent="0.2">
      <c r="A80" s="205">
        <v>26</v>
      </c>
      <c r="B80" s="143">
        <v>104083</v>
      </c>
      <c r="C80" s="175" t="s">
        <v>2282</v>
      </c>
      <c r="D80" s="438">
        <f t="shared" si="15"/>
        <v>3481967</v>
      </c>
      <c r="E80" s="437">
        <v>642617</v>
      </c>
      <c r="F80" s="437">
        <v>128296</v>
      </c>
      <c r="G80" s="437">
        <v>248232</v>
      </c>
      <c r="H80" s="437"/>
      <c r="I80" s="437">
        <v>855000</v>
      </c>
      <c r="J80" s="437">
        <v>230000</v>
      </c>
      <c r="K80" s="437">
        <v>1057000</v>
      </c>
      <c r="L80" s="437"/>
      <c r="M80" s="437">
        <v>103133</v>
      </c>
      <c r="N80" s="437">
        <v>411493</v>
      </c>
      <c r="O80" s="437">
        <v>182724</v>
      </c>
      <c r="P80" s="438">
        <f t="shared" si="16"/>
        <v>3092632</v>
      </c>
      <c r="Q80" s="437">
        <v>1021765</v>
      </c>
      <c r="R80" s="437">
        <v>671790</v>
      </c>
      <c r="S80" s="437"/>
      <c r="T80" s="437"/>
      <c r="U80" s="437"/>
      <c r="V80" s="437"/>
      <c r="W80" s="437">
        <v>634158</v>
      </c>
      <c r="X80" s="437">
        <v>184692</v>
      </c>
      <c r="Y80" s="437"/>
      <c r="Z80" s="437">
        <v>580227</v>
      </c>
      <c r="AA80" s="437"/>
      <c r="AB80" s="437"/>
      <c r="AC80" s="437">
        <v>654133</v>
      </c>
      <c r="AD80" s="437">
        <v>0</v>
      </c>
      <c r="AE80" s="437">
        <v>1304470</v>
      </c>
      <c r="AF80" s="437"/>
      <c r="AG80" s="437">
        <v>123571</v>
      </c>
      <c r="AH80" s="437">
        <v>184692</v>
      </c>
      <c r="AI80" s="437">
        <v>82859</v>
      </c>
      <c r="AJ80" s="437">
        <v>41521</v>
      </c>
      <c r="AK80" s="437"/>
      <c r="AL80" s="437">
        <v>590427</v>
      </c>
      <c r="AM80" s="437">
        <v>110959</v>
      </c>
    </row>
    <row r="81" spans="1:39" s="155" customFormat="1" ht="12" x14ac:dyDescent="0.2">
      <c r="A81" s="205">
        <v>27</v>
      </c>
      <c r="B81" s="143">
        <v>93931</v>
      </c>
      <c r="C81" s="175" t="s">
        <v>2283</v>
      </c>
      <c r="D81" s="438">
        <f t="shared" si="15"/>
        <v>3239417</v>
      </c>
      <c r="E81" s="437">
        <v>1350385</v>
      </c>
      <c r="F81" s="437">
        <v>409232</v>
      </c>
      <c r="G81" s="437">
        <v>119041</v>
      </c>
      <c r="H81" s="437"/>
      <c r="I81" s="437">
        <v>1366628</v>
      </c>
      <c r="J81" s="437"/>
      <c r="K81" s="437">
        <v>496000</v>
      </c>
      <c r="L81" s="437"/>
      <c r="M81" s="437">
        <v>22204</v>
      </c>
      <c r="N81" s="437"/>
      <c r="O81" s="437">
        <v>4200</v>
      </c>
      <c r="P81" s="438">
        <f t="shared" si="16"/>
        <v>2509156</v>
      </c>
      <c r="Q81" s="437">
        <v>1372479</v>
      </c>
      <c r="R81" s="437">
        <v>762054</v>
      </c>
      <c r="S81" s="437"/>
      <c r="T81" s="437"/>
      <c r="U81" s="437"/>
      <c r="V81" s="437"/>
      <c r="W81" s="437"/>
      <c r="X81" s="437">
        <v>407158</v>
      </c>
      <c r="Y81" s="437">
        <v>0</v>
      </c>
      <c r="Z81" s="437">
        <v>53572</v>
      </c>
      <c r="AA81" s="437"/>
      <c r="AB81" s="437">
        <v>-86107</v>
      </c>
      <c r="AC81" s="437">
        <v>579808</v>
      </c>
      <c r="AD81" s="437">
        <v>6615</v>
      </c>
      <c r="AE81" s="437">
        <v>1078939</v>
      </c>
      <c r="AF81" s="437"/>
      <c r="AG81" s="437">
        <v>42876</v>
      </c>
      <c r="AH81" s="437">
        <v>407158</v>
      </c>
      <c r="AI81" s="437">
        <v>182017</v>
      </c>
      <c r="AJ81" s="437">
        <v>114067</v>
      </c>
      <c r="AK81" s="437"/>
      <c r="AL81" s="437">
        <v>97676</v>
      </c>
      <c r="AM81" s="437"/>
    </row>
    <row r="82" spans="1:39" s="155" customFormat="1" ht="12" x14ac:dyDescent="0.2">
      <c r="A82" s="205">
        <v>28</v>
      </c>
      <c r="B82" s="143">
        <v>100638</v>
      </c>
      <c r="C82" s="175" t="s">
        <v>2284</v>
      </c>
      <c r="D82" s="438">
        <f t="shared" si="15"/>
        <v>4780785</v>
      </c>
      <c r="E82" s="437">
        <v>1332447</v>
      </c>
      <c r="F82" s="437">
        <v>372357</v>
      </c>
      <c r="G82" s="437">
        <v>203307</v>
      </c>
      <c r="H82" s="437"/>
      <c r="I82" s="437">
        <v>2110645</v>
      </c>
      <c r="J82" s="437">
        <v>426706</v>
      </c>
      <c r="K82" s="437">
        <v>782000</v>
      </c>
      <c r="L82" s="437"/>
      <c r="M82" s="437">
        <v>127499</v>
      </c>
      <c r="N82" s="437"/>
      <c r="O82" s="437">
        <v>1488</v>
      </c>
      <c r="P82" s="438">
        <f t="shared" si="16"/>
        <v>4949196</v>
      </c>
      <c r="Q82" s="437">
        <v>2303804</v>
      </c>
      <c r="R82" s="437">
        <v>1234872</v>
      </c>
      <c r="S82" s="437">
        <v>39944</v>
      </c>
      <c r="T82" s="437"/>
      <c r="U82" s="437"/>
      <c r="V82" s="437"/>
      <c r="W82" s="437"/>
      <c r="X82" s="437">
        <v>387227</v>
      </c>
      <c r="Y82" s="437">
        <v>0</v>
      </c>
      <c r="Z82" s="437">
        <v>892896</v>
      </c>
      <c r="AA82" s="437">
        <v>90453</v>
      </c>
      <c r="AB82" s="437">
        <v>0</v>
      </c>
      <c r="AC82" s="437">
        <v>1210980</v>
      </c>
      <c r="AD82" s="437">
        <v>133968</v>
      </c>
      <c r="AE82" s="437">
        <v>1607150</v>
      </c>
      <c r="AF82" s="437"/>
      <c r="AG82" s="437">
        <v>71982</v>
      </c>
      <c r="AH82" s="437">
        <v>670118</v>
      </c>
      <c r="AI82" s="437">
        <v>434083</v>
      </c>
      <c r="AJ82" s="437">
        <v>180983</v>
      </c>
      <c r="AK82" s="437"/>
      <c r="AL82" s="437">
        <v>629940</v>
      </c>
      <c r="AM82" s="437">
        <v>9992</v>
      </c>
    </row>
    <row r="83" spans="1:39" s="155" customFormat="1" ht="12" x14ac:dyDescent="0.2">
      <c r="A83" s="205">
        <v>29</v>
      </c>
      <c r="B83" s="143">
        <v>104181</v>
      </c>
      <c r="C83" s="175" t="s">
        <v>2285</v>
      </c>
      <c r="D83" s="438">
        <f t="shared" si="15"/>
        <v>7599311</v>
      </c>
      <c r="E83" s="437">
        <v>2366153</v>
      </c>
      <c r="F83" s="437">
        <v>496985</v>
      </c>
      <c r="G83" s="437">
        <v>497054</v>
      </c>
      <c r="H83" s="437"/>
      <c r="I83" s="437">
        <v>2810444</v>
      </c>
      <c r="J83" s="437"/>
      <c r="K83" s="437">
        <v>1093000</v>
      </c>
      <c r="L83" s="437"/>
      <c r="M83" s="437">
        <v>156549</v>
      </c>
      <c r="N83" s="437">
        <v>1047165</v>
      </c>
      <c r="O83" s="437">
        <v>126000</v>
      </c>
      <c r="P83" s="438">
        <f t="shared" si="16"/>
        <v>7172726</v>
      </c>
      <c r="Q83" s="437">
        <v>3116674</v>
      </c>
      <c r="R83" s="437">
        <v>1387419</v>
      </c>
      <c r="S83" s="437"/>
      <c r="T83" s="437"/>
      <c r="U83" s="437"/>
      <c r="V83" s="437">
        <v>25000</v>
      </c>
      <c r="W83" s="437">
        <v>1573227</v>
      </c>
      <c r="X83" s="437">
        <v>390528</v>
      </c>
      <c r="Y83" s="437">
        <v>5000</v>
      </c>
      <c r="Z83" s="437">
        <v>674878</v>
      </c>
      <c r="AA83" s="437"/>
      <c r="AB83" s="437"/>
      <c r="AC83" s="437">
        <v>1161750</v>
      </c>
      <c r="AD83" s="437"/>
      <c r="AE83" s="437">
        <v>2699123</v>
      </c>
      <c r="AF83" s="437"/>
      <c r="AG83" s="437">
        <v>63389</v>
      </c>
      <c r="AH83" s="437">
        <v>821583</v>
      </c>
      <c r="AI83" s="437">
        <v>784717</v>
      </c>
      <c r="AJ83" s="437">
        <v>197470</v>
      </c>
      <c r="AK83" s="437"/>
      <c r="AL83" s="437">
        <v>427860</v>
      </c>
      <c r="AM83" s="437">
        <v>1016834</v>
      </c>
    </row>
    <row r="84" spans="1:39" s="155" customFormat="1" ht="12" x14ac:dyDescent="0.2">
      <c r="A84" s="205">
        <v>30</v>
      </c>
      <c r="B84" s="143">
        <v>92587</v>
      </c>
      <c r="C84" s="175" t="s">
        <v>2286</v>
      </c>
      <c r="D84" s="438">
        <f t="shared" si="15"/>
        <v>14724815</v>
      </c>
      <c r="E84" s="437">
        <v>3427228</v>
      </c>
      <c r="F84" s="437">
        <v>733831</v>
      </c>
      <c r="G84" s="437">
        <v>816962</v>
      </c>
      <c r="H84" s="437"/>
      <c r="I84" s="437">
        <v>5521633</v>
      </c>
      <c r="J84" s="437"/>
      <c r="K84" s="437">
        <v>1839000</v>
      </c>
      <c r="L84" s="437"/>
      <c r="M84" s="437">
        <v>1925756</v>
      </c>
      <c r="N84" s="437">
        <v>1997723</v>
      </c>
      <c r="O84" s="437">
        <v>13475</v>
      </c>
      <c r="P84" s="438">
        <f t="shared" si="16"/>
        <v>14549241</v>
      </c>
      <c r="Q84" s="437">
        <v>5399424</v>
      </c>
      <c r="R84" s="437">
        <v>1470619</v>
      </c>
      <c r="S84" s="437"/>
      <c r="T84" s="437"/>
      <c r="U84" s="437">
        <v>520000</v>
      </c>
      <c r="V84" s="437"/>
      <c r="W84" s="437">
        <v>2945877</v>
      </c>
      <c r="X84" s="437">
        <v>954050</v>
      </c>
      <c r="Y84" s="437">
        <v>256000</v>
      </c>
      <c r="Z84" s="437">
        <v>3003271</v>
      </c>
      <c r="AA84" s="437"/>
      <c r="AB84" s="437"/>
      <c r="AC84" s="437">
        <v>1112830</v>
      </c>
      <c r="AD84" s="437">
        <v>207000</v>
      </c>
      <c r="AE84" s="437">
        <v>5210315</v>
      </c>
      <c r="AF84" s="437">
        <v>77117</v>
      </c>
      <c r="AG84" s="437">
        <v>1893207</v>
      </c>
      <c r="AH84" s="437">
        <v>1564005</v>
      </c>
      <c r="AI84" s="437">
        <v>2430073</v>
      </c>
      <c r="AJ84" s="437">
        <v>128974</v>
      </c>
      <c r="AK84" s="437"/>
      <c r="AL84" s="437">
        <v>1191207</v>
      </c>
      <c r="AM84" s="437">
        <v>734513</v>
      </c>
    </row>
    <row r="85" spans="1:39" s="155" customFormat="1" ht="12" x14ac:dyDescent="0.2">
      <c r="A85" s="205">
        <v>31</v>
      </c>
      <c r="B85" s="143">
        <v>104323</v>
      </c>
      <c r="C85" s="175" t="s">
        <v>2287</v>
      </c>
      <c r="D85" s="438">
        <f t="shared" si="15"/>
        <v>3880663</v>
      </c>
      <c r="E85" s="437">
        <v>699826</v>
      </c>
      <c r="F85" s="437">
        <v>207842</v>
      </c>
      <c r="G85" s="437">
        <v>203187</v>
      </c>
      <c r="H85" s="437"/>
      <c r="I85" s="437">
        <v>1548795</v>
      </c>
      <c r="J85" s="437"/>
      <c r="K85" s="437">
        <v>852000</v>
      </c>
      <c r="L85" s="437">
        <v>0</v>
      </c>
      <c r="M85" s="437">
        <v>110442</v>
      </c>
      <c r="N85" s="437">
        <v>458914</v>
      </c>
      <c r="O85" s="437">
        <v>210686</v>
      </c>
      <c r="P85" s="438">
        <f t="shared" si="16"/>
        <v>3705561</v>
      </c>
      <c r="Q85" s="437">
        <v>1759658</v>
      </c>
      <c r="R85" s="437">
        <v>902943</v>
      </c>
      <c r="S85" s="437"/>
      <c r="T85" s="437"/>
      <c r="U85" s="437"/>
      <c r="V85" s="437">
        <v>0</v>
      </c>
      <c r="W85" s="437">
        <v>546130</v>
      </c>
      <c r="X85" s="437">
        <v>407255</v>
      </c>
      <c r="Y85" s="437"/>
      <c r="Z85" s="437">
        <v>89575</v>
      </c>
      <c r="AA85" s="437"/>
      <c r="AB85" s="437"/>
      <c r="AC85" s="437">
        <v>979414</v>
      </c>
      <c r="AD85" s="437">
        <v>0</v>
      </c>
      <c r="AE85" s="437">
        <v>1955124</v>
      </c>
      <c r="AF85" s="437"/>
      <c r="AG85" s="437">
        <v>20179</v>
      </c>
      <c r="AH85" s="437">
        <v>471423</v>
      </c>
      <c r="AI85" s="437">
        <v>89916</v>
      </c>
      <c r="AJ85" s="437">
        <v>99930</v>
      </c>
      <c r="AK85" s="437"/>
      <c r="AL85" s="437">
        <v>89575</v>
      </c>
      <c r="AM85" s="437"/>
    </row>
    <row r="86" spans="1:39" s="155" customFormat="1" ht="12" x14ac:dyDescent="0.2">
      <c r="A86" s="205">
        <v>32</v>
      </c>
      <c r="B86" s="143">
        <v>104341</v>
      </c>
      <c r="C86" s="175" t="s">
        <v>2288</v>
      </c>
      <c r="D86" s="438">
        <f t="shared" si="15"/>
        <v>2689292</v>
      </c>
      <c r="E86" s="437">
        <v>676830</v>
      </c>
      <c r="F86" s="437">
        <v>128648</v>
      </c>
      <c r="G86" s="437">
        <v>238271</v>
      </c>
      <c r="H86" s="437"/>
      <c r="I86" s="437">
        <v>1006454</v>
      </c>
      <c r="J86" s="437"/>
      <c r="K86" s="437">
        <v>983000</v>
      </c>
      <c r="L86" s="437"/>
      <c r="M86" s="437">
        <v>23008</v>
      </c>
      <c r="N86" s="437"/>
      <c r="O86" s="437">
        <v>0</v>
      </c>
      <c r="P86" s="438">
        <f t="shared" si="16"/>
        <v>2575198</v>
      </c>
      <c r="Q86" s="437">
        <v>1203158</v>
      </c>
      <c r="R86" s="437">
        <v>496751</v>
      </c>
      <c r="S86" s="437"/>
      <c r="T86" s="437"/>
      <c r="U86" s="437"/>
      <c r="V86" s="437"/>
      <c r="W86" s="437"/>
      <c r="X86" s="437">
        <v>180175</v>
      </c>
      <c r="Y86" s="437">
        <v>0</v>
      </c>
      <c r="Z86" s="437">
        <v>696900</v>
      </c>
      <c r="AA86" s="437"/>
      <c r="AB86" s="437">
        <v>-1786</v>
      </c>
      <c r="AC86" s="437">
        <v>504780</v>
      </c>
      <c r="AD86" s="437"/>
      <c r="AE86" s="437">
        <v>1088538</v>
      </c>
      <c r="AF86" s="437"/>
      <c r="AG86" s="437">
        <v>26223</v>
      </c>
      <c r="AH86" s="437">
        <v>349118</v>
      </c>
      <c r="AI86" s="437">
        <v>291329</v>
      </c>
      <c r="AJ86" s="437">
        <v>10500</v>
      </c>
      <c r="AK86" s="437"/>
      <c r="AL86" s="437">
        <v>304710</v>
      </c>
      <c r="AM86" s="437"/>
    </row>
    <row r="87" spans="1:39" s="155" customFormat="1" ht="12" x14ac:dyDescent="0.2">
      <c r="A87" s="205">
        <v>33</v>
      </c>
      <c r="B87" s="143">
        <v>94223</v>
      </c>
      <c r="C87" s="175" t="s">
        <v>2289</v>
      </c>
      <c r="D87" s="438">
        <f t="shared" si="15"/>
        <v>6612477</v>
      </c>
      <c r="E87" s="437">
        <v>3066899</v>
      </c>
      <c r="F87" s="437">
        <v>933550</v>
      </c>
      <c r="G87" s="437">
        <v>260315</v>
      </c>
      <c r="H87" s="437"/>
      <c r="I87" s="437">
        <v>2649824</v>
      </c>
      <c r="J87" s="437">
        <v>254000</v>
      </c>
      <c r="K87" s="437">
        <v>554000</v>
      </c>
      <c r="L87" s="437"/>
      <c r="M87" s="437">
        <v>35754</v>
      </c>
      <c r="N87" s="437">
        <v>0</v>
      </c>
      <c r="O87" s="437">
        <v>52000</v>
      </c>
      <c r="P87" s="438">
        <f t="shared" si="16"/>
        <v>4772411</v>
      </c>
      <c r="Q87" s="437">
        <v>2521353</v>
      </c>
      <c r="R87" s="437">
        <v>952929</v>
      </c>
      <c r="S87" s="437"/>
      <c r="T87" s="437"/>
      <c r="U87" s="437"/>
      <c r="V87" s="437"/>
      <c r="W87" s="437">
        <v>0</v>
      </c>
      <c r="X87" s="437">
        <v>480790</v>
      </c>
      <c r="Y87" s="437"/>
      <c r="Z87" s="437">
        <v>817339</v>
      </c>
      <c r="AA87" s="437"/>
      <c r="AB87" s="437"/>
      <c r="AC87" s="437">
        <v>564085</v>
      </c>
      <c r="AD87" s="437">
        <v>13706</v>
      </c>
      <c r="AE87" s="437">
        <v>2578173</v>
      </c>
      <c r="AF87" s="437">
        <v>0</v>
      </c>
      <c r="AG87" s="437">
        <v>132820</v>
      </c>
      <c r="AH87" s="437">
        <v>480790</v>
      </c>
      <c r="AI87" s="437">
        <v>649963</v>
      </c>
      <c r="AJ87" s="437">
        <v>105980</v>
      </c>
      <c r="AK87" s="437"/>
      <c r="AL87" s="437">
        <v>189243</v>
      </c>
      <c r="AM87" s="437">
        <v>57651</v>
      </c>
    </row>
    <row r="88" spans="1:39" s="155" customFormat="1" ht="12" x14ac:dyDescent="0.2">
      <c r="A88" s="205">
        <v>34</v>
      </c>
      <c r="B88" s="143">
        <v>104635</v>
      </c>
      <c r="C88" s="175" t="s">
        <v>2290</v>
      </c>
      <c r="D88" s="438">
        <f t="shared" si="15"/>
        <v>6710061</v>
      </c>
      <c r="E88" s="437">
        <v>1008185</v>
      </c>
      <c r="F88" s="437">
        <v>151454</v>
      </c>
      <c r="G88" s="437">
        <v>340791</v>
      </c>
      <c r="H88" s="437"/>
      <c r="I88" s="437">
        <v>1755275</v>
      </c>
      <c r="J88" s="437">
        <v>249084</v>
      </c>
      <c r="K88" s="437">
        <v>1138000</v>
      </c>
      <c r="L88" s="437"/>
      <c r="M88" s="437">
        <v>1998742</v>
      </c>
      <c r="N88" s="437">
        <v>461548</v>
      </c>
      <c r="O88" s="437">
        <v>99227</v>
      </c>
      <c r="P88" s="438">
        <f t="shared" si="16"/>
        <v>6308941</v>
      </c>
      <c r="Q88" s="437">
        <v>1887867</v>
      </c>
      <c r="R88" s="437">
        <v>1457684</v>
      </c>
      <c r="S88" s="437"/>
      <c r="T88" s="437"/>
      <c r="U88" s="437"/>
      <c r="V88" s="437"/>
      <c r="W88" s="437">
        <v>543166</v>
      </c>
      <c r="X88" s="437">
        <v>383350</v>
      </c>
      <c r="Y88" s="437">
        <v>10000</v>
      </c>
      <c r="Z88" s="437">
        <v>2026874</v>
      </c>
      <c r="AA88" s="437"/>
      <c r="AB88" s="437">
        <v>0</v>
      </c>
      <c r="AC88" s="437">
        <v>1003250</v>
      </c>
      <c r="AD88" s="437">
        <v>0</v>
      </c>
      <c r="AE88" s="437">
        <v>2177437</v>
      </c>
      <c r="AF88" s="437"/>
      <c r="AG88" s="437">
        <v>11290</v>
      </c>
      <c r="AH88" s="437">
        <v>518467</v>
      </c>
      <c r="AI88" s="437">
        <v>1856887</v>
      </c>
      <c r="AJ88" s="437">
        <v>436491</v>
      </c>
      <c r="AK88" s="437"/>
      <c r="AL88" s="437">
        <v>249083</v>
      </c>
      <c r="AM88" s="437">
        <v>56036</v>
      </c>
    </row>
    <row r="89" spans="1:39" s="155" customFormat="1" ht="12" x14ac:dyDescent="0.2">
      <c r="A89" s="205">
        <v>35</v>
      </c>
      <c r="B89" s="143">
        <v>104751</v>
      </c>
      <c r="C89" s="175" t="s">
        <v>2291</v>
      </c>
      <c r="D89" s="438">
        <f t="shared" si="15"/>
        <v>6898487</v>
      </c>
      <c r="E89" s="437">
        <v>1441428</v>
      </c>
      <c r="F89" s="437">
        <v>231088</v>
      </c>
      <c r="G89" s="437">
        <v>421539</v>
      </c>
      <c r="H89" s="437"/>
      <c r="I89" s="437">
        <v>1570236</v>
      </c>
      <c r="J89" s="437"/>
      <c r="K89" s="437">
        <v>1198000</v>
      </c>
      <c r="L89" s="437">
        <v>0</v>
      </c>
      <c r="M89" s="437">
        <v>2502979</v>
      </c>
      <c r="N89" s="437"/>
      <c r="O89" s="437">
        <v>185844</v>
      </c>
      <c r="P89" s="438">
        <f t="shared" si="16"/>
        <v>6714890</v>
      </c>
      <c r="Q89" s="437">
        <v>1804221</v>
      </c>
      <c r="R89" s="437">
        <v>1187769</v>
      </c>
      <c r="S89" s="437"/>
      <c r="T89" s="437"/>
      <c r="U89" s="437"/>
      <c r="V89" s="437"/>
      <c r="W89" s="437"/>
      <c r="X89" s="437">
        <v>475398</v>
      </c>
      <c r="Y89" s="437">
        <v>23000</v>
      </c>
      <c r="Z89" s="437">
        <v>3224502</v>
      </c>
      <c r="AA89" s="437"/>
      <c r="AB89" s="437">
        <v>0</v>
      </c>
      <c r="AC89" s="437">
        <v>1203000</v>
      </c>
      <c r="AD89" s="437">
        <v>42122</v>
      </c>
      <c r="AE89" s="437">
        <v>1239236</v>
      </c>
      <c r="AF89" s="437"/>
      <c r="AG89" s="437">
        <v>545443</v>
      </c>
      <c r="AH89" s="437">
        <v>654435</v>
      </c>
      <c r="AI89" s="437">
        <v>1680616</v>
      </c>
      <c r="AJ89" s="437">
        <v>1067515</v>
      </c>
      <c r="AK89" s="437"/>
      <c r="AL89" s="437">
        <v>99324</v>
      </c>
      <c r="AM89" s="437">
        <v>183199</v>
      </c>
    </row>
    <row r="90" spans="1:39" s="155" customFormat="1" ht="12" x14ac:dyDescent="0.2">
      <c r="A90" s="205">
        <v>36</v>
      </c>
      <c r="B90" s="143">
        <v>94312</v>
      </c>
      <c r="C90" s="175" t="s">
        <v>2292</v>
      </c>
      <c r="D90" s="438">
        <f t="shared" si="15"/>
        <v>17391902</v>
      </c>
      <c r="E90" s="437">
        <v>2675490</v>
      </c>
      <c r="F90" s="437">
        <v>639323</v>
      </c>
      <c r="G90" s="437">
        <v>680839</v>
      </c>
      <c r="H90" s="437"/>
      <c r="I90" s="437">
        <v>2780665</v>
      </c>
      <c r="J90" s="437"/>
      <c r="K90" s="437">
        <v>1697000</v>
      </c>
      <c r="L90" s="437">
        <v>0</v>
      </c>
      <c r="M90" s="437">
        <v>1513377</v>
      </c>
      <c r="N90" s="437">
        <v>7928178</v>
      </c>
      <c r="O90" s="437">
        <v>797192</v>
      </c>
      <c r="P90" s="438">
        <f t="shared" si="16"/>
        <v>22630534</v>
      </c>
      <c r="Q90" s="437">
        <v>2879435</v>
      </c>
      <c r="R90" s="437">
        <v>1356349</v>
      </c>
      <c r="S90" s="437">
        <v>17063</v>
      </c>
      <c r="T90" s="437"/>
      <c r="U90" s="437"/>
      <c r="V90" s="437"/>
      <c r="W90" s="437">
        <v>16489674</v>
      </c>
      <c r="X90" s="437">
        <v>855985</v>
      </c>
      <c r="Y90" s="437">
        <v>10000</v>
      </c>
      <c r="Z90" s="437">
        <v>974623</v>
      </c>
      <c r="AA90" s="437">
        <v>75000</v>
      </c>
      <c r="AB90" s="437">
        <v>-27595</v>
      </c>
      <c r="AC90" s="437">
        <v>1410838</v>
      </c>
      <c r="AD90" s="437"/>
      <c r="AE90" s="437">
        <v>2315084</v>
      </c>
      <c r="AF90" s="437"/>
      <c r="AG90" s="437">
        <v>2788333</v>
      </c>
      <c r="AH90" s="437">
        <v>861116</v>
      </c>
      <c r="AI90" s="437">
        <v>7053614</v>
      </c>
      <c r="AJ90" s="437"/>
      <c r="AK90" s="437"/>
      <c r="AL90" s="437">
        <v>8175994</v>
      </c>
      <c r="AM90" s="437">
        <v>25555</v>
      </c>
    </row>
    <row r="91" spans="1:39" s="155" customFormat="1" ht="12" x14ac:dyDescent="0.2">
      <c r="A91" s="205">
        <v>37</v>
      </c>
      <c r="B91" s="143">
        <v>104886</v>
      </c>
      <c r="C91" s="175" t="s">
        <v>2293</v>
      </c>
      <c r="D91" s="438">
        <f t="shared" si="15"/>
        <v>6818201</v>
      </c>
      <c r="E91" s="437">
        <v>1543641</v>
      </c>
      <c r="F91" s="437">
        <v>328199</v>
      </c>
      <c r="G91" s="437">
        <v>153939</v>
      </c>
      <c r="H91" s="437"/>
      <c r="I91" s="437">
        <v>1651083</v>
      </c>
      <c r="J91" s="437">
        <v>762829</v>
      </c>
      <c r="K91" s="437">
        <v>966000</v>
      </c>
      <c r="L91" s="437">
        <v>0</v>
      </c>
      <c r="M91" s="437">
        <v>1410241</v>
      </c>
      <c r="N91" s="437">
        <v>137433</v>
      </c>
      <c r="O91" s="437">
        <v>346974</v>
      </c>
      <c r="P91" s="438">
        <f t="shared" si="16"/>
        <v>6515501</v>
      </c>
      <c r="Q91" s="437">
        <v>1990692</v>
      </c>
      <c r="R91" s="437">
        <v>2289207</v>
      </c>
      <c r="S91" s="437"/>
      <c r="T91" s="437"/>
      <c r="U91" s="437"/>
      <c r="V91" s="437">
        <v>0</v>
      </c>
      <c r="W91" s="437">
        <v>453598</v>
      </c>
      <c r="X91" s="437">
        <v>206632</v>
      </c>
      <c r="Y91" s="437">
        <v>4000</v>
      </c>
      <c r="Z91" s="437">
        <v>1571604</v>
      </c>
      <c r="AA91" s="437"/>
      <c r="AB91" s="437">
        <v>-232</v>
      </c>
      <c r="AC91" s="437">
        <v>800352</v>
      </c>
      <c r="AD91" s="437">
        <v>5812</v>
      </c>
      <c r="AE91" s="437">
        <v>2322845</v>
      </c>
      <c r="AF91" s="437"/>
      <c r="AG91" s="437">
        <v>110372</v>
      </c>
      <c r="AH91" s="437">
        <v>337359</v>
      </c>
      <c r="AI91" s="437">
        <v>211029</v>
      </c>
      <c r="AJ91" s="437">
        <v>79915</v>
      </c>
      <c r="AK91" s="437"/>
      <c r="AL91" s="437">
        <v>2566761</v>
      </c>
      <c r="AM91" s="437">
        <v>81056</v>
      </c>
    </row>
    <row r="92" spans="1:39" s="155" customFormat="1" ht="12" x14ac:dyDescent="0.2">
      <c r="A92" s="205">
        <v>38</v>
      </c>
      <c r="B92" s="143">
        <v>105222</v>
      </c>
      <c r="C92" s="175" t="s">
        <v>2294</v>
      </c>
      <c r="D92" s="438">
        <f t="shared" si="15"/>
        <v>2888585</v>
      </c>
      <c r="E92" s="437">
        <v>1040468</v>
      </c>
      <c r="F92" s="437">
        <v>200484</v>
      </c>
      <c r="G92" s="437">
        <v>144337</v>
      </c>
      <c r="H92" s="437"/>
      <c r="I92" s="437">
        <v>1021482</v>
      </c>
      <c r="J92" s="437"/>
      <c r="K92" s="437">
        <v>724000</v>
      </c>
      <c r="L92" s="437"/>
      <c r="M92" s="437">
        <v>2635</v>
      </c>
      <c r="N92" s="437"/>
      <c r="O92" s="437">
        <v>100000</v>
      </c>
      <c r="P92" s="438">
        <f t="shared" si="16"/>
        <v>2923648</v>
      </c>
      <c r="Q92" s="437">
        <v>1150196</v>
      </c>
      <c r="R92" s="437">
        <v>1437186</v>
      </c>
      <c r="S92" s="437"/>
      <c r="T92" s="437"/>
      <c r="U92" s="437"/>
      <c r="V92" s="437"/>
      <c r="W92" s="437"/>
      <c r="X92" s="437">
        <v>135205</v>
      </c>
      <c r="Y92" s="437">
        <v>5600</v>
      </c>
      <c r="Z92" s="437">
        <v>195461</v>
      </c>
      <c r="AA92" s="437"/>
      <c r="AB92" s="437"/>
      <c r="AC92" s="437">
        <v>855702</v>
      </c>
      <c r="AD92" s="437">
        <v>131472</v>
      </c>
      <c r="AE92" s="437">
        <v>929954</v>
      </c>
      <c r="AF92" s="437"/>
      <c r="AG92" s="437">
        <v>102310</v>
      </c>
      <c r="AH92" s="437">
        <v>254738</v>
      </c>
      <c r="AI92" s="437">
        <v>319615</v>
      </c>
      <c r="AJ92" s="437">
        <v>147000</v>
      </c>
      <c r="AK92" s="437"/>
      <c r="AL92" s="437">
        <v>147857</v>
      </c>
      <c r="AM92" s="437">
        <v>35000</v>
      </c>
    </row>
    <row r="93" spans="1:39" s="155" customFormat="1" ht="12" x14ac:dyDescent="0.2">
      <c r="A93" s="205">
        <v>39</v>
      </c>
      <c r="B93" s="143">
        <v>105259</v>
      </c>
      <c r="C93" s="175" t="s">
        <v>2295</v>
      </c>
      <c r="D93" s="438">
        <f t="shared" si="15"/>
        <v>9136025</v>
      </c>
      <c r="E93" s="437">
        <v>1432580</v>
      </c>
      <c r="F93" s="437">
        <v>157832</v>
      </c>
      <c r="G93" s="437">
        <v>678845</v>
      </c>
      <c r="H93" s="437"/>
      <c r="I93" s="437">
        <v>2226929</v>
      </c>
      <c r="J93" s="437"/>
      <c r="K93" s="437">
        <v>1678000</v>
      </c>
      <c r="L93" s="437"/>
      <c r="M93" s="437">
        <v>3269515</v>
      </c>
      <c r="N93" s="437">
        <v>529001</v>
      </c>
      <c r="O93" s="437">
        <v>0</v>
      </c>
      <c r="P93" s="438">
        <f t="shared" si="16"/>
        <v>9279650</v>
      </c>
      <c r="Q93" s="437">
        <v>2395616</v>
      </c>
      <c r="R93" s="437">
        <v>1763071</v>
      </c>
      <c r="S93" s="437"/>
      <c r="T93" s="437"/>
      <c r="U93" s="437"/>
      <c r="V93" s="437"/>
      <c r="W93" s="437">
        <v>542758</v>
      </c>
      <c r="X93" s="437">
        <v>396814</v>
      </c>
      <c r="Y93" s="437">
        <v>0</v>
      </c>
      <c r="Z93" s="437">
        <v>4181391</v>
      </c>
      <c r="AA93" s="437"/>
      <c r="AB93" s="437">
        <v>0</v>
      </c>
      <c r="AC93" s="437">
        <v>1333805</v>
      </c>
      <c r="AD93" s="437">
        <v>95565</v>
      </c>
      <c r="AE93" s="437">
        <v>2588124</v>
      </c>
      <c r="AF93" s="437">
        <v>30979</v>
      </c>
      <c r="AG93" s="437">
        <v>332935</v>
      </c>
      <c r="AH93" s="437">
        <v>396814</v>
      </c>
      <c r="AI93" s="437">
        <v>3043742</v>
      </c>
      <c r="AJ93" s="437">
        <v>880509</v>
      </c>
      <c r="AK93" s="437"/>
      <c r="AL93" s="437">
        <v>577177</v>
      </c>
      <c r="AM93" s="437">
        <v>0</v>
      </c>
    </row>
    <row r="94" spans="1:39" s="155" customFormat="1" ht="12" x14ac:dyDescent="0.2">
      <c r="A94" s="205">
        <v>40</v>
      </c>
      <c r="B94" s="143">
        <v>105384</v>
      </c>
      <c r="C94" s="175" t="s">
        <v>2296</v>
      </c>
      <c r="D94" s="438">
        <f t="shared" si="15"/>
        <v>4089960</v>
      </c>
      <c r="E94" s="437">
        <v>990469</v>
      </c>
      <c r="F94" s="437">
        <v>221247</v>
      </c>
      <c r="G94" s="437">
        <v>253228</v>
      </c>
      <c r="H94" s="437"/>
      <c r="I94" s="437">
        <v>1966858</v>
      </c>
      <c r="J94" s="437"/>
      <c r="K94" s="437">
        <v>940000</v>
      </c>
      <c r="L94" s="437"/>
      <c r="M94" s="437">
        <v>59874</v>
      </c>
      <c r="N94" s="437">
        <v>95349</v>
      </c>
      <c r="O94" s="437">
        <v>37410</v>
      </c>
      <c r="P94" s="438">
        <f t="shared" si="16"/>
        <v>3869534</v>
      </c>
      <c r="Q94" s="437">
        <v>2102610</v>
      </c>
      <c r="R94" s="437">
        <v>1049253</v>
      </c>
      <c r="S94" s="437"/>
      <c r="T94" s="437"/>
      <c r="U94" s="437"/>
      <c r="V94" s="437">
        <v>0</v>
      </c>
      <c r="W94" s="437">
        <v>135195</v>
      </c>
      <c r="X94" s="437">
        <v>387261</v>
      </c>
      <c r="Y94" s="437">
        <v>6290</v>
      </c>
      <c r="Z94" s="437">
        <v>188925</v>
      </c>
      <c r="AA94" s="437"/>
      <c r="AB94" s="437">
        <v>0</v>
      </c>
      <c r="AC94" s="437">
        <v>868619</v>
      </c>
      <c r="AD94" s="437"/>
      <c r="AE94" s="437">
        <v>1802489</v>
      </c>
      <c r="AF94" s="437">
        <v>22156</v>
      </c>
      <c r="AG94" s="437">
        <v>63292</v>
      </c>
      <c r="AH94" s="437">
        <v>371861</v>
      </c>
      <c r="AI94" s="437">
        <v>311890</v>
      </c>
      <c r="AJ94" s="437">
        <v>102912</v>
      </c>
      <c r="AK94" s="437"/>
      <c r="AL94" s="437">
        <v>177908</v>
      </c>
      <c r="AM94" s="437">
        <v>148407</v>
      </c>
    </row>
    <row r="95" spans="1:39" s="155" customFormat="1" ht="12" x14ac:dyDescent="0.2">
      <c r="A95" s="205">
        <v>41</v>
      </c>
      <c r="B95" s="143">
        <v>94562</v>
      </c>
      <c r="C95" s="175" t="s">
        <v>1665</v>
      </c>
      <c r="D95" s="438">
        <f t="shared" si="15"/>
        <v>10783618</v>
      </c>
      <c r="E95" s="431">
        <v>1036123</v>
      </c>
      <c r="F95" s="431">
        <v>335397</v>
      </c>
      <c r="G95" s="431">
        <v>186224</v>
      </c>
      <c r="H95" s="431"/>
      <c r="I95" s="431">
        <v>1975000</v>
      </c>
      <c r="J95" s="431">
        <v>85000</v>
      </c>
      <c r="K95" s="431">
        <v>1034000</v>
      </c>
      <c r="L95" s="431"/>
      <c r="M95" s="431">
        <v>911083</v>
      </c>
      <c r="N95" s="431">
        <v>5142412</v>
      </c>
      <c r="O95" s="431">
        <v>600000</v>
      </c>
      <c r="P95" s="438">
        <f t="shared" si="16"/>
        <v>6979854</v>
      </c>
      <c r="Q95" s="431">
        <v>2426695</v>
      </c>
      <c r="R95" s="431">
        <v>1228239</v>
      </c>
      <c r="S95" s="431"/>
      <c r="T95" s="431"/>
      <c r="U95" s="431"/>
      <c r="V95" s="431"/>
      <c r="W95" s="431">
        <v>2791109</v>
      </c>
      <c r="X95" s="431">
        <v>291701</v>
      </c>
      <c r="Y95" s="431">
        <v>55523</v>
      </c>
      <c r="Z95" s="437">
        <v>186587</v>
      </c>
      <c r="AA95" s="437"/>
      <c r="AB95" s="437">
        <v>0</v>
      </c>
      <c r="AC95" s="431">
        <v>928118</v>
      </c>
      <c r="AD95" s="431">
        <v>525254</v>
      </c>
      <c r="AE95" s="431">
        <v>4010297</v>
      </c>
      <c r="AF95" s="431">
        <v>20410</v>
      </c>
      <c r="AG95" s="431">
        <v>174900</v>
      </c>
      <c r="AH95" s="431">
        <v>753293</v>
      </c>
      <c r="AI95" s="431">
        <v>190883</v>
      </c>
      <c r="AJ95" s="431">
        <v>0</v>
      </c>
      <c r="AK95" s="431"/>
      <c r="AL95" s="431">
        <v>376699</v>
      </c>
      <c r="AM95" s="431"/>
    </row>
    <row r="96" spans="1:39" s="155" customFormat="1" ht="12" x14ac:dyDescent="0.2">
      <c r="A96" s="205">
        <v>42</v>
      </c>
      <c r="B96" s="143">
        <v>94580</v>
      </c>
      <c r="C96" s="175" t="s">
        <v>2297</v>
      </c>
      <c r="D96" s="438">
        <f t="shared" si="15"/>
        <v>3217477</v>
      </c>
      <c r="E96" s="431">
        <v>1298316</v>
      </c>
      <c r="F96" s="431">
        <v>330754</v>
      </c>
      <c r="G96" s="431">
        <v>177752</v>
      </c>
      <c r="H96" s="431"/>
      <c r="I96" s="431">
        <v>1054250</v>
      </c>
      <c r="J96" s="431"/>
      <c r="K96" s="431">
        <v>781000</v>
      </c>
      <c r="L96" s="431">
        <v>0</v>
      </c>
      <c r="M96" s="431">
        <v>81411</v>
      </c>
      <c r="N96" s="431"/>
      <c r="O96" s="431">
        <v>2500</v>
      </c>
      <c r="P96" s="438">
        <f t="shared" si="16"/>
        <v>3110245</v>
      </c>
      <c r="Q96" s="431">
        <v>1213070</v>
      </c>
      <c r="R96" s="431">
        <v>1198810</v>
      </c>
      <c r="S96" s="431"/>
      <c r="T96" s="431"/>
      <c r="U96" s="431"/>
      <c r="V96" s="431">
        <v>66000</v>
      </c>
      <c r="W96" s="431">
        <v>0</v>
      </c>
      <c r="X96" s="431">
        <v>332536</v>
      </c>
      <c r="Y96" s="431"/>
      <c r="Z96" s="431">
        <v>299829</v>
      </c>
      <c r="AA96" s="431"/>
      <c r="AB96" s="431">
        <v>0</v>
      </c>
      <c r="AC96" s="431">
        <v>920257</v>
      </c>
      <c r="AD96" s="431">
        <v>4000</v>
      </c>
      <c r="AE96" s="431">
        <v>771266</v>
      </c>
      <c r="AF96" s="431">
        <v>25166</v>
      </c>
      <c r="AG96" s="431">
        <v>139682</v>
      </c>
      <c r="AH96" s="431">
        <v>457911</v>
      </c>
      <c r="AI96" s="431">
        <v>323450</v>
      </c>
      <c r="AJ96" s="431">
        <v>0</v>
      </c>
      <c r="AK96" s="431"/>
      <c r="AL96" s="431">
        <v>468513</v>
      </c>
      <c r="AM96" s="431">
        <v>0</v>
      </c>
    </row>
    <row r="97" spans="1:39" s="155" customFormat="1" ht="12" x14ac:dyDescent="0.2">
      <c r="A97" s="205">
        <v>43</v>
      </c>
      <c r="B97" s="143">
        <v>105455</v>
      </c>
      <c r="C97" s="175" t="s">
        <v>2298</v>
      </c>
      <c r="D97" s="438">
        <f t="shared" si="15"/>
        <v>5159577</v>
      </c>
      <c r="E97" s="431">
        <v>1186390</v>
      </c>
      <c r="F97" s="431">
        <v>291839</v>
      </c>
      <c r="G97" s="431">
        <v>227240</v>
      </c>
      <c r="H97" s="431"/>
      <c r="I97" s="431">
        <v>1185877</v>
      </c>
      <c r="J97" s="431">
        <v>492379</v>
      </c>
      <c r="K97" s="431">
        <v>732000</v>
      </c>
      <c r="L97" s="431"/>
      <c r="M97" s="431">
        <v>1081380</v>
      </c>
      <c r="N97" s="431">
        <v>456831</v>
      </c>
      <c r="O97" s="431">
        <v>24720</v>
      </c>
      <c r="P97" s="438">
        <f t="shared" si="16"/>
        <v>5117733</v>
      </c>
      <c r="Q97" s="431">
        <v>1403782</v>
      </c>
      <c r="R97" s="431">
        <v>1364234</v>
      </c>
      <c r="S97" s="431"/>
      <c r="T97" s="431"/>
      <c r="U97" s="431"/>
      <c r="V97" s="431">
        <v>0</v>
      </c>
      <c r="W97" s="431">
        <v>503290</v>
      </c>
      <c r="X97" s="431">
        <v>187046</v>
      </c>
      <c r="Y97" s="431"/>
      <c r="Z97" s="431">
        <v>1663267</v>
      </c>
      <c r="AA97" s="431"/>
      <c r="AB97" s="431">
        <v>-3886</v>
      </c>
      <c r="AC97" s="431">
        <v>1592986</v>
      </c>
      <c r="AD97" s="431">
        <v>9970</v>
      </c>
      <c r="AE97" s="431">
        <v>1497582</v>
      </c>
      <c r="AF97" s="431"/>
      <c r="AG97" s="431">
        <v>30061</v>
      </c>
      <c r="AH97" s="431">
        <v>282893</v>
      </c>
      <c r="AI97" s="431">
        <v>69639</v>
      </c>
      <c r="AJ97" s="431">
        <v>110837</v>
      </c>
      <c r="AK97" s="431"/>
      <c r="AL97" s="431">
        <v>1523765</v>
      </c>
      <c r="AM97" s="431"/>
    </row>
    <row r="98" spans="1:39" s="155" customFormat="1" ht="12" x14ac:dyDescent="0.2">
      <c r="A98" s="205">
        <v>44</v>
      </c>
      <c r="B98" s="143">
        <v>105605</v>
      </c>
      <c r="C98" s="175" t="s">
        <v>2299</v>
      </c>
      <c r="D98" s="438">
        <f t="shared" si="15"/>
        <v>6407383</v>
      </c>
      <c r="E98" s="431">
        <v>1655057</v>
      </c>
      <c r="F98" s="431">
        <v>398058</v>
      </c>
      <c r="G98" s="431">
        <v>440575</v>
      </c>
      <c r="H98" s="431"/>
      <c r="I98" s="431">
        <v>2674121</v>
      </c>
      <c r="J98" s="431"/>
      <c r="K98" s="431">
        <v>1207000</v>
      </c>
      <c r="L98" s="431"/>
      <c r="M98" s="431">
        <v>857366</v>
      </c>
      <c r="N98" s="431">
        <v>13839</v>
      </c>
      <c r="O98" s="431">
        <v>0</v>
      </c>
      <c r="P98" s="438">
        <f t="shared" si="16"/>
        <v>6491670</v>
      </c>
      <c r="Q98" s="431">
        <v>2869409</v>
      </c>
      <c r="R98" s="431">
        <v>2115740</v>
      </c>
      <c r="S98" s="431"/>
      <c r="T98" s="431"/>
      <c r="U98" s="431"/>
      <c r="V98" s="431"/>
      <c r="W98" s="431">
        <v>37935</v>
      </c>
      <c r="X98" s="431">
        <v>556732</v>
      </c>
      <c r="Y98" s="431">
        <v>6000</v>
      </c>
      <c r="Z98" s="431">
        <v>905854</v>
      </c>
      <c r="AA98" s="431"/>
      <c r="AB98" s="431">
        <v>0</v>
      </c>
      <c r="AC98" s="431">
        <v>1212549</v>
      </c>
      <c r="AD98" s="431">
        <v>115036</v>
      </c>
      <c r="AE98" s="431">
        <v>2389969</v>
      </c>
      <c r="AF98" s="431">
        <v>0</v>
      </c>
      <c r="AG98" s="431">
        <v>116299</v>
      </c>
      <c r="AH98" s="431">
        <v>586085</v>
      </c>
      <c r="AI98" s="431">
        <v>514919</v>
      </c>
      <c r="AJ98" s="431">
        <v>144642</v>
      </c>
      <c r="AK98" s="431"/>
      <c r="AL98" s="431">
        <v>1374236</v>
      </c>
      <c r="AM98" s="431">
        <v>37935</v>
      </c>
    </row>
    <row r="99" spans="1:39" s="155" customFormat="1" ht="12" x14ac:dyDescent="0.2">
      <c r="A99" s="205">
        <v>45</v>
      </c>
      <c r="B99" s="143">
        <v>94606</v>
      </c>
      <c r="C99" s="175" t="s">
        <v>2300</v>
      </c>
      <c r="D99" s="438">
        <f t="shared" si="15"/>
        <v>2864422</v>
      </c>
      <c r="E99" s="431">
        <v>1054912</v>
      </c>
      <c r="F99" s="431">
        <v>214382</v>
      </c>
      <c r="G99" s="431">
        <v>200625</v>
      </c>
      <c r="H99" s="431"/>
      <c r="I99" s="431">
        <v>738391</v>
      </c>
      <c r="J99" s="431"/>
      <c r="K99" s="431">
        <v>881000</v>
      </c>
      <c r="L99" s="431">
        <v>0</v>
      </c>
      <c r="M99" s="431">
        <v>38971</v>
      </c>
      <c r="N99" s="431">
        <v>109348</v>
      </c>
      <c r="O99" s="431">
        <v>41800</v>
      </c>
      <c r="P99" s="438">
        <f t="shared" si="16"/>
        <v>2665766</v>
      </c>
      <c r="Q99" s="431">
        <v>1022074</v>
      </c>
      <c r="R99" s="431">
        <v>1145837</v>
      </c>
      <c r="S99" s="431"/>
      <c r="T99" s="431"/>
      <c r="U99" s="431"/>
      <c r="V99" s="431"/>
      <c r="W99" s="431">
        <v>307520</v>
      </c>
      <c r="X99" s="431">
        <v>165335</v>
      </c>
      <c r="Y99" s="431"/>
      <c r="Z99" s="431">
        <v>25000</v>
      </c>
      <c r="AA99" s="431"/>
      <c r="AB99" s="431"/>
      <c r="AC99" s="431">
        <v>532000</v>
      </c>
      <c r="AD99" s="431">
        <v>320520</v>
      </c>
      <c r="AE99" s="431">
        <v>609305</v>
      </c>
      <c r="AF99" s="431">
        <v>28567</v>
      </c>
      <c r="AG99" s="431">
        <v>343000</v>
      </c>
      <c r="AH99" s="431">
        <v>261116</v>
      </c>
      <c r="AI99" s="431">
        <v>270000</v>
      </c>
      <c r="AJ99" s="431">
        <v>40000</v>
      </c>
      <c r="AK99" s="431"/>
      <c r="AL99" s="431">
        <v>189458</v>
      </c>
      <c r="AM99" s="431">
        <v>71800</v>
      </c>
    </row>
    <row r="100" spans="1:39" s="155" customFormat="1" ht="12" x14ac:dyDescent="0.2">
      <c r="A100" s="205">
        <v>46</v>
      </c>
      <c r="B100" s="143">
        <v>94651</v>
      </c>
      <c r="C100" s="175" t="s">
        <v>1050</v>
      </c>
      <c r="D100" s="438">
        <f t="shared" si="15"/>
        <v>4952800</v>
      </c>
      <c r="E100" s="431">
        <v>1094728</v>
      </c>
      <c r="F100" s="431">
        <v>107279</v>
      </c>
      <c r="G100" s="431">
        <v>198382</v>
      </c>
      <c r="H100" s="431"/>
      <c r="I100" s="431">
        <v>1299961</v>
      </c>
      <c r="J100" s="431"/>
      <c r="K100" s="431">
        <v>800000</v>
      </c>
      <c r="L100" s="431">
        <v>0</v>
      </c>
      <c r="M100" s="431">
        <v>1751111</v>
      </c>
      <c r="N100" s="431">
        <v>0</v>
      </c>
      <c r="O100" s="431">
        <v>7000</v>
      </c>
      <c r="P100" s="438">
        <f t="shared" si="16"/>
        <v>5015056</v>
      </c>
      <c r="Q100" s="431">
        <v>1661092</v>
      </c>
      <c r="R100" s="431">
        <v>1025230</v>
      </c>
      <c r="S100" s="431">
        <v>2773</v>
      </c>
      <c r="T100" s="431"/>
      <c r="U100" s="431"/>
      <c r="V100" s="431"/>
      <c r="W100" s="431">
        <v>0</v>
      </c>
      <c r="X100" s="431">
        <v>261685</v>
      </c>
      <c r="Y100" s="431">
        <v>54500</v>
      </c>
      <c r="Z100" s="431">
        <v>2068567</v>
      </c>
      <c r="AA100" s="431"/>
      <c r="AB100" s="431">
        <v>-58791</v>
      </c>
      <c r="AC100" s="431">
        <v>864101</v>
      </c>
      <c r="AD100" s="431">
        <v>606</v>
      </c>
      <c r="AE100" s="431">
        <v>1156792</v>
      </c>
      <c r="AF100" s="431">
        <v>11839</v>
      </c>
      <c r="AG100" s="431">
        <v>85319</v>
      </c>
      <c r="AH100" s="431">
        <v>674554</v>
      </c>
      <c r="AI100" s="431">
        <v>204721</v>
      </c>
      <c r="AJ100" s="431">
        <v>139006</v>
      </c>
      <c r="AK100" s="431"/>
      <c r="AL100" s="431">
        <v>1878118</v>
      </c>
      <c r="AM100" s="431">
        <v>0</v>
      </c>
    </row>
    <row r="101" spans="1:39" s="155" customFormat="1" ht="12" x14ac:dyDescent="0.2">
      <c r="A101" s="205">
        <v>47</v>
      </c>
      <c r="B101" s="143">
        <v>105712</v>
      </c>
      <c r="C101" s="175" t="s">
        <v>2301</v>
      </c>
      <c r="D101" s="438">
        <f t="shared" si="15"/>
        <v>3370063</v>
      </c>
      <c r="E101" s="431">
        <v>1120308</v>
      </c>
      <c r="F101" s="431">
        <v>222829</v>
      </c>
      <c r="G101" s="431">
        <v>133617</v>
      </c>
      <c r="H101" s="431"/>
      <c r="I101" s="431">
        <v>1508318</v>
      </c>
      <c r="J101" s="431"/>
      <c r="K101" s="431">
        <v>608000</v>
      </c>
      <c r="L101" s="431"/>
      <c r="M101" s="431">
        <v>28236</v>
      </c>
      <c r="N101" s="431">
        <v>105201</v>
      </c>
      <c r="O101" s="431">
        <v>0</v>
      </c>
      <c r="P101" s="438">
        <f t="shared" si="16"/>
        <v>3256664</v>
      </c>
      <c r="Q101" s="431">
        <v>1700091</v>
      </c>
      <c r="R101" s="431">
        <v>1077792</v>
      </c>
      <c r="S101" s="431"/>
      <c r="T101" s="431"/>
      <c r="U101" s="431"/>
      <c r="V101" s="431">
        <v>0</v>
      </c>
      <c r="W101" s="431"/>
      <c r="X101" s="431">
        <v>309073</v>
      </c>
      <c r="Y101" s="431">
        <v>0</v>
      </c>
      <c r="Z101" s="431">
        <v>173428</v>
      </c>
      <c r="AA101" s="431"/>
      <c r="AB101" s="431">
        <v>-3720</v>
      </c>
      <c r="AC101" s="431">
        <v>647602</v>
      </c>
      <c r="AD101" s="431"/>
      <c r="AE101" s="431">
        <v>1786124</v>
      </c>
      <c r="AF101" s="431"/>
      <c r="AG101" s="431">
        <v>259132</v>
      </c>
      <c r="AH101" s="431">
        <v>309073</v>
      </c>
      <c r="AI101" s="431">
        <v>95403</v>
      </c>
      <c r="AJ101" s="431">
        <v>106591</v>
      </c>
      <c r="AK101" s="431"/>
      <c r="AL101" s="431">
        <v>52739</v>
      </c>
      <c r="AM101" s="431"/>
    </row>
    <row r="102" spans="1:39" s="155" customFormat="1" ht="12" x14ac:dyDescent="0.2">
      <c r="A102" s="205">
        <v>48</v>
      </c>
      <c r="B102" s="143">
        <v>105829</v>
      </c>
      <c r="C102" s="175" t="s">
        <v>2302</v>
      </c>
      <c r="D102" s="438">
        <f t="shared" si="15"/>
        <v>4509380</v>
      </c>
      <c r="E102" s="431">
        <v>1083970</v>
      </c>
      <c r="F102" s="431">
        <v>136905</v>
      </c>
      <c r="G102" s="431">
        <v>374390</v>
      </c>
      <c r="H102" s="431"/>
      <c r="I102" s="431">
        <v>1887200</v>
      </c>
      <c r="J102" s="431">
        <v>119000</v>
      </c>
      <c r="K102" s="431">
        <v>1203000</v>
      </c>
      <c r="L102" s="431"/>
      <c r="M102" s="431">
        <v>169839</v>
      </c>
      <c r="N102" s="431">
        <v>35871</v>
      </c>
      <c r="O102" s="431">
        <v>10500</v>
      </c>
      <c r="P102" s="438">
        <f t="shared" si="16"/>
        <v>4226911</v>
      </c>
      <c r="Q102" s="431">
        <v>2024556</v>
      </c>
      <c r="R102" s="431">
        <v>1440613</v>
      </c>
      <c r="S102" s="431"/>
      <c r="T102" s="431"/>
      <c r="U102" s="431">
        <v>10000</v>
      </c>
      <c r="V102" s="431"/>
      <c r="W102" s="431">
        <v>22781</v>
      </c>
      <c r="X102" s="431">
        <v>494216</v>
      </c>
      <c r="Y102" s="431">
        <v>6000</v>
      </c>
      <c r="Z102" s="431">
        <v>228745</v>
      </c>
      <c r="AA102" s="431"/>
      <c r="AB102" s="431"/>
      <c r="AC102" s="431">
        <v>698671</v>
      </c>
      <c r="AD102" s="431">
        <v>0</v>
      </c>
      <c r="AE102" s="431">
        <v>1883768</v>
      </c>
      <c r="AF102" s="431">
        <v>0</v>
      </c>
      <c r="AG102" s="431">
        <v>289214</v>
      </c>
      <c r="AH102" s="431">
        <v>494216</v>
      </c>
      <c r="AI102" s="431">
        <v>328311</v>
      </c>
      <c r="AJ102" s="431">
        <v>183899</v>
      </c>
      <c r="AK102" s="431"/>
      <c r="AL102" s="431">
        <v>326051</v>
      </c>
      <c r="AM102" s="431">
        <v>22781</v>
      </c>
    </row>
    <row r="103" spans="1:39" s="155" customFormat="1" ht="12" x14ac:dyDescent="0.2">
      <c r="A103" s="205">
        <v>49</v>
      </c>
      <c r="B103" s="143">
        <v>94731</v>
      </c>
      <c r="C103" s="175" t="s">
        <v>2303</v>
      </c>
      <c r="D103" s="438">
        <f t="shared" si="15"/>
        <v>3613892</v>
      </c>
      <c r="E103" s="431">
        <v>1294304</v>
      </c>
      <c r="F103" s="431">
        <v>379938</v>
      </c>
      <c r="G103" s="431">
        <v>71611</v>
      </c>
      <c r="H103" s="431"/>
      <c r="I103" s="431">
        <v>1193000</v>
      </c>
      <c r="J103" s="431">
        <v>27319</v>
      </c>
      <c r="K103" s="431">
        <v>440000</v>
      </c>
      <c r="L103" s="431">
        <v>0</v>
      </c>
      <c r="M103" s="431">
        <v>226565</v>
      </c>
      <c r="N103" s="431">
        <v>390288</v>
      </c>
      <c r="O103" s="431">
        <v>42416</v>
      </c>
      <c r="P103" s="438">
        <f t="shared" si="16"/>
        <v>3736457</v>
      </c>
      <c r="Q103" s="431">
        <v>1318112</v>
      </c>
      <c r="R103" s="431">
        <v>1121809</v>
      </c>
      <c r="S103" s="431">
        <v>3700</v>
      </c>
      <c r="T103" s="431"/>
      <c r="U103" s="431">
        <v>165000</v>
      </c>
      <c r="V103" s="431">
        <v>13017</v>
      </c>
      <c r="W103" s="431">
        <v>509429</v>
      </c>
      <c r="X103" s="431">
        <v>284655</v>
      </c>
      <c r="Y103" s="431"/>
      <c r="Z103" s="431">
        <v>320735</v>
      </c>
      <c r="AA103" s="431">
        <v>0</v>
      </c>
      <c r="AB103" s="431"/>
      <c r="AC103" s="431">
        <v>737154</v>
      </c>
      <c r="AD103" s="431">
        <v>623325</v>
      </c>
      <c r="AE103" s="431">
        <v>860981</v>
      </c>
      <c r="AF103" s="431"/>
      <c r="AG103" s="431">
        <v>54886</v>
      </c>
      <c r="AH103" s="431">
        <v>466110</v>
      </c>
      <c r="AI103" s="431">
        <v>428176</v>
      </c>
      <c r="AJ103" s="431">
        <v>231191</v>
      </c>
      <c r="AK103" s="431"/>
      <c r="AL103" s="431">
        <v>334634</v>
      </c>
      <c r="AM103" s="431">
        <v>0</v>
      </c>
    </row>
    <row r="104" spans="1:39" s="155" customFormat="1" ht="12" x14ac:dyDescent="0.2">
      <c r="A104" s="205">
        <v>50</v>
      </c>
      <c r="B104" s="143">
        <v>94768</v>
      </c>
      <c r="C104" s="175" t="s">
        <v>2304</v>
      </c>
      <c r="D104" s="438">
        <f t="shared" si="15"/>
        <v>3093594</v>
      </c>
      <c r="E104" s="431">
        <v>1006480</v>
      </c>
      <c r="F104" s="431">
        <v>202246</v>
      </c>
      <c r="G104" s="431">
        <v>164261</v>
      </c>
      <c r="H104" s="431"/>
      <c r="I104" s="431">
        <v>990651</v>
      </c>
      <c r="J104" s="431"/>
      <c r="K104" s="431">
        <v>892000</v>
      </c>
      <c r="L104" s="431"/>
      <c r="M104" s="431">
        <v>3302</v>
      </c>
      <c r="N104" s="431"/>
      <c r="O104" s="431">
        <v>201161</v>
      </c>
      <c r="P104" s="438">
        <f t="shared" si="16"/>
        <v>2987010</v>
      </c>
      <c r="Q104" s="431">
        <v>1107428</v>
      </c>
      <c r="R104" s="431">
        <v>698846</v>
      </c>
      <c r="S104" s="431"/>
      <c r="T104" s="431"/>
      <c r="U104" s="431"/>
      <c r="V104" s="431"/>
      <c r="W104" s="431"/>
      <c r="X104" s="431">
        <v>263947</v>
      </c>
      <c r="Y104" s="431">
        <v>3000</v>
      </c>
      <c r="Z104" s="431">
        <v>913789</v>
      </c>
      <c r="AA104" s="431"/>
      <c r="AB104" s="431">
        <v>0</v>
      </c>
      <c r="AC104" s="431">
        <v>658261</v>
      </c>
      <c r="AD104" s="431">
        <v>8999</v>
      </c>
      <c r="AE104" s="431">
        <v>826011</v>
      </c>
      <c r="AF104" s="431"/>
      <c r="AG104" s="431">
        <v>114688</v>
      </c>
      <c r="AH104" s="431">
        <v>309339</v>
      </c>
      <c r="AI104" s="431">
        <v>415608</v>
      </c>
      <c r="AJ104" s="431">
        <v>48414</v>
      </c>
      <c r="AK104" s="431"/>
      <c r="AL104" s="431">
        <v>605690</v>
      </c>
      <c r="AM104" s="431"/>
    </row>
    <row r="105" spans="1:39" s="155" customFormat="1" ht="12" hidden="1" x14ac:dyDescent="0.2">
      <c r="A105" s="205">
        <v>51</v>
      </c>
      <c r="B105" s="205"/>
      <c r="C105" s="261"/>
      <c r="D105" s="432">
        <f t="shared" si="12"/>
        <v>0</v>
      </c>
      <c r="E105" s="431"/>
      <c r="F105" s="431"/>
      <c r="G105" s="431"/>
      <c r="H105" s="431"/>
      <c r="I105" s="431"/>
      <c r="J105" s="431"/>
      <c r="K105" s="431"/>
      <c r="L105" s="431"/>
      <c r="M105" s="431"/>
      <c r="N105" s="431"/>
      <c r="O105" s="431"/>
      <c r="P105" s="432">
        <f t="shared" ref="P105:P142" si="17">IF(SUM(Q105:AB105)=SUM(AC105:AM105),SUM(Q105:AB105),"  EROARE ART/CAP")</f>
        <v>0</v>
      </c>
      <c r="Q105" s="431"/>
      <c r="R105" s="431"/>
      <c r="S105" s="431"/>
      <c r="T105" s="431"/>
      <c r="U105" s="431"/>
      <c r="V105" s="431"/>
      <c r="W105" s="431"/>
      <c r="X105" s="431"/>
      <c r="Y105" s="431"/>
      <c r="Z105" s="468"/>
      <c r="AA105" s="431"/>
      <c r="AB105" s="431"/>
      <c r="AC105" s="468"/>
      <c r="AD105" s="431"/>
      <c r="AE105" s="431"/>
      <c r="AF105" s="431"/>
      <c r="AG105" s="431"/>
      <c r="AH105" s="431"/>
      <c r="AI105" s="468"/>
      <c r="AJ105" s="468"/>
      <c r="AK105" s="431"/>
      <c r="AL105" s="431"/>
      <c r="AM105" s="431"/>
    </row>
    <row r="106" spans="1:39" s="155" customFormat="1" ht="12" hidden="1" x14ac:dyDescent="0.2">
      <c r="A106" s="205">
        <v>52</v>
      </c>
      <c r="B106" s="205"/>
      <c r="C106" s="261"/>
      <c r="D106" s="432">
        <f t="shared" si="12"/>
        <v>0</v>
      </c>
      <c r="E106" s="431"/>
      <c r="F106" s="431"/>
      <c r="G106" s="431"/>
      <c r="H106" s="431"/>
      <c r="I106" s="431"/>
      <c r="J106" s="431"/>
      <c r="K106" s="431"/>
      <c r="L106" s="431"/>
      <c r="M106" s="431"/>
      <c r="N106" s="431"/>
      <c r="O106" s="431"/>
      <c r="P106" s="432">
        <f t="shared" si="17"/>
        <v>0</v>
      </c>
      <c r="Q106" s="431"/>
      <c r="R106" s="431"/>
      <c r="S106" s="431"/>
      <c r="T106" s="431"/>
      <c r="U106" s="431"/>
      <c r="V106" s="431"/>
      <c r="W106" s="431"/>
      <c r="X106" s="431"/>
      <c r="Y106" s="431"/>
      <c r="Z106" s="468"/>
      <c r="AA106" s="431"/>
      <c r="AB106" s="431"/>
      <c r="AC106" s="468"/>
      <c r="AD106" s="431"/>
      <c r="AE106" s="431"/>
      <c r="AF106" s="431"/>
      <c r="AG106" s="431"/>
      <c r="AH106" s="431"/>
      <c r="AI106" s="468"/>
      <c r="AJ106" s="468"/>
      <c r="AK106" s="431"/>
      <c r="AL106" s="431"/>
      <c r="AM106" s="431"/>
    </row>
    <row r="107" spans="1:39" s="155" customFormat="1" ht="12" hidden="1" x14ac:dyDescent="0.2">
      <c r="A107" s="205">
        <v>53</v>
      </c>
      <c r="B107" s="205"/>
      <c r="C107" s="261"/>
      <c r="D107" s="432">
        <f t="shared" si="12"/>
        <v>0</v>
      </c>
      <c r="E107" s="431"/>
      <c r="F107" s="431"/>
      <c r="G107" s="431"/>
      <c r="H107" s="431"/>
      <c r="I107" s="431"/>
      <c r="J107" s="431"/>
      <c r="K107" s="431"/>
      <c r="L107" s="431"/>
      <c r="M107" s="431"/>
      <c r="N107" s="431"/>
      <c r="O107" s="431"/>
      <c r="P107" s="432">
        <f t="shared" si="17"/>
        <v>0</v>
      </c>
      <c r="Q107" s="431"/>
      <c r="R107" s="431"/>
      <c r="S107" s="431"/>
      <c r="T107" s="431"/>
      <c r="U107" s="431"/>
      <c r="V107" s="431"/>
      <c r="W107" s="431"/>
      <c r="X107" s="431"/>
      <c r="Y107" s="431"/>
      <c r="Z107" s="468"/>
      <c r="AA107" s="431"/>
      <c r="AB107" s="431"/>
      <c r="AC107" s="468"/>
      <c r="AD107" s="431"/>
      <c r="AE107" s="431"/>
      <c r="AF107" s="431"/>
      <c r="AG107" s="431"/>
      <c r="AH107" s="431"/>
      <c r="AI107" s="468"/>
      <c r="AJ107" s="468"/>
      <c r="AK107" s="431"/>
      <c r="AL107" s="431"/>
      <c r="AM107" s="431"/>
    </row>
    <row r="108" spans="1:39" s="155" customFormat="1" ht="12" hidden="1" x14ac:dyDescent="0.2">
      <c r="A108" s="205">
        <v>54</v>
      </c>
      <c r="B108" s="205"/>
      <c r="C108" s="262"/>
      <c r="D108" s="432">
        <f t="shared" si="12"/>
        <v>0</v>
      </c>
      <c r="E108" s="431"/>
      <c r="F108" s="431"/>
      <c r="G108" s="431"/>
      <c r="H108" s="431"/>
      <c r="I108" s="431"/>
      <c r="J108" s="431"/>
      <c r="K108" s="431"/>
      <c r="L108" s="431"/>
      <c r="M108" s="431"/>
      <c r="N108" s="431"/>
      <c r="O108" s="431"/>
      <c r="P108" s="432">
        <f t="shared" si="17"/>
        <v>0</v>
      </c>
      <c r="Q108" s="431"/>
      <c r="R108" s="431"/>
      <c r="S108" s="431"/>
      <c r="T108" s="431"/>
      <c r="U108" s="431"/>
      <c r="V108" s="431"/>
      <c r="W108" s="431"/>
      <c r="X108" s="431"/>
      <c r="Y108" s="431"/>
      <c r="Z108" s="468"/>
      <c r="AA108" s="431"/>
      <c r="AB108" s="431"/>
      <c r="AC108" s="468"/>
      <c r="AD108" s="431"/>
      <c r="AE108" s="431"/>
      <c r="AF108" s="431"/>
      <c r="AG108" s="431"/>
      <c r="AH108" s="431"/>
      <c r="AI108" s="468"/>
      <c r="AJ108" s="468"/>
      <c r="AK108" s="431"/>
      <c r="AL108" s="431"/>
      <c r="AM108" s="431"/>
    </row>
    <row r="109" spans="1:39" s="155" customFormat="1" ht="12" hidden="1" x14ac:dyDescent="0.2">
      <c r="A109" s="205">
        <v>55</v>
      </c>
      <c r="B109" s="205"/>
      <c r="C109" s="261"/>
      <c r="D109" s="432">
        <f t="shared" si="12"/>
        <v>0</v>
      </c>
      <c r="E109" s="431"/>
      <c r="F109" s="431"/>
      <c r="G109" s="431"/>
      <c r="H109" s="431"/>
      <c r="I109" s="431"/>
      <c r="J109" s="431"/>
      <c r="K109" s="431"/>
      <c r="L109" s="431"/>
      <c r="M109" s="431"/>
      <c r="N109" s="431"/>
      <c r="O109" s="431"/>
      <c r="P109" s="432">
        <f t="shared" si="17"/>
        <v>0</v>
      </c>
      <c r="Q109" s="431"/>
      <c r="R109" s="431"/>
      <c r="S109" s="431"/>
      <c r="T109" s="431"/>
      <c r="U109" s="431"/>
      <c r="V109" s="431"/>
      <c r="W109" s="431"/>
      <c r="X109" s="431"/>
      <c r="Y109" s="431"/>
      <c r="Z109" s="468"/>
      <c r="AA109" s="431"/>
      <c r="AB109" s="431"/>
      <c r="AC109" s="468"/>
      <c r="AD109" s="431"/>
      <c r="AE109" s="431"/>
      <c r="AF109" s="431"/>
      <c r="AG109" s="431"/>
      <c r="AH109" s="431"/>
      <c r="AI109" s="468"/>
      <c r="AJ109" s="468"/>
      <c r="AK109" s="431"/>
      <c r="AL109" s="431"/>
      <c r="AM109" s="431"/>
    </row>
    <row r="110" spans="1:39" s="155" customFormat="1" ht="12" hidden="1" x14ac:dyDescent="0.2">
      <c r="A110" s="205">
        <v>56</v>
      </c>
      <c r="B110" s="205"/>
      <c r="C110" s="261"/>
      <c r="D110" s="432">
        <f t="shared" si="12"/>
        <v>0</v>
      </c>
      <c r="E110" s="431"/>
      <c r="F110" s="431"/>
      <c r="G110" s="431"/>
      <c r="H110" s="431"/>
      <c r="I110" s="431"/>
      <c r="J110" s="431"/>
      <c r="K110" s="431"/>
      <c r="L110" s="431"/>
      <c r="M110" s="431"/>
      <c r="N110" s="431"/>
      <c r="O110" s="431"/>
      <c r="P110" s="432">
        <f t="shared" si="17"/>
        <v>0</v>
      </c>
      <c r="Q110" s="431"/>
      <c r="R110" s="431"/>
      <c r="S110" s="431"/>
      <c r="T110" s="431"/>
      <c r="U110" s="431"/>
      <c r="V110" s="431"/>
      <c r="W110" s="431"/>
      <c r="X110" s="431"/>
      <c r="Y110" s="431"/>
      <c r="Z110" s="468"/>
      <c r="AA110" s="431"/>
      <c r="AB110" s="431"/>
      <c r="AC110" s="468"/>
      <c r="AD110" s="431"/>
      <c r="AE110" s="431"/>
      <c r="AF110" s="431"/>
      <c r="AG110" s="431"/>
      <c r="AH110" s="431"/>
      <c r="AI110" s="468"/>
      <c r="AJ110" s="468"/>
      <c r="AK110" s="431"/>
      <c r="AL110" s="431"/>
      <c r="AM110" s="431"/>
    </row>
    <row r="111" spans="1:39" s="155" customFormat="1" ht="12" hidden="1" x14ac:dyDescent="0.2">
      <c r="A111" s="205">
        <v>57</v>
      </c>
      <c r="B111" s="205"/>
      <c r="C111" s="261"/>
      <c r="D111" s="432">
        <f t="shared" si="12"/>
        <v>0</v>
      </c>
      <c r="E111" s="431"/>
      <c r="F111" s="431"/>
      <c r="G111" s="431"/>
      <c r="H111" s="431"/>
      <c r="I111" s="431"/>
      <c r="J111" s="431"/>
      <c r="K111" s="431"/>
      <c r="L111" s="431"/>
      <c r="M111" s="431"/>
      <c r="N111" s="431"/>
      <c r="O111" s="431"/>
      <c r="P111" s="432">
        <f t="shared" si="17"/>
        <v>0</v>
      </c>
      <c r="Q111" s="431"/>
      <c r="R111" s="431"/>
      <c r="S111" s="431"/>
      <c r="T111" s="431"/>
      <c r="U111" s="431"/>
      <c r="V111" s="431"/>
      <c r="W111" s="431"/>
      <c r="X111" s="431"/>
      <c r="Y111" s="431"/>
      <c r="Z111" s="468"/>
      <c r="AA111" s="431"/>
      <c r="AB111" s="431"/>
      <c r="AC111" s="468"/>
      <c r="AD111" s="431"/>
      <c r="AE111" s="431"/>
      <c r="AF111" s="431"/>
      <c r="AG111" s="431"/>
      <c r="AH111" s="431"/>
      <c r="AI111" s="468"/>
      <c r="AJ111" s="468"/>
      <c r="AK111" s="431"/>
      <c r="AL111" s="431"/>
      <c r="AM111" s="431"/>
    </row>
    <row r="112" spans="1:39" s="155" customFormat="1" ht="12" hidden="1" x14ac:dyDescent="0.2">
      <c r="A112" s="205">
        <v>58</v>
      </c>
      <c r="B112" s="205"/>
      <c r="C112" s="261"/>
      <c r="D112" s="432">
        <f t="shared" si="12"/>
        <v>0</v>
      </c>
      <c r="E112" s="431"/>
      <c r="F112" s="431"/>
      <c r="G112" s="431"/>
      <c r="H112" s="431"/>
      <c r="I112" s="431"/>
      <c r="J112" s="431"/>
      <c r="K112" s="431"/>
      <c r="L112" s="431"/>
      <c r="M112" s="431"/>
      <c r="N112" s="431"/>
      <c r="O112" s="431"/>
      <c r="P112" s="432">
        <f t="shared" si="17"/>
        <v>0</v>
      </c>
      <c r="Q112" s="431"/>
      <c r="R112" s="468"/>
      <c r="S112" s="431"/>
      <c r="T112" s="431"/>
      <c r="U112" s="431"/>
      <c r="V112" s="431"/>
      <c r="W112" s="431"/>
      <c r="X112" s="431"/>
      <c r="Y112" s="431"/>
      <c r="Z112" s="468"/>
      <c r="AA112" s="431"/>
      <c r="AB112" s="431"/>
      <c r="AC112" s="468"/>
      <c r="AD112" s="431"/>
      <c r="AE112" s="431"/>
      <c r="AF112" s="431"/>
      <c r="AG112" s="431"/>
      <c r="AH112" s="431"/>
      <c r="AI112" s="468"/>
      <c r="AJ112" s="468"/>
      <c r="AK112" s="431"/>
      <c r="AL112" s="431"/>
      <c r="AM112" s="431"/>
    </row>
    <row r="113" spans="1:39" s="155" customFormat="1" ht="12" hidden="1" x14ac:dyDescent="0.2">
      <c r="A113" s="205">
        <v>59</v>
      </c>
      <c r="B113" s="205"/>
      <c r="C113" s="261"/>
      <c r="D113" s="432">
        <f t="shared" si="12"/>
        <v>0</v>
      </c>
      <c r="E113" s="431"/>
      <c r="F113" s="431"/>
      <c r="G113" s="431"/>
      <c r="H113" s="431"/>
      <c r="I113" s="431"/>
      <c r="J113" s="431"/>
      <c r="K113" s="431"/>
      <c r="L113" s="431"/>
      <c r="M113" s="431"/>
      <c r="N113" s="431"/>
      <c r="O113" s="431"/>
      <c r="P113" s="432">
        <f t="shared" si="17"/>
        <v>0</v>
      </c>
      <c r="Q113" s="431"/>
      <c r="R113" s="431"/>
      <c r="S113" s="431"/>
      <c r="T113" s="431"/>
      <c r="U113" s="431"/>
      <c r="V113" s="431"/>
      <c r="W113" s="431"/>
      <c r="X113" s="431"/>
      <c r="Y113" s="431"/>
      <c r="Z113" s="468"/>
      <c r="AA113" s="431"/>
      <c r="AB113" s="431"/>
      <c r="AC113" s="468"/>
      <c r="AD113" s="431"/>
      <c r="AE113" s="431"/>
      <c r="AF113" s="431"/>
      <c r="AG113" s="431"/>
      <c r="AH113" s="431"/>
      <c r="AI113" s="468"/>
      <c r="AJ113" s="468"/>
      <c r="AK113" s="431"/>
      <c r="AL113" s="431"/>
      <c r="AM113" s="431"/>
    </row>
    <row r="114" spans="1:39" s="155" customFormat="1" ht="12" hidden="1" x14ac:dyDescent="0.2">
      <c r="A114" s="205">
        <v>60</v>
      </c>
      <c r="B114" s="205"/>
      <c r="C114" s="262"/>
      <c r="D114" s="432">
        <f t="shared" si="12"/>
        <v>0</v>
      </c>
      <c r="E114" s="431"/>
      <c r="F114" s="431"/>
      <c r="G114" s="431"/>
      <c r="H114" s="431"/>
      <c r="I114" s="431"/>
      <c r="J114" s="431"/>
      <c r="K114" s="431"/>
      <c r="L114" s="431"/>
      <c r="M114" s="431"/>
      <c r="N114" s="431"/>
      <c r="O114" s="431"/>
      <c r="P114" s="432">
        <f t="shared" si="17"/>
        <v>0</v>
      </c>
      <c r="Q114" s="431"/>
      <c r="R114" s="431"/>
      <c r="S114" s="431"/>
      <c r="T114" s="431"/>
      <c r="U114" s="431"/>
      <c r="V114" s="431"/>
      <c r="W114" s="431"/>
      <c r="X114" s="431"/>
      <c r="Y114" s="431"/>
      <c r="Z114" s="468"/>
      <c r="AA114" s="431"/>
      <c r="AB114" s="431"/>
      <c r="AC114" s="468"/>
      <c r="AD114" s="431"/>
      <c r="AE114" s="431"/>
      <c r="AF114" s="431"/>
      <c r="AG114" s="431"/>
      <c r="AH114" s="431"/>
      <c r="AI114" s="468"/>
      <c r="AJ114" s="468"/>
      <c r="AK114" s="431"/>
      <c r="AL114" s="431"/>
      <c r="AM114" s="431"/>
    </row>
    <row r="115" spans="1:39" s="155" customFormat="1" ht="12" hidden="1" x14ac:dyDescent="0.2">
      <c r="A115" s="205">
        <v>61</v>
      </c>
      <c r="B115" s="205"/>
      <c r="C115" s="261"/>
      <c r="D115" s="432">
        <f t="shared" si="12"/>
        <v>0</v>
      </c>
      <c r="E115" s="431"/>
      <c r="F115" s="431"/>
      <c r="G115" s="431"/>
      <c r="H115" s="431"/>
      <c r="I115" s="431"/>
      <c r="J115" s="431"/>
      <c r="K115" s="431"/>
      <c r="L115" s="431"/>
      <c r="M115" s="431"/>
      <c r="N115" s="431"/>
      <c r="O115" s="431"/>
      <c r="P115" s="432">
        <f t="shared" si="17"/>
        <v>0</v>
      </c>
      <c r="Q115" s="431"/>
      <c r="R115" s="431"/>
      <c r="S115" s="431"/>
      <c r="T115" s="431"/>
      <c r="U115" s="431"/>
      <c r="V115" s="431"/>
      <c r="W115" s="431"/>
      <c r="X115" s="431"/>
      <c r="Y115" s="431"/>
      <c r="Z115" s="468"/>
      <c r="AA115" s="431"/>
      <c r="AB115" s="431"/>
      <c r="AC115" s="468"/>
      <c r="AD115" s="431"/>
      <c r="AE115" s="431"/>
      <c r="AF115" s="431"/>
      <c r="AG115" s="431"/>
      <c r="AH115" s="431"/>
      <c r="AI115" s="468"/>
      <c r="AJ115" s="468"/>
      <c r="AK115" s="431"/>
      <c r="AL115" s="431"/>
      <c r="AM115" s="431"/>
    </row>
    <row r="116" spans="1:39" s="155" customFormat="1" ht="12" hidden="1" x14ac:dyDescent="0.2">
      <c r="A116" s="205">
        <v>62</v>
      </c>
      <c r="B116" s="168"/>
      <c r="C116" s="261"/>
      <c r="D116" s="432">
        <f t="shared" si="12"/>
        <v>0</v>
      </c>
      <c r="E116" s="431"/>
      <c r="F116" s="431"/>
      <c r="G116" s="431"/>
      <c r="H116" s="431"/>
      <c r="I116" s="431"/>
      <c r="J116" s="431"/>
      <c r="K116" s="431"/>
      <c r="L116" s="431"/>
      <c r="M116" s="431"/>
      <c r="N116" s="431"/>
      <c r="O116" s="431"/>
      <c r="P116" s="432">
        <f t="shared" si="17"/>
        <v>0</v>
      </c>
      <c r="Q116" s="431"/>
      <c r="R116" s="431"/>
      <c r="S116" s="431"/>
      <c r="T116" s="431"/>
      <c r="U116" s="431"/>
      <c r="V116" s="431"/>
      <c r="W116" s="431"/>
      <c r="X116" s="431"/>
      <c r="Y116" s="431"/>
      <c r="Z116" s="468"/>
      <c r="AA116" s="431"/>
      <c r="AB116" s="431"/>
      <c r="AC116" s="468"/>
      <c r="AD116" s="431"/>
      <c r="AE116" s="431"/>
      <c r="AF116" s="431"/>
      <c r="AG116" s="431"/>
      <c r="AH116" s="431"/>
      <c r="AI116" s="468"/>
      <c r="AJ116" s="468"/>
      <c r="AK116" s="431"/>
      <c r="AL116" s="431"/>
      <c r="AM116" s="431"/>
    </row>
    <row r="117" spans="1:39" s="155" customFormat="1" ht="12" hidden="1" x14ac:dyDescent="0.2">
      <c r="A117" s="205">
        <v>63</v>
      </c>
      <c r="B117" s="168"/>
      <c r="C117" s="262"/>
      <c r="D117" s="432">
        <f t="shared" si="12"/>
        <v>0</v>
      </c>
      <c r="E117" s="431"/>
      <c r="F117" s="431"/>
      <c r="G117" s="431"/>
      <c r="H117" s="431"/>
      <c r="I117" s="431"/>
      <c r="J117" s="431"/>
      <c r="K117" s="431"/>
      <c r="L117" s="431"/>
      <c r="M117" s="431"/>
      <c r="N117" s="431"/>
      <c r="O117" s="431"/>
      <c r="P117" s="432">
        <f t="shared" si="17"/>
        <v>0</v>
      </c>
      <c r="Q117" s="431"/>
      <c r="R117" s="431"/>
      <c r="S117" s="431"/>
      <c r="T117" s="431"/>
      <c r="U117" s="431"/>
      <c r="V117" s="431"/>
      <c r="W117" s="431"/>
      <c r="X117" s="431"/>
      <c r="Y117" s="431"/>
      <c r="Z117" s="468"/>
      <c r="AA117" s="431"/>
      <c r="AB117" s="431"/>
      <c r="AC117" s="468"/>
      <c r="AD117" s="431"/>
      <c r="AE117" s="431"/>
      <c r="AF117" s="431"/>
      <c r="AG117" s="431"/>
      <c r="AH117" s="431"/>
      <c r="AI117" s="468"/>
      <c r="AJ117" s="468"/>
      <c r="AK117" s="431"/>
      <c r="AL117" s="431"/>
      <c r="AM117" s="431"/>
    </row>
    <row r="118" spans="1:39" s="155" customFormat="1" ht="12" hidden="1" x14ac:dyDescent="0.2">
      <c r="A118" s="205">
        <v>64</v>
      </c>
      <c r="B118" s="168"/>
      <c r="C118" s="261"/>
      <c r="D118" s="432">
        <f t="shared" ref="D118:D143" si="18">E118+SUM(H118:O118)</f>
        <v>0</v>
      </c>
      <c r="E118" s="431"/>
      <c r="F118" s="431"/>
      <c r="G118" s="431"/>
      <c r="H118" s="431"/>
      <c r="I118" s="431"/>
      <c r="J118" s="431"/>
      <c r="K118" s="431"/>
      <c r="L118" s="431"/>
      <c r="M118" s="431"/>
      <c r="N118" s="431"/>
      <c r="O118" s="431"/>
      <c r="P118" s="432">
        <f t="shared" si="17"/>
        <v>0</v>
      </c>
      <c r="Q118" s="431"/>
      <c r="R118" s="431"/>
      <c r="S118" s="431"/>
      <c r="T118" s="431"/>
      <c r="U118" s="431"/>
      <c r="V118" s="431"/>
      <c r="W118" s="431"/>
      <c r="X118" s="431"/>
      <c r="Y118" s="431"/>
      <c r="Z118" s="468"/>
      <c r="AA118" s="431"/>
      <c r="AB118" s="431"/>
      <c r="AC118" s="468"/>
      <c r="AD118" s="431"/>
      <c r="AE118" s="431"/>
      <c r="AF118" s="431"/>
      <c r="AG118" s="431"/>
      <c r="AH118" s="431"/>
      <c r="AI118" s="468"/>
      <c r="AJ118" s="468"/>
      <c r="AK118" s="431"/>
      <c r="AL118" s="431"/>
      <c r="AM118" s="431"/>
    </row>
    <row r="119" spans="1:39" s="155" customFormat="1" ht="12" hidden="1" x14ac:dyDescent="0.2">
      <c r="A119" s="205">
        <v>65</v>
      </c>
      <c r="B119" s="168"/>
      <c r="C119" s="261"/>
      <c r="D119" s="432">
        <f t="shared" si="18"/>
        <v>0</v>
      </c>
      <c r="E119" s="431"/>
      <c r="F119" s="431"/>
      <c r="G119" s="431"/>
      <c r="H119" s="431"/>
      <c r="I119" s="431"/>
      <c r="J119" s="431"/>
      <c r="K119" s="431"/>
      <c r="L119" s="431"/>
      <c r="M119" s="431"/>
      <c r="N119" s="431"/>
      <c r="O119" s="431"/>
      <c r="P119" s="432">
        <f t="shared" si="17"/>
        <v>0</v>
      </c>
      <c r="Q119" s="431"/>
      <c r="R119" s="431"/>
      <c r="S119" s="431"/>
      <c r="T119" s="431"/>
      <c r="U119" s="431"/>
      <c r="V119" s="431"/>
      <c r="W119" s="431"/>
      <c r="X119" s="431"/>
      <c r="Y119" s="431"/>
      <c r="Z119" s="468"/>
      <c r="AA119" s="431"/>
      <c r="AB119" s="431"/>
      <c r="AC119" s="468"/>
      <c r="AD119" s="431"/>
      <c r="AE119" s="431"/>
      <c r="AF119" s="431"/>
      <c r="AG119" s="431"/>
      <c r="AH119" s="431"/>
      <c r="AI119" s="468"/>
      <c r="AJ119" s="468"/>
      <c r="AK119" s="431"/>
      <c r="AL119" s="431"/>
      <c r="AM119" s="431"/>
    </row>
    <row r="120" spans="1:39" s="155" customFormat="1" ht="12" hidden="1" x14ac:dyDescent="0.2">
      <c r="A120" s="205">
        <v>66</v>
      </c>
      <c r="B120" s="168"/>
      <c r="C120" s="261"/>
      <c r="D120" s="432">
        <f t="shared" si="18"/>
        <v>0</v>
      </c>
      <c r="E120" s="431"/>
      <c r="F120" s="431"/>
      <c r="G120" s="431"/>
      <c r="H120" s="431"/>
      <c r="I120" s="431"/>
      <c r="J120" s="431"/>
      <c r="K120" s="431"/>
      <c r="L120" s="431"/>
      <c r="M120" s="431"/>
      <c r="N120" s="431"/>
      <c r="O120" s="431"/>
      <c r="P120" s="432">
        <f t="shared" si="17"/>
        <v>0</v>
      </c>
      <c r="Q120" s="431"/>
      <c r="R120" s="431"/>
      <c r="S120" s="431"/>
      <c r="T120" s="431"/>
      <c r="U120" s="431"/>
      <c r="V120" s="431"/>
      <c r="W120" s="431"/>
      <c r="X120" s="431"/>
      <c r="Y120" s="431"/>
      <c r="Z120" s="468"/>
      <c r="AA120" s="431"/>
      <c r="AB120" s="431"/>
      <c r="AC120" s="468"/>
      <c r="AD120" s="431"/>
      <c r="AE120" s="431"/>
      <c r="AF120" s="431"/>
      <c r="AG120" s="431"/>
      <c r="AH120" s="431"/>
      <c r="AI120" s="468"/>
      <c r="AJ120" s="468"/>
      <c r="AK120" s="431"/>
      <c r="AL120" s="431"/>
      <c r="AM120" s="431"/>
    </row>
    <row r="121" spans="1:39" s="155" customFormat="1" ht="12" hidden="1" x14ac:dyDescent="0.2">
      <c r="A121" s="205">
        <v>67</v>
      </c>
      <c r="B121" s="168"/>
      <c r="C121" s="261"/>
      <c r="D121" s="432">
        <f t="shared" si="18"/>
        <v>0</v>
      </c>
      <c r="E121" s="431"/>
      <c r="F121" s="431"/>
      <c r="G121" s="431"/>
      <c r="H121" s="431"/>
      <c r="I121" s="431"/>
      <c r="J121" s="431"/>
      <c r="K121" s="431"/>
      <c r="L121" s="431"/>
      <c r="M121" s="431"/>
      <c r="N121" s="431"/>
      <c r="O121" s="431"/>
      <c r="P121" s="432">
        <f t="shared" si="17"/>
        <v>0</v>
      </c>
      <c r="Q121" s="431"/>
      <c r="R121" s="431"/>
      <c r="S121" s="431"/>
      <c r="T121" s="431"/>
      <c r="U121" s="431"/>
      <c r="V121" s="431"/>
      <c r="W121" s="431"/>
      <c r="X121" s="431"/>
      <c r="Y121" s="431"/>
      <c r="Z121" s="468"/>
      <c r="AA121" s="431"/>
      <c r="AB121" s="431"/>
      <c r="AC121" s="468"/>
      <c r="AD121" s="431"/>
      <c r="AE121" s="431"/>
      <c r="AF121" s="431"/>
      <c r="AG121" s="431"/>
      <c r="AH121" s="431"/>
      <c r="AI121" s="468"/>
      <c r="AJ121" s="468"/>
      <c r="AK121" s="431"/>
      <c r="AL121" s="431"/>
      <c r="AM121" s="431"/>
    </row>
    <row r="122" spans="1:39" s="155" customFormat="1" ht="12" hidden="1" x14ac:dyDescent="0.2">
      <c r="A122" s="205">
        <v>68</v>
      </c>
      <c r="B122" s="168"/>
      <c r="C122" s="261"/>
      <c r="D122" s="432">
        <f t="shared" si="18"/>
        <v>0</v>
      </c>
      <c r="E122" s="431"/>
      <c r="F122" s="431"/>
      <c r="G122" s="431"/>
      <c r="H122" s="431"/>
      <c r="I122" s="431"/>
      <c r="J122" s="431"/>
      <c r="K122" s="431"/>
      <c r="L122" s="431"/>
      <c r="M122" s="431"/>
      <c r="N122" s="431"/>
      <c r="O122" s="431"/>
      <c r="P122" s="432">
        <f t="shared" si="17"/>
        <v>0</v>
      </c>
      <c r="Q122" s="431"/>
      <c r="R122" s="431"/>
      <c r="S122" s="431"/>
      <c r="T122" s="431"/>
      <c r="U122" s="431"/>
      <c r="V122" s="431"/>
      <c r="W122" s="431"/>
      <c r="X122" s="431"/>
      <c r="Y122" s="431"/>
      <c r="Z122" s="468"/>
      <c r="AA122" s="431"/>
      <c r="AB122" s="431"/>
      <c r="AC122" s="468"/>
      <c r="AD122" s="431"/>
      <c r="AE122" s="431"/>
      <c r="AF122" s="431"/>
      <c r="AG122" s="431"/>
      <c r="AH122" s="431"/>
      <c r="AI122" s="468"/>
      <c r="AJ122" s="468"/>
      <c r="AK122" s="431"/>
      <c r="AL122" s="431"/>
      <c r="AM122" s="431"/>
    </row>
    <row r="123" spans="1:39" s="155" customFormat="1" ht="12" hidden="1" x14ac:dyDescent="0.2">
      <c r="A123" s="205">
        <v>69</v>
      </c>
      <c r="B123" s="168"/>
      <c r="C123" s="261"/>
      <c r="D123" s="432">
        <f t="shared" si="18"/>
        <v>0</v>
      </c>
      <c r="E123" s="431"/>
      <c r="F123" s="431"/>
      <c r="G123" s="431"/>
      <c r="H123" s="431"/>
      <c r="I123" s="431"/>
      <c r="J123" s="431"/>
      <c r="K123" s="431"/>
      <c r="L123" s="431"/>
      <c r="M123" s="431"/>
      <c r="N123" s="431"/>
      <c r="O123" s="431"/>
      <c r="P123" s="432">
        <f t="shared" si="17"/>
        <v>0</v>
      </c>
      <c r="Q123" s="431"/>
      <c r="R123" s="431"/>
      <c r="S123" s="431"/>
      <c r="T123" s="431"/>
      <c r="U123" s="431"/>
      <c r="V123" s="431"/>
      <c r="W123" s="431"/>
      <c r="X123" s="431"/>
      <c r="Y123" s="431"/>
      <c r="Z123" s="468"/>
      <c r="AA123" s="431"/>
      <c r="AB123" s="431"/>
      <c r="AC123" s="468"/>
      <c r="AD123" s="431"/>
      <c r="AE123" s="431"/>
      <c r="AF123" s="431"/>
      <c r="AG123" s="431"/>
      <c r="AH123" s="431"/>
      <c r="AI123" s="468"/>
      <c r="AJ123" s="468"/>
      <c r="AK123" s="431"/>
      <c r="AL123" s="431"/>
      <c r="AM123" s="431"/>
    </row>
    <row r="124" spans="1:39" s="155" customFormat="1" ht="12" hidden="1" x14ac:dyDescent="0.2">
      <c r="A124" s="205">
        <v>70</v>
      </c>
      <c r="B124" s="168"/>
      <c r="C124" s="261"/>
      <c r="D124" s="432">
        <f t="shared" si="18"/>
        <v>0</v>
      </c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32">
        <f t="shared" si="17"/>
        <v>0</v>
      </c>
      <c r="Q124" s="431"/>
      <c r="R124" s="431"/>
      <c r="S124" s="431"/>
      <c r="T124" s="431"/>
      <c r="U124" s="431"/>
      <c r="V124" s="431"/>
      <c r="W124" s="431"/>
      <c r="X124" s="431"/>
      <c r="Y124" s="431"/>
      <c r="Z124" s="468"/>
      <c r="AA124" s="431"/>
      <c r="AB124" s="431"/>
      <c r="AC124" s="468"/>
      <c r="AD124" s="431"/>
      <c r="AE124" s="431"/>
      <c r="AF124" s="431"/>
      <c r="AG124" s="431"/>
      <c r="AH124" s="431"/>
      <c r="AI124" s="468"/>
      <c r="AJ124" s="468"/>
      <c r="AK124" s="431"/>
      <c r="AL124" s="431"/>
      <c r="AM124" s="431"/>
    </row>
    <row r="125" spans="1:39" s="155" customFormat="1" ht="12" hidden="1" x14ac:dyDescent="0.2">
      <c r="A125" s="205">
        <v>71</v>
      </c>
      <c r="B125" s="168"/>
      <c r="C125" s="261"/>
      <c r="D125" s="432">
        <f t="shared" si="18"/>
        <v>0</v>
      </c>
      <c r="E125" s="431"/>
      <c r="F125" s="431"/>
      <c r="G125" s="431"/>
      <c r="H125" s="431"/>
      <c r="I125" s="431"/>
      <c r="J125" s="431"/>
      <c r="K125" s="431"/>
      <c r="L125" s="431"/>
      <c r="M125" s="431"/>
      <c r="N125" s="431"/>
      <c r="O125" s="431"/>
      <c r="P125" s="432">
        <f t="shared" si="17"/>
        <v>0</v>
      </c>
      <c r="Q125" s="431"/>
      <c r="R125" s="431"/>
      <c r="S125" s="431"/>
      <c r="T125" s="431"/>
      <c r="U125" s="431"/>
      <c r="V125" s="431"/>
      <c r="W125" s="431"/>
      <c r="X125" s="431"/>
      <c r="Y125" s="431"/>
      <c r="Z125" s="468"/>
      <c r="AA125" s="431"/>
      <c r="AB125" s="431"/>
      <c r="AC125" s="468"/>
      <c r="AD125" s="431"/>
      <c r="AE125" s="431"/>
      <c r="AF125" s="431"/>
      <c r="AG125" s="431"/>
      <c r="AH125" s="431"/>
      <c r="AI125" s="468"/>
      <c r="AJ125" s="468"/>
      <c r="AK125" s="431"/>
      <c r="AL125" s="431"/>
      <c r="AM125" s="431"/>
    </row>
    <row r="126" spans="1:39" s="155" customFormat="1" ht="12" hidden="1" x14ac:dyDescent="0.2">
      <c r="A126" s="205">
        <v>72</v>
      </c>
      <c r="B126" s="168"/>
      <c r="C126" s="172"/>
      <c r="D126" s="432">
        <f t="shared" si="18"/>
        <v>0</v>
      </c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32">
        <f t="shared" si="17"/>
        <v>0</v>
      </c>
      <c r="Q126" s="431"/>
      <c r="R126" s="431"/>
      <c r="S126" s="431"/>
      <c r="T126" s="431"/>
      <c r="U126" s="431"/>
      <c r="V126" s="431"/>
      <c r="W126" s="431"/>
      <c r="X126" s="431"/>
      <c r="Y126" s="431"/>
      <c r="Z126" s="468"/>
      <c r="AA126" s="431"/>
      <c r="AB126" s="431"/>
      <c r="AC126" s="468"/>
      <c r="AD126" s="431"/>
      <c r="AE126" s="431"/>
      <c r="AF126" s="431"/>
      <c r="AG126" s="431"/>
      <c r="AH126" s="431"/>
      <c r="AI126" s="468"/>
      <c r="AJ126" s="468"/>
      <c r="AK126" s="431"/>
      <c r="AL126" s="431"/>
      <c r="AM126" s="431"/>
    </row>
    <row r="127" spans="1:39" s="155" customFormat="1" ht="12" hidden="1" x14ac:dyDescent="0.2">
      <c r="A127" s="205">
        <v>73</v>
      </c>
      <c r="B127" s="168"/>
      <c r="C127" s="172"/>
      <c r="D127" s="432">
        <f t="shared" si="18"/>
        <v>0</v>
      </c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32">
        <f t="shared" si="17"/>
        <v>0</v>
      </c>
      <c r="Q127" s="431"/>
      <c r="R127" s="431"/>
      <c r="S127" s="431"/>
      <c r="T127" s="431"/>
      <c r="U127" s="431"/>
      <c r="V127" s="431"/>
      <c r="W127" s="431"/>
      <c r="X127" s="431"/>
      <c r="Y127" s="431"/>
      <c r="Z127" s="468"/>
      <c r="AA127" s="431"/>
      <c r="AB127" s="431"/>
      <c r="AC127" s="468"/>
      <c r="AD127" s="431"/>
      <c r="AE127" s="431"/>
      <c r="AF127" s="431"/>
      <c r="AG127" s="431"/>
      <c r="AH127" s="431"/>
      <c r="AI127" s="468"/>
      <c r="AJ127" s="468"/>
      <c r="AK127" s="431"/>
      <c r="AL127" s="431"/>
      <c r="AM127" s="431"/>
    </row>
    <row r="128" spans="1:39" s="155" customFormat="1" ht="12" hidden="1" x14ac:dyDescent="0.2">
      <c r="A128" s="205">
        <v>74</v>
      </c>
      <c r="B128" s="168"/>
      <c r="C128" s="172"/>
      <c r="D128" s="432">
        <f t="shared" si="18"/>
        <v>0</v>
      </c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32">
        <f t="shared" si="17"/>
        <v>0</v>
      </c>
      <c r="Q128" s="431"/>
      <c r="R128" s="431"/>
      <c r="S128" s="431"/>
      <c r="T128" s="431"/>
      <c r="U128" s="431"/>
      <c r="V128" s="431"/>
      <c r="W128" s="431"/>
      <c r="X128" s="431"/>
      <c r="Y128" s="431"/>
      <c r="Z128" s="468"/>
      <c r="AA128" s="431"/>
      <c r="AB128" s="431"/>
      <c r="AC128" s="468"/>
      <c r="AD128" s="431"/>
      <c r="AE128" s="431"/>
      <c r="AF128" s="431"/>
      <c r="AG128" s="431"/>
      <c r="AH128" s="431"/>
      <c r="AI128" s="468"/>
      <c r="AJ128" s="468"/>
      <c r="AK128" s="431"/>
      <c r="AL128" s="431"/>
      <c r="AM128" s="431"/>
    </row>
    <row r="129" spans="1:39" s="155" customFormat="1" ht="12" hidden="1" x14ac:dyDescent="0.2">
      <c r="A129" s="205">
        <v>75</v>
      </c>
      <c r="B129" s="168"/>
      <c r="C129" s="172"/>
      <c r="D129" s="432">
        <f t="shared" si="18"/>
        <v>0</v>
      </c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32">
        <f t="shared" si="17"/>
        <v>0</v>
      </c>
      <c r="Q129" s="431"/>
      <c r="R129" s="431"/>
      <c r="S129" s="431"/>
      <c r="T129" s="431"/>
      <c r="U129" s="431"/>
      <c r="V129" s="431"/>
      <c r="W129" s="431"/>
      <c r="X129" s="431"/>
      <c r="Y129" s="431"/>
      <c r="Z129" s="468"/>
      <c r="AA129" s="431"/>
      <c r="AB129" s="431"/>
      <c r="AC129" s="468"/>
      <c r="AD129" s="431"/>
      <c r="AE129" s="431"/>
      <c r="AF129" s="431"/>
      <c r="AG129" s="431"/>
      <c r="AH129" s="431"/>
      <c r="AI129" s="468"/>
      <c r="AJ129" s="468"/>
      <c r="AK129" s="431"/>
      <c r="AL129" s="431"/>
      <c r="AM129" s="431"/>
    </row>
    <row r="130" spans="1:39" s="155" customFormat="1" ht="12" hidden="1" x14ac:dyDescent="0.2">
      <c r="A130" s="205">
        <v>76</v>
      </c>
      <c r="B130" s="168"/>
      <c r="C130" s="172"/>
      <c r="D130" s="432">
        <f t="shared" si="18"/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32">
        <f t="shared" si="17"/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</row>
    <row r="131" spans="1:39" s="155" customFormat="1" ht="12" hidden="1" x14ac:dyDescent="0.2">
      <c r="A131" s="205">
        <v>77</v>
      </c>
      <c r="B131" s="168"/>
      <c r="C131" s="172"/>
      <c r="D131" s="432">
        <f t="shared" si="18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2">
        <f t="shared" si="17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</row>
    <row r="132" spans="1:39" s="155" customFormat="1" ht="12" hidden="1" x14ac:dyDescent="0.2">
      <c r="A132" s="205">
        <v>78</v>
      </c>
      <c r="B132" s="168"/>
      <c r="C132" s="172"/>
      <c r="D132" s="432">
        <f t="shared" si="18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2">
        <f t="shared" si="17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</row>
    <row r="133" spans="1:39" s="155" customFormat="1" ht="12" hidden="1" x14ac:dyDescent="0.2">
      <c r="A133" s="205">
        <v>79</v>
      </c>
      <c r="B133" s="168"/>
      <c r="C133" s="172"/>
      <c r="D133" s="432">
        <f t="shared" si="18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si="17"/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155" customFormat="1" ht="12" hidden="1" x14ac:dyDescent="0.2">
      <c r="A134" s="168">
        <v>80</v>
      </c>
      <c r="B134" s="168"/>
      <c r="C134" s="172"/>
      <c r="D134" s="432">
        <f t="shared" si="18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si="17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155" customFormat="1" ht="12" hidden="1" x14ac:dyDescent="0.2">
      <c r="A135" s="168">
        <v>81</v>
      </c>
      <c r="B135" s="168"/>
      <c r="C135" s="172"/>
      <c r="D135" s="432">
        <f t="shared" si="18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17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155" customFormat="1" ht="12" hidden="1" x14ac:dyDescent="0.2">
      <c r="A136" s="168">
        <v>82</v>
      </c>
      <c r="B136" s="168"/>
      <c r="C136" s="172"/>
      <c r="D136" s="432">
        <f t="shared" si="18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17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155" customFormat="1" ht="12" hidden="1" x14ac:dyDescent="0.2">
      <c r="A137" s="168">
        <v>83</v>
      </c>
      <c r="B137" s="168"/>
      <c r="C137" s="172"/>
      <c r="D137" s="432">
        <f t="shared" si="18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17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68"/>
      <c r="C138" s="172"/>
      <c r="D138" s="432">
        <f t="shared" si="18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7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68"/>
      <c r="C139" s="172"/>
      <c r="D139" s="432">
        <f t="shared" si="18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7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68"/>
      <c r="C140" s="172"/>
      <c r="D140" s="432">
        <f t="shared" si="18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7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173"/>
      <c r="D141" s="432">
        <f t="shared" si="18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7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8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7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8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2.5703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955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2120656580</v>
      </c>
      <c r="E14" s="432">
        <f>SUM(E15,E16,E33,E54)</f>
        <v>1190243829</v>
      </c>
      <c r="F14" s="432">
        <f t="shared" ref="F14:O14" si="0">SUM(F15,F16,F33,F54)</f>
        <v>592376961</v>
      </c>
      <c r="G14" s="432">
        <f t="shared" si="0"/>
        <v>207580669</v>
      </c>
      <c r="H14" s="432">
        <f t="shared" si="0"/>
        <v>86810937</v>
      </c>
      <c r="I14" s="432">
        <f t="shared" si="0"/>
        <v>405436602</v>
      </c>
      <c r="J14" s="432">
        <f t="shared" si="0"/>
        <v>19099725</v>
      </c>
      <c r="K14" s="432">
        <f t="shared" si="0"/>
        <v>89905894</v>
      </c>
      <c r="L14" s="432">
        <f t="shared" si="0"/>
        <v>0</v>
      </c>
      <c r="M14" s="432">
        <f t="shared" si="0"/>
        <v>184357205</v>
      </c>
      <c r="N14" s="432">
        <f t="shared" si="0"/>
        <v>136860998</v>
      </c>
      <c r="O14" s="432">
        <f t="shared" si="0"/>
        <v>7941390</v>
      </c>
      <c r="P14" s="432">
        <f>IF(SUM(Q14:AB14)=SUM(AC14:AM14),SUM(Q14:AB14),"  EROARE ART/CAP")</f>
        <v>2053502759</v>
      </c>
      <c r="Q14" s="432">
        <f t="shared" ref="Q14:AM14" si="1">Q15+Q16+Q33+Q54</f>
        <v>540400970</v>
      </c>
      <c r="R14" s="432">
        <f t="shared" si="1"/>
        <v>434114508</v>
      </c>
      <c r="S14" s="432">
        <f t="shared" si="1"/>
        <v>17609913</v>
      </c>
      <c r="T14" s="432">
        <f t="shared" si="1"/>
        <v>41150071</v>
      </c>
      <c r="U14" s="432">
        <f t="shared" si="1"/>
        <v>157810701</v>
      </c>
      <c r="V14" s="432">
        <f t="shared" si="1"/>
        <v>110419628</v>
      </c>
      <c r="W14" s="432">
        <f t="shared" si="1"/>
        <v>363640680</v>
      </c>
      <c r="X14" s="432">
        <f t="shared" si="1"/>
        <v>102728637</v>
      </c>
      <c r="Y14" s="432">
        <f t="shared" si="1"/>
        <v>30253698</v>
      </c>
      <c r="Z14" s="432">
        <f t="shared" si="1"/>
        <v>233407392</v>
      </c>
      <c r="AA14" s="432">
        <f t="shared" si="1"/>
        <v>25124487</v>
      </c>
      <c r="AB14" s="432">
        <f t="shared" si="1"/>
        <v>-3157926</v>
      </c>
      <c r="AC14" s="432">
        <f t="shared" si="1"/>
        <v>228083073</v>
      </c>
      <c r="AD14" s="432">
        <f t="shared" si="1"/>
        <v>21655221</v>
      </c>
      <c r="AE14" s="432">
        <f t="shared" si="1"/>
        <v>501407383</v>
      </c>
      <c r="AF14" s="432">
        <f t="shared" si="1"/>
        <v>59101248</v>
      </c>
      <c r="AG14" s="432">
        <f t="shared" si="1"/>
        <v>115915556</v>
      </c>
      <c r="AH14" s="432">
        <f t="shared" si="1"/>
        <v>258033716</v>
      </c>
      <c r="AI14" s="432">
        <f t="shared" si="1"/>
        <v>178964999</v>
      </c>
      <c r="AJ14" s="432">
        <f t="shared" si="1"/>
        <v>78366112</v>
      </c>
      <c r="AK14" s="432">
        <f t="shared" si="1"/>
        <v>40805835</v>
      </c>
      <c r="AL14" s="432">
        <f t="shared" si="1"/>
        <v>515678326</v>
      </c>
      <c r="AM14" s="432">
        <f t="shared" si="1"/>
        <v>55491290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446465948</v>
      </c>
      <c r="E15" s="434">
        <v>203757651</v>
      </c>
      <c r="F15" s="434">
        <v>125740400</v>
      </c>
      <c r="G15" s="434">
        <v>55170000</v>
      </c>
      <c r="H15" s="434">
        <v>86810937</v>
      </c>
      <c r="I15" s="434">
        <v>0</v>
      </c>
      <c r="J15" s="434">
        <v>10712440</v>
      </c>
      <c r="K15" s="434">
        <v>19041000</v>
      </c>
      <c r="L15" s="434">
        <v>0</v>
      </c>
      <c r="M15" s="434">
        <v>101710014</v>
      </c>
      <c r="N15" s="434">
        <v>21422072</v>
      </c>
      <c r="O15" s="434">
        <v>3011834</v>
      </c>
      <c r="P15" s="432">
        <f t="shared" ref="P15" si="2">IF(SUM(Q15:AB15)=SUM(AC15:AM15),SUM(Q15:AB15),"  EROARE ART/CAP")</f>
        <v>419584746</v>
      </c>
      <c r="Q15" s="431">
        <v>78534460</v>
      </c>
      <c r="R15" s="434">
        <v>48554149</v>
      </c>
      <c r="S15" s="434">
        <v>0</v>
      </c>
      <c r="T15" s="434">
        <v>0</v>
      </c>
      <c r="U15" s="434">
        <v>121263863</v>
      </c>
      <c r="V15" s="434">
        <v>81715120</v>
      </c>
      <c r="W15" s="434">
        <v>56699836</v>
      </c>
      <c r="X15" s="469">
        <v>10911686</v>
      </c>
      <c r="Y15" s="434">
        <v>14322169</v>
      </c>
      <c r="Z15" s="431">
        <v>8354443</v>
      </c>
      <c r="AA15" s="431">
        <v>0</v>
      </c>
      <c r="AB15" s="431">
        <v>-770980</v>
      </c>
      <c r="AC15" s="445">
        <v>16027092</v>
      </c>
      <c r="AD15" s="431">
        <v>409352</v>
      </c>
      <c r="AE15" s="434">
        <v>58390609</v>
      </c>
      <c r="AF15" s="434">
        <v>8089609</v>
      </c>
      <c r="AG15" s="434">
        <v>35823300</v>
      </c>
      <c r="AH15" s="434">
        <v>142768113</v>
      </c>
      <c r="AI15" s="434">
        <v>25883312</v>
      </c>
      <c r="AJ15" s="434">
        <v>8579081</v>
      </c>
      <c r="AK15" s="434">
        <v>0</v>
      </c>
      <c r="AL15" s="434">
        <v>92116168</v>
      </c>
      <c r="AM15" s="434">
        <v>31498110</v>
      </c>
    </row>
    <row r="16" spans="1:39" s="155" customFormat="1" ht="12" x14ac:dyDescent="0.2">
      <c r="A16" s="156" t="s">
        <v>72</v>
      </c>
      <c r="B16" s="157"/>
      <c r="C16" s="159"/>
      <c r="D16" s="432">
        <f>E16+SUM(H16:O16)</f>
        <v>1112590739</v>
      </c>
      <c r="E16" s="433">
        <f>SUM(E18:E32)</f>
        <v>732801812</v>
      </c>
      <c r="F16" s="433">
        <f t="shared" ref="F16:O16" si="3">SUM(F18:F32)</f>
        <v>415054042</v>
      </c>
      <c r="G16" s="433">
        <f t="shared" si="3"/>
        <v>41363304</v>
      </c>
      <c r="H16" s="433">
        <f t="shared" si="3"/>
        <v>0</v>
      </c>
      <c r="I16" s="433">
        <f t="shared" si="3"/>
        <v>290938068</v>
      </c>
      <c r="J16" s="433">
        <f t="shared" si="3"/>
        <v>0</v>
      </c>
      <c r="K16" s="433">
        <f t="shared" si="3"/>
        <v>16811000</v>
      </c>
      <c r="L16" s="433">
        <f t="shared" si="3"/>
        <v>0</v>
      </c>
      <c r="M16" s="433">
        <f t="shared" si="3"/>
        <v>28299966</v>
      </c>
      <c r="N16" s="433">
        <f t="shared" si="3"/>
        <v>42956833</v>
      </c>
      <c r="O16" s="433">
        <f t="shared" si="3"/>
        <v>783060</v>
      </c>
      <c r="P16" s="432">
        <f t="shared" ref="P16:P54" si="4">IF(SUM(Q16:AB16)=SUM(AC16:AM16),SUM(Q16:AB16),"  EROARE ART/CAP")</f>
        <v>1093997559</v>
      </c>
      <c r="Q16" s="432">
        <f>SUM(Q18:Q32)</f>
        <v>323859509</v>
      </c>
      <c r="R16" s="432">
        <f t="shared" ref="R16:AM16" si="5">SUM(R18:R32)</f>
        <v>264980194</v>
      </c>
      <c r="S16" s="432">
        <f t="shared" si="5"/>
        <v>17067990</v>
      </c>
      <c r="T16" s="432">
        <f t="shared" si="5"/>
        <v>39424821</v>
      </c>
      <c r="U16" s="432">
        <f t="shared" si="5"/>
        <v>35227356</v>
      </c>
      <c r="V16" s="432">
        <f t="shared" si="5"/>
        <v>28182621</v>
      </c>
      <c r="W16" s="432">
        <f t="shared" si="5"/>
        <v>204077277</v>
      </c>
      <c r="X16" s="432">
        <f t="shared" si="5"/>
        <v>74362876</v>
      </c>
      <c r="Y16" s="432">
        <f t="shared" si="5"/>
        <v>10484356</v>
      </c>
      <c r="Z16" s="432">
        <f t="shared" si="5"/>
        <v>77954224</v>
      </c>
      <c r="AA16" s="432">
        <f t="shared" si="5"/>
        <v>20340445</v>
      </c>
      <c r="AB16" s="432">
        <f t="shared" si="5"/>
        <v>-1964110</v>
      </c>
      <c r="AC16" s="432">
        <f t="shared" si="5"/>
        <v>117112903</v>
      </c>
      <c r="AD16" s="432">
        <f t="shared" si="5"/>
        <v>14310860</v>
      </c>
      <c r="AE16" s="432">
        <f t="shared" si="5"/>
        <v>330000161</v>
      </c>
      <c r="AF16" s="432">
        <f t="shared" si="5"/>
        <v>49516466</v>
      </c>
      <c r="AG16" s="432">
        <f t="shared" si="5"/>
        <v>43774784</v>
      </c>
      <c r="AH16" s="432">
        <f t="shared" si="5"/>
        <v>80306864</v>
      </c>
      <c r="AI16" s="432">
        <f t="shared" si="5"/>
        <v>98575673</v>
      </c>
      <c r="AJ16" s="432">
        <f t="shared" si="5"/>
        <v>44695607</v>
      </c>
      <c r="AK16" s="432">
        <f t="shared" si="5"/>
        <v>40805835</v>
      </c>
      <c r="AL16" s="432">
        <f t="shared" si="5"/>
        <v>274002382</v>
      </c>
      <c r="AM16" s="432">
        <f t="shared" si="5"/>
        <v>896024</v>
      </c>
    </row>
    <row r="17" spans="1:39" s="155" customFormat="1" ht="22.5" x14ac:dyDescent="0.2">
      <c r="A17" s="277" t="s">
        <v>2306</v>
      </c>
      <c r="B17" s="279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146">
        <v>1</v>
      </c>
      <c r="B18" s="407">
        <v>54975</v>
      </c>
      <c r="C18" s="555" t="s">
        <v>1226</v>
      </c>
      <c r="D18" s="432">
        <f t="shared" ref="D18:D22" si="6">E18+SUM(H18:O18)</f>
        <v>832301469</v>
      </c>
      <c r="E18" s="434">
        <v>575444115</v>
      </c>
      <c r="F18" s="434">
        <v>361502766</v>
      </c>
      <c r="G18" s="434">
        <v>20289500</v>
      </c>
      <c r="H18" s="434">
        <v>0</v>
      </c>
      <c r="I18" s="434">
        <v>195158214</v>
      </c>
      <c r="J18" s="434">
        <v>0</v>
      </c>
      <c r="K18" s="434">
        <v>1790000</v>
      </c>
      <c r="L18" s="434">
        <v>0</v>
      </c>
      <c r="M18" s="434">
        <v>19952389</v>
      </c>
      <c r="N18" s="434">
        <v>39346521</v>
      </c>
      <c r="O18" s="434">
        <v>610230</v>
      </c>
      <c r="P18" s="432">
        <f t="shared" ref="P18:P22" si="7">IF(SUM(Q18:AB18)=SUM(AC18:AM18),SUM(Q18:AB18),"  EROARE ART/CAP")</f>
        <v>824392800</v>
      </c>
      <c r="Q18" s="435">
        <v>214910485</v>
      </c>
      <c r="R18" s="435">
        <v>198596521</v>
      </c>
      <c r="S18" s="435">
        <v>14899819</v>
      </c>
      <c r="T18" s="435">
        <v>37800000</v>
      </c>
      <c r="U18" s="435">
        <v>23091796</v>
      </c>
      <c r="V18" s="431">
        <v>28182621</v>
      </c>
      <c r="W18" s="431">
        <v>167351873</v>
      </c>
      <c r="X18" s="431">
        <v>65100068</v>
      </c>
      <c r="Y18" s="431">
        <v>9473750</v>
      </c>
      <c r="Z18" s="431">
        <v>54362153</v>
      </c>
      <c r="AA18" s="431">
        <v>12363745</v>
      </c>
      <c r="AB18" s="431">
        <v>-1740031</v>
      </c>
      <c r="AC18" s="434">
        <v>82506458</v>
      </c>
      <c r="AD18" s="434">
        <v>9671410</v>
      </c>
      <c r="AE18" s="434">
        <v>236086935</v>
      </c>
      <c r="AF18" s="434">
        <v>41907012</v>
      </c>
      <c r="AG18" s="434">
        <v>21589762</v>
      </c>
      <c r="AH18" s="434">
        <v>59837053</v>
      </c>
      <c r="AI18" s="434">
        <v>81473969</v>
      </c>
      <c r="AJ18" s="434">
        <v>36626242</v>
      </c>
      <c r="AK18" s="434">
        <v>40805835</v>
      </c>
      <c r="AL18" s="434">
        <v>213838773</v>
      </c>
      <c r="AM18" s="434">
        <v>49351</v>
      </c>
    </row>
    <row r="19" spans="1:39" s="155" customFormat="1" ht="12" x14ac:dyDescent="0.2">
      <c r="A19" s="146">
        <v>2</v>
      </c>
      <c r="B19" s="407">
        <v>55259</v>
      </c>
      <c r="C19" s="556" t="s">
        <v>1227</v>
      </c>
      <c r="D19" s="432">
        <f t="shared" si="6"/>
        <v>93649663</v>
      </c>
      <c r="E19" s="434">
        <v>44246221</v>
      </c>
      <c r="F19" s="434">
        <v>16541272</v>
      </c>
      <c r="G19" s="434">
        <v>6674591</v>
      </c>
      <c r="H19" s="434">
        <v>0</v>
      </c>
      <c r="I19" s="434">
        <v>33605138</v>
      </c>
      <c r="J19" s="434">
        <v>0</v>
      </c>
      <c r="K19" s="434">
        <v>9533000</v>
      </c>
      <c r="L19" s="434">
        <v>0</v>
      </c>
      <c r="M19" s="434">
        <v>5073764</v>
      </c>
      <c r="N19" s="434">
        <v>1098160</v>
      </c>
      <c r="O19" s="434">
        <v>93380</v>
      </c>
      <c r="P19" s="432">
        <f t="shared" si="7"/>
        <v>91629457</v>
      </c>
      <c r="Q19" s="435">
        <v>38381259</v>
      </c>
      <c r="R19" s="435">
        <v>26251146</v>
      </c>
      <c r="S19" s="435">
        <v>1097329</v>
      </c>
      <c r="T19" s="435">
        <v>0</v>
      </c>
      <c r="U19" s="435">
        <v>10333174</v>
      </c>
      <c r="V19" s="431">
        <v>0</v>
      </c>
      <c r="W19" s="431">
        <v>1522757</v>
      </c>
      <c r="X19" s="431">
        <v>5258369</v>
      </c>
      <c r="Y19" s="431">
        <v>303244</v>
      </c>
      <c r="Z19" s="431">
        <v>3238690</v>
      </c>
      <c r="AA19" s="431">
        <v>5263303</v>
      </c>
      <c r="AB19" s="431">
        <v>-19814</v>
      </c>
      <c r="AC19" s="434">
        <v>13144882</v>
      </c>
      <c r="AD19" s="434">
        <v>3141109</v>
      </c>
      <c r="AE19" s="434">
        <v>33262378</v>
      </c>
      <c r="AF19" s="434">
        <v>5484259</v>
      </c>
      <c r="AG19" s="434">
        <v>10203813</v>
      </c>
      <c r="AH19" s="434">
        <v>9008098</v>
      </c>
      <c r="AI19" s="434">
        <v>6810608</v>
      </c>
      <c r="AJ19" s="434">
        <v>3727474</v>
      </c>
      <c r="AK19" s="434">
        <v>0</v>
      </c>
      <c r="AL19" s="434">
        <v>6846836</v>
      </c>
      <c r="AM19" s="434">
        <v>0</v>
      </c>
    </row>
    <row r="20" spans="1:39" s="155" customFormat="1" ht="12" x14ac:dyDescent="0.2">
      <c r="A20" s="146">
        <v>3</v>
      </c>
      <c r="B20" s="407">
        <v>55008</v>
      </c>
      <c r="C20" s="557" t="s">
        <v>1228</v>
      </c>
      <c r="D20" s="432">
        <f t="shared" si="6"/>
        <v>106598098</v>
      </c>
      <c r="E20" s="434">
        <v>70709348</v>
      </c>
      <c r="F20" s="434">
        <v>22096564</v>
      </c>
      <c r="G20" s="434">
        <v>3470189</v>
      </c>
      <c r="H20" s="434">
        <v>0</v>
      </c>
      <c r="I20" s="434">
        <v>30022592</v>
      </c>
      <c r="J20" s="434">
        <v>0</v>
      </c>
      <c r="K20" s="434">
        <v>2751000</v>
      </c>
      <c r="L20" s="434">
        <v>0</v>
      </c>
      <c r="M20" s="434">
        <v>2260937</v>
      </c>
      <c r="N20" s="434">
        <v>854221</v>
      </c>
      <c r="O20" s="434">
        <v>0</v>
      </c>
      <c r="P20" s="432">
        <f t="shared" si="7"/>
        <v>101749163</v>
      </c>
      <c r="Q20" s="435">
        <v>35384869</v>
      </c>
      <c r="R20" s="435">
        <v>18615315</v>
      </c>
      <c r="S20" s="435">
        <v>534800</v>
      </c>
      <c r="T20" s="435">
        <v>1624821</v>
      </c>
      <c r="U20" s="435">
        <v>37797</v>
      </c>
      <c r="V20" s="435">
        <v>0</v>
      </c>
      <c r="W20" s="435">
        <v>32314460</v>
      </c>
      <c r="X20" s="435">
        <v>1603241</v>
      </c>
      <c r="Y20" s="435">
        <v>167125</v>
      </c>
      <c r="Z20" s="435">
        <v>10201514</v>
      </c>
      <c r="AA20" s="435">
        <v>1442543</v>
      </c>
      <c r="AB20" s="435">
        <v>-177322</v>
      </c>
      <c r="AC20" s="435">
        <v>8179644</v>
      </c>
      <c r="AD20" s="435">
        <v>1286113</v>
      </c>
      <c r="AE20" s="435">
        <v>28369232</v>
      </c>
      <c r="AF20" s="435">
        <v>613782</v>
      </c>
      <c r="AG20" s="435">
        <v>7405096</v>
      </c>
      <c r="AH20" s="435">
        <v>5794015</v>
      </c>
      <c r="AI20" s="435">
        <v>5314016</v>
      </c>
      <c r="AJ20" s="435">
        <v>1174221</v>
      </c>
      <c r="AK20" s="435">
        <v>0</v>
      </c>
      <c r="AL20" s="435">
        <v>43613044</v>
      </c>
      <c r="AM20" s="435">
        <v>0</v>
      </c>
    </row>
    <row r="21" spans="1:39" s="155" customFormat="1" ht="12" x14ac:dyDescent="0.2">
      <c r="A21" s="146">
        <v>4</v>
      </c>
      <c r="B21" s="407">
        <v>55357</v>
      </c>
      <c r="C21" s="557" t="s">
        <v>1229</v>
      </c>
      <c r="D21" s="432">
        <f t="shared" si="6"/>
        <v>37194851</v>
      </c>
      <c r="E21" s="434">
        <v>18209733</v>
      </c>
      <c r="F21" s="434">
        <v>6326514</v>
      </c>
      <c r="G21" s="434">
        <v>2513059</v>
      </c>
      <c r="H21" s="434">
        <v>0</v>
      </c>
      <c r="I21" s="434">
        <v>15354899</v>
      </c>
      <c r="J21" s="434">
        <v>0</v>
      </c>
      <c r="K21" s="434">
        <v>2189000</v>
      </c>
      <c r="L21" s="434">
        <v>0</v>
      </c>
      <c r="M21" s="434">
        <v>254496</v>
      </c>
      <c r="N21" s="434">
        <v>1134773</v>
      </c>
      <c r="O21" s="434">
        <v>51950</v>
      </c>
      <c r="P21" s="432">
        <f t="shared" si="7"/>
        <v>38340974</v>
      </c>
      <c r="Q21" s="435">
        <v>17729785</v>
      </c>
      <c r="R21" s="435">
        <v>13656120</v>
      </c>
      <c r="S21" s="435">
        <v>0</v>
      </c>
      <c r="T21" s="435">
        <v>0</v>
      </c>
      <c r="U21" s="435">
        <v>1065531</v>
      </c>
      <c r="V21" s="435">
        <v>0</v>
      </c>
      <c r="W21" s="435">
        <v>1682094</v>
      </c>
      <c r="X21" s="435">
        <v>1660214</v>
      </c>
      <c r="Y21" s="435">
        <v>249609</v>
      </c>
      <c r="Z21" s="435">
        <v>2304506</v>
      </c>
      <c r="AA21" s="435">
        <v>0</v>
      </c>
      <c r="AB21" s="435">
        <v>-6885</v>
      </c>
      <c r="AC21" s="435">
        <v>8629492</v>
      </c>
      <c r="AD21" s="435">
        <v>212228</v>
      </c>
      <c r="AE21" s="435">
        <v>14590658</v>
      </c>
      <c r="AF21" s="435">
        <v>1119251</v>
      </c>
      <c r="AG21" s="435">
        <v>3178464</v>
      </c>
      <c r="AH21" s="435">
        <v>3737764</v>
      </c>
      <c r="AI21" s="435">
        <v>1489787</v>
      </c>
      <c r="AJ21" s="435">
        <v>1682830</v>
      </c>
      <c r="AK21" s="435">
        <v>0</v>
      </c>
      <c r="AL21" s="435">
        <v>3267836</v>
      </c>
      <c r="AM21" s="435">
        <v>432664</v>
      </c>
    </row>
    <row r="22" spans="1:39" s="155" customFormat="1" ht="12" x14ac:dyDescent="0.2">
      <c r="A22" s="146">
        <v>5</v>
      </c>
      <c r="B22" s="407">
        <v>55384</v>
      </c>
      <c r="C22" s="557" t="s">
        <v>1230</v>
      </c>
      <c r="D22" s="432">
        <f t="shared" si="6"/>
        <v>42846658</v>
      </c>
      <c r="E22" s="434">
        <v>24192395</v>
      </c>
      <c r="F22" s="434">
        <v>8586926</v>
      </c>
      <c r="G22" s="434">
        <v>8415965</v>
      </c>
      <c r="H22" s="434">
        <v>0</v>
      </c>
      <c r="I22" s="434">
        <v>16797225</v>
      </c>
      <c r="J22" s="434">
        <v>0</v>
      </c>
      <c r="K22" s="434">
        <v>548000</v>
      </c>
      <c r="L22" s="434">
        <v>0</v>
      </c>
      <c r="M22" s="434">
        <v>758380</v>
      </c>
      <c r="N22" s="434">
        <v>523158</v>
      </c>
      <c r="O22" s="434">
        <v>27500</v>
      </c>
      <c r="P22" s="432">
        <f t="shared" si="7"/>
        <v>37885165</v>
      </c>
      <c r="Q22" s="435">
        <v>17453111</v>
      </c>
      <c r="R22" s="435">
        <v>7861092</v>
      </c>
      <c r="S22" s="435">
        <v>536042</v>
      </c>
      <c r="T22" s="435">
        <v>0</v>
      </c>
      <c r="U22" s="435">
        <v>699058</v>
      </c>
      <c r="V22" s="435">
        <v>0</v>
      </c>
      <c r="W22" s="435">
        <v>1206093</v>
      </c>
      <c r="X22" s="435">
        <v>740984</v>
      </c>
      <c r="Y22" s="435">
        <v>290628</v>
      </c>
      <c r="Z22" s="435">
        <v>7847361</v>
      </c>
      <c r="AA22" s="435">
        <v>1270854</v>
      </c>
      <c r="AB22" s="435">
        <v>-20058</v>
      </c>
      <c r="AC22" s="435">
        <v>4652427</v>
      </c>
      <c r="AD22" s="435">
        <v>0</v>
      </c>
      <c r="AE22" s="435">
        <v>17690958</v>
      </c>
      <c r="AF22" s="435">
        <v>392162</v>
      </c>
      <c r="AG22" s="435">
        <v>1397649</v>
      </c>
      <c r="AH22" s="435">
        <v>1929934</v>
      </c>
      <c r="AI22" s="435">
        <v>3487293</v>
      </c>
      <c r="AJ22" s="435">
        <v>1484840</v>
      </c>
      <c r="AK22" s="435">
        <v>0</v>
      </c>
      <c r="AL22" s="435">
        <v>6435893</v>
      </c>
      <c r="AM22" s="435">
        <v>414009</v>
      </c>
    </row>
    <row r="23" spans="1:39" s="155" customFormat="1" ht="12" hidden="1" x14ac:dyDescent="0.2">
      <c r="A23" s="146">
        <v>6</v>
      </c>
      <c r="B23" s="146"/>
      <c r="C23" s="259"/>
      <c r="D23" s="432">
        <f t="shared" ref="D23:D41" si="8">E23+SUM(H23:O23)</f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4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46"/>
      <c r="C24" s="206"/>
      <c r="D24" s="432">
        <f t="shared" si="8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4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46"/>
      <c r="C25" s="206"/>
      <c r="D25" s="432">
        <f t="shared" si="8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4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46"/>
      <c r="C26" s="206"/>
      <c r="D26" s="432">
        <f t="shared" si="8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4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46"/>
      <c r="C27" s="206"/>
      <c r="D27" s="432">
        <f t="shared" si="8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4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46"/>
      <c r="C28" s="206"/>
      <c r="D28" s="432">
        <f t="shared" si="8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4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46"/>
      <c r="C29" s="206"/>
      <c r="D29" s="432">
        <f t="shared" si="8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4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46"/>
      <c r="C30" s="206"/>
      <c r="D30" s="432">
        <f t="shared" si="8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4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46"/>
      <c r="C31" s="206"/>
      <c r="D31" s="432">
        <f t="shared" si="8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4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46"/>
      <c r="C32" s="207"/>
      <c r="D32" s="432">
        <f t="shared" si="8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4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4"/>
      <c r="C33" s="208"/>
      <c r="D33" s="432">
        <f t="shared" si="8"/>
        <v>19148676</v>
      </c>
      <c r="E33" s="432">
        <f>SUM(E34:E53)</f>
        <v>8720995</v>
      </c>
      <c r="F33" s="432">
        <f t="shared" ref="F33:O33" si="9">SUM(F34:F53)</f>
        <v>3278948</v>
      </c>
      <c r="G33" s="432">
        <f t="shared" si="9"/>
        <v>1794138</v>
      </c>
      <c r="H33" s="432">
        <f t="shared" si="9"/>
        <v>0</v>
      </c>
      <c r="I33" s="432">
        <f t="shared" si="9"/>
        <v>8011895</v>
      </c>
      <c r="J33" s="432">
        <f t="shared" si="9"/>
        <v>0</v>
      </c>
      <c r="K33" s="432">
        <f t="shared" si="9"/>
        <v>2088000</v>
      </c>
      <c r="L33" s="432">
        <f t="shared" si="9"/>
        <v>0</v>
      </c>
      <c r="M33" s="432">
        <f t="shared" si="9"/>
        <v>13086</v>
      </c>
      <c r="N33" s="432">
        <f t="shared" si="9"/>
        <v>0</v>
      </c>
      <c r="O33" s="432">
        <f t="shared" si="9"/>
        <v>314700</v>
      </c>
      <c r="P33" s="432">
        <f t="shared" si="4"/>
        <v>18095594</v>
      </c>
      <c r="Q33" s="432">
        <f>SUM(Q34:Q53)</f>
        <v>8398563</v>
      </c>
      <c r="R33" s="432">
        <f t="shared" ref="R33:AM33" si="10">SUM(R34:R53)</f>
        <v>3223365</v>
      </c>
      <c r="S33" s="432">
        <f t="shared" si="10"/>
        <v>0</v>
      </c>
      <c r="T33" s="432">
        <f t="shared" si="10"/>
        <v>0</v>
      </c>
      <c r="U33" s="432">
        <f t="shared" si="10"/>
        <v>111912</v>
      </c>
      <c r="V33" s="432">
        <f t="shared" si="10"/>
        <v>0</v>
      </c>
      <c r="W33" s="432">
        <f t="shared" si="10"/>
        <v>0</v>
      </c>
      <c r="X33" s="432">
        <f t="shared" si="10"/>
        <v>548689</v>
      </c>
      <c r="Y33" s="432">
        <f t="shared" si="10"/>
        <v>259151</v>
      </c>
      <c r="Z33" s="432">
        <f t="shared" si="10"/>
        <v>5553914</v>
      </c>
      <c r="AA33" s="432">
        <f t="shared" si="10"/>
        <v>0</v>
      </c>
      <c r="AB33" s="432">
        <f t="shared" si="10"/>
        <v>0</v>
      </c>
      <c r="AC33" s="432">
        <f t="shared" si="10"/>
        <v>3276001</v>
      </c>
      <c r="AD33" s="432">
        <f t="shared" si="10"/>
        <v>121488</v>
      </c>
      <c r="AE33" s="432">
        <f t="shared" si="10"/>
        <v>7768656</v>
      </c>
      <c r="AF33" s="432">
        <f t="shared" si="10"/>
        <v>615069</v>
      </c>
      <c r="AG33" s="432">
        <f t="shared" si="10"/>
        <v>892391</v>
      </c>
      <c r="AH33" s="432">
        <f t="shared" si="10"/>
        <v>854407</v>
      </c>
      <c r="AI33" s="432">
        <f t="shared" si="10"/>
        <v>587072</v>
      </c>
      <c r="AJ33" s="432">
        <f t="shared" si="10"/>
        <v>63108</v>
      </c>
      <c r="AK33" s="432">
        <f t="shared" si="10"/>
        <v>0</v>
      </c>
      <c r="AL33" s="432">
        <f t="shared" si="10"/>
        <v>3895986</v>
      </c>
      <c r="AM33" s="432">
        <f t="shared" si="10"/>
        <v>21416</v>
      </c>
    </row>
    <row r="34" spans="1:39" s="155" customFormat="1" ht="12" x14ac:dyDescent="0.2">
      <c r="A34" s="146">
        <v>1</v>
      </c>
      <c r="B34" s="141">
        <v>55446</v>
      </c>
      <c r="C34" s="285" t="s">
        <v>1231</v>
      </c>
      <c r="D34" s="432">
        <f t="shared" ref="D34" si="11">E34+SUM(H34:O34)</f>
        <v>19148676</v>
      </c>
      <c r="E34" s="434">
        <v>8720995</v>
      </c>
      <c r="F34" s="434">
        <v>3278948</v>
      </c>
      <c r="G34" s="434">
        <v>1794138</v>
      </c>
      <c r="H34" s="434">
        <v>0</v>
      </c>
      <c r="I34" s="434">
        <v>8011895</v>
      </c>
      <c r="J34" s="434">
        <v>0</v>
      </c>
      <c r="K34" s="434">
        <v>2088000</v>
      </c>
      <c r="L34" s="434">
        <v>0</v>
      </c>
      <c r="M34" s="434">
        <v>13086</v>
      </c>
      <c r="N34" s="434">
        <v>0</v>
      </c>
      <c r="O34" s="434">
        <v>314700</v>
      </c>
      <c r="P34" s="432">
        <f t="shared" ref="P34" si="12">IF(SUM(Q34:AB34)=SUM(AC34:AM34),SUM(Q34:AB34),"  EROARE ART/CAP")</f>
        <v>18095594</v>
      </c>
      <c r="Q34" s="435">
        <v>8398563</v>
      </c>
      <c r="R34" s="435">
        <v>3223365</v>
      </c>
      <c r="S34" s="435">
        <v>0</v>
      </c>
      <c r="T34" s="435">
        <v>0</v>
      </c>
      <c r="U34" s="435">
        <v>111912</v>
      </c>
      <c r="V34" s="431">
        <v>0</v>
      </c>
      <c r="W34" s="431">
        <v>0</v>
      </c>
      <c r="X34" s="431">
        <v>548689</v>
      </c>
      <c r="Y34" s="431">
        <v>259151</v>
      </c>
      <c r="Z34" s="431">
        <v>5553914</v>
      </c>
      <c r="AA34" s="431">
        <v>0</v>
      </c>
      <c r="AB34" s="431">
        <v>0</v>
      </c>
      <c r="AC34" s="445">
        <v>3276001</v>
      </c>
      <c r="AD34" s="431">
        <v>121488</v>
      </c>
      <c r="AE34" s="435">
        <v>7768656</v>
      </c>
      <c r="AF34" s="435">
        <v>615069</v>
      </c>
      <c r="AG34" s="435">
        <v>892391</v>
      </c>
      <c r="AH34" s="435">
        <v>854407</v>
      </c>
      <c r="AI34" s="435">
        <v>587072</v>
      </c>
      <c r="AJ34" s="435">
        <v>63108</v>
      </c>
      <c r="AK34" s="435">
        <v>0</v>
      </c>
      <c r="AL34" s="435">
        <v>3895986</v>
      </c>
      <c r="AM34" s="435">
        <v>21416</v>
      </c>
    </row>
    <row r="35" spans="1:39" s="155" customFormat="1" ht="12" hidden="1" x14ac:dyDescent="0.2">
      <c r="A35" s="146">
        <v>2</v>
      </c>
      <c r="B35" s="146"/>
      <c r="C35" s="172"/>
      <c r="D35" s="432">
        <f t="shared" si="8"/>
        <v>0</v>
      </c>
      <c r="E35" s="435"/>
      <c r="F35" s="435"/>
      <c r="G35" s="435"/>
      <c r="H35" s="435"/>
      <c r="I35" s="435"/>
      <c r="J35" s="435"/>
      <c r="K35" s="435"/>
      <c r="L35" s="435"/>
      <c r="M35" s="435"/>
      <c r="N35" s="435"/>
      <c r="O35" s="435"/>
      <c r="P35" s="432">
        <f t="shared" si="4"/>
        <v>0</v>
      </c>
      <c r="Q35" s="435"/>
      <c r="R35" s="435"/>
      <c r="S35" s="435"/>
      <c r="T35" s="435"/>
      <c r="U35" s="435"/>
      <c r="V35" s="431"/>
      <c r="W35" s="431"/>
      <c r="X35" s="431"/>
      <c r="Y35" s="431"/>
      <c r="Z35" s="431"/>
      <c r="AA35" s="431"/>
      <c r="AB35" s="431"/>
      <c r="AC35" s="445"/>
      <c r="AD35" s="435"/>
      <c r="AE35" s="435"/>
      <c r="AF35" s="435"/>
      <c r="AG35" s="435"/>
      <c r="AH35" s="435"/>
      <c r="AI35" s="435"/>
      <c r="AJ35" s="435"/>
      <c r="AK35" s="435"/>
      <c r="AL35" s="435"/>
      <c r="AM35" s="435"/>
    </row>
    <row r="36" spans="1:39" s="155" customFormat="1" ht="12" hidden="1" x14ac:dyDescent="0.2">
      <c r="A36" s="146">
        <v>3</v>
      </c>
      <c r="B36" s="146"/>
      <c r="C36" s="172"/>
      <c r="D36" s="432">
        <f t="shared" si="8"/>
        <v>0</v>
      </c>
      <c r="E36" s="435"/>
      <c r="F36" s="435"/>
      <c r="G36" s="435"/>
      <c r="H36" s="435"/>
      <c r="I36" s="435"/>
      <c r="J36" s="435"/>
      <c r="K36" s="435"/>
      <c r="L36" s="435"/>
      <c r="M36" s="435"/>
      <c r="N36" s="435"/>
      <c r="O36" s="435"/>
      <c r="P36" s="432">
        <f t="shared" si="4"/>
        <v>0</v>
      </c>
      <c r="Q36" s="435"/>
      <c r="R36" s="435"/>
      <c r="S36" s="435"/>
      <c r="T36" s="435"/>
      <c r="U36" s="435"/>
      <c r="V36" s="431"/>
      <c r="W36" s="431"/>
      <c r="X36" s="431"/>
      <c r="Y36" s="431"/>
      <c r="Z36" s="431"/>
      <c r="AA36" s="431"/>
      <c r="AB36" s="431"/>
      <c r="AC36" s="445"/>
      <c r="AD36" s="435"/>
      <c r="AE36" s="435"/>
      <c r="AF36" s="435"/>
      <c r="AG36" s="435"/>
      <c r="AH36" s="435"/>
      <c r="AI36" s="435"/>
      <c r="AJ36" s="435"/>
      <c r="AK36" s="435"/>
      <c r="AL36" s="435"/>
      <c r="AM36" s="435"/>
    </row>
    <row r="37" spans="1:39" s="155" customFormat="1" ht="12" hidden="1" x14ac:dyDescent="0.2">
      <c r="A37" s="146">
        <v>4</v>
      </c>
      <c r="B37" s="146"/>
      <c r="C37" s="172"/>
      <c r="D37" s="432">
        <f t="shared" si="8"/>
        <v>0</v>
      </c>
      <c r="E37" s="435"/>
      <c r="F37" s="435"/>
      <c r="G37" s="435"/>
      <c r="H37" s="435"/>
      <c r="I37" s="435"/>
      <c r="J37" s="435"/>
      <c r="K37" s="435"/>
      <c r="L37" s="435"/>
      <c r="M37" s="435"/>
      <c r="N37" s="435"/>
      <c r="O37" s="435"/>
      <c r="P37" s="432">
        <f t="shared" si="4"/>
        <v>0</v>
      </c>
      <c r="Q37" s="435"/>
      <c r="R37" s="435"/>
      <c r="S37" s="435"/>
      <c r="T37" s="435"/>
      <c r="U37" s="435"/>
      <c r="V37" s="431"/>
      <c r="W37" s="431"/>
      <c r="X37" s="431"/>
      <c r="Y37" s="431"/>
      <c r="Z37" s="431"/>
      <c r="AA37" s="431"/>
      <c r="AB37" s="431"/>
      <c r="AC37" s="445"/>
      <c r="AD37" s="435"/>
      <c r="AE37" s="435"/>
      <c r="AF37" s="435"/>
      <c r="AG37" s="435"/>
      <c r="AH37" s="435"/>
      <c r="AI37" s="435"/>
      <c r="AJ37" s="435"/>
      <c r="AK37" s="435"/>
      <c r="AL37" s="435"/>
      <c r="AM37" s="435"/>
    </row>
    <row r="38" spans="1:39" s="155" customFormat="1" ht="12" hidden="1" x14ac:dyDescent="0.2">
      <c r="A38" s="146">
        <v>5</v>
      </c>
      <c r="B38" s="146"/>
      <c r="C38" s="172"/>
      <c r="D38" s="432">
        <f t="shared" si="8"/>
        <v>0</v>
      </c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2">
        <f t="shared" si="4"/>
        <v>0</v>
      </c>
      <c r="Q38" s="435"/>
      <c r="R38" s="435"/>
      <c r="S38" s="435"/>
      <c r="T38" s="435"/>
      <c r="U38" s="435"/>
      <c r="V38" s="431"/>
      <c r="W38" s="431"/>
      <c r="X38" s="431"/>
      <c r="Y38" s="431"/>
      <c r="Z38" s="435"/>
      <c r="AA38" s="431"/>
      <c r="AB38" s="431"/>
      <c r="AC38" s="445"/>
      <c r="AD38" s="435"/>
      <c r="AE38" s="435"/>
      <c r="AF38" s="435"/>
      <c r="AG38" s="435"/>
      <c r="AH38" s="435"/>
      <c r="AI38" s="435"/>
      <c r="AJ38" s="435"/>
      <c r="AK38" s="435"/>
      <c r="AL38" s="435"/>
      <c r="AM38" s="435"/>
    </row>
    <row r="39" spans="1:39" s="155" customFormat="1" ht="12" hidden="1" x14ac:dyDescent="0.2">
      <c r="A39" s="146">
        <v>6</v>
      </c>
      <c r="B39" s="146"/>
      <c r="C39" s="172"/>
      <c r="D39" s="432">
        <f t="shared" si="8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4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</row>
    <row r="40" spans="1:39" s="155" customFormat="1" ht="12" hidden="1" x14ac:dyDescent="0.2">
      <c r="A40" s="146">
        <v>7</v>
      </c>
      <c r="B40" s="146"/>
      <c r="C40" s="182"/>
      <c r="D40" s="432">
        <f t="shared" si="8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4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155" customFormat="1" ht="12" hidden="1" x14ac:dyDescent="0.2">
      <c r="A41" s="146">
        <v>8</v>
      </c>
      <c r="B41" s="146"/>
      <c r="C41" s="173"/>
      <c r="D41" s="432">
        <f t="shared" si="8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4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146">
        <v>9</v>
      </c>
      <c r="B42" s="146"/>
      <c r="C42" s="206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4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146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4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46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4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46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4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46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4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46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4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46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4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46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4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46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4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46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4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46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4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46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4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4"/>
      <c r="C54" s="208"/>
      <c r="D54" s="432">
        <f t="shared" ref="D54:D117" si="13">E54+SUM(H54:O54)</f>
        <v>542451217</v>
      </c>
      <c r="E54" s="432">
        <f>SUM(E55:E143)</f>
        <v>244963371</v>
      </c>
      <c r="F54" s="432">
        <f t="shared" ref="F54:O54" si="14">SUM(F55:F143)</f>
        <v>48303571</v>
      </c>
      <c r="G54" s="432">
        <f t="shared" si="14"/>
        <v>109253227</v>
      </c>
      <c r="H54" s="432">
        <f t="shared" si="14"/>
        <v>0</v>
      </c>
      <c r="I54" s="432">
        <f t="shared" si="14"/>
        <v>106486639</v>
      </c>
      <c r="J54" s="432">
        <f t="shared" si="14"/>
        <v>8387285</v>
      </c>
      <c r="K54" s="432">
        <f t="shared" si="14"/>
        <v>51965894</v>
      </c>
      <c r="L54" s="432">
        <f t="shared" si="14"/>
        <v>0</v>
      </c>
      <c r="M54" s="432">
        <f t="shared" si="14"/>
        <v>54334139</v>
      </c>
      <c r="N54" s="432">
        <f t="shared" si="14"/>
        <v>72482093</v>
      </c>
      <c r="O54" s="432">
        <f t="shared" si="14"/>
        <v>3831796</v>
      </c>
      <c r="P54" s="432">
        <f t="shared" si="4"/>
        <v>521824860</v>
      </c>
      <c r="Q54" s="432">
        <f>SUM(Q55:Q143)</f>
        <v>129608438</v>
      </c>
      <c r="R54" s="432">
        <f t="shared" ref="R54:AM54" si="15">SUM(R55:R143)</f>
        <v>117356800</v>
      </c>
      <c r="S54" s="432">
        <f t="shared" si="15"/>
        <v>541923</v>
      </c>
      <c r="T54" s="432">
        <f t="shared" si="15"/>
        <v>1725250</v>
      </c>
      <c r="U54" s="432">
        <f t="shared" si="15"/>
        <v>1207570</v>
      </c>
      <c r="V54" s="432">
        <f t="shared" si="15"/>
        <v>521887</v>
      </c>
      <c r="W54" s="432">
        <f t="shared" si="15"/>
        <v>102863567</v>
      </c>
      <c r="X54" s="432">
        <f t="shared" si="15"/>
        <v>16905386</v>
      </c>
      <c r="Y54" s="432">
        <f t="shared" si="15"/>
        <v>5188022</v>
      </c>
      <c r="Z54" s="432">
        <f t="shared" si="15"/>
        <v>141544811</v>
      </c>
      <c r="AA54" s="432">
        <f t="shared" si="15"/>
        <v>4784042</v>
      </c>
      <c r="AB54" s="432">
        <f t="shared" si="15"/>
        <v>-422836</v>
      </c>
      <c r="AC54" s="432">
        <f t="shared" si="15"/>
        <v>91667077</v>
      </c>
      <c r="AD54" s="432">
        <f t="shared" si="15"/>
        <v>6813521</v>
      </c>
      <c r="AE54" s="432">
        <f t="shared" si="15"/>
        <v>105247957</v>
      </c>
      <c r="AF54" s="432">
        <f t="shared" si="15"/>
        <v>880104</v>
      </c>
      <c r="AG54" s="432">
        <f t="shared" si="15"/>
        <v>35425081</v>
      </c>
      <c r="AH54" s="432">
        <f t="shared" si="15"/>
        <v>34104332</v>
      </c>
      <c r="AI54" s="432">
        <f t="shared" si="15"/>
        <v>53918942</v>
      </c>
      <c r="AJ54" s="432">
        <f t="shared" si="15"/>
        <v>25028316</v>
      </c>
      <c r="AK54" s="432">
        <f t="shared" si="15"/>
        <v>0</v>
      </c>
      <c r="AL54" s="432">
        <f>SUM(AL55:AL143)</f>
        <v>145663790</v>
      </c>
      <c r="AM54" s="432">
        <f t="shared" si="15"/>
        <v>23075740</v>
      </c>
    </row>
    <row r="55" spans="1:39" s="155" customFormat="1" ht="12" x14ac:dyDescent="0.2">
      <c r="A55" s="168">
        <v>1</v>
      </c>
      <c r="B55" s="196">
        <v>55473</v>
      </c>
      <c r="C55" s="559" t="s">
        <v>1232</v>
      </c>
      <c r="D55" s="432">
        <f t="shared" si="13"/>
        <v>8634032</v>
      </c>
      <c r="E55" s="434">
        <v>3572744</v>
      </c>
      <c r="F55" s="434">
        <v>753110</v>
      </c>
      <c r="G55" s="434">
        <v>1336509</v>
      </c>
      <c r="H55" s="434">
        <v>0</v>
      </c>
      <c r="I55" s="434">
        <v>3017616</v>
      </c>
      <c r="J55" s="434">
        <v>22238</v>
      </c>
      <c r="K55" s="434">
        <v>1421373</v>
      </c>
      <c r="L55" s="434">
        <v>0</v>
      </c>
      <c r="M55" s="434">
        <v>208319</v>
      </c>
      <c r="N55" s="434">
        <v>192054</v>
      </c>
      <c r="O55" s="434">
        <v>199688</v>
      </c>
      <c r="P55" s="432">
        <f t="shared" ref="P55:P118" si="16">IF(SUM(Q55:AB55)=SUM(AC55:AM55),SUM(Q55:AB55),"  EROARE ART/CAP")</f>
        <v>8502583</v>
      </c>
      <c r="Q55" s="431">
        <v>3517419</v>
      </c>
      <c r="R55" s="431">
        <v>4104867</v>
      </c>
      <c r="S55" s="431">
        <v>24000</v>
      </c>
      <c r="T55" s="431">
        <v>0</v>
      </c>
      <c r="U55" s="431">
        <v>47686</v>
      </c>
      <c r="V55" s="431">
        <v>0</v>
      </c>
      <c r="W55" s="431">
        <v>803</v>
      </c>
      <c r="X55" s="431">
        <v>453425</v>
      </c>
      <c r="Y55" s="431">
        <v>39135</v>
      </c>
      <c r="Z55" s="431">
        <v>347780</v>
      </c>
      <c r="AA55" s="431">
        <v>0</v>
      </c>
      <c r="AB55" s="431">
        <v>-32532</v>
      </c>
      <c r="AC55" s="469">
        <v>2171354</v>
      </c>
      <c r="AD55" s="434">
        <v>206049</v>
      </c>
      <c r="AE55" s="434">
        <v>2981466</v>
      </c>
      <c r="AF55" s="434">
        <v>23328</v>
      </c>
      <c r="AG55" s="434">
        <v>187805</v>
      </c>
      <c r="AH55" s="434">
        <v>837984</v>
      </c>
      <c r="AI55" s="469">
        <v>371225</v>
      </c>
      <c r="AJ55" s="469">
        <v>87850</v>
      </c>
      <c r="AK55" s="434">
        <v>0</v>
      </c>
      <c r="AL55" s="434">
        <v>1609915</v>
      </c>
      <c r="AM55" s="434">
        <v>25607</v>
      </c>
    </row>
    <row r="56" spans="1:39" s="155" customFormat="1" ht="12" x14ac:dyDescent="0.2">
      <c r="A56" s="168">
        <v>2</v>
      </c>
      <c r="B56" s="196">
        <v>55598</v>
      </c>
      <c r="C56" s="559" t="s">
        <v>1233</v>
      </c>
      <c r="D56" s="432">
        <f t="shared" si="13"/>
        <v>2972411</v>
      </c>
      <c r="E56" s="434">
        <v>1944392</v>
      </c>
      <c r="F56" s="434">
        <v>98296</v>
      </c>
      <c r="G56" s="434">
        <v>1278855</v>
      </c>
      <c r="H56" s="434">
        <v>0</v>
      </c>
      <c r="I56" s="434">
        <v>285207</v>
      </c>
      <c r="J56" s="434">
        <v>100000</v>
      </c>
      <c r="K56" s="434">
        <v>74000</v>
      </c>
      <c r="L56" s="434">
        <v>0</v>
      </c>
      <c r="M56" s="434">
        <v>526812</v>
      </c>
      <c r="N56" s="434">
        <v>0</v>
      </c>
      <c r="O56" s="434">
        <v>42000</v>
      </c>
      <c r="P56" s="432">
        <f t="shared" si="16"/>
        <v>2827905</v>
      </c>
      <c r="Q56" s="431">
        <v>502150</v>
      </c>
      <c r="R56" s="431">
        <v>698240</v>
      </c>
      <c r="S56" s="431">
        <v>0</v>
      </c>
      <c r="T56" s="431">
        <v>0</v>
      </c>
      <c r="U56" s="431">
        <v>14304</v>
      </c>
      <c r="V56" s="431">
        <v>0</v>
      </c>
      <c r="W56" s="431">
        <v>0</v>
      </c>
      <c r="X56" s="431">
        <v>106387</v>
      </c>
      <c r="Y56" s="431">
        <v>12860</v>
      </c>
      <c r="Z56" s="468">
        <v>1493964</v>
      </c>
      <c r="AA56" s="431">
        <v>0</v>
      </c>
      <c r="AB56" s="431">
        <v>0</v>
      </c>
      <c r="AC56" s="469">
        <v>590695</v>
      </c>
      <c r="AD56" s="434">
        <v>72395</v>
      </c>
      <c r="AE56" s="434">
        <v>278193</v>
      </c>
      <c r="AF56" s="434">
        <v>44677</v>
      </c>
      <c r="AG56" s="434">
        <v>207453</v>
      </c>
      <c r="AH56" s="434">
        <v>106387</v>
      </c>
      <c r="AI56" s="469">
        <v>107250</v>
      </c>
      <c r="AJ56" s="469">
        <v>66618</v>
      </c>
      <c r="AK56" s="434">
        <v>0</v>
      </c>
      <c r="AL56" s="434">
        <v>1354237</v>
      </c>
      <c r="AM56" s="434">
        <v>0</v>
      </c>
    </row>
    <row r="57" spans="1:39" s="155" customFormat="1" ht="12" x14ac:dyDescent="0.2">
      <c r="A57" s="168">
        <v>3</v>
      </c>
      <c r="B57" s="196">
        <v>55623</v>
      </c>
      <c r="C57" s="237" t="s">
        <v>1234</v>
      </c>
      <c r="D57" s="432">
        <f t="shared" si="13"/>
        <v>4787481</v>
      </c>
      <c r="E57" s="434">
        <v>1679151</v>
      </c>
      <c r="F57" s="434">
        <v>39917</v>
      </c>
      <c r="G57" s="434">
        <v>1313364</v>
      </c>
      <c r="H57" s="434">
        <v>0</v>
      </c>
      <c r="I57" s="434">
        <v>820392</v>
      </c>
      <c r="J57" s="434">
        <v>122222</v>
      </c>
      <c r="K57" s="434">
        <v>115373</v>
      </c>
      <c r="L57" s="434">
        <v>0</v>
      </c>
      <c r="M57" s="434">
        <v>1085642</v>
      </c>
      <c r="N57" s="434">
        <v>964701</v>
      </c>
      <c r="O57" s="434">
        <v>0</v>
      </c>
      <c r="P57" s="432">
        <f t="shared" si="16"/>
        <v>4334598</v>
      </c>
      <c r="Q57" s="431">
        <v>1111296</v>
      </c>
      <c r="R57" s="431">
        <v>1164384</v>
      </c>
      <c r="S57" s="431">
        <v>0</v>
      </c>
      <c r="T57" s="431">
        <v>0</v>
      </c>
      <c r="U57" s="431">
        <v>0</v>
      </c>
      <c r="V57" s="431">
        <v>0</v>
      </c>
      <c r="W57" s="431">
        <v>2056680</v>
      </c>
      <c r="X57" s="431">
        <v>2238</v>
      </c>
      <c r="Y57" s="431">
        <v>0</v>
      </c>
      <c r="Z57" s="431">
        <v>0</v>
      </c>
      <c r="AA57" s="431">
        <v>0</v>
      </c>
      <c r="AB57" s="431">
        <v>0</v>
      </c>
      <c r="AC57" s="468">
        <v>873661</v>
      </c>
      <c r="AD57" s="431">
        <v>0</v>
      </c>
      <c r="AE57" s="431">
        <v>710275</v>
      </c>
      <c r="AF57" s="431">
        <v>0</v>
      </c>
      <c r="AG57" s="431">
        <v>663465</v>
      </c>
      <c r="AH57" s="431">
        <v>207725</v>
      </c>
      <c r="AI57" s="468">
        <v>0</v>
      </c>
      <c r="AJ57" s="468">
        <v>1415825</v>
      </c>
      <c r="AK57" s="431">
        <v>0</v>
      </c>
      <c r="AL57" s="431">
        <v>463647</v>
      </c>
      <c r="AM57" s="431">
        <v>0</v>
      </c>
    </row>
    <row r="58" spans="1:39" s="155" customFormat="1" ht="12" x14ac:dyDescent="0.2">
      <c r="A58" s="168">
        <v>4</v>
      </c>
      <c r="B58" s="196">
        <v>55687</v>
      </c>
      <c r="C58" s="559" t="s">
        <v>1235</v>
      </c>
      <c r="D58" s="432">
        <f t="shared" si="13"/>
        <v>22615623</v>
      </c>
      <c r="E58" s="434">
        <v>15669478</v>
      </c>
      <c r="F58" s="434">
        <v>6219368</v>
      </c>
      <c r="G58" s="434">
        <v>1970689</v>
      </c>
      <c r="H58" s="434">
        <v>0</v>
      </c>
      <c r="I58" s="434">
        <v>4644986</v>
      </c>
      <c r="J58" s="434">
        <v>350000</v>
      </c>
      <c r="K58" s="434">
        <v>869000</v>
      </c>
      <c r="L58" s="434">
        <v>0</v>
      </c>
      <c r="M58" s="434">
        <v>360499</v>
      </c>
      <c r="N58" s="434">
        <v>721660</v>
      </c>
      <c r="O58" s="434">
        <v>0</v>
      </c>
      <c r="P58" s="432">
        <f t="shared" si="16"/>
        <v>20791385</v>
      </c>
      <c r="Q58" s="431">
        <v>6635107</v>
      </c>
      <c r="R58" s="431">
        <v>6015866</v>
      </c>
      <c r="S58" s="431">
        <v>1199</v>
      </c>
      <c r="T58" s="431">
        <v>0</v>
      </c>
      <c r="U58" s="431">
        <v>57163</v>
      </c>
      <c r="V58" s="431">
        <v>203200</v>
      </c>
      <c r="W58" s="431">
        <v>1405135</v>
      </c>
      <c r="X58" s="431">
        <v>463525</v>
      </c>
      <c r="Y58" s="431">
        <v>146179</v>
      </c>
      <c r="Z58" s="468">
        <v>5817373</v>
      </c>
      <c r="AA58" s="431">
        <v>53945</v>
      </c>
      <c r="AB58" s="431">
        <v>-7307</v>
      </c>
      <c r="AC58" s="469">
        <v>2600355</v>
      </c>
      <c r="AD58" s="434">
        <v>322198</v>
      </c>
      <c r="AE58" s="434">
        <v>4288002</v>
      </c>
      <c r="AF58" s="434">
        <v>0</v>
      </c>
      <c r="AG58" s="434">
        <v>1436290</v>
      </c>
      <c r="AH58" s="434">
        <v>2946486</v>
      </c>
      <c r="AI58" s="469">
        <v>6144894</v>
      </c>
      <c r="AJ58" s="469">
        <v>846606</v>
      </c>
      <c r="AK58" s="434">
        <v>0</v>
      </c>
      <c r="AL58" s="434">
        <v>2152609</v>
      </c>
      <c r="AM58" s="434">
        <v>53945</v>
      </c>
    </row>
    <row r="59" spans="1:39" s="155" customFormat="1" ht="12" x14ac:dyDescent="0.2">
      <c r="A59" s="168">
        <v>5</v>
      </c>
      <c r="B59" s="196">
        <v>55776</v>
      </c>
      <c r="C59" s="559" t="s">
        <v>1236</v>
      </c>
      <c r="D59" s="432">
        <f t="shared" si="13"/>
        <v>3742478</v>
      </c>
      <c r="E59" s="434">
        <v>1808888</v>
      </c>
      <c r="F59" s="434">
        <v>73712</v>
      </c>
      <c r="G59" s="434">
        <v>1312557</v>
      </c>
      <c r="H59" s="434">
        <v>0</v>
      </c>
      <c r="I59" s="434">
        <v>852101</v>
      </c>
      <c r="J59" s="434">
        <v>122222</v>
      </c>
      <c r="K59" s="434">
        <v>118373</v>
      </c>
      <c r="L59" s="434">
        <v>0</v>
      </c>
      <c r="M59" s="434">
        <v>28725</v>
      </c>
      <c r="N59" s="434">
        <v>812169</v>
      </c>
      <c r="O59" s="434">
        <v>0</v>
      </c>
      <c r="P59" s="432">
        <f t="shared" si="16"/>
        <v>3739160</v>
      </c>
      <c r="Q59" s="431">
        <v>993091</v>
      </c>
      <c r="R59" s="431">
        <v>904657</v>
      </c>
      <c r="S59" s="431">
        <v>6301</v>
      </c>
      <c r="T59" s="431">
        <v>0</v>
      </c>
      <c r="U59" s="431">
        <v>0</v>
      </c>
      <c r="V59" s="431">
        <v>0</v>
      </c>
      <c r="W59" s="431">
        <v>1299835</v>
      </c>
      <c r="X59" s="431">
        <v>134470</v>
      </c>
      <c r="Y59" s="431">
        <v>200</v>
      </c>
      <c r="Z59" s="468">
        <v>372911</v>
      </c>
      <c r="AA59" s="431">
        <v>27695</v>
      </c>
      <c r="AB59" s="431">
        <v>0</v>
      </c>
      <c r="AC59" s="469">
        <v>1062845</v>
      </c>
      <c r="AD59" s="434">
        <v>50248</v>
      </c>
      <c r="AE59" s="434">
        <v>1894798</v>
      </c>
      <c r="AF59" s="434">
        <v>0</v>
      </c>
      <c r="AG59" s="434">
        <v>52874</v>
      </c>
      <c r="AH59" s="434">
        <v>251928</v>
      </c>
      <c r="AI59" s="469">
        <v>107770</v>
      </c>
      <c r="AJ59" s="469">
        <v>13649</v>
      </c>
      <c r="AK59" s="434">
        <v>0</v>
      </c>
      <c r="AL59" s="434">
        <v>280048</v>
      </c>
      <c r="AM59" s="434">
        <v>25000</v>
      </c>
    </row>
    <row r="60" spans="1:39" s="155" customFormat="1" ht="12" x14ac:dyDescent="0.2">
      <c r="A60" s="168">
        <v>6</v>
      </c>
      <c r="B60" s="196">
        <v>55838</v>
      </c>
      <c r="C60" s="559" t="s">
        <v>1237</v>
      </c>
      <c r="D60" s="432">
        <f t="shared" si="13"/>
        <v>13135117</v>
      </c>
      <c r="E60" s="434">
        <v>7657939</v>
      </c>
      <c r="F60" s="434">
        <v>3014377</v>
      </c>
      <c r="G60" s="434">
        <v>1492455</v>
      </c>
      <c r="H60" s="434">
        <v>0</v>
      </c>
      <c r="I60" s="434">
        <v>3045580</v>
      </c>
      <c r="J60" s="434">
        <v>0</v>
      </c>
      <c r="K60" s="434">
        <v>2077805</v>
      </c>
      <c r="L60" s="434">
        <v>0</v>
      </c>
      <c r="M60" s="469">
        <v>87070</v>
      </c>
      <c r="N60" s="469">
        <v>266723</v>
      </c>
      <c r="O60" s="434">
        <v>0</v>
      </c>
      <c r="P60" s="432">
        <f t="shared" si="16"/>
        <v>11889764</v>
      </c>
      <c r="Q60" s="431">
        <v>2924864</v>
      </c>
      <c r="R60" s="431">
        <v>5264844</v>
      </c>
      <c r="S60" s="431">
        <v>0</v>
      </c>
      <c r="T60" s="431">
        <v>0</v>
      </c>
      <c r="U60" s="431">
        <v>45000</v>
      </c>
      <c r="V60" s="431">
        <v>0</v>
      </c>
      <c r="W60" s="431">
        <v>0</v>
      </c>
      <c r="X60" s="431">
        <v>618436</v>
      </c>
      <c r="Y60" s="431">
        <v>703505</v>
      </c>
      <c r="Z60" s="468">
        <v>2333115</v>
      </c>
      <c r="AA60" s="431">
        <v>0</v>
      </c>
      <c r="AB60" s="431">
        <v>0</v>
      </c>
      <c r="AC60" s="469">
        <v>1720244</v>
      </c>
      <c r="AD60" s="434">
        <v>90853</v>
      </c>
      <c r="AE60" s="434">
        <v>2837339</v>
      </c>
      <c r="AF60" s="434">
        <v>0</v>
      </c>
      <c r="AG60" s="434">
        <v>1758987</v>
      </c>
      <c r="AH60" s="434">
        <v>717680</v>
      </c>
      <c r="AI60" s="469">
        <v>839023</v>
      </c>
      <c r="AJ60" s="469">
        <v>509538</v>
      </c>
      <c r="AK60" s="434">
        <v>0</v>
      </c>
      <c r="AL60" s="434">
        <v>3215770</v>
      </c>
      <c r="AM60" s="434">
        <v>200330</v>
      </c>
    </row>
    <row r="61" spans="1:39" s="155" customFormat="1" ht="12" x14ac:dyDescent="0.2">
      <c r="A61" s="168">
        <v>7</v>
      </c>
      <c r="B61" s="196">
        <v>55918</v>
      </c>
      <c r="C61" s="559" t="s">
        <v>1238</v>
      </c>
      <c r="D61" s="432">
        <f t="shared" si="13"/>
        <v>3800680</v>
      </c>
      <c r="E61" s="434">
        <v>1722307</v>
      </c>
      <c r="F61" s="434">
        <v>201632</v>
      </c>
      <c r="G61" s="434">
        <v>1101838</v>
      </c>
      <c r="H61" s="434">
        <v>0</v>
      </c>
      <c r="I61" s="434">
        <v>1201000</v>
      </c>
      <c r="J61" s="434">
        <v>122220</v>
      </c>
      <c r="K61" s="434">
        <v>185370</v>
      </c>
      <c r="L61" s="434">
        <v>0</v>
      </c>
      <c r="M61" s="434">
        <v>134955</v>
      </c>
      <c r="N61" s="434">
        <v>430328</v>
      </c>
      <c r="O61" s="434">
        <v>4500</v>
      </c>
      <c r="P61" s="432">
        <f t="shared" si="16"/>
        <v>3880500</v>
      </c>
      <c r="Q61" s="431">
        <v>1461865</v>
      </c>
      <c r="R61" s="431">
        <v>821857</v>
      </c>
      <c r="S61" s="431">
        <v>0</v>
      </c>
      <c r="T61" s="431">
        <v>0</v>
      </c>
      <c r="U61" s="431">
        <v>5066</v>
      </c>
      <c r="V61" s="431">
        <v>0</v>
      </c>
      <c r="W61" s="431">
        <v>841565</v>
      </c>
      <c r="X61" s="431">
        <v>172718</v>
      </c>
      <c r="Y61" s="431">
        <v>0</v>
      </c>
      <c r="Z61" s="468">
        <v>577429</v>
      </c>
      <c r="AA61" s="431">
        <v>0</v>
      </c>
      <c r="AB61" s="431">
        <v>0</v>
      </c>
      <c r="AC61" s="469">
        <v>830349</v>
      </c>
      <c r="AD61" s="434">
        <v>0</v>
      </c>
      <c r="AE61" s="434">
        <v>959835</v>
      </c>
      <c r="AF61" s="434">
        <v>0</v>
      </c>
      <c r="AG61" s="434">
        <v>650486</v>
      </c>
      <c r="AH61" s="434">
        <v>343373</v>
      </c>
      <c r="AI61" s="469">
        <v>190242</v>
      </c>
      <c r="AJ61" s="469">
        <v>0</v>
      </c>
      <c r="AK61" s="434">
        <v>0</v>
      </c>
      <c r="AL61" s="434">
        <v>368684</v>
      </c>
      <c r="AM61" s="434">
        <v>537531</v>
      </c>
    </row>
    <row r="62" spans="1:39" s="155" customFormat="1" ht="12" x14ac:dyDescent="0.2">
      <c r="A62" s="168">
        <v>8</v>
      </c>
      <c r="B62" s="196">
        <v>56014</v>
      </c>
      <c r="C62" s="559" t="s">
        <v>1239</v>
      </c>
      <c r="D62" s="432">
        <f t="shared" si="13"/>
        <v>12063088</v>
      </c>
      <c r="E62" s="434">
        <v>3916856</v>
      </c>
      <c r="F62" s="434">
        <v>225754</v>
      </c>
      <c r="G62" s="434">
        <v>1190199</v>
      </c>
      <c r="H62" s="434">
        <v>0</v>
      </c>
      <c r="I62" s="434">
        <v>847928</v>
      </c>
      <c r="J62" s="434">
        <v>122220</v>
      </c>
      <c r="K62" s="434">
        <v>1252230</v>
      </c>
      <c r="L62" s="434">
        <v>0</v>
      </c>
      <c r="M62" s="434">
        <v>2056036</v>
      </c>
      <c r="N62" s="434">
        <v>3820446</v>
      </c>
      <c r="O62" s="434">
        <v>47372</v>
      </c>
      <c r="P62" s="432">
        <f t="shared" si="16"/>
        <v>9204530</v>
      </c>
      <c r="Q62" s="431">
        <v>1124381</v>
      </c>
      <c r="R62" s="431">
        <v>2038484</v>
      </c>
      <c r="S62" s="431">
        <v>0</v>
      </c>
      <c r="T62" s="431">
        <v>0</v>
      </c>
      <c r="U62" s="431">
        <v>0</v>
      </c>
      <c r="V62" s="431">
        <v>0</v>
      </c>
      <c r="W62" s="431">
        <v>3538520</v>
      </c>
      <c r="X62" s="431">
        <v>134326</v>
      </c>
      <c r="Y62" s="431">
        <v>3850</v>
      </c>
      <c r="Z62" s="468">
        <v>2364969</v>
      </c>
      <c r="AA62" s="431">
        <v>0</v>
      </c>
      <c r="AB62" s="431">
        <v>0</v>
      </c>
      <c r="AC62" s="469">
        <v>924299</v>
      </c>
      <c r="AD62" s="434">
        <v>0</v>
      </c>
      <c r="AE62" s="434">
        <v>1085080</v>
      </c>
      <c r="AF62" s="434">
        <v>0</v>
      </c>
      <c r="AG62" s="434">
        <v>175089</v>
      </c>
      <c r="AH62" s="434">
        <v>189841</v>
      </c>
      <c r="AI62" s="469">
        <v>416606</v>
      </c>
      <c r="AJ62" s="469">
        <v>135156</v>
      </c>
      <c r="AK62" s="434">
        <v>0</v>
      </c>
      <c r="AL62" s="434">
        <v>3361482</v>
      </c>
      <c r="AM62" s="434">
        <v>2916977</v>
      </c>
    </row>
    <row r="63" spans="1:39" s="155" customFormat="1" ht="12" x14ac:dyDescent="0.2">
      <c r="A63" s="168">
        <v>9</v>
      </c>
      <c r="B63" s="196">
        <v>56096</v>
      </c>
      <c r="C63" s="559" t="s">
        <v>1240</v>
      </c>
      <c r="D63" s="432">
        <f t="shared" si="13"/>
        <v>3022849</v>
      </c>
      <c r="E63" s="434">
        <v>1678013</v>
      </c>
      <c r="F63" s="434">
        <v>78222</v>
      </c>
      <c r="G63" s="434">
        <v>974728</v>
      </c>
      <c r="H63" s="434">
        <v>0</v>
      </c>
      <c r="I63" s="434">
        <v>662968</v>
      </c>
      <c r="J63" s="434">
        <v>0</v>
      </c>
      <c r="K63" s="434">
        <v>421373</v>
      </c>
      <c r="L63" s="434">
        <v>0</v>
      </c>
      <c r="M63" s="434">
        <v>68795</v>
      </c>
      <c r="N63" s="434">
        <v>191700</v>
      </c>
      <c r="O63" s="434">
        <v>0</v>
      </c>
      <c r="P63" s="432">
        <f t="shared" si="16"/>
        <v>3207069</v>
      </c>
      <c r="Q63" s="431">
        <v>899310</v>
      </c>
      <c r="R63" s="431">
        <v>1078377</v>
      </c>
      <c r="S63" s="431">
        <v>0</v>
      </c>
      <c r="T63" s="431">
        <v>0</v>
      </c>
      <c r="U63" s="431">
        <v>43228</v>
      </c>
      <c r="V63" s="431">
        <v>0</v>
      </c>
      <c r="W63" s="431">
        <v>250218</v>
      </c>
      <c r="X63" s="431">
        <v>125863</v>
      </c>
      <c r="Y63" s="431">
        <v>15000</v>
      </c>
      <c r="Z63" s="468">
        <v>807472</v>
      </c>
      <c r="AA63" s="431">
        <v>0</v>
      </c>
      <c r="AB63" s="431">
        <v>-12399</v>
      </c>
      <c r="AC63" s="469">
        <v>1111277</v>
      </c>
      <c r="AD63" s="434">
        <v>7053</v>
      </c>
      <c r="AE63" s="434">
        <v>563968</v>
      </c>
      <c r="AF63" s="434">
        <v>0</v>
      </c>
      <c r="AG63" s="434">
        <v>28500</v>
      </c>
      <c r="AH63" s="434">
        <v>186351</v>
      </c>
      <c r="AI63" s="469">
        <v>431464</v>
      </c>
      <c r="AJ63" s="469">
        <v>0</v>
      </c>
      <c r="AK63" s="434">
        <v>0</v>
      </c>
      <c r="AL63" s="434">
        <v>746402</v>
      </c>
      <c r="AM63" s="434">
        <v>132054</v>
      </c>
    </row>
    <row r="64" spans="1:39" s="155" customFormat="1" ht="12" x14ac:dyDescent="0.2">
      <c r="A64" s="168">
        <v>10</v>
      </c>
      <c r="B64" s="196">
        <v>56210</v>
      </c>
      <c r="C64" s="559" t="s">
        <v>1241</v>
      </c>
      <c r="D64" s="432">
        <f t="shared" si="13"/>
        <v>8131726</v>
      </c>
      <c r="E64" s="434">
        <v>3606067</v>
      </c>
      <c r="F64" s="434">
        <v>874070</v>
      </c>
      <c r="G64" s="434">
        <v>1422359</v>
      </c>
      <c r="H64" s="434">
        <v>0</v>
      </c>
      <c r="I64" s="434">
        <v>2431450</v>
      </c>
      <c r="J64" s="434">
        <v>122220</v>
      </c>
      <c r="K64" s="434">
        <v>1777373</v>
      </c>
      <c r="L64" s="434">
        <v>0</v>
      </c>
      <c r="M64" s="434">
        <v>53425</v>
      </c>
      <c r="N64" s="434">
        <v>137891</v>
      </c>
      <c r="O64" s="434">
        <v>3300</v>
      </c>
      <c r="P64" s="432">
        <f t="shared" si="16"/>
        <v>6615738</v>
      </c>
      <c r="Q64" s="431">
        <v>2775902</v>
      </c>
      <c r="R64" s="431">
        <v>1453769</v>
      </c>
      <c r="S64" s="431">
        <v>0</v>
      </c>
      <c r="T64" s="431">
        <v>0</v>
      </c>
      <c r="U64" s="431">
        <v>34948</v>
      </c>
      <c r="V64" s="431">
        <v>0</v>
      </c>
      <c r="W64" s="431">
        <v>0</v>
      </c>
      <c r="X64" s="431">
        <v>230130</v>
      </c>
      <c r="Y64" s="431">
        <v>6495</v>
      </c>
      <c r="Z64" s="468">
        <v>2125446</v>
      </c>
      <c r="AA64" s="431">
        <v>0</v>
      </c>
      <c r="AB64" s="431">
        <v>-10952</v>
      </c>
      <c r="AC64" s="469">
        <v>1750342</v>
      </c>
      <c r="AD64" s="434">
        <v>0</v>
      </c>
      <c r="AE64" s="434">
        <v>2157610</v>
      </c>
      <c r="AF64" s="434">
        <v>0</v>
      </c>
      <c r="AG64" s="434">
        <v>470792</v>
      </c>
      <c r="AH64" s="434">
        <v>369387</v>
      </c>
      <c r="AI64" s="469">
        <v>492175</v>
      </c>
      <c r="AJ64" s="469">
        <v>47677</v>
      </c>
      <c r="AK64" s="434">
        <v>0</v>
      </c>
      <c r="AL64" s="434">
        <v>1243538</v>
      </c>
      <c r="AM64" s="434">
        <v>84217</v>
      </c>
    </row>
    <row r="65" spans="1:39" s="155" customFormat="1" ht="12" x14ac:dyDescent="0.2">
      <c r="A65" s="168">
        <v>11</v>
      </c>
      <c r="B65" s="196">
        <v>56265</v>
      </c>
      <c r="C65" s="559" t="s">
        <v>1242</v>
      </c>
      <c r="D65" s="432">
        <f t="shared" si="13"/>
        <v>6708726</v>
      </c>
      <c r="E65" s="434">
        <v>2184136</v>
      </c>
      <c r="F65" s="434">
        <v>292536</v>
      </c>
      <c r="G65" s="434">
        <v>1290168</v>
      </c>
      <c r="H65" s="434">
        <v>0</v>
      </c>
      <c r="I65" s="434">
        <v>774334</v>
      </c>
      <c r="J65" s="434">
        <v>122222</v>
      </c>
      <c r="K65" s="434">
        <v>3369373</v>
      </c>
      <c r="L65" s="434">
        <v>0</v>
      </c>
      <c r="M65" s="434">
        <v>81796</v>
      </c>
      <c r="N65" s="434">
        <v>176865</v>
      </c>
      <c r="O65" s="434">
        <v>0</v>
      </c>
      <c r="P65" s="432">
        <f t="shared" si="16"/>
        <v>6300152</v>
      </c>
      <c r="Q65" s="431">
        <v>1097563</v>
      </c>
      <c r="R65" s="431">
        <v>1151176</v>
      </c>
      <c r="S65" s="431">
        <v>0</v>
      </c>
      <c r="T65" s="431">
        <v>0</v>
      </c>
      <c r="U65" s="431">
        <v>21650</v>
      </c>
      <c r="V65" s="431">
        <v>0</v>
      </c>
      <c r="W65" s="431">
        <v>191392</v>
      </c>
      <c r="X65" s="431">
        <v>128651</v>
      </c>
      <c r="Y65" s="431">
        <v>1950</v>
      </c>
      <c r="Z65" s="468">
        <v>3707770</v>
      </c>
      <c r="AA65" s="431">
        <v>0</v>
      </c>
      <c r="AB65" s="431">
        <v>0</v>
      </c>
      <c r="AC65" s="469">
        <v>1348005</v>
      </c>
      <c r="AD65" s="434">
        <v>29397</v>
      </c>
      <c r="AE65" s="434">
        <v>569284</v>
      </c>
      <c r="AF65" s="434">
        <v>0</v>
      </c>
      <c r="AG65" s="434">
        <v>65429</v>
      </c>
      <c r="AH65" s="434">
        <v>252301</v>
      </c>
      <c r="AI65" s="469">
        <v>3550258</v>
      </c>
      <c r="AJ65" s="469">
        <v>0</v>
      </c>
      <c r="AK65" s="434">
        <v>0</v>
      </c>
      <c r="AL65" s="434">
        <v>475558</v>
      </c>
      <c r="AM65" s="434">
        <v>9920</v>
      </c>
    </row>
    <row r="66" spans="1:39" s="155" customFormat="1" ht="12" x14ac:dyDescent="0.2">
      <c r="A66" s="168">
        <v>12</v>
      </c>
      <c r="B66" s="196">
        <v>56327</v>
      </c>
      <c r="C66" s="559" t="s">
        <v>1243</v>
      </c>
      <c r="D66" s="432">
        <f t="shared" si="13"/>
        <v>3229135</v>
      </c>
      <c r="E66" s="434">
        <v>2044626</v>
      </c>
      <c r="F66" s="434">
        <v>82162</v>
      </c>
      <c r="G66" s="434">
        <v>1706864</v>
      </c>
      <c r="H66" s="434">
        <v>0</v>
      </c>
      <c r="I66" s="434">
        <v>874282</v>
      </c>
      <c r="J66" s="434">
        <v>0</v>
      </c>
      <c r="K66" s="434">
        <v>145373</v>
      </c>
      <c r="L66" s="434">
        <v>0</v>
      </c>
      <c r="M66" s="434">
        <v>63979</v>
      </c>
      <c r="N66" s="434">
        <v>99875</v>
      </c>
      <c r="O66" s="434">
        <v>1000</v>
      </c>
      <c r="P66" s="432">
        <f t="shared" si="16"/>
        <v>3339478</v>
      </c>
      <c r="Q66" s="431">
        <v>1209522</v>
      </c>
      <c r="R66" s="431">
        <v>675656</v>
      </c>
      <c r="S66" s="431">
        <v>0</v>
      </c>
      <c r="T66" s="431">
        <v>0</v>
      </c>
      <c r="U66" s="431">
        <v>10067</v>
      </c>
      <c r="V66" s="431">
        <v>0</v>
      </c>
      <c r="W66" s="431">
        <v>1333500</v>
      </c>
      <c r="X66" s="431">
        <v>25012</v>
      </c>
      <c r="Y66" s="431">
        <v>10000</v>
      </c>
      <c r="Z66" s="468">
        <v>75721</v>
      </c>
      <c r="AA66" s="431">
        <v>0</v>
      </c>
      <c r="AB66" s="431">
        <v>0</v>
      </c>
      <c r="AC66" s="469">
        <v>683815</v>
      </c>
      <c r="AD66" s="434">
        <v>0</v>
      </c>
      <c r="AE66" s="434">
        <v>821169</v>
      </c>
      <c r="AF66" s="434">
        <v>30511</v>
      </c>
      <c r="AG66" s="434">
        <v>485751</v>
      </c>
      <c r="AH66" s="434">
        <v>1097580</v>
      </c>
      <c r="AI66" s="469">
        <v>79831</v>
      </c>
      <c r="AJ66" s="469">
        <v>39922</v>
      </c>
      <c r="AK66" s="434">
        <v>0</v>
      </c>
      <c r="AL66" s="434">
        <v>100899</v>
      </c>
      <c r="AM66" s="434">
        <v>0</v>
      </c>
    </row>
    <row r="67" spans="1:39" s="155" customFormat="1" ht="12" x14ac:dyDescent="0.2">
      <c r="A67" s="168">
        <v>13</v>
      </c>
      <c r="B67" s="196">
        <v>56354</v>
      </c>
      <c r="C67" s="559" t="s">
        <v>1244</v>
      </c>
      <c r="D67" s="432">
        <f t="shared" si="13"/>
        <v>3614489</v>
      </c>
      <c r="E67" s="434">
        <v>1908220</v>
      </c>
      <c r="F67" s="434">
        <v>116235</v>
      </c>
      <c r="G67" s="434">
        <v>1249851</v>
      </c>
      <c r="H67" s="434">
        <v>0</v>
      </c>
      <c r="I67" s="434">
        <v>1004176</v>
      </c>
      <c r="J67" s="434">
        <v>50000</v>
      </c>
      <c r="K67" s="434">
        <v>82000</v>
      </c>
      <c r="L67" s="434">
        <v>0</v>
      </c>
      <c r="M67" s="434">
        <v>76579</v>
      </c>
      <c r="N67" s="434">
        <v>174086</v>
      </c>
      <c r="O67" s="434">
        <v>319428</v>
      </c>
      <c r="P67" s="432">
        <f t="shared" si="16"/>
        <v>3585304</v>
      </c>
      <c r="Q67" s="431">
        <v>1159770</v>
      </c>
      <c r="R67" s="468">
        <v>934759</v>
      </c>
      <c r="S67" s="431">
        <v>0</v>
      </c>
      <c r="T67" s="431">
        <v>0</v>
      </c>
      <c r="U67" s="431">
        <v>20904</v>
      </c>
      <c r="V67" s="431">
        <v>0</v>
      </c>
      <c r="W67" s="431">
        <v>518168</v>
      </c>
      <c r="X67" s="431">
        <v>166038</v>
      </c>
      <c r="Y67" s="431">
        <v>134000</v>
      </c>
      <c r="Z67" s="468">
        <v>654915</v>
      </c>
      <c r="AA67" s="431">
        <v>0</v>
      </c>
      <c r="AB67" s="431">
        <v>-3250</v>
      </c>
      <c r="AC67" s="469">
        <v>743626</v>
      </c>
      <c r="AD67" s="434">
        <v>8703</v>
      </c>
      <c r="AE67" s="434">
        <v>986194</v>
      </c>
      <c r="AF67" s="434">
        <v>0</v>
      </c>
      <c r="AG67" s="434">
        <v>686503</v>
      </c>
      <c r="AH67" s="434">
        <v>211500</v>
      </c>
      <c r="AI67" s="469">
        <v>196625</v>
      </c>
      <c r="AJ67" s="469">
        <v>470052</v>
      </c>
      <c r="AK67" s="434">
        <v>0</v>
      </c>
      <c r="AL67" s="434">
        <v>282101</v>
      </c>
      <c r="AM67" s="434">
        <v>0</v>
      </c>
    </row>
    <row r="68" spans="1:39" s="155" customFormat="1" ht="12" x14ac:dyDescent="0.2">
      <c r="A68" s="168">
        <v>14</v>
      </c>
      <c r="B68" s="196">
        <v>56425</v>
      </c>
      <c r="C68" s="237" t="s">
        <v>1245</v>
      </c>
      <c r="D68" s="432">
        <f t="shared" si="13"/>
        <v>4105597</v>
      </c>
      <c r="E68" s="434">
        <v>1987306</v>
      </c>
      <c r="F68" s="434">
        <v>87668</v>
      </c>
      <c r="G68" s="434">
        <v>1341653</v>
      </c>
      <c r="H68" s="434">
        <v>0</v>
      </c>
      <c r="I68" s="434">
        <v>891073</v>
      </c>
      <c r="J68" s="434">
        <v>122222</v>
      </c>
      <c r="K68" s="434">
        <v>157373</v>
      </c>
      <c r="L68" s="434">
        <v>0</v>
      </c>
      <c r="M68" s="434">
        <v>306157</v>
      </c>
      <c r="N68" s="434">
        <v>0</v>
      </c>
      <c r="O68" s="434">
        <v>641466</v>
      </c>
      <c r="P68" s="432">
        <f t="shared" si="16"/>
        <v>4159242</v>
      </c>
      <c r="Q68" s="431">
        <v>1052714</v>
      </c>
      <c r="R68" s="468">
        <v>694192</v>
      </c>
      <c r="S68" s="431">
        <v>14000</v>
      </c>
      <c r="T68" s="431">
        <v>0</v>
      </c>
      <c r="U68" s="431">
        <v>0</v>
      </c>
      <c r="V68" s="431">
        <v>28096</v>
      </c>
      <c r="W68" s="431">
        <v>0</v>
      </c>
      <c r="X68" s="431">
        <v>157115</v>
      </c>
      <c r="Y68" s="431">
        <v>4700</v>
      </c>
      <c r="Z68" s="468">
        <v>2269866</v>
      </c>
      <c r="AA68" s="431">
        <v>40774</v>
      </c>
      <c r="AB68" s="431">
        <v>-102215</v>
      </c>
      <c r="AC68" s="469">
        <v>862219</v>
      </c>
      <c r="AD68" s="434">
        <v>56993</v>
      </c>
      <c r="AE68" s="434">
        <v>777842</v>
      </c>
      <c r="AF68" s="434">
        <v>0</v>
      </c>
      <c r="AG68" s="434">
        <v>92706</v>
      </c>
      <c r="AH68" s="434">
        <v>193187</v>
      </c>
      <c r="AI68" s="469">
        <v>162522</v>
      </c>
      <c r="AJ68" s="469">
        <v>859150</v>
      </c>
      <c r="AK68" s="434">
        <v>0</v>
      </c>
      <c r="AL68" s="434">
        <v>1154623</v>
      </c>
      <c r="AM68" s="434">
        <v>0</v>
      </c>
    </row>
    <row r="69" spans="1:39" s="155" customFormat="1" ht="12" x14ac:dyDescent="0.2">
      <c r="A69" s="168">
        <v>15</v>
      </c>
      <c r="B69" s="196">
        <v>56461</v>
      </c>
      <c r="C69" s="559" t="s">
        <v>1246</v>
      </c>
      <c r="D69" s="432">
        <f t="shared" si="13"/>
        <v>4401484</v>
      </c>
      <c r="E69" s="434">
        <v>1870992</v>
      </c>
      <c r="F69" s="434">
        <v>211093</v>
      </c>
      <c r="G69" s="434">
        <v>1086234</v>
      </c>
      <c r="H69" s="434">
        <v>0</v>
      </c>
      <c r="I69" s="434">
        <v>1664258</v>
      </c>
      <c r="J69" s="434">
        <v>122220</v>
      </c>
      <c r="K69" s="434">
        <v>588373</v>
      </c>
      <c r="L69" s="434">
        <v>0</v>
      </c>
      <c r="M69" s="434">
        <v>84097</v>
      </c>
      <c r="N69" s="434">
        <v>71544</v>
      </c>
      <c r="O69" s="434">
        <v>0</v>
      </c>
      <c r="P69" s="432">
        <f t="shared" si="16"/>
        <v>4395877</v>
      </c>
      <c r="Q69" s="431">
        <v>1947206</v>
      </c>
      <c r="R69" s="431">
        <v>1797042</v>
      </c>
      <c r="S69" s="431">
        <v>124506</v>
      </c>
      <c r="T69" s="431">
        <v>0</v>
      </c>
      <c r="U69" s="431">
        <v>0</v>
      </c>
      <c r="V69" s="431">
        <v>0</v>
      </c>
      <c r="W69" s="431">
        <v>176378</v>
      </c>
      <c r="X69" s="431">
        <v>264955</v>
      </c>
      <c r="Y69" s="431">
        <v>22530</v>
      </c>
      <c r="Z69" s="468">
        <v>64500</v>
      </c>
      <c r="AA69" s="431">
        <v>0</v>
      </c>
      <c r="AB69" s="431">
        <v>-1240</v>
      </c>
      <c r="AC69" s="469">
        <v>708149</v>
      </c>
      <c r="AD69" s="434">
        <v>107408</v>
      </c>
      <c r="AE69" s="434">
        <v>1141653</v>
      </c>
      <c r="AF69" s="434">
        <v>0</v>
      </c>
      <c r="AG69" s="434">
        <v>415051</v>
      </c>
      <c r="AH69" s="434">
        <v>673590</v>
      </c>
      <c r="AI69" s="469">
        <v>491555</v>
      </c>
      <c r="AJ69" s="469">
        <v>220650</v>
      </c>
      <c r="AK69" s="434">
        <v>0</v>
      </c>
      <c r="AL69" s="434">
        <v>524418</v>
      </c>
      <c r="AM69" s="434">
        <v>113403</v>
      </c>
    </row>
    <row r="70" spans="1:39" s="155" customFormat="1" ht="12" x14ac:dyDescent="0.2">
      <c r="A70" s="168">
        <v>16</v>
      </c>
      <c r="B70" s="196">
        <v>56522</v>
      </c>
      <c r="C70" s="559" t="s">
        <v>1247</v>
      </c>
      <c r="D70" s="432">
        <f t="shared" si="13"/>
        <v>5533755</v>
      </c>
      <c r="E70" s="434">
        <v>2669703</v>
      </c>
      <c r="F70" s="434">
        <v>122083</v>
      </c>
      <c r="G70" s="434">
        <v>1952203</v>
      </c>
      <c r="H70" s="434">
        <v>0</v>
      </c>
      <c r="I70" s="434">
        <v>1220188</v>
      </c>
      <c r="J70" s="434">
        <v>450000</v>
      </c>
      <c r="K70" s="434">
        <v>185373</v>
      </c>
      <c r="L70" s="434">
        <v>0</v>
      </c>
      <c r="M70" s="434">
        <v>631638</v>
      </c>
      <c r="N70" s="434">
        <v>376853</v>
      </c>
      <c r="O70" s="434">
        <v>0</v>
      </c>
      <c r="P70" s="432">
        <f t="shared" si="16"/>
        <v>4609691</v>
      </c>
      <c r="Q70" s="431">
        <v>1320598</v>
      </c>
      <c r="R70" s="431">
        <v>1167657</v>
      </c>
      <c r="S70" s="431">
        <v>0</v>
      </c>
      <c r="T70" s="431">
        <v>0</v>
      </c>
      <c r="U70" s="431">
        <v>0</v>
      </c>
      <c r="V70" s="431">
        <v>0</v>
      </c>
      <c r="W70" s="431">
        <v>147256</v>
      </c>
      <c r="X70" s="431">
        <v>275869</v>
      </c>
      <c r="Y70" s="431">
        <v>9780</v>
      </c>
      <c r="Z70" s="468">
        <v>1688531</v>
      </c>
      <c r="AA70" s="431">
        <v>0</v>
      </c>
      <c r="AB70" s="431">
        <v>0</v>
      </c>
      <c r="AC70" s="469">
        <v>642358</v>
      </c>
      <c r="AD70" s="434">
        <v>41308</v>
      </c>
      <c r="AE70" s="434">
        <v>1017963</v>
      </c>
      <c r="AF70" s="434">
        <v>0</v>
      </c>
      <c r="AG70" s="434">
        <v>584671</v>
      </c>
      <c r="AH70" s="434">
        <v>361030</v>
      </c>
      <c r="AI70" s="469">
        <v>843904</v>
      </c>
      <c r="AJ70" s="469">
        <v>77223</v>
      </c>
      <c r="AK70" s="434">
        <v>0</v>
      </c>
      <c r="AL70" s="434">
        <v>1041234</v>
      </c>
      <c r="AM70" s="434">
        <v>0</v>
      </c>
    </row>
    <row r="71" spans="1:39" s="155" customFormat="1" ht="12" x14ac:dyDescent="0.2">
      <c r="A71" s="168">
        <v>17</v>
      </c>
      <c r="B71" s="196">
        <v>56568</v>
      </c>
      <c r="C71" s="559" t="s">
        <v>1248</v>
      </c>
      <c r="D71" s="432">
        <f t="shared" si="13"/>
        <v>6786890</v>
      </c>
      <c r="E71" s="434">
        <v>2757347</v>
      </c>
      <c r="F71" s="434">
        <v>762364</v>
      </c>
      <c r="G71" s="434">
        <v>905794</v>
      </c>
      <c r="H71" s="434">
        <v>0</v>
      </c>
      <c r="I71" s="434">
        <v>1691063</v>
      </c>
      <c r="J71" s="434">
        <v>121792</v>
      </c>
      <c r="K71" s="434">
        <v>927373</v>
      </c>
      <c r="L71" s="434">
        <v>0</v>
      </c>
      <c r="M71" s="434">
        <v>328569</v>
      </c>
      <c r="N71" s="434">
        <v>794586</v>
      </c>
      <c r="O71" s="434">
        <v>166160</v>
      </c>
      <c r="P71" s="432">
        <f t="shared" si="16"/>
        <v>5697615</v>
      </c>
      <c r="Q71" s="431">
        <v>1869042</v>
      </c>
      <c r="R71" s="431">
        <v>1676172</v>
      </c>
      <c r="S71" s="431">
        <v>0</v>
      </c>
      <c r="T71" s="431">
        <v>0</v>
      </c>
      <c r="U71" s="431">
        <v>17467</v>
      </c>
      <c r="V71" s="431">
        <v>0</v>
      </c>
      <c r="W71" s="431">
        <v>0</v>
      </c>
      <c r="X71" s="431">
        <v>188871</v>
      </c>
      <c r="Y71" s="431">
        <v>27000</v>
      </c>
      <c r="Z71" s="468">
        <v>1919063</v>
      </c>
      <c r="AA71" s="431">
        <v>0</v>
      </c>
      <c r="AB71" s="431">
        <v>0</v>
      </c>
      <c r="AC71" s="469">
        <v>1763648</v>
      </c>
      <c r="AD71" s="434">
        <v>11709</v>
      </c>
      <c r="AE71" s="434">
        <v>1633063</v>
      </c>
      <c r="AF71" s="434">
        <v>0</v>
      </c>
      <c r="AG71" s="434">
        <v>595312</v>
      </c>
      <c r="AH71" s="434">
        <v>393029</v>
      </c>
      <c r="AI71" s="469">
        <v>136708</v>
      </c>
      <c r="AJ71" s="469">
        <v>40362</v>
      </c>
      <c r="AK71" s="434">
        <v>0</v>
      </c>
      <c r="AL71" s="434">
        <v>990787</v>
      </c>
      <c r="AM71" s="434">
        <v>132997</v>
      </c>
    </row>
    <row r="72" spans="1:39" s="155" customFormat="1" ht="12" x14ac:dyDescent="0.2">
      <c r="A72" s="168">
        <v>18</v>
      </c>
      <c r="B72" s="196">
        <v>56666</v>
      </c>
      <c r="C72" s="559" t="s">
        <v>1249</v>
      </c>
      <c r="D72" s="432">
        <f t="shared" si="13"/>
        <v>6873990</v>
      </c>
      <c r="E72" s="434">
        <v>2638391</v>
      </c>
      <c r="F72" s="434">
        <v>311657</v>
      </c>
      <c r="G72" s="434">
        <v>1676192</v>
      </c>
      <c r="H72" s="434">
        <v>0</v>
      </c>
      <c r="I72" s="434">
        <v>2194831</v>
      </c>
      <c r="J72" s="434">
        <v>400000</v>
      </c>
      <c r="K72" s="434">
        <v>934373</v>
      </c>
      <c r="L72" s="434">
        <v>0</v>
      </c>
      <c r="M72" s="434">
        <v>184707</v>
      </c>
      <c r="N72" s="434">
        <v>521688</v>
      </c>
      <c r="O72" s="434">
        <v>0</v>
      </c>
      <c r="P72" s="432">
        <f t="shared" si="16"/>
        <v>6629940</v>
      </c>
      <c r="Q72" s="431">
        <v>2412411</v>
      </c>
      <c r="R72" s="431">
        <v>1320992</v>
      </c>
      <c r="S72" s="431">
        <v>43782</v>
      </c>
      <c r="T72" s="431">
        <v>0</v>
      </c>
      <c r="U72" s="431">
        <v>15625</v>
      </c>
      <c r="V72" s="431">
        <v>0</v>
      </c>
      <c r="W72" s="431">
        <v>374450</v>
      </c>
      <c r="X72" s="431">
        <v>330669</v>
      </c>
      <c r="Y72" s="431">
        <v>16000</v>
      </c>
      <c r="Z72" s="468">
        <v>2016305</v>
      </c>
      <c r="AA72" s="431">
        <v>99706</v>
      </c>
      <c r="AB72" s="431">
        <v>0</v>
      </c>
      <c r="AC72" s="469">
        <v>1323472</v>
      </c>
      <c r="AD72" s="434">
        <v>172965</v>
      </c>
      <c r="AE72" s="434">
        <v>1946966</v>
      </c>
      <c r="AF72" s="434">
        <v>5000</v>
      </c>
      <c r="AG72" s="434">
        <v>717410</v>
      </c>
      <c r="AH72" s="434">
        <v>580406</v>
      </c>
      <c r="AI72" s="469">
        <v>379287</v>
      </c>
      <c r="AJ72" s="469">
        <v>281158</v>
      </c>
      <c r="AK72" s="434">
        <v>0</v>
      </c>
      <c r="AL72" s="434">
        <v>1223276</v>
      </c>
      <c r="AM72" s="434">
        <v>0</v>
      </c>
    </row>
    <row r="73" spans="1:39" s="155" customFormat="1" ht="12" x14ac:dyDescent="0.2">
      <c r="A73" s="168">
        <v>19</v>
      </c>
      <c r="B73" s="196">
        <v>56773</v>
      </c>
      <c r="C73" s="559" t="s">
        <v>1250</v>
      </c>
      <c r="D73" s="432">
        <f t="shared" si="13"/>
        <v>4384303</v>
      </c>
      <c r="E73" s="434">
        <v>2006745</v>
      </c>
      <c r="F73" s="434">
        <v>115955</v>
      </c>
      <c r="G73" s="434">
        <v>1489148</v>
      </c>
      <c r="H73" s="434">
        <v>0</v>
      </c>
      <c r="I73" s="434">
        <v>974922</v>
      </c>
      <c r="J73" s="434">
        <v>50000</v>
      </c>
      <c r="K73" s="434">
        <v>156373</v>
      </c>
      <c r="L73" s="434">
        <v>0</v>
      </c>
      <c r="M73" s="434">
        <v>542362</v>
      </c>
      <c r="N73" s="434">
        <v>653901</v>
      </c>
      <c r="O73" s="434">
        <v>0</v>
      </c>
      <c r="P73" s="432">
        <f t="shared" si="16"/>
        <v>4747034</v>
      </c>
      <c r="Q73" s="431">
        <v>1210508</v>
      </c>
      <c r="R73" s="431">
        <v>1111307</v>
      </c>
      <c r="S73" s="431">
        <v>25000</v>
      </c>
      <c r="T73" s="431">
        <v>0</v>
      </c>
      <c r="U73" s="431">
        <v>43000</v>
      </c>
      <c r="V73" s="431">
        <v>0</v>
      </c>
      <c r="W73" s="431">
        <v>601440</v>
      </c>
      <c r="X73" s="431">
        <v>188707</v>
      </c>
      <c r="Y73" s="431">
        <v>29887</v>
      </c>
      <c r="Z73" s="468">
        <v>586838</v>
      </c>
      <c r="AA73" s="431">
        <v>950347</v>
      </c>
      <c r="AB73" s="431">
        <v>0</v>
      </c>
      <c r="AC73" s="469">
        <v>999012</v>
      </c>
      <c r="AD73" s="434">
        <v>0</v>
      </c>
      <c r="AE73" s="434">
        <v>866936</v>
      </c>
      <c r="AF73" s="434">
        <v>0</v>
      </c>
      <c r="AG73" s="434">
        <v>570758</v>
      </c>
      <c r="AH73" s="434">
        <v>282839</v>
      </c>
      <c r="AI73" s="469">
        <v>1514180</v>
      </c>
      <c r="AJ73" s="469">
        <v>64046</v>
      </c>
      <c r="AK73" s="434">
        <v>0</v>
      </c>
      <c r="AL73" s="434">
        <v>449263</v>
      </c>
      <c r="AM73" s="434">
        <v>0</v>
      </c>
    </row>
    <row r="74" spans="1:39" s="155" customFormat="1" ht="12" x14ac:dyDescent="0.2">
      <c r="A74" s="168">
        <v>20</v>
      </c>
      <c r="B74" s="196">
        <v>56844</v>
      </c>
      <c r="C74" s="559" t="s">
        <v>1251</v>
      </c>
      <c r="D74" s="432">
        <f t="shared" si="13"/>
        <v>5453986</v>
      </c>
      <c r="E74" s="434">
        <v>2419470</v>
      </c>
      <c r="F74" s="434">
        <v>170524</v>
      </c>
      <c r="G74" s="434">
        <v>1339937</v>
      </c>
      <c r="H74" s="434">
        <v>0</v>
      </c>
      <c r="I74" s="434">
        <v>1792354</v>
      </c>
      <c r="J74" s="434">
        <v>122222</v>
      </c>
      <c r="K74" s="434">
        <v>1040373</v>
      </c>
      <c r="L74" s="434">
        <v>0</v>
      </c>
      <c r="M74" s="434">
        <v>79567</v>
      </c>
      <c r="N74" s="434">
        <v>0</v>
      </c>
      <c r="O74" s="434">
        <v>0</v>
      </c>
      <c r="P74" s="432">
        <f t="shared" si="16"/>
        <v>5113509</v>
      </c>
      <c r="Q74" s="431">
        <v>1918039</v>
      </c>
      <c r="R74" s="431">
        <v>1865637</v>
      </c>
      <c r="S74" s="431">
        <v>0</v>
      </c>
      <c r="T74" s="431">
        <v>0</v>
      </c>
      <c r="U74" s="431">
        <v>20041</v>
      </c>
      <c r="V74" s="431">
        <v>0</v>
      </c>
      <c r="W74" s="431">
        <v>0</v>
      </c>
      <c r="X74" s="431">
        <v>378461</v>
      </c>
      <c r="Y74" s="431">
        <v>0</v>
      </c>
      <c r="Z74" s="468">
        <v>931331</v>
      </c>
      <c r="AA74" s="431">
        <v>0</v>
      </c>
      <c r="AB74" s="431">
        <v>0</v>
      </c>
      <c r="AC74" s="469">
        <v>1066515</v>
      </c>
      <c r="AD74" s="434">
        <v>259465</v>
      </c>
      <c r="AE74" s="434">
        <v>1954526</v>
      </c>
      <c r="AF74" s="434">
        <v>0</v>
      </c>
      <c r="AG74" s="434">
        <v>336922</v>
      </c>
      <c r="AH74" s="434">
        <v>486266</v>
      </c>
      <c r="AI74" s="469">
        <v>509611</v>
      </c>
      <c r="AJ74" s="469">
        <v>62031</v>
      </c>
      <c r="AK74" s="434">
        <v>0</v>
      </c>
      <c r="AL74" s="434">
        <v>395904</v>
      </c>
      <c r="AM74" s="434">
        <v>42269</v>
      </c>
    </row>
    <row r="75" spans="1:39" s="155" customFormat="1" ht="12" x14ac:dyDescent="0.2">
      <c r="A75" s="168">
        <v>21</v>
      </c>
      <c r="B75" s="196">
        <v>56988</v>
      </c>
      <c r="C75" s="559" t="s">
        <v>1252</v>
      </c>
      <c r="D75" s="432">
        <f t="shared" si="13"/>
        <v>14754648</v>
      </c>
      <c r="E75" s="434">
        <v>2738274</v>
      </c>
      <c r="F75" s="434">
        <v>132425</v>
      </c>
      <c r="G75" s="434">
        <v>1298657</v>
      </c>
      <c r="H75" s="434">
        <v>0</v>
      </c>
      <c r="I75" s="434">
        <v>1034057</v>
      </c>
      <c r="J75" s="434">
        <v>200000</v>
      </c>
      <c r="K75" s="434">
        <v>8400073</v>
      </c>
      <c r="L75" s="434">
        <v>0</v>
      </c>
      <c r="M75" s="434">
        <v>2032815</v>
      </c>
      <c r="N75" s="434">
        <v>349429</v>
      </c>
      <c r="O75" s="434">
        <v>0</v>
      </c>
      <c r="P75" s="432">
        <f t="shared" si="16"/>
        <v>11211535</v>
      </c>
      <c r="Q75" s="431">
        <v>1452968</v>
      </c>
      <c r="R75" s="431">
        <v>5396741</v>
      </c>
      <c r="S75" s="431">
        <v>28274</v>
      </c>
      <c r="T75" s="431">
        <v>0</v>
      </c>
      <c r="U75" s="431">
        <v>0</v>
      </c>
      <c r="V75" s="431">
        <v>0</v>
      </c>
      <c r="W75" s="431">
        <v>2102824</v>
      </c>
      <c r="X75" s="431">
        <v>92925</v>
      </c>
      <c r="Y75" s="431">
        <v>26000</v>
      </c>
      <c r="Z75" s="468">
        <v>1836753</v>
      </c>
      <c r="AA75" s="431">
        <v>275050</v>
      </c>
      <c r="AB75" s="431">
        <v>0</v>
      </c>
      <c r="AC75" s="469">
        <v>1844662</v>
      </c>
      <c r="AD75" s="434">
        <v>166007</v>
      </c>
      <c r="AE75" s="434">
        <v>1226276</v>
      </c>
      <c r="AF75" s="434">
        <v>33953</v>
      </c>
      <c r="AG75" s="434">
        <v>582743</v>
      </c>
      <c r="AH75" s="434">
        <v>203090</v>
      </c>
      <c r="AI75" s="469">
        <v>797105</v>
      </c>
      <c r="AJ75" s="469">
        <v>51304</v>
      </c>
      <c r="AK75" s="434">
        <v>0</v>
      </c>
      <c r="AL75" s="434">
        <v>6241826</v>
      </c>
      <c r="AM75" s="434">
        <v>64569</v>
      </c>
    </row>
    <row r="76" spans="1:39" s="155" customFormat="1" ht="12" x14ac:dyDescent="0.2">
      <c r="A76" s="168">
        <v>22</v>
      </c>
      <c r="B76" s="196">
        <v>57083</v>
      </c>
      <c r="C76" s="559" t="s">
        <v>1253</v>
      </c>
      <c r="D76" s="432">
        <f t="shared" si="13"/>
        <v>6678880</v>
      </c>
      <c r="E76" s="434">
        <v>2283678</v>
      </c>
      <c r="F76" s="434">
        <v>131912</v>
      </c>
      <c r="G76" s="434">
        <v>1518483</v>
      </c>
      <c r="H76" s="434">
        <v>0</v>
      </c>
      <c r="I76" s="434">
        <v>1712724</v>
      </c>
      <c r="J76" s="434">
        <v>122220</v>
      </c>
      <c r="K76" s="434">
        <v>223370</v>
      </c>
      <c r="L76" s="434">
        <v>0</v>
      </c>
      <c r="M76" s="434">
        <v>2006813</v>
      </c>
      <c r="N76" s="434">
        <v>238753</v>
      </c>
      <c r="O76" s="434">
        <v>91322</v>
      </c>
      <c r="P76" s="432">
        <f t="shared" si="16"/>
        <v>5847578</v>
      </c>
      <c r="Q76" s="431">
        <v>2045998</v>
      </c>
      <c r="R76" s="431">
        <v>818139</v>
      </c>
      <c r="S76" s="431">
        <v>0</v>
      </c>
      <c r="T76" s="431">
        <v>0</v>
      </c>
      <c r="U76" s="431">
        <v>0</v>
      </c>
      <c r="V76" s="431">
        <v>0</v>
      </c>
      <c r="W76" s="431">
        <v>0</v>
      </c>
      <c r="X76" s="431">
        <v>171065</v>
      </c>
      <c r="Y76" s="431">
        <v>6000</v>
      </c>
      <c r="Z76" s="468">
        <v>2806376</v>
      </c>
      <c r="AA76" s="431">
        <v>0</v>
      </c>
      <c r="AB76" s="431">
        <v>0</v>
      </c>
      <c r="AC76" s="469">
        <v>892429</v>
      </c>
      <c r="AD76" s="434">
        <v>3917</v>
      </c>
      <c r="AE76" s="434">
        <v>1495904</v>
      </c>
      <c r="AF76" s="434">
        <v>0</v>
      </c>
      <c r="AG76" s="434">
        <v>125026</v>
      </c>
      <c r="AH76" s="434">
        <v>390035</v>
      </c>
      <c r="AI76" s="469">
        <v>1527747</v>
      </c>
      <c r="AJ76" s="469">
        <v>107917</v>
      </c>
      <c r="AK76" s="434">
        <v>0</v>
      </c>
      <c r="AL76" s="434">
        <v>1304603</v>
      </c>
      <c r="AM76" s="434">
        <v>0</v>
      </c>
    </row>
    <row r="77" spans="1:39" s="155" customFormat="1" ht="12" x14ac:dyDescent="0.2">
      <c r="A77" s="168">
        <v>23</v>
      </c>
      <c r="B77" s="196">
        <v>57314</v>
      </c>
      <c r="C77" s="559" t="s">
        <v>1254</v>
      </c>
      <c r="D77" s="432">
        <f t="shared" si="13"/>
        <v>13458447</v>
      </c>
      <c r="E77" s="434">
        <v>2483163</v>
      </c>
      <c r="F77" s="434">
        <v>305121</v>
      </c>
      <c r="G77" s="434">
        <v>1164295</v>
      </c>
      <c r="H77" s="434">
        <v>0</v>
      </c>
      <c r="I77" s="434">
        <v>886677</v>
      </c>
      <c r="J77" s="434">
        <v>122220</v>
      </c>
      <c r="K77" s="434">
        <v>296450</v>
      </c>
      <c r="L77" s="434">
        <v>0</v>
      </c>
      <c r="M77" s="434">
        <v>2670290</v>
      </c>
      <c r="N77" s="434">
        <v>6999647</v>
      </c>
      <c r="O77" s="434">
        <v>0</v>
      </c>
      <c r="P77" s="432">
        <f t="shared" si="16"/>
        <v>17394231</v>
      </c>
      <c r="Q77" s="431">
        <v>1222782</v>
      </c>
      <c r="R77" s="431">
        <v>1034809</v>
      </c>
      <c r="S77" s="431">
        <v>15188</v>
      </c>
      <c r="T77" s="431">
        <v>0</v>
      </c>
      <c r="U77" s="431">
        <v>15371</v>
      </c>
      <c r="V77" s="431">
        <v>0</v>
      </c>
      <c r="W77" s="431">
        <v>14506169</v>
      </c>
      <c r="X77" s="431">
        <v>116473</v>
      </c>
      <c r="Y77" s="431">
        <v>21980</v>
      </c>
      <c r="Z77" s="468">
        <v>437762</v>
      </c>
      <c r="AA77" s="431">
        <v>23697</v>
      </c>
      <c r="AB77" s="431">
        <v>0</v>
      </c>
      <c r="AC77" s="469">
        <v>1073661</v>
      </c>
      <c r="AD77" s="434">
        <v>1000</v>
      </c>
      <c r="AE77" s="434">
        <v>792642</v>
      </c>
      <c r="AF77" s="434">
        <v>0</v>
      </c>
      <c r="AG77" s="434">
        <v>297602</v>
      </c>
      <c r="AH77" s="434">
        <v>192509</v>
      </c>
      <c r="AI77" s="469">
        <v>518517</v>
      </c>
      <c r="AJ77" s="469">
        <v>3661034</v>
      </c>
      <c r="AK77" s="434">
        <v>0</v>
      </c>
      <c r="AL77" s="434">
        <v>5339179</v>
      </c>
      <c r="AM77" s="434">
        <v>5518087</v>
      </c>
    </row>
    <row r="78" spans="1:39" s="155" customFormat="1" ht="12" x14ac:dyDescent="0.2">
      <c r="A78" s="168">
        <v>24</v>
      </c>
      <c r="B78" s="196">
        <v>57163</v>
      </c>
      <c r="C78" s="559" t="s">
        <v>1255</v>
      </c>
      <c r="D78" s="432">
        <f t="shared" si="13"/>
        <v>4112900</v>
      </c>
      <c r="E78" s="434">
        <v>1956782</v>
      </c>
      <c r="F78" s="434">
        <v>338200</v>
      </c>
      <c r="G78" s="434">
        <v>1276680</v>
      </c>
      <c r="H78" s="434">
        <v>0</v>
      </c>
      <c r="I78" s="434">
        <v>876216</v>
      </c>
      <c r="J78" s="434">
        <v>122220</v>
      </c>
      <c r="K78" s="434">
        <v>135373</v>
      </c>
      <c r="L78" s="434">
        <v>0</v>
      </c>
      <c r="M78" s="434">
        <v>262249</v>
      </c>
      <c r="N78" s="434">
        <v>760060</v>
      </c>
      <c r="O78" s="434">
        <v>0</v>
      </c>
      <c r="P78" s="432">
        <f t="shared" si="16"/>
        <v>4001472</v>
      </c>
      <c r="Q78" s="431">
        <v>1165300</v>
      </c>
      <c r="R78" s="431">
        <v>795901</v>
      </c>
      <c r="S78" s="431">
        <v>0</v>
      </c>
      <c r="T78" s="431">
        <v>0</v>
      </c>
      <c r="U78" s="431">
        <v>0</v>
      </c>
      <c r="V78" s="431">
        <v>8099</v>
      </c>
      <c r="W78" s="431">
        <v>1461430</v>
      </c>
      <c r="X78" s="431">
        <v>152078</v>
      </c>
      <c r="Y78" s="431">
        <v>12486</v>
      </c>
      <c r="Z78" s="468">
        <v>406178</v>
      </c>
      <c r="AA78" s="431">
        <v>0</v>
      </c>
      <c r="AB78" s="431">
        <v>0</v>
      </c>
      <c r="AC78" s="469">
        <v>697973</v>
      </c>
      <c r="AD78" s="434">
        <v>1550</v>
      </c>
      <c r="AE78" s="434">
        <v>762199</v>
      </c>
      <c r="AF78" s="434">
        <v>0</v>
      </c>
      <c r="AG78" s="434">
        <v>150889</v>
      </c>
      <c r="AH78" s="434">
        <v>240224</v>
      </c>
      <c r="AI78" s="469">
        <v>163461</v>
      </c>
      <c r="AJ78" s="469">
        <v>60095</v>
      </c>
      <c r="AK78" s="434">
        <v>0</v>
      </c>
      <c r="AL78" s="434">
        <v>1629884</v>
      </c>
      <c r="AM78" s="434">
        <v>295197</v>
      </c>
    </row>
    <row r="79" spans="1:39" s="155" customFormat="1" ht="12" x14ac:dyDescent="0.2">
      <c r="A79" s="168">
        <v>25</v>
      </c>
      <c r="B79" s="196">
        <v>57225</v>
      </c>
      <c r="C79" s="559" t="s">
        <v>1256</v>
      </c>
      <c r="D79" s="432">
        <f t="shared" si="13"/>
        <v>7308688</v>
      </c>
      <c r="E79" s="434">
        <v>2132925</v>
      </c>
      <c r="F79" s="434">
        <v>117599</v>
      </c>
      <c r="G79" s="434">
        <v>1483020</v>
      </c>
      <c r="H79" s="434">
        <v>0</v>
      </c>
      <c r="I79" s="434">
        <v>654723</v>
      </c>
      <c r="J79" s="434">
        <v>122222</v>
      </c>
      <c r="K79" s="434">
        <v>147373</v>
      </c>
      <c r="L79" s="434">
        <v>0</v>
      </c>
      <c r="M79" s="434">
        <v>959344</v>
      </c>
      <c r="N79" s="434">
        <v>3287057</v>
      </c>
      <c r="O79" s="434">
        <v>5044</v>
      </c>
      <c r="P79" s="432">
        <f t="shared" si="16"/>
        <v>7345035</v>
      </c>
      <c r="Q79" s="431">
        <v>899304</v>
      </c>
      <c r="R79" s="431">
        <v>1232882</v>
      </c>
      <c r="S79" s="431">
        <v>0</v>
      </c>
      <c r="T79" s="431">
        <v>0</v>
      </c>
      <c r="U79" s="431">
        <v>0</v>
      </c>
      <c r="V79" s="431">
        <v>0</v>
      </c>
      <c r="W79" s="431">
        <v>4104885</v>
      </c>
      <c r="X79" s="431">
        <v>223176</v>
      </c>
      <c r="Y79" s="431">
        <v>22000</v>
      </c>
      <c r="Z79" s="468">
        <v>862788</v>
      </c>
      <c r="AA79" s="431">
        <v>0</v>
      </c>
      <c r="AB79" s="431">
        <v>0</v>
      </c>
      <c r="AC79" s="469">
        <v>964286</v>
      </c>
      <c r="AD79" s="434">
        <v>0</v>
      </c>
      <c r="AE79" s="434">
        <v>806315</v>
      </c>
      <c r="AF79" s="434">
        <v>0</v>
      </c>
      <c r="AG79" s="434">
        <v>685255</v>
      </c>
      <c r="AH79" s="434">
        <v>311219</v>
      </c>
      <c r="AI79" s="469">
        <v>451249</v>
      </c>
      <c r="AJ79" s="469">
        <v>181803</v>
      </c>
      <c r="AK79" s="434">
        <v>0</v>
      </c>
      <c r="AL79" s="434">
        <v>3944908</v>
      </c>
      <c r="AM79" s="434">
        <v>0</v>
      </c>
    </row>
    <row r="80" spans="1:39" s="155" customFormat="1" ht="12" x14ac:dyDescent="0.2">
      <c r="A80" s="168">
        <v>26</v>
      </c>
      <c r="B80" s="196">
        <v>57350</v>
      </c>
      <c r="C80" s="559" t="s">
        <v>1257</v>
      </c>
      <c r="D80" s="432">
        <f t="shared" si="13"/>
        <v>9171174</v>
      </c>
      <c r="E80" s="434">
        <v>2371212</v>
      </c>
      <c r="F80" s="434">
        <v>279563</v>
      </c>
      <c r="G80" s="434">
        <v>1196541</v>
      </c>
      <c r="H80" s="434">
        <v>0</v>
      </c>
      <c r="I80" s="434">
        <v>2322019</v>
      </c>
      <c r="J80" s="434">
        <v>122222</v>
      </c>
      <c r="K80" s="434">
        <v>995373</v>
      </c>
      <c r="L80" s="434">
        <v>0</v>
      </c>
      <c r="M80" s="434">
        <v>1809347</v>
      </c>
      <c r="N80" s="434">
        <v>1551001</v>
      </c>
      <c r="O80" s="434">
        <v>0</v>
      </c>
      <c r="P80" s="432">
        <f t="shared" si="16"/>
        <v>10881377</v>
      </c>
      <c r="Q80" s="431">
        <v>2723184</v>
      </c>
      <c r="R80" s="431">
        <v>1734429</v>
      </c>
      <c r="S80" s="431">
        <v>0</v>
      </c>
      <c r="T80" s="431">
        <v>0</v>
      </c>
      <c r="U80" s="431">
        <v>33975</v>
      </c>
      <c r="V80" s="431">
        <v>0</v>
      </c>
      <c r="W80" s="431">
        <v>1037521</v>
      </c>
      <c r="X80" s="431">
        <v>393114</v>
      </c>
      <c r="Y80" s="431">
        <v>24000</v>
      </c>
      <c r="Z80" s="468">
        <v>4935154</v>
      </c>
      <c r="AA80" s="431">
        <v>0</v>
      </c>
      <c r="AB80" s="431">
        <v>0</v>
      </c>
      <c r="AC80" s="469">
        <v>952768</v>
      </c>
      <c r="AD80" s="434">
        <v>96755</v>
      </c>
      <c r="AE80" s="434">
        <v>2386019</v>
      </c>
      <c r="AF80" s="434">
        <v>56272</v>
      </c>
      <c r="AG80" s="434">
        <v>110243</v>
      </c>
      <c r="AH80" s="434">
        <v>632572</v>
      </c>
      <c r="AI80" s="469">
        <v>1030073</v>
      </c>
      <c r="AJ80" s="469">
        <v>100000</v>
      </c>
      <c r="AK80" s="434">
        <v>0</v>
      </c>
      <c r="AL80" s="434">
        <v>5516675</v>
      </c>
      <c r="AM80" s="434">
        <v>0</v>
      </c>
    </row>
    <row r="81" spans="1:39" s="155" customFormat="1" ht="12" x14ac:dyDescent="0.2">
      <c r="A81" s="168">
        <v>27</v>
      </c>
      <c r="B81" s="196">
        <v>57449</v>
      </c>
      <c r="C81" s="559" t="s">
        <v>1258</v>
      </c>
      <c r="D81" s="432">
        <f t="shared" si="13"/>
        <v>3884508</v>
      </c>
      <c r="E81" s="434">
        <v>2596699</v>
      </c>
      <c r="F81" s="434">
        <v>68781</v>
      </c>
      <c r="G81" s="434">
        <v>1926878</v>
      </c>
      <c r="H81" s="434">
        <v>0</v>
      </c>
      <c r="I81" s="434">
        <v>666744</v>
      </c>
      <c r="J81" s="434">
        <v>0</v>
      </c>
      <c r="K81" s="434">
        <v>180373</v>
      </c>
      <c r="L81" s="434">
        <v>0</v>
      </c>
      <c r="M81" s="434">
        <v>136455</v>
      </c>
      <c r="N81" s="434">
        <v>304237</v>
      </c>
      <c r="O81" s="434">
        <v>0</v>
      </c>
      <c r="P81" s="432">
        <f t="shared" si="16"/>
        <v>4089882</v>
      </c>
      <c r="Q81" s="431">
        <v>986096</v>
      </c>
      <c r="R81" s="431">
        <v>724672</v>
      </c>
      <c r="S81" s="431">
        <v>0</v>
      </c>
      <c r="T81" s="431">
        <v>0</v>
      </c>
      <c r="U81" s="431">
        <v>6424</v>
      </c>
      <c r="V81" s="431">
        <v>1870</v>
      </c>
      <c r="W81" s="431">
        <v>586998</v>
      </c>
      <c r="X81" s="431">
        <v>120714</v>
      </c>
      <c r="Y81" s="431">
        <v>0</v>
      </c>
      <c r="Z81" s="468">
        <v>1410057</v>
      </c>
      <c r="AA81" s="431">
        <v>253051</v>
      </c>
      <c r="AB81" s="431">
        <v>0</v>
      </c>
      <c r="AC81" s="469">
        <v>967133</v>
      </c>
      <c r="AD81" s="434">
        <v>20552</v>
      </c>
      <c r="AE81" s="434">
        <v>505209</v>
      </c>
      <c r="AF81" s="434">
        <v>0</v>
      </c>
      <c r="AG81" s="434">
        <v>616099</v>
      </c>
      <c r="AH81" s="434">
        <v>309134</v>
      </c>
      <c r="AI81" s="469">
        <v>1101092</v>
      </c>
      <c r="AJ81" s="469">
        <v>97454</v>
      </c>
      <c r="AK81" s="434">
        <v>0</v>
      </c>
      <c r="AL81" s="434">
        <v>453455</v>
      </c>
      <c r="AM81" s="434">
        <v>19754</v>
      </c>
    </row>
    <row r="82" spans="1:39" s="155" customFormat="1" ht="12" x14ac:dyDescent="0.2">
      <c r="A82" s="168">
        <v>28</v>
      </c>
      <c r="B82" s="196">
        <v>55062</v>
      </c>
      <c r="C82" s="559" t="s">
        <v>1259</v>
      </c>
      <c r="D82" s="432">
        <f t="shared" si="13"/>
        <v>6327081</v>
      </c>
      <c r="E82" s="434">
        <v>2168127</v>
      </c>
      <c r="F82" s="434">
        <v>234217</v>
      </c>
      <c r="G82" s="434">
        <v>1504571</v>
      </c>
      <c r="H82" s="434">
        <v>0</v>
      </c>
      <c r="I82" s="434">
        <v>1291642</v>
      </c>
      <c r="J82" s="434">
        <v>0</v>
      </c>
      <c r="K82" s="434">
        <v>362373</v>
      </c>
      <c r="L82" s="434">
        <v>0</v>
      </c>
      <c r="M82" s="434">
        <v>264102</v>
      </c>
      <c r="N82" s="434">
        <v>2240837</v>
      </c>
      <c r="O82" s="434">
        <v>0</v>
      </c>
      <c r="P82" s="432">
        <f t="shared" si="16"/>
        <v>4033920</v>
      </c>
      <c r="Q82" s="431">
        <v>1564430</v>
      </c>
      <c r="R82" s="431">
        <v>818412</v>
      </c>
      <c r="S82" s="431">
        <v>0</v>
      </c>
      <c r="T82" s="431">
        <v>0</v>
      </c>
      <c r="U82" s="431">
        <v>9582</v>
      </c>
      <c r="V82" s="431">
        <v>0</v>
      </c>
      <c r="W82" s="431">
        <v>512255</v>
      </c>
      <c r="X82" s="431">
        <v>185867</v>
      </c>
      <c r="Y82" s="431">
        <v>7570</v>
      </c>
      <c r="Z82" s="468">
        <v>938398</v>
      </c>
      <c r="AA82" s="431">
        <v>0</v>
      </c>
      <c r="AB82" s="431">
        <v>-2594</v>
      </c>
      <c r="AC82" s="469">
        <v>891060</v>
      </c>
      <c r="AD82" s="434">
        <v>0</v>
      </c>
      <c r="AE82" s="434">
        <v>988247</v>
      </c>
      <c r="AF82" s="434">
        <v>0</v>
      </c>
      <c r="AG82" s="434">
        <v>1257560</v>
      </c>
      <c r="AH82" s="434">
        <v>371015</v>
      </c>
      <c r="AI82" s="469">
        <v>74544</v>
      </c>
      <c r="AJ82" s="469">
        <v>107321</v>
      </c>
      <c r="AK82" s="434">
        <v>0</v>
      </c>
      <c r="AL82" s="434">
        <v>100920</v>
      </c>
      <c r="AM82" s="434">
        <v>243253</v>
      </c>
    </row>
    <row r="83" spans="1:39" s="155" customFormat="1" ht="12" x14ac:dyDescent="0.2">
      <c r="A83" s="168">
        <v>29</v>
      </c>
      <c r="B83" s="196">
        <v>57546</v>
      </c>
      <c r="C83" s="559" t="s">
        <v>1260</v>
      </c>
      <c r="D83" s="432">
        <f t="shared" si="13"/>
        <v>5314229</v>
      </c>
      <c r="E83" s="434">
        <v>3024118</v>
      </c>
      <c r="F83" s="434">
        <v>124216</v>
      </c>
      <c r="G83" s="434">
        <v>2250135</v>
      </c>
      <c r="H83" s="434">
        <v>0</v>
      </c>
      <c r="I83" s="434">
        <v>819098</v>
      </c>
      <c r="J83" s="434">
        <v>0</v>
      </c>
      <c r="K83" s="434">
        <v>153000</v>
      </c>
      <c r="L83" s="434">
        <v>0</v>
      </c>
      <c r="M83" s="434">
        <v>892787</v>
      </c>
      <c r="N83" s="434">
        <v>425226</v>
      </c>
      <c r="O83" s="434">
        <v>0</v>
      </c>
      <c r="P83" s="432">
        <f t="shared" si="16"/>
        <v>3887714</v>
      </c>
      <c r="Q83" s="431">
        <v>968803</v>
      </c>
      <c r="R83" s="431">
        <v>857520</v>
      </c>
      <c r="S83" s="431">
        <v>18100</v>
      </c>
      <c r="T83" s="431">
        <v>0</v>
      </c>
      <c r="U83" s="431">
        <v>0</v>
      </c>
      <c r="V83" s="431">
        <v>0</v>
      </c>
      <c r="W83" s="431">
        <v>412137</v>
      </c>
      <c r="X83" s="431">
        <v>137909</v>
      </c>
      <c r="Y83" s="431">
        <v>1680</v>
      </c>
      <c r="Z83" s="468">
        <v>498997</v>
      </c>
      <c r="AA83" s="431">
        <v>1000000</v>
      </c>
      <c r="AB83" s="431">
        <v>-7432</v>
      </c>
      <c r="AC83" s="469">
        <v>749867</v>
      </c>
      <c r="AD83" s="434">
        <v>0</v>
      </c>
      <c r="AE83" s="434">
        <v>1352622</v>
      </c>
      <c r="AF83" s="434">
        <v>0</v>
      </c>
      <c r="AG83" s="434">
        <v>155511</v>
      </c>
      <c r="AH83" s="434">
        <v>243789</v>
      </c>
      <c r="AI83" s="469">
        <v>1343413</v>
      </c>
      <c r="AJ83" s="469">
        <v>1512</v>
      </c>
      <c r="AK83" s="434">
        <v>0</v>
      </c>
      <c r="AL83" s="434">
        <v>41000</v>
      </c>
      <c r="AM83" s="434">
        <v>0</v>
      </c>
    </row>
    <row r="84" spans="1:39" s="155" customFormat="1" ht="12" x14ac:dyDescent="0.2">
      <c r="A84" s="168">
        <v>30</v>
      </c>
      <c r="B84" s="196">
        <v>57582</v>
      </c>
      <c r="C84" s="559" t="s">
        <v>1261</v>
      </c>
      <c r="D84" s="432">
        <f t="shared" si="13"/>
        <v>5205070</v>
      </c>
      <c r="E84" s="434">
        <v>2534093</v>
      </c>
      <c r="F84" s="434">
        <v>508797</v>
      </c>
      <c r="G84" s="434">
        <v>830890</v>
      </c>
      <c r="H84" s="434">
        <v>0</v>
      </c>
      <c r="I84" s="434">
        <v>1538150</v>
      </c>
      <c r="J84" s="434">
        <v>122220</v>
      </c>
      <c r="K84" s="434">
        <v>1006370</v>
      </c>
      <c r="L84" s="434">
        <v>0</v>
      </c>
      <c r="M84" s="434">
        <v>4237</v>
      </c>
      <c r="N84" s="434">
        <v>0</v>
      </c>
      <c r="O84" s="434">
        <v>0</v>
      </c>
      <c r="P84" s="432">
        <f t="shared" si="16"/>
        <v>4748610</v>
      </c>
      <c r="Q84" s="431">
        <v>1866213</v>
      </c>
      <c r="R84" s="431">
        <v>1144716</v>
      </c>
      <c r="S84" s="431">
        <v>0</v>
      </c>
      <c r="T84" s="431">
        <v>84375</v>
      </c>
      <c r="U84" s="431">
        <v>63584</v>
      </c>
      <c r="V84" s="431">
        <v>0</v>
      </c>
      <c r="W84" s="431">
        <v>0</v>
      </c>
      <c r="X84" s="431">
        <v>200765</v>
      </c>
      <c r="Y84" s="431">
        <v>35285</v>
      </c>
      <c r="Z84" s="468">
        <v>1353672</v>
      </c>
      <c r="AA84" s="431">
        <v>0</v>
      </c>
      <c r="AB84" s="431">
        <v>0</v>
      </c>
      <c r="AC84" s="469">
        <v>929651</v>
      </c>
      <c r="AD84" s="434">
        <v>0</v>
      </c>
      <c r="AE84" s="434">
        <v>1342562</v>
      </c>
      <c r="AF84" s="434">
        <v>0</v>
      </c>
      <c r="AG84" s="434">
        <v>118257</v>
      </c>
      <c r="AH84" s="434">
        <v>410756</v>
      </c>
      <c r="AI84" s="469">
        <v>1157212</v>
      </c>
      <c r="AJ84" s="469">
        <v>6070</v>
      </c>
      <c r="AK84" s="434">
        <v>0</v>
      </c>
      <c r="AL84" s="434">
        <v>783848</v>
      </c>
      <c r="AM84" s="434">
        <v>254</v>
      </c>
    </row>
    <row r="85" spans="1:39" s="155" customFormat="1" ht="12" x14ac:dyDescent="0.2">
      <c r="A85" s="168">
        <v>31</v>
      </c>
      <c r="B85" s="196">
        <v>57644</v>
      </c>
      <c r="C85" s="559" t="s">
        <v>1262</v>
      </c>
      <c r="D85" s="432">
        <f t="shared" si="13"/>
        <v>6653635</v>
      </c>
      <c r="E85" s="434">
        <v>2693333</v>
      </c>
      <c r="F85" s="434">
        <v>100722</v>
      </c>
      <c r="G85" s="434">
        <v>2255575</v>
      </c>
      <c r="H85" s="434">
        <v>0</v>
      </c>
      <c r="I85" s="434">
        <v>1007901</v>
      </c>
      <c r="J85" s="434">
        <v>0</v>
      </c>
      <c r="K85" s="434">
        <v>233373</v>
      </c>
      <c r="L85" s="434">
        <v>0</v>
      </c>
      <c r="M85" s="434">
        <v>929935</v>
      </c>
      <c r="N85" s="434">
        <v>1789093</v>
      </c>
      <c r="O85" s="434">
        <v>0</v>
      </c>
      <c r="P85" s="432">
        <f t="shared" si="16"/>
        <v>4609051</v>
      </c>
      <c r="Q85" s="431">
        <v>1265354</v>
      </c>
      <c r="R85" s="431">
        <v>762168</v>
      </c>
      <c r="S85" s="431">
        <v>0</v>
      </c>
      <c r="T85" s="431">
        <v>0</v>
      </c>
      <c r="U85" s="431">
        <v>79203</v>
      </c>
      <c r="V85" s="431">
        <v>0</v>
      </c>
      <c r="W85" s="431">
        <v>369929</v>
      </c>
      <c r="X85" s="431">
        <v>147709</v>
      </c>
      <c r="Y85" s="431">
        <v>16425</v>
      </c>
      <c r="Z85" s="468">
        <v>1968263</v>
      </c>
      <c r="AA85" s="431">
        <v>0</v>
      </c>
      <c r="AB85" s="431">
        <v>0</v>
      </c>
      <c r="AC85" s="469">
        <v>649326</v>
      </c>
      <c r="AD85" s="434">
        <v>256179</v>
      </c>
      <c r="AE85" s="434">
        <v>927430</v>
      </c>
      <c r="AF85" s="434">
        <v>34963</v>
      </c>
      <c r="AG85" s="434">
        <v>199874</v>
      </c>
      <c r="AH85" s="434">
        <v>290162</v>
      </c>
      <c r="AI85" s="469">
        <v>695467</v>
      </c>
      <c r="AJ85" s="469">
        <v>913086</v>
      </c>
      <c r="AK85" s="434">
        <v>0</v>
      </c>
      <c r="AL85" s="434">
        <v>580581</v>
      </c>
      <c r="AM85" s="434">
        <v>61983</v>
      </c>
    </row>
    <row r="86" spans="1:39" s="155" customFormat="1" ht="12" x14ac:dyDescent="0.2">
      <c r="A86" s="168">
        <v>32</v>
      </c>
      <c r="B86" s="196">
        <v>57706</v>
      </c>
      <c r="C86" s="559" t="s">
        <v>1263</v>
      </c>
      <c r="D86" s="432">
        <f t="shared" si="13"/>
        <v>40792141</v>
      </c>
      <c r="E86" s="434">
        <v>27062012</v>
      </c>
      <c r="F86" s="434">
        <v>9800815</v>
      </c>
      <c r="G86" s="434">
        <v>3258815</v>
      </c>
      <c r="H86" s="434">
        <v>0</v>
      </c>
      <c r="I86" s="434">
        <v>6090222</v>
      </c>
      <c r="J86" s="434">
        <v>122222</v>
      </c>
      <c r="K86" s="434">
        <v>3256373</v>
      </c>
      <c r="L86" s="434">
        <v>0</v>
      </c>
      <c r="M86" s="434">
        <v>244929</v>
      </c>
      <c r="N86" s="434">
        <v>4016383</v>
      </c>
      <c r="O86" s="434">
        <v>0</v>
      </c>
      <c r="P86" s="432">
        <f t="shared" si="16"/>
        <v>47384400</v>
      </c>
      <c r="Q86" s="431">
        <v>7381379</v>
      </c>
      <c r="R86" s="431">
        <v>6308868</v>
      </c>
      <c r="S86" s="431">
        <v>0</v>
      </c>
      <c r="T86" s="431">
        <v>1640875</v>
      </c>
      <c r="U86" s="431">
        <v>112011</v>
      </c>
      <c r="V86" s="431">
        <v>0</v>
      </c>
      <c r="W86" s="431">
        <v>8320700</v>
      </c>
      <c r="X86" s="431">
        <v>1402974</v>
      </c>
      <c r="Y86" s="431">
        <v>518079</v>
      </c>
      <c r="Z86" s="468">
        <v>21762933</v>
      </c>
      <c r="AA86" s="431">
        <v>0</v>
      </c>
      <c r="AB86" s="431">
        <v>-63419</v>
      </c>
      <c r="AC86" s="469">
        <v>10802316</v>
      </c>
      <c r="AD86" s="434">
        <v>2755450</v>
      </c>
      <c r="AE86" s="434">
        <v>8751837</v>
      </c>
      <c r="AF86" s="434">
        <v>145408</v>
      </c>
      <c r="AG86" s="434">
        <v>1300667</v>
      </c>
      <c r="AH86" s="434">
        <v>3508915</v>
      </c>
      <c r="AI86" s="469">
        <v>3405637</v>
      </c>
      <c r="AJ86" s="469">
        <v>1409636</v>
      </c>
      <c r="AK86" s="434">
        <v>0</v>
      </c>
      <c r="AL86" s="434">
        <v>15304534</v>
      </c>
      <c r="AM86" s="434">
        <v>0</v>
      </c>
    </row>
    <row r="87" spans="1:39" s="155" customFormat="1" ht="12" x14ac:dyDescent="0.2">
      <c r="A87" s="168">
        <v>33</v>
      </c>
      <c r="B87" s="196">
        <v>57742</v>
      </c>
      <c r="C87" s="559" t="s">
        <v>1264</v>
      </c>
      <c r="D87" s="432">
        <f t="shared" si="13"/>
        <v>7837836</v>
      </c>
      <c r="E87" s="434">
        <v>2464127</v>
      </c>
      <c r="F87" s="434">
        <v>191648</v>
      </c>
      <c r="G87" s="434">
        <v>1705450</v>
      </c>
      <c r="H87" s="434">
        <v>0</v>
      </c>
      <c r="I87" s="434">
        <v>1881864</v>
      </c>
      <c r="J87" s="434">
        <v>122222</v>
      </c>
      <c r="K87" s="434">
        <v>817373</v>
      </c>
      <c r="L87" s="434">
        <v>0</v>
      </c>
      <c r="M87" s="434">
        <v>2250642</v>
      </c>
      <c r="N87" s="434">
        <v>273522</v>
      </c>
      <c r="O87" s="434">
        <v>28086</v>
      </c>
      <c r="P87" s="432">
        <f t="shared" si="16"/>
        <v>7491531</v>
      </c>
      <c r="Q87" s="431">
        <v>2277175</v>
      </c>
      <c r="R87" s="431">
        <v>1315802</v>
      </c>
      <c r="S87" s="431">
        <v>0</v>
      </c>
      <c r="T87" s="431">
        <v>0</v>
      </c>
      <c r="U87" s="431">
        <v>0</v>
      </c>
      <c r="V87" s="431">
        <v>0</v>
      </c>
      <c r="W87" s="431">
        <v>0</v>
      </c>
      <c r="X87" s="431">
        <v>234682</v>
      </c>
      <c r="Y87" s="431">
        <v>10341</v>
      </c>
      <c r="Z87" s="468">
        <v>3659707</v>
      </c>
      <c r="AA87" s="431">
        <v>0</v>
      </c>
      <c r="AB87" s="431">
        <v>-6176</v>
      </c>
      <c r="AC87" s="469">
        <v>1278564</v>
      </c>
      <c r="AD87" s="434">
        <v>0</v>
      </c>
      <c r="AE87" s="434">
        <v>1892092</v>
      </c>
      <c r="AF87" s="434">
        <v>0</v>
      </c>
      <c r="AG87" s="434">
        <v>284844</v>
      </c>
      <c r="AH87" s="434">
        <v>556531</v>
      </c>
      <c r="AI87" s="469">
        <v>2977756</v>
      </c>
      <c r="AJ87" s="469">
        <v>0</v>
      </c>
      <c r="AK87" s="434">
        <v>0</v>
      </c>
      <c r="AL87" s="434">
        <v>330689</v>
      </c>
      <c r="AM87" s="434">
        <v>171055</v>
      </c>
    </row>
    <row r="88" spans="1:39" s="155" customFormat="1" ht="12" x14ac:dyDescent="0.2">
      <c r="A88" s="168">
        <v>34</v>
      </c>
      <c r="B88" s="196">
        <v>57831</v>
      </c>
      <c r="C88" s="559" t="s">
        <v>1265</v>
      </c>
      <c r="D88" s="432">
        <f t="shared" si="13"/>
        <v>5596099</v>
      </c>
      <c r="E88" s="434">
        <v>2468728</v>
      </c>
      <c r="F88" s="434">
        <v>91433</v>
      </c>
      <c r="G88" s="434">
        <v>1906525</v>
      </c>
      <c r="H88" s="434">
        <v>0</v>
      </c>
      <c r="I88" s="434">
        <v>857882</v>
      </c>
      <c r="J88" s="434">
        <v>122200</v>
      </c>
      <c r="K88" s="434">
        <v>170370</v>
      </c>
      <c r="L88" s="434">
        <v>0</v>
      </c>
      <c r="M88" s="434">
        <v>182758</v>
      </c>
      <c r="N88" s="434">
        <v>1794161</v>
      </c>
      <c r="O88" s="434">
        <v>0</v>
      </c>
      <c r="P88" s="432">
        <f t="shared" si="16"/>
        <v>3501907</v>
      </c>
      <c r="Q88" s="431">
        <v>1168779</v>
      </c>
      <c r="R88" s="431">
        <v>1051051</v>
      </c>
      <c r="S88" s="431">
        <v>0</v>
      </c>
      <c r="T88" s="431">
        <v>0</v>
      </c>
      <c r="U88" s="431">
        <v>17005</v>
      </c>
      <c r="V88" s="431">
        <v>0</v>
      </c>
      <c r="W88" s="431">
        <v>220106</v>
      </c>
      <c r="X88" s="431">
        <v>125186</v>
      </c>
      <c r="Y88" s="431">
        <v>5910</v>
      </c>
      <c r="Z88" s="468">
        <v>916379</v>
      </c>
      <c r="AA88" s="431">
        <v>0</v>
      </c>
      <c r="AB88" s="431">
        <v>-2509</v>
      </c>
      <c r="AC88" s="469">
        <v>957051</v>
      </c>
      <c r="AD88" s="434">
        <v>0</v>
      </c>
      <c r="AE88" s="434">
        <v>825476</v>
      </c>
      <c r="AF88" s="434">
        <v>0</v>
      </c>
      <c r="AG88" s="434">
        <v>219560</v>
      </c>
      <c r="AH88" s="434">
        <v>226513</v>
      </c>
      <c r="AI88" s="469">
        <v>761741</v>
      </c>
      <c r="AJ88" s="469">
        <v>90748</v>
      </c>
      <c r="AK88" s="434">
        <v>0</v>
      </c>
      <c r="AL88" s="434">
        <v>410919</v>
      </c>
      <c r="AM88" s="434">
        <v>9899</v>
      </c>
    </row>
    <row r="89" spans="1:39" s="155" customFormat="1" ht="12" x14ac:dyDescent="0.2">
      <c r="A89" s="168">
        <v>35</v>
      </c>
      <c r="B89" s="196">
        <v>57902</v>
      </c>
      <c r="C89" s="559" t="s">
        <v>1266</v>
      </c>
      <c r="D89" s="432">
        <f t="shared" si="13"/>
        <v>20590110</v>
      </c>
      <c r="E89" s="434">
        <v>10050974</v>
      </c>
      <c r="F89" s="434">
        <v>4368114</v>
      </c>
      <c r="G89" s="434">
        <v>1600635</v>
      </c>
      <c r="H89" s="434">
        <v>0</v>
      </c>
      <c r="I89" s="434">
        <v>4518803</v>
      </c>
      <c r="J89" s="434">
        <v>0</v>
      </c>
      <c r="K89" s="434">
        <v>1697000</v>
      </c>
      <c r="L89" s="434">
        <v>0</v>
      </c>
      <c r="M89" s="434">
        <v>1380238</v>
      </c>
      <c r="N89" s="434">
        <v>2940495</v>
      </c>
      <c r="O89" s="434">
        <v>2600</v>
      </c>
      <c r="P89" s="432">
        <f t="shared" si="16"/>
        <v>19927731</v>
      </c>
      <c r="Q89" s="431">
        <v>4626228</v>
      </c>
      <c r="R89" s="431">
        <v>3276245</v>
      </c>
      <c r="S89" s="431">
        <v>0</v>
      </c>
      <c r="T89" s="431">
        <v>0</v>
      </c>
      <c r="U89" s="431">
        <v>0</v>
      </c>
      <c r="V89" s="431">
        <v>0</v>
      </c>
      <c r="W89" s="431">
        <v>6672800</v>
      </c>
      <c r="X89" s="431">
        <v>618497</v>
      </c>
      <c r="Y89" s="431">
        <v>290700</v>
      </c>
      <c r="Z89" s="468">
        <v>4450848</v>
      </c>
      <c r="AA89" s="431">
        <v>0</v>
      </c>
      <c r="AB89" s="431">
        <v>-7587</v>
      </c>
      <c r="AC89" s="469">
        <v>1649166</v>
      </c>
      <c r="AD89" s="434">
        <v>0</v>
      </c>
      <c r="AE89" s="434">
        <v>4668036</v>
      </c>
      <c r="AF89" s="434">
        <v>0</v>
      </c>
      <c r="AG89" s="434">
        <v>873506</v>
      </c>
      <c r="AH89" s="434">
        <v>977209</v>
      </c>
      <c r="AI89" s="469">
        <v>1160786</v>
      </c>
      <c r="AJ89" s="469">
        <v>703988</v>
      </c>
      <c r="AK89" s="434">
        <v>0</v>
      </c>
      <c r="AL89" s="434">
        <v>9894638</v>
      </c>
      <c r="AM89" s="434">
        <v>402</v>
      </c>
    </row>
    <row r="90" spans="1:39" s="155" customFormat="1" ht="12" x14ac:dyDescent="0.2">
      <c r="A90" s="168">
        <v>36</v>
      </c>
      <c r="B90" s="196">
        <v>57948</v>
      </c>
      <c r="C90" s="559" t="s">
        <v>1267</v>
      </c>
      <c r="D90" s="432">
        <f t="shared" si="13"/>
        <v>4648152</v>
      </c>
      <c r="E90" s="434">
        <v>2291720</v>
      </c>
      <c r="F90" s="434">
        <v>184628</v>
      </c>
      <c r="G90" s="434">
        <v>1340365</v>
      </c>
      <c r="H90" s="434">
        <v>0</v>
      </c>
      <c r="I90" s="434">
        <v>1024247</v>
      </c>
      <c r="J90" s="434">
        <v>122222</v>
      </c>
      <c r="K90" s="434">
        <v>340373</v>
      </c>
      <c r="L90" s="434">
        <v>0</v>
      </c>
      <c r="M90" s="434">
        <v>162904</v>
      </c>
      <c r="N90" s="434">
        <v>457785</v>
      </c>
      <c r="O90" s="434">
        <v>248901</v>
      </c>
      <c r="P90" s="432">
        <f t="shared" si="16"/>
        <v>4624096</v>
      </c>
      <c r="Q90" s="431">
        <v>1288467</v>
      </c>
      <c r="R90" s="431">
        <v>1461990</v>
      </c>
      <c r="S90" s="431">
        <v>0</v>
      </c>
      <c r="T90" s="431">
        <v>0</v>
      </c>
      <c r="U90" s="431">
        <v>10000</v>
      </c>
      <c r="V90" s="431">
        <v>0</v>
      </c>
      <c r="W90" s="431">
        <v>527799</v>
      </c>
      <c r="X90" s="431">
        <v>197961</v>
      </c>
      <c r="Y90" s="431">
        <v>112635</v>
      </c>
      <c r="Z90" s="468">
        <v>1025244</v>
      </c>
      <c r="AA90" s="431">
        <v>0</v>
      </c>
      <c r="AB90" s="431">
        <v>0</v>
      </c>
      <c r="AC90" s="469">
        <v>1078530</v>
      </c>
      <c r="AD90" s="434">
        <v>4467</v>
      </c>
      <c r="AE90" s="434">
        <v>931026</v>
      </c>
      <c r="AF90" s="434">
        <v>0</v>
      </c>
      <c r="AG90" s="434">
        <v>1097324</v>
      </c>
      <c r="AH90" s="434">
        <v>293734</v>
      </c>
      <c r="AI90" s="469">
        <v>313796</v>
      </c>
      <c r="AJ90" s="469">
        <v>181871</v>
      </c>
      <c r="AK90" s="434">
        <v>0</v>
      </c>
      <c r="AL90" s="434">
        <v>723348</v>
      </c>
      <c r="AM90" s="434">
        <v>0</v>
      </c>
    </row>
    <row r="91" spans="1:39" s="155" customFormat="1" ht="12" x14ac:dyDescent="0.2">
      <c r="A91" s="168">
        <v>37</v>
      </c>
      <c r="B91" s="196">
        <v>58008</v>
      </c>
      <c r="C91" s="559" t="s">
        <v>1268</v>
      </c>
      <c r="D91" s="432">
        <f t="shared" si="13"/>
        <v>8014933</v>
      </c>
      <c r="E91" s="434">
        <v>2302320</v>
      </c>
      <c r="F91" s="434">
        <v>268115</v>
      </c>
      <c r="G91" s="434">
        <v>1355473</v>
      </c>
      <c r="H91" s="434">
        <v>0</v>
      </c>
      <c r="I91" s="434">
        <v>1603066</v>
      </c>
      <c r="J91" s="434">
        <v>122220</v>
      </c>
      <c r="K91" s="434">
        <v>766373</v>
      </c>
      <c r="L91" s="434">
        <v>0</v>
      </c>
      <c r="M91" s="434">
        <v>1991461</v>
      </c>
      <c r="N91" s="434">
        <v>1229493</v>
      </c>
      <c r="O91" s="434">
        <v>0</v>
      </c>
      <c r="P91" s="432">
        <f t="shared" si="16"/>
        <v>7427691</v>
      </c>
      <c r="Q91" s="431">
        <v>1842064</v>
      </c>
      <c r="R91" s="431">
        <v>927687</v>
      </c>
      <c r="S91" s="431">
        <v>0</v>
      </c>
      <c r="T91" s="431">
        <v>0</v>
      </c>
      <c r="U91" s="431">
        <v>4768</v>
      </c>
      <c r="V91" s="431">
        <v>99957</v>
      </c>
      <c r="W91" s="431">
        <v>2438873</v>
      </c>
      <c r="X91" s="431">
        <v>380812</v>
      </c>
      <c r="Y91" s="431">
        <v>0</v>
      </c>
      <c r="Z91" s="468">
        <v>1743561</v>
      </c>
      <c r="AA91" s="431">
        <v>0</v>
      </c>
      <c r="AB91" s="431">
        <v>-10031</v>
      </c>
      <c r="AC91" s="469">
        <v>1091938</v>
      </c>
      <c r="AD91" s="434">
        <v>490546</v>
      </c>
      <c r="AE91" s="434">
        <v>1250256</v>
      </c>
      <c r="AF91" s="434">
        <v>65273</v>
      </c>
      <c r="AG91" s="434">
        <v>96093</v>
      </c>
      <c r="AH91" s="434">
        <v>633539</v>
      </c>
      <c r="AI91" s="469">
        <v>235225</v>
      </c>
      <c r="AJ91" s="469">
        <v>0</v>
      </c>
      <c r="AK91" s="434">
        <v>0</v>
      </c>
      <c r="AL91" s="434">
        <v>3564821</v>
      </c>
      <c r="AM91" s="434">
        <v>0</v>
      </c>
    </row>
    <row r="92" spans="1:39" s="155" customFormat="1" ht="12" x14ac:dyDescent="0.2">
      <c r="A92" s="168">
        <v>38</v>
      </c>
      <c r="B92" s="196">
        <v>58142</v>
      </c>
      <c r="C92" s="559" t="s">
        <v>1269</v>
      </c>
      <c r="D92" s="432">
        <f t="shared" si="13"/>
        <v>9858836</v>
      </c>
      <c r="E92" s="434">
        <v>4257559</v>
      </c>
      <c r="F92" s="434">
        <v>868485</v>
      </c>
      <c r="G92" s="434">
        <v>1720917</v>
      </c>
      <c r="H92" s="434">
        <v>0</v>
      </c>
      <c r="I92" s="434">
        <v>2082964</v>
      </c>
      <c r="J92" s="434">
        <v>100000</v>
      </c>
      <c r="K92" s="434">
        <v>1121432</v>
      </c>
      <c r="L92" s="434">
        <v>0</v>
      </c>
      <c r="M92" s="434">
        <v>1836264</v>
      </c>
      <c r="N92" s="434">
        <v>460617</v>
      </c>
      <c r="O92" s="434">
        <v>0</v>
      </c>
      <c r="P92" s="432">
        <f t="shared" si="16"/>
        <v>7861080</v>
      </c>
      <c r="Q92" s="431">
        <v>2352793</v>
      </c>
      <c r="R92" s="431">
        <v>1274173</v>
      </c>
      <c r="S92" s="431">
        <v>0</v>
      </c>
      <c r="T92" s="431">
        <v>0</v>
      </c>
      <c r="U92" s="431">
        <v>12060</v>
      </c>
      <c r="V92" s="431">
        <v>0</v>
      </c>
      <c r="W92" s="431">
        <v>517576</v>
      </c>
      <c r="X92" s="431">
        <v>329347</v>
      </c>
      <c r="Y92" s="431">
        <v>78797</v>
      </c>
      <c r="Z92" s="468">
        <v>3300245</v>
      </c>
      <c r="AA92" s="431">
        <v>0</v>
      </c>
      <c r="AB92" s="431">
        <v>-3911</v>
      </c>
      <c r="AC92" s="469">
        <v>1854002</v>
      </c>
      <c r="AD92" s="434">
        <v>105086</v>
      </c>
      <c r="AE92" s="434">
        <v>1772160</v>
      </c>
      <c r="AF92" s="434">
        <v>0</v>
      </c>
      <c r="AG92" s="434">
        <v>924752</v>
      </c>
      <c r="AH92" s="434">
        <v>814682</v>
      </c>
      <c r="AI92" s="469">
        <v>340088</v>
      </c>
      <c r="AJ92" s="469">
        <v>1700272</v>
      </c>
      <c r="AK92" s="434">
        <v>0</v>
      </c>
      <c r="AL92" s="434">
        <v>269465</v>
      </c>
      <c r="AM92" s="434">
        <v>80573</v>
      </c>
    </row>
    <row r="93" spans="1:39" s="155" customFormat="1" ht="12" x14ac:dyDescent="0.2">
      <c r="A93" s="168">
        <v>39</v>
      </c>
      <c r="B93" s="196">
        <v>58204</v>
      </c>
      <c r="C93" s="559" t="s">
        <v>1270</v>
      </c>
      <c r="D93" s="432">
        <f t="shared" si="13"/>
        <v>2650974</v>
      </c>
      <c r="E93" s="434">
        <v>1563834</v>
      </c>
      <c r="F93" s="434">
        <v>114900</v>
      </c>
      <c r="G93" s="434">
        <v>1134290</v>
      </c>
      <c r="H93" s="434">
        <v>0</v>
      </c>
      <c r="I93" s="434">
        <v>713640</v>
      </c>
      <c r="J93" s="434">
        <v>149660</v>
      </c>
      <c r="K93" s="434">
        <v>150373</v>
      </c>
      <c r="L93" s="434">
        <v>0</v>
      </c>
      <c r="M93" s="434">
        <v>73467</v>
      </c>
      <c r="N93" s="434">
        <v>0</v>
      </c>
      <c r="O93" s="434">
        <v>0</v>
      </c>
      <c r="P93" s="432">
        <f t="shared" si="16"/>
        <v>2602206</v>
      </c>
      <c r="Q93" s="431">
        <v>1026251</v>
      </c>
      <c r="R93" s="431">
        <v>1006784</v>
      </c>
      <c r="S93" s="431">
        <v>0</v>
      </c>
      <c r="T93" s="431">
        <v>0</v>
      </c>
      <c r="U93" s="431">
        <v>1443</v>
      </c>
      <c r="V93" s="431">
        <v>0</v>
      </c>
      <c r="W93" s="431">
        <v>0</v>
      </c>
      <c r="X93" s="431">
        <v>77452</v>
      </c>
      <c r="Y93" s="431">
        <v>53547</v>
      </c>
      <c r="Z93" s="468">
        <v>439763</v>
      </c>
      <c r="AA93" s="431">
        <v>0</v>
      </c>
      <c r="AB93" s="431">
        <v>-3034</v>
      </c>
      <c r="AC93" s="469">
        <v>996106</v>
      </c>
      <c r="AD93" s="434">
        <v>56053</v>
      </c>
      <c r="AE93" s="434">
        <v>710272</v>
      </c>
      <c r="AF93" s="434">
        <v>0</v>
      </c>
      <c r="AG93" s="434">
        <v>240532</v>
      </c>
      <c r="AH93" s="434">
        <v>199507</v>
      </c>
      <c r="AI93" s="469">
        <v>132229</v>
      </c>
      <c r="AJ93" s="469">
        <v>72761</v>
      </c>
      <c r="AK93" s="434">
        <v>0</v>
      </c>
      <c r="AL93" s="434">
        <v>194746</v>
      </c>
      <c r="AM93" s="434">
        <v>0</v>
      </c>
    </row>
    <row r="94" spans="1:39" s="155" customFormat="1" ht="12" x14ac:dyDescent="0.2">
      <c r="A94" s="168">
        <v>40</v>
      </c>
      <c r="B94" s="196">
        <v>55106</v>
      </c>
      <c r="C94" s="559" t="s">
        <v>1271</v>
      </c>
      <c r="D94" s="432">
        <f t="shared" si="13"/>
        <v>6992853</v>
      </c>
      <c r="E94" s="434">
        <v>2332356</v>
      </c>
      <c r="F94" s="434">
        <v>46011</v>
      </c>
      <c r="G94" s="434">
        <v>1381371</v>
      </c>
      <c r="H94" s="434">
        <v>0</v>
      </c>
      <c r="I94" s="434">
        <v>382895</v>
      </c>
      <c r="J94" s="434">
        <v>200000</v>
      </c>
      <c r="K94" s="434">
        <v>184772</v>
      </c>
      <c r="L94" s="434">
        <v>0</v>
      </c>
      <c r="M94" s="434">
        <v>1242107</v>
      </c>
      <c r="N94" s="434">
        <v>2324663</v>
      </c>
      <c r="O94" s="434">
        <v>326060</v>
      </c>
      <c r="P94" s="432">
        <f t="shared" si="16"/>
        <v>5289225</v>
      </c>
      <c r="Q94" s="431">
        <v>956320</v>
      </c>
      <c r="R94" s="431">
        <v>1491217</v>
      </c>
      <c r="S94" s="431">
        <v>0</v>
      </c>
      <c r="T94" s="431">
        <v>0</v>
      </c>
      <c r="U94" s="431">
        <v>0</v>
      </c>
      <c r="V94" s="431">
        <v>0</v>
      </c>
      <c r="W94" s="431">
        <v>1296774</v>
      </c>
      <c r="X94" s="431">
        <v>94189</v>
      </c>
      <c r="Y94" s="431">
        <v>0</v>
      </c>
      <c r="Z94" s="468">
        <v>1450725</v>
      </c>
      <c r="AA94" s="431">
        <v>0</v>
      </c>
      <c r="AB94" s="431">
        <v>0</v>
      </c>
      <c r="AC94" s="469">
        <v>1721679</v>
      </c>
      <c r="AD94" s="434">
        <v>0</v>
      </c>
      <c r="AE94" s="434">
        <v>219745</v>
      </c>
      <c r="AF94" s="434">
        <v>0</v>
      </c>
      <c r="AG94" s="434">
        <v>149730</v>
      </c>
      <c r="AH94" s="434">
        <v>208530</v>
      </c>
      <c r="AI94" s="469">
        <v>1748252</v>
      </c>
      <c r="AJ94" s="469">
        <v>140302</v>
      </c>
      <c r="AK94" s="434">
        <v>0</v>
      </c>
      <c r="AL94" s="434">
        <v>1100987</v>
      </c>
      <c r="AM94" s="434">
        <v>0</v>
      </c>
    </row>
    <row r="95" spans="1:39" s="155" customFormat="1" ht="12" x14ac:dyDescent="0.2">
      <c r="A95" s="168">
        <v>41</v>
      </c>
      <c r="B95" s="196">
        <v>58259</v>
      </c>
      <c r="C95" s="559" t="s">
        <v>1272</v>
      </c>
      <c r="D95" s="432">
        <f t="shared" si="13"/>
        <v>12865653</v>
      </c>
      <c r="E95" s="431">
        <v>10951510</v>
      </c>
      <c r="F95" s="431">
        <v>5508630</v>
      </c>
      <c r="G95" s="431">
        <v>1285008</v>
      </c>
      <c r="H95" s="431">
        <v>0</v>
      </c>
      <c r="I95" s="431">
        <v>1292768</v>
      </c>
      <c r="J95" s="431">
        <v>122222</v>
      </c>
      <c r="K95" s="431">
        <v>294373</v>
      </c>
      <c r="L95" s="431">
        <v>0</v>
      </c>
      <c r="M95" s="431">
        <v>35708</v>
      </c>
      <c r="N95" s="431">
        <v>169072</v>
      </c>
      <c r="O95" s="431">
        <v>0</v>
      </c>
      <c r="P95" s="432">
        <f t="shared" si="16"/>
        <v>14053262</v>
      </c>
      <c r="Q95" s="431">
        <v>1678967</v>
      </c>
      <c r="R95" s="431">
        <v>3381203</v>
      </c>
      <c r="S95" s="431">
        <v>46657</v>
      </c>
      <c r="T95" s="431">
        <v>0</v>
      </c>
      <c r="U95" s="431">
        <v>17228</v>
      </c>
      <c r="V95" s="431">
        <v>0</v>
      </c>
      <c r="W95" s="431">
        <v>933265</v>
      </c>
      <c r="X95" s="431">
        <v>571823</v>
      </c>
      <c r="Y95" s="431">
        <v>1190400</v>
      </c>
      <c r="Z95" s="468">
        <v>6080539</v>
      </c>
      <c r="AA95" s="431">
        <v>162775</v>
      </c>
      <c r="AB95" s="431">
        <v>-9595</v>
      </c>
      <c r="AC95" s="468">
        <v>1946095</v>
      </c>
      <c r="AD95" s="431">
        <v>303048</v>
      </c>
      <c r="AE95" s="431">
        <v>3557798</v>
      </c>
      <c r="AF95" s="431">
        <v>0</v>
      </c>
      <c r="AG95" s="431">
        <v>2034834</v>
      </c>
      <c r="AH95" s="431">
        <v>378585</v>
      </c>
      <c r="AI95" s="468">
        <v>528161</v>
      </c>
      <c r="AJ95" s="468">
        <v>428455</v>
      </c>
      <c r="AK95" s="431">
        <v>0</v>
      </c>
      <c r="AL95" s="431">
        <v>3960644</v>
      </c>
      <c r="AM95" s="431">
        <v>915642</v>
      </c>
    </row>
    <row r="96" spans="1:39" s="155" customFormat="1" ht="12" x14ac:dyDescent="0.2">
      <c r="A96" s="168">
        <v>42</v>
      </c>
      <c r="B96" s="196">
        <v>58311</v>
      </c>
      <c r="C96" s="559" t="s">
        <v>1273</v>
      </c>
      <c r="D96" s="432">
        <f t="shared" si="13"/>
        <v>6974766</v>
      </c>
      <c r="E96" s="431">
        <v>4477645</v>
      </c>
      <c r="F96" s="431">
        <v>2233800</v>
      </c>
      <c r="G96" s="431">
        <v>1278711</v>
      </c>
      <c r="H96" s="431">
        <v>0</v>
      </c>
      <c r="I96" s="431">
        <v>1726782</v>
      </c>
      <c r="J96" s="431">
        <v>122220</v>
      </c>
      <c r="K96" s="431">
        <v>332373</v>
      </c>
      <c r="L96" s="431">
        <v>0</v>
      </c>
      <c r="M96" s="431">
        <v>217025</v>
      </c>
      <c r="N96" s="431">
        <v>98721</v>
      </c>
      <c r="O96" s="431">
        <v>0</v>
      </c>
      <c r="P96" s="432">
        <f t="shared" si="16"/>
        <v>6052689</v>
      </c>
      <c r="Q96" s="431">
        <v>2111741</v>
      </c>
      <c r="R96" s="431">
        <v>1002416</v>
      </c>
      <c r="S96" s="431">
        <v>0</v>
      </c>
      <c r="T96" s="431">
        <v>0</v>
      </c>
      <c r="U96" s="431">
        <v>19702</v>
      </c>
      <c r="V96" s="431">
        <v>0</v>
      </c>
      <c r="W96" s="431">
        <v>233159</v>
      </c>
      <c r="X96" s="431">
        <v>311604</v>
      </c>
      <c r="Y96" s="431">
        <v>90423</v>
      </c>
      <c r="Z96" s="468">
        <v>2284292</v>
      </c>
      <c r="AA96" s="431">
        <v>0</v>
      </c>
      <c r="AB96" s="431">
        <v>-648</v>
      </c>
      <c r="AC96" s="468">
        <v>976903</v>
      </c>
      <c r="AD96" s="431">
        <v>128996</v>
      </c>
      <c r="AE96" s="431">
        <v>1613343</v>
      </c>
      <c r="AF96" s="431">
        <v>0</v>
      </c>
      <c r="AG96" s="431">
        <v>241352</v>
      </c>
      <c r="AH96" s="431">
        <v>397349</v>
      </c>
      <c r="AI96" s="468">
        <v>401476</v>
      </c>
      <c r="AJ96" s="468">
        <v>55619</v>
      </c>
      <c r="AK96" s="431">
        <v>0</v>
      </c>
      <c r="AL96" s="431">
        <v>1739199</v>
      </c>
      <c r="AM96" s="431">
        <v>498452</v>
      </c>
    </row>
    <row r="97" spans="1:39" s="155" customFormat="1" ht="12" x14ac:dyDescent="0.2">
      <c r="A97" s="168">
        <v>43</v>
      </c>
      <c r="B97" s="196">
        <v>58357</v>
      </c>
      <c r="C97" s="559" t="s">
        <v>1274</v>
      </c>
      <c r="D97" s="432">
        <f t="shared" si="13"/>
        <v>4054462</v>
      </c>
      <c r="E97" s="431">
        <v>1879082</v>
      </c>
      <c r="F97" s="431">
        <v>130541</v>
      </c>
      <c r="G97" s="431">
        <v>1455189</v>
      </c>
      <c r="H97" s="431">
        <v>0</v>
      </c>
      <c r="I97" s="431">
        <v>1933190</v>
      </c>
      <c r="J97" s="431">
        <v>0</v>
      </c>
      <c r="K97" s="431">
        <v>141370</v>
      </c>
      <c r="L97" s="431">
        <v>0</v>
      </c>
      <c r="M97" s="431">
        <v>938</v>
      </c>
      <c r="N97" s="431">
        <v>0</v>
      </c>
      <c r="O97" s="431">
        <v>99882</v>
      </c>
      <c r="P97" s="432">
        <f t="shared" si="16"/>
        <v>4023055</v>
      </c>
      <c r="Q97" s="431">
        <v>2200210</v>
      </c>
      <c r="R97" s="431">
        <v>997097</v>
      </c>
      <c r="S97" s="431">
        <v>0</v>
      </c>
      <c r="T97" s="431">
        <v>0</v>
      </c>
      <c r="U97" s="431">
        <v>0</v>
      </c>
      <c r="V97" s="431">
        <v>0</v>
      </c>
      <c r="W97" s="431">
        <v>0</v>
      </c>
      <c r="X97" s="431">
        <v>112216</v>
      </c>
      <c r="Y97" s="431">
        <v>79976</v>
      </c>
      <c r="Z97" s="468">
        <v>633556</v>
      </c>
      <c r="AA97" s="431">
        <v>0</v>
      </c>
      <c r="AB97" s="431">
        <v>0</v>
      </c>
      <c r="AC97" s="468">
        <v>734993</v>
      </c>
      <c r="AD97" s="431">
        <v>0</v>
      </c>
      <c r="AE97" s="431">
        <v>1767019</v>
      </c>
      <c r="AF97" s="431">
        <v>0</v>
      </c>
      <c r="AG97" s="431">
        <v>201784</v>
      </c>
      <c r="AH97" s="431">
        <v>414988</v>
      </c>
      <c r="AI97" s="468">
        <v>123302</v>
      </c>
      <c r="AJ97" s="468">
        <v>5721</v>
      </c>
      <c r="AK97" s="431">
        <v>0</v>
      </c>
      <c r="AL97" s="431">
        <v>730465</v>
      </c>
      <c r="AM97" s="431">
        <v>44783</v>
      </c>
    </row>
    <row r="98" spans="1:39" s="155" customFormat="1" ht="12" x14ac:dyDescent="0.2">
      <c r="A98" s="168">
        <v>44</v>
      </c>
      <c r="B98" s="196">
        <v>58393</v>
      </c>
      <c r="C98" s="559" t="s">
        <v>1275</v>
      </c>
      <c r="D98" s="432">
        <f t="shared" si="13"/>
        <v>2488662</v>
      </c>
      <c r="E98" s="431">
        <v>1635077</v>
      </c>
      <c r="F98" s="431">
        <v>89578</v>
      </c>
      <c r="G98" s="431">
        <v>1231420</v>
      </c>
      <c r="H98" s="431">
        <v>0</v>
      </c>
      <c r="I98" s="431">
        <v>733128</v>
      </c>
      <c r="J98" s="431">
        <v>0</v>
      </c>
      <c r="K98" s="431">
        <v>106373</v>
      </c>
      <c r="L98" s="431">
        <v>0</v>
      </c>
      <c r="M98" s="431">
        <v>14084</v>
      </c>
      <c r="N98" s="431">
        <v>0</v>
      </c>
      <c r="O98" s="431">
        <v>0</v>
      </c>
      <c r="P98" s="432">
        <f t="shared" si="16"/>
        <v>2481588</v>
      </c>
      <c r="Q98" s="431">
        <v>999300</v>
      </c>
      <c r="R98" s="431">
        <v>1256183</v>
      </c>
      <c r="S98" s="431">
        <v>0</v>
      </c>
      <c r="T98" s="431">
        <v>0</v>
      </c>
      <c r="U98" s="431">
        <v>12966</v>
      </c>
      <c r="V98" s="431">
        <v>0</v>
      </c>
      <c r="W98" s="431">
        <v>0</v>
      </c>
      <c r="X98" s="431">
        <v>207139</v>
      </c>
      <c r="Y98" s="431">
        <v>6000</v>
      </c>
      <c r="Z98" s="468">
        <v>0</v>
      </c>
      <c r="AA98" s="431">
        <v>0</v>
      </c>
      <c r="AB98" s="431">
        <v>0</v>
      </c>
      <c r="AC98" s="468">
        <v>781037</v>
      </c>
      <c r="AD98" s="431">
        <v>25076</v>
      </c>
      <c r="AE98" s="431">
        <v>535128</v>
      </c>
      <c r="AF98" s="431">
        <v>0</v>
      </c>
      <c r="AG98" s="431">
        <v>65395</v>
      </c>
      <c r="AH98" s="431">
        <v>295340</v>
      </c>
      <c r="AI98" s="468">
        <v>188775</v>
      </c>
      <c r="AJ98" s="468">
        <v>0</v>
      </c>
      <c r="AK98" s="431">
        <v>0</v>
      </c>
      <c r="AL98" s="431">
        <v>590837</v>
      </c>
      <c r="AM98" s="431">
        <v>0</v>
      </c>
    </row>
    <row r="99" spans="1:39" s="155" customFormat="1" ht="12" x14ac:dyDescent="0.2">
      <c r="A99" s="168">
        <v>45</v>
      </c>
      <c r="B99" s="196">
        <v>58464</v>
      </c>
      <c r="C99" s="559" t="s">
        <v>1276</v>
      </c>
      <c r="D99" s="432">
        <f t="shared" si="13"/>
        <v>3358929</v>
      </c>
      <c r="E99" s="431">
        <v>2025759</v>
      </c>
      <c r="F99" s="431">
        <v>171536</v>
      </c>
      <c r="G99" s="431">
        <v>1446643</v>
      </c>
      <c r="H99" s="431">
        <v>0</v>
      </c>
      <c r="I99" s="431">
        <v>816188</v>
      </c>
      <c r="J99" s="431">
        <v>0</v>
      </c>
      <c r="K99" s="431">
        <v>208373</v>
      </c>
      <c r="L99" s="431">
        <v>0</v>
      </c>
      <c r="M99" s="431">
        <v>308609</v>
      </c>
      <c r="N99" s="431">
        <v>0</v>
      </c>
      <c r="O99" s="431">
        <v>0</v>
      </c>
      <c r="P99" s="432">
        <f t="shared" si="16"/>
        <v>4682668</v>
      </c>
      <c r="Q99" s="431">
        <v>1079893</v>
      </c>
      <c r="R99" s="431">
        <v>602901</v>
      </c>
      <c r="S99" s="431">
        <v>0</v>
      </c>
      <c r="T99" s="431">
        <v>0</v>
      </c>
      <c r="U99" s="431">
        <v>7613</v>
      </c>
      <c r="V99" s="431">
        <v>148091</v>
      </c>
      <c r="W99" s="431">
        <v>0</v>
      </c>
      <c r="X99" s="431">
        <v>120430</v>
      </c>
      <c r="Y99" s="431">
        <v>29790</v>
      </c>
      <c r="Z99" s="468">
        <v>2713950</v>
      </c>
      <c r="AA99" s="431">
        <v>0</v>
      </c>
      <c r="AB99" s="431">
        <v>-20000</v>
      </c>
      <c r="AC99" s="468">
        <v>802115</v>
      </c>
      <c r="AD99" s="431">
        <v>78863</v>
      </c>
      <c r="AE99" s="431">
        <v>640491</v>
      </c>
      <c r="AF99" s="431">
        <v>0</v>
      </c>
      <c r="AG99" s="431">
        <v>24774</v>
      </c>
      <c r="AH99" s="431">
        <v>355629</v>
      </c>
      <c r="AI99" s="468">
        <v>814050</v>
      </c>
      <c r="AJ99" s="468">
        <v>0</v>
      </c>
      <c r="AK99" s="431">
        <v>0</v>
      </c>
      <c r="AL99" s="431">
        <v>1948163</v>
      </c>
      <c r="AM99" s="431">
        <v>18583</v>
      </c>
    </row>
    <row r="100" spans="1:39" s="155" customFormat="1" ht="12" x14ac:dyDescent="0.2">
      <c r="A100" s="168">
        <v>46</v>
      </c>
      <c r="B100" s="196">
        <v>58534</v>
      </c>
      <c r="C100" s="559" t="s">
        <v>1277</v>
      </c>
      <c r="D100" s="432">
        <f t="shared" si="13"/>
        <v>3356125</v>
      </c>
      <c r="E100" s="431">
        <v>2030053</v>
      </c>
      <c r="F100" s="431">
        <v>252641</v>
      </c>
      <c r="G100" s="431">
        <v>1307273</v>
      </c>
      <c r="H100" s="431">
        <v>0</v>
      </c>
      <c r="I100" s="431">
        <v>1083463</v>
      </c>
      <c r="J100" s="431">
        <v>122236</v>
      </c>
      <c r="K100" s="431">
        <v>120373</v>
      </c>
      <c r="L100" s="431">
        <v>0</v>
      </c>
      <c r="M100" s="431">
        <v>0</v>
      </c>
      <c r="N100" s="431">
        <v>0</v>
      </c>
      <c r="O100" s="431">
        <v>0</v>
      </c>
      <c r="P100" s="432">
        <f t="shared" si="16"/>
        <v>3356124</v>
      </c>
      <c r="Q100" s="431">
        <v>1307748</v>
      </c>
      <c r="R100" s="431">
        <v>1512872</v>
      </c>
      <c r="S100" s="431">
        <v>0</v>
      </c>
      <c r="T100" s="431">
        <v>0</v>
      </c>
      <c r="U100" s="431">
        <v>0</v>
      </c>
      <c r="V100" s="431">
        <v>0</v>
      </c>
      <c r="W100" s="431">
        <v>0</v>
      </c>
      <c r="X100" s="431">
        <v>65690</v>
      </c>
      <c r="Y100" s="431">
        <v>8850</v>
      </c>
      <c r="Z100" s="468">
        <v>462017</v>
      </c>
      <c r="AA100" s="431">
        <v>0</v>
      </c>
      <c r="AB100" s="431">
        <v>-1053</v>
      </c>
      <c r="AC100" s="468">
        <v>766299</v>
      </c>
      <c r="AD100" s="431">
        <v>26939</v>
      </c>
      <c r="AE100" s="431">
        <v>746278</v>
      </c>
      <c r="AF100" s="431">
        <v>0</v>
      </c>
      <c r="AG100" s="431">
        <v>228412</v>
      </c>
      <c r="AH100" s="431">
        <v>353366</v>
      </c>
      <c r="AI100" s="468">
        <v>56779</v>
      </c>
      <c r="AJ100" s="468">
        <v>69556</v>
      </c>
      <c r="AK100" s="431">
        <v>0</v>
      </c>
      <c r="AL100" s="431">
        <v>1089266</v>
      </c>
      <c r="AM100" s="431">
        <v>19229</v>
      </c>
    </row>
    <row r="101" spans="1:39" s="155" customFormat="1" ht="12" x14ac:dyDescent="0.2">
      <c r="A101" s="168">
        <v>47</v>
      </c>
      <c r="B101" s="196">
        <v>55160</v>
      </c>
      <c r="C101" s="559" t="s">
        <v>1278</v>
      </c>
      <c r="D101" s="432">
        <f t="shared" si="13"/>
        <v>5023157</v>
      </c>
      <c r="E101" s="431">
        <v>2865753</v>
      </c>
      <c r="F101" s="431">
        <v>169491</v>
      </c>
      <c r="G101" s="431">
        <v>2168556</v>
      </c>
      <c r="H101" s="431">
        <v>0</v>
      </c>
      <c r="I101" s="431">
        <v>1512117</v>
      </c>
      <c r="J101" s="431">
        <v>122222</v>
      </c>
      <c r="K101" s="431">
        <v>276373</v>
      </c>
      <c r="L101" s="431">
        <v>0</v>
      </c>
      <c r="M101" s="431">
        <v>79558</v>
      </c>
      <c r="N101" s="431">
        <v>167134</v>
      </c>
      <c r="O101" s="431">
        <v>0</v>
      </c>
      <c r="P101" s="432">
        <f t="shared" si="16"/>
        <v>4916237</v>
      </c>
      <c r="Q101" s="431">
        <v>1908587</v>
      </c>
      <c r="R101" s="468">
        <v>840790</v>
      </c>
      <c r="S101" s="431">
        <v>0</v>
      </c>
      <c r="T101" s="431">
        <v>0</v>
      </c>
      <c r="U101" s="431">
        <v>5427</v>
      </c>
      <c r="V101" s="431">
        <v>0</v>
      </c>
      <c r="W101" s="431">
        <v>84670</v>
      </c>
      <c r="X101" s="431">
        <v>132297</v>
      </c>
      <c r="Y101" s="431">
        <v>0</v>
      </c>
      <c r="Z101" s="468">
        <v>1951466</v>
      </c>
      <c r="AA101" s="431">
        <v>0</v>
      </c>
      <c r="AB101" s="431">
        <v>-7000</v>
      </c>
      <c r="AC101" s="468">
        <v>1403919</v>
      </c>
      <c r="AD101" s="431">
        <v>0</v>
      </c>
      <c r="AE101" s="431">
        <v>1241674</v>
      </c>
      <c r="AF101" s="431">
        <v>0</v>
      </c>
      <c r="AG101" s="431">
        <v>285924</v>
      </c>
      <c r="AH101" s="431">
        <v>412676</v>
      </c>
      <c r="AI101" s="468">
        <v>289914</v>
      </c>
      <c r="AJ101" s="468">
        <v>129927</v>
      </c>
      <c r="AK101" s="431">
        <v>0</v>
      </c>
      <c r="AL101" s="431">
        <v>1048941</v>
      </c>
      <c r="AM101" s="431">
        <v>103262</v>
      </c>
    </row>
    <row r="102" spans="1:39" s="155" customFormat="1" ht="12" x14ac:dyDescent="0.2">
      <c r="A102" s="168">
        <v>48</v>
      </c>
      <c r="B102" s="196">
        <v>55277</v>
      </c>
      <c r="C102" s="559" t="s">
        <v>1279</v>
      </c>
      <c r="D102" s="432">
        <f t="shared" si="13"/>
        <v>14449987</v>
      </c>
      <c r="E102" s="431">
        <v>8390252</v>
      </c>
      <c r="F102" s="431">
        <v>1937817</v>
      </c>
      <c r="G102" s="431">
        <v>1302028</v>
      </c>
      <c r="H102" s="431">
        <v>0</v>
      </c>
      <c r="I102" s="431">
        <v>2532275</v>
      </c>
      <c r="J102" s="431">
        <v>0</v>
      </c>
      <c r="K102" s="468">
        <v>1486373</v>
      </c>
      <c r="L102" s="431">
        <v>0</v>
      </c>
      <c r="M102" s="431">
        <v>559235</v>
      </c>
      <c r="N102" s="431">
        <v>1465152</v>
      </c>
      <c r="O102" s="431">
        <v>16700</v>
      </c>
      <c r="P102" s="432">
        <f t="shared" si="16"/>
        <v>11378836</v>
      </c>
      <c r="Q102" s="431">
        <v>3022085</v>
      </c>
      <c r="R102" s="431">
        <v>2726334</v>
      </c>
      <c r="S102" s="431">
        <v>0</v>
      </c>
      <c r="T102" s="431">
        <v>0</v>
      </c>
      <c r="U102" s="431">
        <v>17811</v>
      </c>
      <c r="V102" s="431">
        <v>0</v>
      </c>
      <c r="W102" s="431">
        <v>20358</v>
      </c>
      <c r="X102" s="431">
        <v>424843</v>
      </c>
      <c r="Y102" s="431">
        <v>360270</v>
      </c>
      <c r="Z102" s="468">
        <v>4837515</v>
      </c>
      <c r="AA102" s="431">
        <v>0</v>
      </c>
      <c r="AB102" s="431">
        <v>-30380</v>
      </c>
      <c r="AC102" s="468">
        <v>1551286</v>
      </c>
      <c r="AD102" s="431">
        <v>191904</v>
      </c>
      <c r="AE102" s="431">
        <v>2544101</v>
      </c>
      <c r="AF102" s="431">
        <v>273076</v>
      </c>
      <c r="AG102" s="431">
        <v>2525825</v>
      </c>
      <c r="AH102" s="431">
        <v>484175</v>
      </c>
      <c r="AI102" s="468">
        <v>1518798</v>
      </c>
      <c r="AJ102" s="468">
        <v>1090929</v>
      </c>
      <c r="AK102" s="431">
        <v>0</v>
      </c>
      <c r="AL102" s="431">
        <v>728542</v>
      </c>
      <c r="AM102" s="431">
        <v>470200</v>
      </c>
    </row>
    <row r="103" spans="1:39" s="155" customFormat="1" ht="12" x14ac:dyDescent="0.2">
      <c r="A103" s="168">
        <v>49</v>
      </c>
      <c r="B103" s="196">
        <v>58552</v>
      </c>
      <c r="C103" s="559" t="s">
        <v>1280</v>
      </c>
      <c r="D103" s="432">
        <f t="shared" si="13"/>
        <v>8083455</v>
      </c>
      <c r="E103" s="431">
        <v>2356678</v>
      </c>
      <c r="F103" s="431">
        <v>185090</v>
      </c>
      <c r="G103" s="431">
        <v>1588029</v>
      </c>
      <c r="H103" s="431">
        <v>0</v>
      </c>
      <c r="I103" s="431">
        <v>1547252</v>
      </c>
      <c r="J103" s="431">
        <v>0</v>
      </c>
      <c r="K103" s="431">
        <v>870373</v>
      </c>
      <c r="L103" s="431">
        <v>0</v>
      </c>
      <c r="M103" s="431">
        <v>3309152</v>
      </c>
      <c r="N103" s="431">
        <v>0</v>
      </c>
      <c r="O103" s="431">
        <v>0</v>
      </c>
      <c r="P103" s="432">
        <f t="shared" si="16"/>
        <v>8479108</v>
      </c>
      <c r="Q103" s="431">
        <v>1814586</v>
      </c>
      <c r="R103" s="431">
        <v>1504344</v>
      </c>
      <c r="S103" s="431">
        <v>0</v>
      </c>
      <c r="T103" s="431">
        <v>0</v>
      </c>
      <c r="U103" s="431">
        <v>32487</v>
      </c>
      <c r="V103" s="431">
        <v>0</v>
      </c>
      <c r="W103" s="431">
        <v>0</v>
      </c>
      <c r="X103" s="431">
        <v>211194</v>
      </c>
      <c r="Y103" s="431">
        <v>0</v>
      </c>
      <c r="Z103" s="468">
        <v>4916497</v>
      </c>
      <c r="AA103" s="431">
        <v>0</v>
      </c>
      <c r="AB103" s="431">
        <v>0</v>
      </c>
      <c r="AC103" s="468">
        <v>1206437</v>
      </c>
      <c r="AD103" s="431">
        <v>1738</v>
      </c>
      <c r="AE103" s="431">
        <v>1313025</v>
      </c>
      <c r="AF103" s="431">
        <v>0</v>
      </c>
      <c r="AG103" s="431">
        <v>348817</v>
      </c>
      <c r="AH103" s="431">
        <v>513189</v>
      </c>
      <c r="AI103" s="468">
        <v>1555926</v>
      </c>
      <c r="AJ103" s="468">
        <v>2236094</v>
      </c>
      <c r="AK103" s="431">
        <v>0</v>
      </c>
      <c r="AL103" s="431">
        <v>1303882</v>
      </c>
      <c r="AM103" s="431">
        <v>0</v>
      </c>
    </row>
    <row r="104" spans="1:39" s="155" customFormat="1" ht="12" x14ac:dyDescent="0.2">
      <c r="A104" s="168">
        <v>50</v>
      </c>
      <c r="B104" s="196">
        <v>58623</v>
      </c>
      <c r="C104" s="559" t="s">
        <v>1281</v>
      </c>
      <c r="D104" s="432">
        <f t="shared" si="13"/>
        <v>7765727</v>
      </c>
      <c r="E104" s="431">
        <v>2423428</v>
      </c>
      <c r="F104" s="431">
        <v>239017</v>
      </c>
      <c r="G104" s="431">
        <v>1418904</v>
      </c>
      <c r="H104" s="431">
        <v>0</v>
      </c>
      <c r="I104" s="431">
        <v>1460350</v>
      </c>
      <c r="J104" s="431">
        <v>0</v>
      </c>
      <c r="K104" s="431">
        <v>508373</v>
      </c>
      <c r="L104" s="431">
        <v>0</v>
      </c>
      <c r="M104" s="431">
        <v>1595750</v>
      </c>
      <c r="N104" s="431">
        <v>1777826</v>
      </c>
      <c r="O104" s="431">
        <v>0</v>
      </c>
      <c r="P104" s="432">
        <f t="shared" si="16"/>
        <v>5302516</v>
      </c>
      <c r="Q104" s="431">
        <v>1606494</v>
      </c>
      <c r="R104" s="431">
        <v>1082873</v>
      </c>
      <c r="S104" s="431">
        <v>110650</v>
      </c>
      <c r="T104" s="431">
        <v>0</v>
      </c>
      <c r="U104" s="431">
        <v>8368</v>
      </c>
      <c r="V104" s="431">
        <v>0</v>
      </c>
      <c r="W104" s="431">
        <v>615224</v>
      </c>
      <c r="X104" s="431">
        <v>358172</v>
      </c>
      <c r="Y104" s="431">
        <v>109338</v>
      </c>
      <c r="Z104" s="468">
        <v>1413105</v>
      </c>
      <c r="AA104" s="431">
        <v>0</v>
      </c>
      <c r="AB104" s="431">
        <v>-1708</v>
      </c>
      <c r="AC104" s="468">
        <v>1554807</v>
      </c>
      <c r="AD104" s="431">
        <v>32437</v>
      </c>
      <c r="AE104" s="431">
        <v>1308694</v>
      </c>
      <c r="AF104" s="431">
        <v>15713</v>
      </c>
      <c r="AG104" s="431">
        <v>563276</v>
      </c>
      <c r="AH104" s="431">
        <v>528369</v>
      </c>
      <c r="AI104" s="468">
        <v>267775</v>
      </c>
      <c r="AJ104" s="468">
        <v>14412</v>
      </c>
      <c r="AK104" s="431">
        <v>0</v>
      </c>
      <c r="AL104" s="431">
        <v>1017033</v>
      </c>
      <c r="AM104" s="431">
        <v>0</v>
      </c>
    </row>
    <row r="105" spans="1:39" s="155" customFormat="1" ht="12" x14ac:dyDescent="0.2">
      <c r="A105" s="168">
        <v>51</v>
      </c>
      <c r="B105" s="196">
        <v>58721</v>
      </c>
      <c r="C105" s="559" t="s">
        <v>1282</v>
      </c>
      <c r="D105" s="432">
        <f t="shared" si="13"/>
        <v>6799557</v>
      </c>
      <c r="E105" s="431">
        <v>3004171</v>
      </c>
      <c r="F105" s="431">
        <v>413940</v>
      </c>
      <c r="G105" s="431">
        <v>1143019</v>
      </c>
      <c r="H105" s="431">
        <v>0</v>
      </c>
      <c r="I105" s="431">
        <v>1613574</v>
      </c>
      <c r="J105" s="431">
        <v>0</v>
      </c>
      <c r="K105" s="431">
        <v>913370</v>
      </c>
      <c r="L105" s="431">
        <v>0</v>
      </c>
      <c r="M105" s="431">
        <v>449019</v>
      </c>
      <c r="N105" s="431">
        <v>812423</v>
      </c>
      <c r="O105" s="431">
        <v>7000</v>
      </c>
      <c r="P105" s="432">
        <f t="shared" si="16"/>
        <v>5515341</v>
      </c>
      <c r="Q105" s="431">
        <v>1877388</v>
      </c>
      <c r="R105" s="431">
        <v>1904859</v>
      </c>
      <c r="S105" s="431">
        <v>0</v>
      </c>
      <c r="T105" s="431">
        <v>0</v>
      </c>
      <c r="U105" s="431">
        <v>848</v>
      </c>
      <c r="V105" s="431">
        <v>5695</v>
      </c>
      <c r="W105" s="431">
        <v>776482</v>
      </c>
      <c r="X105" s="431">
        <v>276454</v>
      </c>
      <c r="Y105" s="431">
        <v>10690</v>
      </c>
      <c r="Z105" s="468">
        <v>662925</v>
      </c>
      <c r="AA105" s="431">
        <v>0</v>
      </c>
      <c r="AB105" s="431">
        <v>0</v>
      </c>
      <c r="AC105" s="468">
        <v>1191746</v>
      </c>
      <c r="AD105" s="431">
        <v>90924</v>
      </c>
      <c r="AE105" s="431">
        <v>1737473</v>
      </c>
      <c r="AF105" s="431">
        <v>0</v>
      </c>
      <c r="AG105" s="431">
        <v>157629</v>
      </c>
      <c r="AH105" s="431">
        <v>276454</v>
      </c>
      <c r="AI105" s="468">
        <v>103318</v>
      </c>
      <c r="AJ105" s="468">
        <v>385998</v>
      </c>
      <c r="AK105" s="431">
        <v>0</v>
      </c>
      <c r="AL105" s="431">
        <v>1081653</v>
      </c>
      <c r="AM105" s="431">
        <v>490146</v>
      </c>
    </row>
    <row r="106" spans="1:39" s="155" customFormat="1" ht="12" x14ac:dyDescent="0.2">
      <c r="A106" s="168">
        <v>52</v>
      </c>
      <c r="B106" s="196">
        <v>58794</v>
      </c>
      <c r="C106" s="559" t="s">
        <v>1283</v>
      </c>
      <c r="D106" s="432">
        <f t="shared" si="13"/>
        <v>4241372</v>
      </c>
      <c r="E106" s="431">
        <v>1650831</v>
      </c>
      <c r="F106" s="431">
        <v>62558</v>
      </c>
      <c r="G106" s="431">
        <v>1243561</v>
      </c>
      <c r="H106" s="431">
        <v>0</v>
      </c>
      <c r="I106" s="431">
        <v>630449</v>
      </c>
      <c r="J106" s="431">
        <v>122222</v>
      </c>
      <c r="K106" s="431">
        <v>123373</v>
      </c>
      <c r="L106" s="431">
        <v>0</v>
      </c>
      <c r="M106" s="431">
        <v>1111521</v>
      </c>
      <c r="N106" s="431">
        <v>602976</v>
      </c>
      <c r="O106" s="431">
        <v>0</v>
      </c>
      <c r="P106" s="432">
        <f t="shared" si="16"/>
        <v>4481123</v>
      </c>
      <c r="Q106" s="431">
        <v>878799</v>
      </c>
      <c r="R106" s="431">
        <v>999154</v>
      </c>
      <c r="S106" s="431">
        <v>49766</v>
      </c>
      <c r="T106" s="431">
        <v>0</v>
      </c>
      <c r="U106" s="431">
        <v>1763</v>
      </c>
      <c r="V106" s="431">
        <v>0</v>
      </c>
      <c r="W106" s="431">
        <v>359716</v>
      </c>
      <c r="X106" s="431">
        <v>93219</v>
      </c>
      <c r="Y106" s="431">
        <v>72671</v>
      </c>
      <c r="Z106" s="468">
        <v>388453</v>
      </c>
      <c r="AA106" s="431">
        <v>1637582</v>
      </c>
      <c r="AB106" s="431">
        <v>0</v>
      </c>
      <c r="AC106" s="468">
        <v>651694</v>
      </c>
      <c r="AD106" s="431">
        <v>2461</v>
      </c>
      <c r="AE106" s="431">
        <v>531546</v>
      </c>
      <c r="AF106" s="431">
        <v>0</v>
      </c>
      <c r="AG106" s="431">
        <v>633439</v>
      </c>
      <c r="AH106" s="431">
        <v>182431</v>
      </c>
      <c r="AI106" s="468">
        <v>488719</v>
      </c>
      <c r="AJ106" s="468">
        <v>1110126</v>
      </c>
      <c r="AK106" s="431">
        <v>0</v>
      </c>
      <c r="AL106" s="431">
        <v>868217</v>
      </c>
      <c r="AM106" s="431">
        <v>12490</v>
      </c>
    </row>
    <row r="107" spans="1:39" s="155" customFormat="1" ht="12" x14ac:dyDescent="0.2">
      <c r="A107" s="168">
        <v>53</v>
      </c>
      <c r="B107" s="196">
        <v>58856</v>
      </c>
      <c r="C107" s="559" t="s">
        <v>1284</v>
      </c>
      <c r="D107" s="432">
        <f t="shared" si="13"/>
        <v>5867181</v>
      </c>
      <c r="E107" s="431">
        <v>1937999</v>
      </c>
      <c r="F107" s="431">
        <v>90772</v>
      </c>
      <c r="G107" s="431">
        <v>1411857</v>
      </c>
      <c r="H107" s="431">
        <v>0</v>
      </c>
      <c r="I107" s="431">
        <v>767338</v>
      </c>
      <c r="J107" s="431">
        <v>250000</v>
      </c>
      <c r="K107" s="431">
        <v>422373</v>
      </c>
      <c r="L107" s="431">
        <v>0</v>
      </c>
      <c r="M107" s="431">
        <v>560723</v>
      </c>
      <c r="N107" s="431">
        <v>1928748</v>
      </c>
      <c r="O107" s="431">
        <v>0</v>
      </c>
      <c r="P107" s="432">
        <f t="shared" si="16"/>
        <v>6811490</v>
      </c>
      <c r="Q107" s="431">
        <v>1047165</v>
      </c>
      <c r="R107" s="431">
        <v>1720340</v>
      </c>
      <c r="S107" s="431">
        <v>0</v>
      </c>
      <c r="T107" s="431">
        <v>0</v>
      </c>
      <c r="U107" s="431">
        <v>20000</v>
      </c>
      <c r="V107" s="431">
        <v>25337</v>
      </c>
      <c r="W107" s="431">
        <v>3560818</v>
      </c>
      <c r="X107" s="431">
        <v>106109</v>
      </c>
      <c r="Y107" s="431">
        <v>0</v>
      </c>
      <c r="Z107" s="468">
        <v>332621</v>
      </c>
      <c r="AA107" s="431">
        <v>0</v>
      </c>
      <c r="AB107" s="431">
        <v>-900</v>
      </c>
      <c r="AC107" s="468">
        <v>1203313</v>
      </c>
      <c r="AD107" s="431">
        <v>0</v>
      </c>
      <c r="AE107" s="431">
        <v>608338</v>
      </c>
      <c r="AF107" s="431">
        <v>0</v>
      </c>
      <c r="AG107" s="431">
        <v>173406</v>
      </c>
      <c r="AH107" s="431">
        <v>190452</v>
      </c>
      <c r="AI107" s="468">
        <v>422366</v>
      </c>
      <c r="AJ107" s="468">
        <v>68115</v>
      </c>
      <c r="AK107" s="431">
        <v>0</v>
      </c>
      <c r="AL107" s="431">
        <v>4072053</v>
      </c>
      <c r="AM107" s="431">
        <v>73447</v>
      </c>
    </row>
    <row r="108" spans="1:39" s="155" customFormat="1" ht="12" x14ac:dyDescent="0.2">
      <c r="A108" s="168">
        <v>54</v>
      </c>
      <c r="B108" s="196">
        <v>58918</v>
      </c>
      <c r="C108" s="237" t="s">
        <v>1285</v>
      </c>
      <c r="D108" s="432">
        <f t="shared" si="13"/>
        <v>4756989</v>
      </c>
      <c r="E108" s="431">
        <v>1757241</v>
      </c>
      <c r="F108" s="431">
        <v>92677</v>
      </c>
      <c r="G108" s="431">
        <v>1046605</v>
      </c>
      <c r="H108" s="431">
        <v>0</v>
      </c>
      <c r="I108" s="431">
        <v>906485</v>
      </c>
      <c r="J108" s="431">
        <v>122220</v>
      </c>
      <c r="K108" s="431">
        <v>121370</v>
      </c>
      <c r="L108" s="431">
        <v>0</v>
      </c>
      <c r="M108" s="431">
        <v>187819</v>
      </c>
      <c r="N108" s="431">
        <v>1661854</v>
      </c>
      <c r="O108" s="431">
        <v>0</v>
      </c>
      <c r="P108" s="432">
        <f t="shared" si="16"/>
        <v>3206989</v>
      </c>
      <c r="Q108" s="431">
        <v>1100818</v>
      </c>
      <c r="R108" s="431">
        <v>1160680</v>
      </c>
      <c r="S108" s="431">
        <v>0</v>
      </c>
      <c r="T108" s="431">
        <v>0</v>
      </c>
      <c r="U108" s="431">
        <v>0</v>
      </c>
      <c r="V108" s="431">
        <v>1542</v>
      </c>
      <c r="W108" s="431">
        <v>284860</v>
      </c>
      <c r="X108" s="431">
        <v>252197</v>
      </c>
      <c r="Y108" s="431">
        <v>44957</v>
      </c>
      <c r="Z108" s="468">
        <v>361935</v>
      </c>
      <c r="AA108" s="431">
        <v>0</v>
      </c>
      <c r="AB108" s="431">
        <v>0</v>
      </c>
      <c r="AC108" s="468">
        <v>705113</v>
      </c>
      <c r="AD108" s="431">
        <v>0</v>
      </c>
      <c r="AE108" s="431">
        <v>972148</v>
      </c>
      <c r="AF108" s="431">
        <v>0</v>
      </c>
      <c r="AG108" s="431">
        <v>32272</v>
      </c>
      <c r="AH108" s="431">
        <v>266899</v>
      </c>
      <c r="AI108" s="468">
        <v>344308</v>
      </c>
      <c r="AJ108" s="468">
        <v>75957</v>
      </c>
      <c r="AK108" s="431">
        <v>0</v>
      </c>
      <c r="AL108" s="431">
        <v>522306</v>
      </c>
      <c r="AM108" s="431">
        <v>287986</v>
      </c>
    </row>
    <row r="109" spans="1:39" s="155" customFormat="1" ht="12" x14ac:dyDescent="0.2">
      <c r="A109" s="168">
        <v>55</v>
      </c>
      <c r="B109" s="196">
        <v>58990</v>
      </c>
      <c r="C109" s="559" t="s">
        <v>1286</v>
      </c>
      <c r="D109" s="432">
        <f t="shared" si="13"/>
        <v>2521865</v>
      </c>
      <c r="E109" s="431">
        <v>1893574</v>
      </c>
      <c r="F109" s="431">
        <v>39291</v>
      </c>
      <c r="G109" s="431">
        <v>1564437</v>
      </c>
      <c r="H109" s="431">
        <v>0</v>
      </c>
      <c r="I109" s="431">
        <v>353678</v>
      </c>
      <c r="J109" s="431">
        <v>122222</v>
      </c>
      <c r="K109" s="431">
        <v>113373</v>
      </c>
      <c r="L109" s="431">
        <v>0</v>
      </c>
      <c r="M109" s="431">
        <v>32618</v>
      </c>
      <c r="N109" s="431">
        <v>0</v>
      </c>
      <c r="O109" s="431">
        <v>6400</v>
      </c>
      <c r="P109" s="432">
        <f t="shared" si="16"/>
        <v>2393942</v>
      </c>
      <c r="Q109" s="431">
        <v>596552</v>
      </c>
      <c r="R109" s="431">
        <v>551245</v>
      </c>
      <c r="S109" s="431">
        <v>0</v>
      </c>
      <c r="T109" s="431">
        <v>0</v>
      </c>
      <c r="U109" s="431">
        <v>0</v>
      </c>
      <c r="V109" s="431">
        <v>0</v>
      </c>
      <c r="W109" s="431">
        <v>0</v>
      </c>
      <c r="X109" s="431">
        <v>59437</v>
      </c>
      <c r="Y109" s="431">
        <v>13496</v>
      </c>
      <c r="Z109" s="468">
        <v>1207609</v>
      </c>
      <c r="AA109" s="431">
        <v>0</v>
      </c>
      <c r="AB109" s="431">
        <v>-34397</v>
      </c>
      <c r="AC109" s="468">
        <v>398937</v>
      </c>
      <c r="AD109" s="431">
        <v>0</v>
      </c>
      <c r="AE109" s="431">
        <v>303615</v>
      </c>
      <c r="AF109" s="431">
        <v>24258</v>
      </c>
      <c r="AG109" s="431">
        <v>225397</v>
      </c>
      <c r="AH109" s="431">
        <v>93916</v>
      </c>
      <c r="AI109" s="468">
        <v>176829</v>
      </c>
      <c r="AJ109" s="468">
        <v>21490</v>
      </c>
      <c r="AK109" s="431">
        <v>0</v>
      </c>
      <c r="AL109" s="431">
        <v>1149500</v>
      </c>
      <c r="AM109" s="431">
        <v>0</v>
      </c>
    </row>
    <row r="110" spans="1:39" s="155" customFormat="1" ht="12" x14ac:dyDescent="0.2">
      <c r="A110" s="168">
        <v>56</v>
      </c>
      <c r="B110" s="196">
        <v>59041</v>
      </c>
      <c r="C110" s="559" t="s">
        <v>1287</v>
      </c>
      <c r="D110" s="432">
        <f t="shared" si="13"/>
        <v>8230769</v>
      </c>
      <c r="E110" s="431">
        <v>2896848</v>
      </c>
      <c r="F110" s="431">
        <v>581932</v>
      </c>
      <c r="G110" s="431">
        <v>915769</v>
      </c>
      <c r="H110" s="431">
        <v>0</v>
      </c>
      <c r="I110" s="431">
        <v>2482902</v>
      </c>
      <c r="J110" s="431">
        <v>122222</v>
      </c>
      <c r="K110" s="431">
        <v>1033373</v>
      </c>
      <c r="L110" s="431">
        <v>0</v>
      </c>
      <c r="M110" s="431">
        <v>411434</v>
      </c>
      <c r="N110" s="431">
        <v>1283990</v>
      </c>
      <c r="O110" s="431">
        <v>0</v>
      </c>
      <c r="P110" s="432">
        <f t="shared" si="16"/>
        <v>8670117</v>
      </c>
      <c r="Q110" s="431">
        <v>2721258</v>
      </c>
      <c r="R110" s="431">
        <v>1642292</v>
      </c>
      <c r="S110" s="431">
        <v>0</v>
      </c>
      <c r="T110" s="431">
        <v>0</v>
      </c>
      <c r="U110" s="431">
        <v>77540</v>
      </c>
      <c r="V110" s="431">
        <v>0</v>
      </c>
      <c r="W110" s="431">
        <v>2496720</v>
      </c>
      <c r="X110" s="431">
        <v>301552</v>
      </c>
      <c r="Y110" s="431">
        <v>35000</v>
      </c>
      <c r="Z110" s="468">
        <v>1395755</v>
      </c>
      <c r="AA110" s="431">
        <v>0</v>
      </c>
      <c r="AB110" s="431">
        <v>0</v>
      </c>
      <c r="AC110" s="468">
        <v>980982</v>
      </c>
      <c r="AD110" s="431">
        <v>72509</v>
      </c>
      <c r="AE110" s="431">
        <v>1943902</v>
      </c>
      <c r="AF110" s="431">
        <v>2000</v>
      </c>
      <c r="AG110" s="431">
        <v>233937</v>
      </c>
      <c r="AH110" s="431">
        <v>712841</v>
      </c>
      <c r="AI110" s="468">
        <v>537336</v>
      </c>
      <c r="AJ110" s="468">
        <v>42838</v>
      </c>
      <c r="AK110" s="431">
        <v>0</v>
      </c>
      <c r="AL110" s="431">
        <v>3868097</v>
      </c>
      <c r="AM110" s="431">
        <v>275675</v>
      </c>
    </row>
    <row r="111" spans="1:39" s="155" customFormat="1" ht="12" x14ac:dyDescent="0.2">
      <c r="A111" s="168">
        <v>57</v>
      </c>
      <c r="B111" s="196">
        <v>59130</v>
      </c>
      <c r="C111" s="559" t="s">
        <v>1288</v>
      </c>
      <c r="D111" s="432">
        <f t="shared" si="13"/>
        <v>4210600</v>
      </c>
      <c r="E111" s="431">
        <v>2576687</v>
      </c>
      <c r="F111" s="431">
        <v>106629</v>
      </c>
      <c r="G111" s="431">
        <v>2060067</v>
      </c>
      <c r="H111" s="431">
        <v>0</v>
      </c>
      <c r="I111" s="431">
        <v>396356</v>
      </c>
      <c r="J111" s="431">
        <v>122222</v>
      </c>
      <c r="K111" s="431">
        <v>210373</v>
      </c>
      <c r="L111" s="431">
        <v>0</v>
      </c>
      <c r="M111" s="431">
        <v>430419</v>
      </c>
      <c r="N111" s="431">
        <v>474543</v>
      </c>
      <c r="O111" s="431">
        <v>0</v>
      </c>
      <c r="P111" s="432">
        <f t="shared" si="16"/>
        <v>4804073</v>
      </c>
      <c r="Q111" s="431">
        <v>680413</v>
      </c>
      <c r="R111" s="431">
        <v>1159969</v>
      </c>
      <c r="S111" s="431">
        <v>0</v>
      </c>
      <c r="T111" s="431">
        <v>0</v>
      </c>
      <c r="U111" s="431">
        <v>0</v>
      </c>
      <c r="V111" s="431">
        <v>0</v>
      </c>
      <c r="W111" s="431">
        <v>1668538</v>
      </c>
      <c r="X111" s="431">
        <v>182456</v>
      </c>
      <c r="Y111" s="431">
        <v>0</v>
      </c>
      <c r="Z111" s="468">
        <v>1112697</v>
      </c>
      <c r="AA111" s="431">
        <v>0</v>
      </c>
      <c r="AB111" s="431">
        <v>0</v>
      </c>
      <c r="AC111" s="468">
        <v>1488695</v>
      </c>
      <c r="AD111" s="431">
        <v>0</v>
      </c>
      <c r="AE111" s="431">
        <v>264343</v>
      </c>
      <c r="AF111" s="431">
        <v>1936</v>
      </c>
      <c r="AG111" s="431">
        <v>664307</v>
      </c>
      <c r="AH111" s="431">
        <v>195419</v>
      </c>
      <c r="AI111" s="468">
        <v>420195</v>
      </c>
      <c r="AJ111" s="468">
        <v>0</v>
      </c>
      <c r="AK111" s="431">
        <v>0</v>
      </c>
      <c r="AL111" s="431">
        <v>1749183</v>
      </c>
      <c r="AM111" s="431">
        <v>19995</v>
      </c>
    </row>
    <row r="112" spans="1:39" s="155" customFormat="1" ht="12" x14ac:dyDescent="0.2">
      <c r="A112" s="168">
        <v>58</v>
      </c>
      <c r="B112" s="196">
        <v>59238</v>
      </c>
      <c r="C112" s="559" t="s">
        <v>376</v>
      </c>
      <c r="D112" s="432">
        <f t="shared" si="13"/>
        <v>3288687</v>
      </c>
      <c r="E112" s="431">
        <v>2067310</v>
      </c>
      <c r="F112" s="431">
        <v>83283</v>
      </c>
      <c r="G112" s="431">
        <v>1580596</v>
      </c>
      <c r="H112" s="431">
        <v>0</v>
      </c>
      <c r="I112" s="431">
        <v>809768</v>
      </c>
      <c r="J112" s="431">
        <v>122222</v>
      </c>
      <c r="K112" s="431">
        <v>163373</v>
      </c>
      <c r="L112" s="431">
        <v>0</v>
      </c>
      <c r="M112" s="431">
        <v>126014</v>
      </c>
      <c r="N112" s="431">
        <v>0</v>
      </c>
      <c r="O112" s="431">
        <v>0</v>
      </c>
      <c r="P112" s="432">
        <f t="shared" si="16"/>
        <v>3070274</v>
      </c>
      <c r="Q112" s="431">
        <v>995889</v>
      </c>
      <c r="R112" s="468">
        <v>1020720</v>
      </c>
      <c r="S112" s="431">
        <v>0</v>
      </c>
      <c r="T112" s="431">
        <v>0</v>
      </c>
      <c r="U112" s="431">
        <v>0</v>
      </c>
      <c r="V112" s="431">
        <v>0</v>
      </c>
      <c r="W112" s="431">
        <v>0</v>
      </c>
      <c r="X112" s="431">
        <v>147979</v>
      </c>
      <c r="Y112" s="431">
        <v>6000</v>
      </c>
      <c r="Z112" s="468">
        <v>899686</v>
      </c>
      <c r="AA112" s="431">
        <v>0</v>
      </c>
      <c r="AB112" s="431">
        <v>0</v>
      </c>
      <c r="AC112" s="468">
        <v>509174</v>
      </c>
      <c r="AD112" s="431">
        <v>0</v>
      </c>
      <c r="AE112" s="431">
        <v>652766</v>
      </c>
      <c r="AF112" s="431">
        <v>14119</v>
      </c>
      <c r="AG112" s="431">
        <v>57409</v>
      </c>
      <c r="AH112" s="431">
        <v>235733</v>
      </c>
      <c r="AI112" s="468">
        <v>220066</v>
      </c>
      <c r="AJ112" s="468">
        <v>29909</v>
      </c>
      <c r="AK112" s="431">
        <v>0</v>
      </c>
      <c r="AL112" s="431">
        <v>1300820</v>
      </c>
      <c r="AM112" s="431">
        <v>50278</v>
      </c>
    </row>
    <row r="113" spans="1:39" s="155" customFormat="1" ht="12" x14ac:dyDescent="0.2">
      <c r="A113" s="168">
        <v>59</v>
      </c>
      <c r="B113" s="196">
        <v>59283</v>
      </c>
      <c r="C113" s="559" t="s">
        <v>1289</v>
      </c>
      <c r="D113" s="432">
        <f t="shared" si="13"/>
        <v>5456997</v>
      </c>
      <c r="E113" s="431">
        <v>1704643</v>
      </c>
      <c r="F113" s="431">
        <v>95929</v>
      </c>
      <c r="G113" s="431">
        <v>1368340</v>
      </c>
      <c r="H113" s="431">
        <v>0</v>
      </c>
      <c r="I113" s="431">
        <v>1085020</v>
      </c>
      <c r="J113" s="431">
        <v>122222</v>
      </c>
      <c r="K113" s="431">
        <v>318023</v>
      </c>
      <c r="L113" s="431">
        <v>0</v>
      </c>
      <c r="M113" s="431">
        <v>1179392</v>
      </c>
      <c r="N113" s="431">
        <v>1045697</v>
      </c>
      <c r="O113" s="431">
        <v>2000</v>
      </c>
      <c r="P113" s="432">
        <f t="shared" si="16"/>
        <v>7583746</v>
      </c>
      <c r="Q113" s="431">
        <v>1300794</v>
      </c>
      <c r="R113" s="431">
        <v>675979</v>
      </c>
      <c r="S113" s="431">
        <v>0</v>
      </c>
      <c r="T113" s="431">
        <v>0</v>
      </c>
      <c r="U113" s="431">
        <v>20052</v>
      </c>
      <c r="V113" s="431">
        <v>0</v>
      </c>
      <c r="W113" s="431">
        <v>4187358</v>
      </c>
      <c r="X113" s="431">
        <v>185450</v>
      </c>
      <c r="Y113" s="431">
        <v>20000</v>
      </c>
      <c r="Z113" s="468">
        <v>1138146</v>
      </c>
      <c r="AA113" s="431">
        <v>55967</v>
      </c>
      <c r="AB113" s="431">
        <v>0</v>
      </c>
      <c r="AC113" s="468">
        <v>650203</v>
      </c>
      <c r="AD113" s="431">
        <v>9601</v>
      </c>
      <c r="AE113" s="431">
        <v>980020</v>
      </c>
      <c r="AF113" s="431">
        <v>0</v>
      </c>
      <c r="AG113" s="431">
        <v>519365</v>
      </c>
      <c r="AH113" s="431">
        <v>244206</v>
      </c>
      <c r="AI113" s="468">
        <v>153068</v>
      </c>
      <c r="AJ113" s="468">
        <v>1451723</v>
      </c>
      <c r="AK113" s="431">
        <v>0</v>
      </c>
      <c r="AL113" s="431">
        <v>3379944</v>
      </c>
      <c r="AM113" s="431">
        <v>195616</v>
      </c>
    </row>
    <row r="114" spans="1:39" s="155" customFormat="1" ht="12" x14ac:dyDescent="0.2">
      <c r="A114" s="168">
        <v>60</v>
      </c>
      <c r="B114" s="196">
        <v>55311</v>
      </c>
      <c r="C114" s="237" t="s">
        <v>1290</v>
      </c>
      <c r="D114" s="432">
        <f t="shared" si="13"/>
        <v>3763420</v>
      </c>
      <c r="E114" s="431">
        <v>1910760</v>
      </c>
      <c r="F114" s="431">
        <v>110870</v>
      </c>
      <c r="G114" s="431">
        <v>1352333</v>
      </c>
      <c r="H114" s="431">
        <v>0</v>
      </c>
      <c r="I114" s="431">
        <v>935860</v>
      </c>
      <c r="J114" s="431">
        <v>0</v>
      </c>
      <c r="K114" s="431">
        <v>111373</v>
      </c>
      <c r="L114" s="431">
        <v>0</v>
      </c>
      <c r="M114" s="431">
        <v>787227</v>
      </c>
      <c r="N114" s="431">
        <v>0</v>
      </c>
      <c r="O114" s="431">
        <v>18200</v>
      </c>
      <c r="P114" s="432">
        <f t="shared" si="16"/>
        <v>7585647</v>
      </c>
      <c r="Q114" s="431">
        <v>1173041</v>
      </c>
      <c r="R114" s="431">
        <v>1095016</v>
      </c>
      <c r="S114" s="431">
        <v>0</v>
      </c>
      <c r="T114" s="431">
        <v>0</v>
      </c>
      <c r="U114" s="431">
        <v>3096</v>
      </c>
      <c r="V114" s="431">
        <v>0</v>
      </c>
      <c r="W114" s="431">
        <v>4333017</v>
      </c>
      <c r="X114" s="431">
        <v>149558</v>
      </c>
      <c r="Y114" s="431">
        <v>122875</v>
      </c>
      <c r="Z114" s="468">
        <v>709044</v>
      </c>
      <c r="AA114" s="431">
        <v>0</v>
      </c>
      <c r="AB114" s="431">
        <v>0</v>
      </c>
      <c r="AC114" s="468">
        <v>842929</v>
      </c>
      <c r="AD114" s="431">
        <v>97831</v>
      </c>
      <c r="AE114" s="431">
        <v>863069</v>
      </c>
      <c r="AF114" s="431">
        <v>0</v>
      </c>
      <c r="AG114" s="431">
        <v>299730</v>
      </c>
      <c r="AH114" s="431">
        <v>193639</v>
      </c>
      <c r="AI114" s="468">
        <v>170717</v>
      </c>
      <c r="AJ114" s="468">
        <v>1117040</v>
      </c>
      <c r="AK114" s="431">
        <v>0</v>
      </c>
      <c r="AL114" s="431">
        <v>4000692</v>
      </c>
      <c r="AM114" s="431">
        <v>0</v>
      </c>
    </row>
    <row r="115" spans="1:39" s="155" customFormat="1" ht="12" x14ac:dyDescent="0.2">
      <c r="A115" s="168">
        <v>61</v>
      </c>
      <c r="B115" s="196">
        <v>59327</v>
      </c>
      <c r="C115" s="559" t="s">
        <v>1291</v>
      </c>
      <c r="D115" s="432">
        <f t="shared" si="13"/>
        <v>6499877</v>
      </c>
      <c r="E115" s="431">
        <v>2959354</v>
      </c>
      <c r="F115" s="431">
        <v>767268</v>
      </c>
      <c r="G115" s="431">
        <v>776046</v>
      </c>
      <c r="H115" s="431">
        <v>0</v>
      </c>
      <c r="I115" s="431">
        <v>1858607</v>
      </c>
      <c r="J115" s="431">
        <v>0</v>
      </c>
      <c r="K115" s="431">
        <v>1070373</v>
      </c>
      <c r="L115" s="431">
        <v>0</v>
      </c>
      <c r="M115" s="431">
        <v>192598</v>
      </c>
      <c r="N115" s="431">
        <v>418945</v>
      </c>
      <c r="O115" s="431">
        <v>0</v>
      </c>
      <c r="P115" s="432">
        <f t="shared" si="16"/>
        <v>6401529</v>
      </c>
      <c r="Q115" s="431">
        <v>2189402</v>
      </c>
      <c r="R115" s="431">
        <v>2060298</v>
      </c>
      <c r="S115" s="431">
        <v>0</v>
      </c>
      <c r="T115" s="431">
        <v>0</v>
      </c>
      <c r="U115" s="431">
        <v>36000</v>
      </c>
      <c r="V115" s="431">
        <v>0</v>
      </c>
      <c r="W115" s="431">
        <v>496680</v>
      </c>
      <c r="X115" s="431">
        <v>292207</v>
      </c>
      <c r="Y115" s="431">
        <v>80838</v>
      </c>
      <c r="Z115" s="468">
        <v>1246104</v>
      </c>
      <c r="AA115" s="431">
        <v>0</v>
      </c>
      <c r="AB115" s="431">
        <v>0</v>
      </c>
      <c r="AC115" s="468">
        <v>1215985</v>
      </c>
      <c r="AD115" s="431">
        <v>32132</v>
      </c>
      <c r="AE115" s="431">
        <v>1895317</v>
      </c>
      <c r="AF115" s="431">
        <v>0</v>
      </c>
      <c r="AG115" s="431">
        <v>573133</v>
      </c>
      <c r="AH115" s="431">
        <v>480649</v>
      </c>
      <c r="AI115" s="468">
        <v>466479</v>
      </c>
      <c r="AJ115" s="468">
        <v>0</v>
      </c>
      <c r="AK115" s="431">
        <v>0</v>
      </c>
      <c r="AL115" s="431">
        <v>1481372</v>
      </c>
      <c r="AM115" s="431">
        <v>256462</v>
      </c>
    </row>
    <row r="116" spans="1:39" s="155" customFormat="1" ht="12" x14ac:dyDescent="0.2">
      <c r="A116" s="168">
        <v>62</v>
      </c>
      <c r="B116" s="196">
        <v>59416</v>
      </c>
      <c r="C116" s="559" t="s">
        <v>1292</v>
      </c>
      <c r="D116" s="432">
        <f t="shared" si="13"/>
        <v>6313129</v>
      </c>
      <c r="E116" s="431">
        <v>2749365</v>
      </c>
      <c r="F116" s="431">
        <v>213354</v>
      </c>
      <c r="G116" s="431">
        <v>2015302</v>
      </c>
      <c r="H116" s="431">
        <v>0</v>
      </c>
      <c r="I116" s="431">
        <v>1102033</v>
      </c>
      <c r="J116" s="431">
        <v>0</v>
      </c>
      <c r="K116" s="431">
        <v>223373</v>
      </c>
      <c r="L116" s="431">
        <v>0</v>
      </c>
      <c r="M116" s="431">
        <v>675844</v>
      </c>
      <c r="N116" s="431">
        <v>1562514</v>
      </c>
      <c r="O116" s="431">
        <v>0</v>
      </c>
      <c r="P116" s="432">
        <f t="shared" si="16"/>
        <v>6346189</v>
      </c>
      <c r="Q116" s="431">
        <v>1336263</v>
      </c>
      <c r="R116" s="431">
        <v>1783187</v>
      </c>
      <c r="S116" s="431">
        <v>0</v>
      </c>
      <c r="T116" s="431">
        <v>0</v>
      </c>
      <c r="U116" s="431">
        <v>0</v>
      </c>
      <c r="V116" s="431">
        <v>0</v>
      </c>
      <c r="W116" s="431">
        <v>2634058</v>
      </c>
      <c r="X116" s="431">
        <v>153875</v>
      </c>
      <c r="Y116" s="431">
        <v>0</v>
      </c>
      <c r="Z116" s="468">
        <v>438806</v>
      </c>
      <c r="AA116" s="431">
        <v>0</v>
      </c>
      <c r="AB116" s="431">
        <v>0</v>
      </c>
      <c r="AC116" s="468">
        <v>722689</v>
      </c>
      <c r="AD116" s="431">
        <v>10000</v>
      </c>
      <c r="AE116" s="431">
        <v>3011838</v>
      </c>
      <c r="AF116" s="431">
        <v>23000</v>
      </c>
      <c r="AG116" s="431">
        <v>655279</v>
      </c>
      <c r="AH116" s="431">
        <v>389929</v>
      </c>
      <c r="AI116" s="468">
        <v>373783</v>
      </c>
      <c r="AJ116" s="468">
        <v>104094</v>
      </c>
      <c r="AK116" s="431">
        <v>0</v>
      </c>
      <c r="AL116" s="431">
        <v>1040359</v>
      </c>
      <c r="AM116" s="431">
        <v>15218</v>
      </c>
    </row>
    <row r="117" spans="1:39" s="155" customFormat="1" ht="12" x14ac:dyDescent="0.2">
      <c r="A117" s="168">
        <v>63</v>
      </c>
      <c r="B117" s="196">
        <v>59434</v>
      </c>
      <c r="C117" s="237" t="s">
        <v>1293</v>
      </c>
      <c r="D117" s="432">
        <f t="shared" si="13"/>
        <v>4856691</v>
      </c>
      <c r="E117" s="431">
        <v>2308792</v>
      </c>
      <c r="F117" s="431">
        <v>235604</v>
      </c>
      <c r="G117" s="431">
        <v>1436165</v>
      </c>
      <c r="H117" s="431">
        <v>0</v>
      </c>
      <c r="I117" s="431">
        <v>1013539</v>
      </c>
      <c r="J117" s="431">
        <v>0</v>
      </c>
      <c r="K117" s="431">
        <v>224370</v>
      </c>
      <c r="L117" s="431">
        <v>0</v>
      </c>
      <c r="M117" s="431">
        <v>741447</v>
      </c>
      <c r="N117" s="431">
        <v>568543</v>
      </c>
      <c r="O117" s="431">
        <v>0</v>
      </c>
      <c r="P117" s="432">
        <f t="shared" si="16"/>
        <v>3686268</v>
      </c>
      <c r="Q117" s="431">
        <v>1312479</v>
      </c>
      <c r="R117" s="431">
        <v>585229</v>
      </c>
      <c r="S117" s="431">
        <v>0</v>
      </c>
      <c r="T117" s="431">
        <v>0</v>
      </c>
      <c r="U117" s="431">
        <v>0</v>
      </c>
      <c r="V117" s="431">
        <v>0</v>
      </c>
      <c r="W117" s="431">
        <v>573022</v>
      </c>
      <c r="X117" s="431">
        <v>114938</v>
      </c>
      <c r="Y117" s="431">
        <v>29895</v>
      </c>
      <c r="Z117" s="468">
        <v>1070705</v>
      </c>
      <c r="AA117" s="431">
        <v>0</v>
      </c>
      <c r="AB117" s="431">
        <v>0</v>
      </c>
      <c r="AC117" s="468">
        <v>686897</v>
      </c>
      <c r="AD117" s="431">
        <v>3673</v>
      </c>
      <c r="AE117" s="431">
        <v>979309</v>
      </c>
      <c r="AF117" s="431">
        <v>0</v>
      </c>
      <c r="AG117" s="431">
        <v>382947</v>
      </c>
      <c r="AH117" s="431">
        <v>240979</v>
      </c>
      <c r="AI117" s="468">
        <v>337962</v>
      </c>
      <c r="AJ117" s="468">
        <v>62466</v>
      </c>
      <c r="AK117" s="431">
        <v>0</v>
      </c>
      <c r="AL117" s="431">
        <v>933530</v>
      </c>
      <c r="AM117" s="431">
        <v>58505</v>
      </c>
    </row>
    <row r="118" spans="1:39" s="155" customFormat="1" ht="12" x14ac:dyDescent="0.2">
      <c r="A118" s="168">
        <v>64</v>
      </c>
      <c r="B118" s="196">
        <v>59498</v>
      </c>
      <c r="C118" s="559" t="s">
        <v>1294</v>
      </c>
      <c r="D118" s="432">
        <f t="shared" ref="D118:D129" si="17">E118+SUM(H118:O118)</f>
        <v>4193260</v>
      </c>
      <c r="E118" s="431">
        <v>1712159</v>
      </c>
      <c r="F118" s="431">
        <v>59001</v>
      </c>
      <c r="G118" s="431">
        <v>1357197</v>
      </c>
      <c r="H118" s="431">
        <v>0</v>
      </c>
      <c r="I118" s="431">
        <v>756364</v>
      </c>
      <c r="J118" s="431">
        <v>100000</v>
      </c>
      <c r="K118" s="431">
        <v>110373</v>
      </c>
      <c r="L118" s="431">
        <v>0</v>
      </c>
      <c r="M118" s="431">
        <v>1355303</v>
      </c>
      <c r="N118" s="431">
        <v>159061</v>
      </c>
      <c r="O118" s="431">
        <v>0</v>
      </c>
      <c r="P118" s="432">
        <f t="shared" si="16"/>
        <v>3975360</v>
      </c>
      <c r="Q118" s="431">
        <v>1056842</v>
      </c>
      <c r="R118" s="431">
        <v>740327</v>
      </c>
      <c r="S118" s="431">
        <v>0</v>
      </c>
      <c r="T118" s="431">
        <v>0</v>
      </c>
      <c r="U118" s="431">
        <v>20930</v>
      </c>
      <c r="V118" s="431">
        <v>0</v>
      </c>
      <c r="W118" s="431">
        <v>315400</v>
      </c>
      <c r="X118" s="431">
        <v>75308</v>
      </c>
      <c r="Y118" s="431">
        <v>11160</v>
      </c>
      <c r="Z118" s="468">
        <v>1755393</v>
      </c>
      <c r="AA118" s="431">
        <v>0</v>
      </c>
      <c r="AB118" s="431">
        <v>0</v>
      </c>
      <c r="AC118" s="468">
        <v>588611</v>
      </c>
      <c r="AD118" s="431">
        <v>0</v>
      </c>
      <c r="AE118" s="431">
        <v>566425</v>
      </c>
      <c r="AF118" s="431">
        <v>0</v>
      </c>
      <c r="AG118" s="431">
        <v>252930</v>
      </c>
      <c r="AH118" s="431">
        <v>304469</v>
      </c>
      <c r="AI118" s="468">
        <v>178153</v>
      </c>
      <c r="AJ118" s="468">
        <v>0</v>
      </c>
      <c r="AK118" s="431">
        <v>0</v>
      </c>
      <c r="AL118" s="431">
        <v>1993992</v>
      </c>
      <c r="AM118" s="431">
        <v>90780</v>
      </c>
    </row>
    <row r="119" spans="1:39" s="155" customFormat="1" ht="12" x14ac:dyDescent="0.2">
      <c r="A119" s="168">
        <v>65</v>
      </c>
      <c r="B119" s="196">
        <v>59586</v>
      </c>
      <c r="C119" s="559" t="s">
        <v>1295</v>
      </c>
      <c r="D119" s="432">
        <f t="shared" si="17"/>
        <v>9651992</v>
      </c>
      <c r="E119" s="431">
        <v>2293672</v>
      </c>
      <c r="F119" s="431">
        <v>115309</v>
      </c>
      <c r="G119" s="431">
        <v>1422657</v>
      </c>
      <c r="H119" s="431">
        <v>0</v>
      </c>
      <c r="I119" s="431">
        <v>1011367</v>
      </c>
      <c r="J119" s="431">
        <v>222222</v>
      </c>
      <c r="K119" s="431">
        <v>642373</v>
      </c>
      <c r="L119" s="431">
        <v>0</v>
      </c>
      <c r="M119" s="431">
        <v>1289474</v>
      </c>
      <c r="N119" s="431">
        <v>4181384</v>
      </c>
      <c r="O119" s="431">
        <v>11500</v>
      </c>
      <c r="P119" s="432">
        <f t="shared" ref="P119:P129" si="18">IF(SUM(Q119:AB119)=SUM(AC119:AM119),SUM(Q119:AB119),"  EROARE ART/CAP")</f>
        <v>10365031</v>
      </c>
      <c r="Q119" s="431">
        <v>1492072</v>
      </c>
      <c r="R119" s="431">
        <v>1223511</v>
      </c>
      <c r="S119" s="431">
        <v>34500</v>
      </c>
      <c r="T119" s="431">
        <v>0</v>
      </c>
      <c r="U119" s="431">
        <v>39661</v>
      </c>
      <c r="V119" s="431">
        <v>0</v>
      </c>
      <c r="W119" s="431">
        <v>6841307</v>
      </c>
      <c r="X119" s="431">
        <v>181547</v>
      </c>
      <c r="Y119" s="431">
        <v>43678</v>
      </c>
      <c r="Z119" s="468">
        <v>321255</v>
      </c>
      <c r="AA119" s="431">
        <v>187500</v>
      </c>
      <c r="AB119" s="431">
        <v>0</v>
      </c>
      <c r="AC119" s="468">
        <v>1694462</v>
      </c>
      <c r="AD119" s="431">
        <v>0</v>
      </c>
      <c r="AE119" s="431">
        <v>774545</v>
      </c>
      <c r="AF119" s="431">
        <v>0</v>
      </c>
      <c r="AG119" s="431">
        <v>359000</v>
      </c>
      <c r="AH119" s="431">
        <v>342134</v>
      </c>
      <c r="AI119" s="468">
        <v>269809</v>
      </c>
      <c r="AJ119" s="468">
        <v>0</v>
      </c>
      <c r="AK119" s="431">
        <v>0</v>
      </c>
      <c r="AL119" s="431">
        <v>6817043</v>
      </c>
      <c r="AM119" s="431">
        <v>108038</v>
      </c>
    </row>
    <row r="120" spans="1:39" s="155" customFormat="1" ht="12" x14ac:dyDescent="0.2">
      <c r="A120" s="168">
        <v>66</v>
      </c>
      <c r="B120" s="196">
        <v>59657</v>
      </c>
      <c r="C120" s="559" t="s">
        <v>1296</v>
      </c>
      <c r="D120" s="432">
        <f t="shared" si="17"/>
        <v>3747297</v>
      </c>
      <c r="E120" s="431">
        <v>1777585</v>
      </c>
      <c r="F120" s="431">
        <v>76993</v>
      </c>
      <c r="G120" s="431">
        <v>1209551</v>
      </c>
      <c r="H120" s="431">
        <v>0</v>
      </c>
      <c r="I120" s="431">
        <v>727450</v>
      </c>
      <c r="J120" s="431">
        <v>400000</v>
      </c>
      <c r="K120" s="431">
        <v>261373</v>
      </c>
      <c r="L120" s="431">
        <v>0</v>
      </c>
      <c r="M120" s="431">
        <v>294525</v>
      </c>
      <c r="N120" s="431">
        <v>286364</v>
      </c>
      <c r="O120" s="431">
        <v>0</v>
      </c>
      <c r="P120" s="432">
        <f t="shared" si="18"/>
        <v>3060322</v>
      </c>
      <c r="Q120" s="431">
        <v>945376</v>
      </c>
      <c r="R120" s="431">
        <v>534557</v>
      </c>
      <c r="S120" s="431">
        <v>0</v>
      </c>
      <c r="T120" s="431">
        <v>0</v>
      </c>
      <c r="U120" s="431">
        <v>0</v>
      </c>
      <c r="V120" s="431">
        <v>0</v>
      </c>
      <c r="W120" s="431">
        <v>377940</v>
      </c>
      <c r="X120" s="431">
        <v>151852</v>
      </c>
      <c r="Y120" s="431">
        <v>19904</v>
      </c>
      <c r="Z120" s="468">
        <v>1030693</v>
      </c>
      <c r="AA120" s="431">
        <v>0</v>
      </c>
      <c r="AB120" s="431">
        <v>0</v>
      </c>
      <c r="AC120" s="468">
        <v>1064289</v>
      </c>
      <c r="AD120" s="431">
        <v>16828</v>
      </c>
      <c r="AE120" s="431">
        <v>612784</v>
      </c>
      <c r="AF120" s="431">
        <v>0</v>
      </c>
      <c r="AG120" s="431">
        <v>243824</v>
      </c>
      <c r="AH120" s="431">
        <v>213179</v>
      </c>
      <c r="AI120" s="468">
        <v>53896</v>
      </c>
      <c r="AJ120" s="468">
        <v>0</v>
      </c>
      <c r="AK120" s="431">
        <v>0</v>
      </c>
      <c r="AL120" s="431">
        <v>855522</v>
      </c>
      <c r="AM120" s="431">
        <v>0</v>
      </c>
    </row>
    <row r="121" spans="1:39" s="155" customFormat="1" ht="12" x14ac:dyDescent="0.2">
      <c r="A121" s="168">
        <v>67</v>
      </c>
      <c r="B121" s="196">
        <v>59826</v>
      </c>
      <c r="C121" s="559" t="s">
        <v>1297</v>
      </c>
      <c r="D121" s="432">
        <f t="shared" si="17"/>
        <v>4585821</v>
      </c>
      <c r="E121" s="431">
        <v>1983605</v>
      </c>
      <c r="F121" s="431">
        <v>462358</v>
      </c>
      <c r="G121" s="431">
        <v>861996</v>
      </c>
      <c r="H121" s="431">
        <v>0</v>
      </c>
      <c r="I121" s="431">
        <v>1013216</v>
      </c>
      <c r="J121" s="431">
        <v>122220</v>
      </c>
      <c r="K121" s="431">
        <v>358370</v>
      </c>
      <c r="L121" s="431">
        <v>0</v>
      </c>
      <c r="M121" s="431">
        <v>482879</v>
      </c>
      <c r="N121" s="431">
        <v>620531</v>
      </c>
      <c r="O121" s="431">
        <v>5000</v>
      </c>
      <c r="P121" s="432">
        <f t="shared" si="18"/>
        <v>4435552</v>
      </c>
      <c r="Q121" s="431">
        <v>1274321</v>
      </c>
      <c r="R121" s="431">
        <v>1069001</v>
      </c>
      <c r="S121" s="431">
        <v>0</v>
      </c>
      <c r="T121" s="431">
        <v>0</v>
      </c>
      <c r="U121" s="431">
        <v>17400</v>
      </c>
      <c r="V121" s="431">
        <v>0</v>
      </c>
      <c r="W121" s="431">
        <v>666308</v>
      </c>
      <c r="X121" s="431">
        <v>224658</v>
      </c>
      <c r="Y121" s="431">
        <v>18536</v>
      </c>
      <c r="Z121" s="468">
        <v>1165328</v>
      </c>
      <c r="AA121" s="431">
        <v>0</v>
      </c>
      <c r="AB121" s="431">
        <v>0</v>
      </c>
      <c r="AC121" s="468">
        <v>1146613</v>
      </c>
      <c r="AD121" s="431">
        <v>0</v>
      </c>
      <c r="AE121" s="431">
        <v>805255</v>
      </c>
      <c r="AF121" s="431">
        <v>23051</v>
      </c>
      <c r="AG121" s="431">
        <v>1060458</v>
      </c>
      <c r="AH121" s="431">
        <v>399544</v>
      </c>
      <c r="AI121" s="468">
        <v>678160</v>
      </c>
      <c r="AJ121" s="468">
        <v>112396</v>
      </c>
      <c r="AK121" s="431">
        <v>0</v>
      </c>
      <c r="AL121" s="431">
        <v>194803</v>
      </c>
      <c r="AM121" s="431">
        <v>15272</v>
      </c>
    </row>
    <row r="122" spans="1:39" s="155" customFormat="1" ht="12" x14ac:dyDescent="0.2">
      <c r="A122" s="168">
        <v>68</v>
      </c>
      <c r="B122" s="196">
        <v>59693</v>
      </c>
      <c r="C122" s="559" t="s">
        <v>1298</v>
      </c>
      <c r="D122" s="432">
        <f t="shared" si="17"/>
        <v>11630127</v>
      </c>
      <c r="E122" s="431">
        <v>2616961</v>
      </c>
      <c r="F122" s="431">
        <v>266620</v>
      </c>
      <c r="G122" s="431">
        <v>1016975</v>
      </c>
      <c r="H122" s="431">
        <v>0</v>
      </c>
      <c r="I122" s="431">
        <v>2639875</v>
      </c>
      <c r="J122" s="431">
        <v>350000</v>
      </c>
      <c r="K122" s="431">
        <v>1293373</v>
      </c>
      <c r="L122" s="431">
        <v>0</v>
      </c>
      <c r="M122" s="431">
        <v>740793</v>
      </c>
      <c r="N122" s="431">
        <v>3987625</v>
      </c>
      <c r="O122" s="431">
        <v>1500</v>
      </c>
      <c r="P122" s="432">
        <f t="shared" si="18"/>
        <v>7423316</v>
      </c>
      <c r="Q122" s="431">
        <v>2845794</v>
      </c>
      <c r="R122" s="431">
        <v>3524410</v>
      </c>
      <c r="S122" s="431">
        <v>0</v>
      </c>
      <c r="T122" s="431">
        <v>0</v>
      </c>
      <c r="U122" s="431">
        <v>0</v>
      </c>
      <c r="V122" s="431">
        <v>0</v>
      </c>
      <c r="W122" s="431">
        <v>55407</v>
      </c>
      <c r="X122" s="431">
        <v>149559</v>
      </c>
      <c r="Y122" s="431">
        <v>6960</v>
      </c>
      <c r="Z122" s="468">
        <v>841186</v>
      </c>
      <c r="AA122" s="431">
        <v>0</v>
      </c>
      <c r="AB122" s="431">
        <v>0</v>
      </c>
      <c r="AC122" s="468">
        <v>1388354</v>
      </c>
      <c r="AD122" s="431">
        <v>65472</v>
      </c>
      <c r="AE122" s="431">
        <v>1919841</v>
      </c>
      <c r="AF122" s="431">
        <v>0</v>
      </c>
      <c r="AG122" s="431">
        <v>269964</v>
      </c>
      <c r="AH122" s="431">
        <v>854673</v>
      </c>
      <c r="AI122" s="468">
        <v>213574</v>
      </c>
      <c r="AJ122" s="468">
        <v>613104</v>
      </c>
      <c r="AK122" s="431">
        <v>0</v>
      </c>
      <c r="AL122" s="431">
        <v>2089534</v>
      </c>
      <c r="AM122" s="431">
        <v>8800</v>
      </c>
    </row>
    <row r="123" spans="1:39" s="155" customFormat="1" ht="12" x14ac:dyDescent="0.2">
      <c r="A123" s="168">
        <v>69</v>
      </c>
      <c r="B123" s="196">
        <v>59764</v>
      </c>
      <c r="C123" s="559" t="s">
        <v>1299</v>
      </c>
      <c r="D123" s="432">
        <f t="shared" si="17"/>
        <v>10417482</v>
      </c>
      <c r="E123" s="431">
        <v>2610499</v>
      </c>
      <c r="F123" s="431">
        <v>351735</v>
      </c>
      <c r="G123" s="431">
        <v>1269176</v>
      </c>
      <c r="H123" s="431">
        <v>0</v>
      </c>
      <c r="I123" s="431">
        <v>1004397</v>
      </c>
      <c r="J123" s="431">
        <v>122222</v>
      </c>
      <c r="K123" s="431">
        <v>496373</v>
      </c>
      <c r="L123" s="431">
        <v>0</v>
      </c>
      <c r="M123" s="431">
        <v>4334491</v>
      </c>
      <c r="N123" s="431">
        <v>919671</v>
      </c>
      <c r="O123" s="431">
        <v>929829</v>
      </c>
      <c r="P123" s="432">
        <f t="shared" si="18"/>
        <v>10709879</v>
      </c>
      <c r="Q123" s="431">
        <v>1238346</v>
      </c>
      <c r="R123" s="431">
        <v>1269370</v>
      </c>
      <c r="S123" s="431">
        <v>0</v>
      </c>
      <c r="T123" s="431">
        <v>0</v>
      </c>
      <c r="U123" s="431">
        <v>5000</v>
      </c>
      <c r="V123" s="431">
        <v>0</v>
      </c>
      <c r="W123" s="431">
        <v>1702126</v>
      </c>
      <c r="X123" s="431">
        <v>138874</v>
      </c>
      <c r="Y123" s="431">
        <v>17709</v>
      </c>
      <c r="Z123" s="468">
        <v>6338454</v>
      </c>
      <c r="AA123" s="431">
        <v>0</v>
      </c>
      <c r="AB123" s="431">
        <v>0</v>
      </c>
      <c r="AC123" s="468">
        <v>853744</v>
      </c>
      <c r="AD123" s="431">
        <v>57433</v>
      </c>
      <c r="AE123" s="431">
        <v>973014</v>
      </c>
      <c r="AF123" s="431">
        <v>4538</v>
      </c>
      <c r="AG123" s="431">
        <v>160167</v>
      </c>
      <c r="AH123" s="431">
        <v>168362</v>
      </c>
      <c r="AI123" s="468">
        <v>1706399</v>
      </c>
      <c r="AJ123" s="468">
        <v>0</v>
      </c>
      <c r="AK123" s="431">
        <v>0</v>
      </c>
      <c r="AL123" s="431">
        <v>6749507</v>
      </c>
      <c r="AM123" s="431">
        <v>36715</v>
      </c>
    </row>
    <row r="124" spans="1:39" s="155" customFormat="1" ht="12" x14ac:dyDescent="0.2">
      <c r="A124" s="168">
        <v>70</v>
      </c>
      <c r="B124" s="196">
        <v>59880</v>
      </c>
      <c r="C124" s="559" t="s">
        <v>1300</v>
      </c>
      <c r="D124" s="432">
        <f t="shared" si="17"/>
        <v>4568375</v>
      </c>
      <c r="E124" s="431">
        <v>2674828</v>
      </c>
      <c r="F124" s="431">
        <v>120799</v>
      </c>
      <c r="G124" s="431">
        <v>2067479</v>
      </c>
      <c r="H124" s="431">
        <v>0</v>
      </c>
      <c r="I124" s="431">
        <v>1428913</v>
      </c>
      <c r="J124" s="431">
        <v>0</v>
      </c>
      <c r="K124" s="431">
        <v>230370</v>
      </c>
      <c r="L124" s="431">
        <v>0</v>
      </c>
      <c r="M124" s="431">
        <v>68804</v>
      </c>
      <c r="N124" s="431">
        <v>165460</v>
      </c>
      <c r="O124" s="431">
        <v>0</v>
      </c>
      <c r="P124" s="432">
        <f t="shared" si="18"/>
        <v>4189042</v>
      </c>
      <c r="Q124" s="431">
        <v>1721612</v>
      </c>
      <c r="R124" s="431">
        <v>1088471</v>
      </c>
      <c r="S124" s="431">
        <v>0</v>
      </c>
      <c r="T124" s="431">
        <v>0</v>
      </c>
      <c r="U124" s="431">
        <v>28890</v>
      </c>
      <c r="V124" s="431">
        <v>0</v>
      </c>
      <c r="W124" s="431">
        <v>0</v>
      </c>
      <c r="X124" s="431">
        <v>174307</v>
      </c>
      <c r="Y124" s="431">
        <v>6000</v>
      </c>
      <c r="Z124" s="468">
        <v>1171022</v>
      </c>
      <c r="AA124" s="431">
        <v>0</v>
      </c>
      <c r="AB124" s="431">
        <v>-1260</v>
      </c>
      <c r="AC124" s="468">
        <v>835341</v>
      </c>
      <c r="AD124" s="431">
        <v>20131</v>
      </c>
      <c r="AE124" s="431">
        <v>1185634</v>
      </c>
      <c r="AF124" s="431">
        <v>11229</v>
      </c>
      <c r="AG124" s="431">
        <v>531405</v>
      </c>
      <c r="AH124" s="431">
        <v>443036</v>
      </c>
      <c r="AI124" s="468">
        <v>427946</v>
      </c>
      <c r="AJ124" s="468">
        <v>85513</v>
      </c>
      <c r="AK124" s="431">
        <v>0</v>
      </c>
      <c r="AL124" s="431">
        <v>577139</v>
      </c>
      <c r="AM124" s="431">
        <v>71668</v>
      </c>
    </row>
    <row r="125" spans="1:39" s="155" customFormat="1" ht="12" x14ac:dyDescent="0.2">
      <c r="A125" s="168">
        <v>71</v>
      </c>
      <c r="B125" s="196">
        <v>59942</v>
      </c>
      <c r="C125" s="559" t="s">
        <v>1301</v>
      </c>
      <c r="D125" s="432">
        <f t="shared" si="17"/>
        <v>10208698</v>
      </c>
      <c r="E125" s="431">
        <v>3566568</v>
      </c>
      <c r="F125" s="431">
        <v>90999</v>
      </c>
      <c r="G125" s="431">
        <v>1752671</v>
      </c>
      <c r="H125" s="431">
        <v>0</v>
      </c>
      <c r="I125" s="431">
        <v>990611</v>
      </c>
      <c r="J125" s="431">
        <v>122222</v>
      </c>
      <c r="K125" s="431">
        <v>512013</v>
      </c>
      <c r="L125" s="431">
        <v>0</v>
      </c>
      <c r="M125" s="431">
        <v>1716824</v>
      </c>
      <c r="N125" s="431">
        <v>3000461</v>
      </c>
      <c r="O125" s="431">
        <v>299999</v>
      </c>
      <c r="P125" s="432">
        <f t="shared" si="18"/>
        <v>10760619</v>
      </c>
      <c r="Q125" s="431">
        <v>1284134</v>
      </c>
      <c r="R125" s="431">
        <v>1096468</v>
      </c>
      <c r="S125" s="431">
        <v>0</v>
      </c>
      <c r="T125" s="431">
        <v>0</v>
      </c>
      <c r="U125" s="431">
        <v>0</v>
      </c>
      <c r="V125" s="431">
        <v>0</v>
      </c>
      <c r="W125" s="431">
        <v>6051180</v>
      </c>
      <c r="X125" s="431">
        <v>231567</v>
      </c>
      <c r="Y125" s="431">
        <v>299999</v>
      </c>
      <c r="Z125" s="468">
        <v>1797271</v>
      </c>
      <c r="AA125" s="431">
        <v>0</v>
      </c>
      <c r="AB125" s="431">
        <v>0</v>
      </c>
      <c r="AC125" s="468">
        <v>991179</v>
      </c>
      <c r="AD125" s="431">
        <v>3348</v>
      </c>
      <c r="AE125" s="431">
        <v>912285</v>
      </c>
      <c r="AF125" s="431">
        <v>38217</v>
      </c>
      <c r="AG125" s="431">
        <v>205505</v>
      </c>
      <c r="AH125" s="431">
        <v>358808</v>
      </c>
      <c r="AI125" s="468">
        <v>1936324</v>
      </c>
      <c r="AJ125" s="468">
        <v>575802</v>
      </c>
      <c r="AK125" s="431">
        <v>0</v>
      </c>
      <c r="AL125" s="431">
        <v>408173</v>
      </c>
      <c r="AM125" s="431">
        <v>5330978</v>
      </c>
    </row>
    <row r="126" spans="1:39" s="155" customFormat="1" ht="12" x14ac:dyDescent="0.2">
      <c r="A126" s="168">
        <v>72</v>
      </c>
      <c r="B126" s="196">
        <v>60026</v>
      </c>
      <c r="C126" s="559" t="s">
        <v>1302</v>
      </c>
      <c r="D126" s="432">
        <f t="shared" si="17"/>
        <v>5869782</v>
      </c>
      <c r="E126" s="431">
        <v>1971251</v>
      </c>
      <c r="F126" s="431">
        <v>139603</v>
      </c>
      <c r="G126" s="431">
        <v>1515884</v>
      </c>
      <c r="H126" s="431">
        <v>0</v>
      </c>
      <c r="I126" s="431">
        <v>565036</v>
      </c>
      <c r="J126" s="431">
        <v>122222</v>
      </c>
      <c r="K126" s="431">
        <v>144373</v>
      </c>
      <c r="L126" s="431">
        <v>0</v>
      </c>
      <c r="M126" s="431">
        <v>624154</v>
      </c>
      <c r="N126" s="431">
        <v>2438746</v>
      </c>
      <c r="O126" s="431">
        <v>4000</v>
      </c>
      <c r="P126" s="432">
        <f t="shared" si="18"/>
        <v>6016294</v>
      </c>
      <c r="Q126" s="431">
        <v>921986</v>
      </c>
      <c r="R126" s="431">
        <v>1379818</v>
      </c>
      <c r="S126" s="431">
        <v>0</v>
      </c>
      <c r="T126" s="431">
        <v>0</v>
      </c>
      <c r="U126" s="431">
        <v>0</v>
      </c>
      <c r="V126" s="431">
        <v>0</v>
      </c>
      <c r="W126" s="431">
        <v>3147693</v>
      </c>
      <c r="X126" s="431">
        <v>65311</v>
      </c>
      <c r="Y126" s="431">
        <v>3420</v>
      </c>
      <c r="Z126" s="468">
        <v>498066</v>
      </c>
      <c r="AA126" s="431">
        <v>0</v>
      </c>
      <c r="AB126" s="431">
        <v>0</v>
      </c>
      <c r="AC126" s="468">
        <v>1102771</v>
      </c>
      <c r="AD126" s="431">
        <v>57272</v>
      </c>
      <c r="AE126" s="431">
        <v>502340</v>
      </c>
      <c r="AF126" s="431">
        <v>0</v>
      </c>
      <c r="AG126" s="431">
        <v>609254</v>
      </c>
      <c r="AH126" s="431">
        <v>127204</v>
      </c>
      <c r="AI126" s="468">
        <v>210739</v>
      </c>
      <c r="AJ126" s="468">
        <v>71357</v>
      </c>
      <c r="AK126" s="431">
        <v>0</v>
      </c>
      <c r="AL126" s="431">
        <v>3248358</v>
      </c>
      <c r="AM126" s="431">
        <v>86999</v>
      </c>
    </row>
    <row r="127" spans="1:39" s="155" customFormat="1" ht="12" x14ac:dyDescent="0.2">
      <c r="A127" s="168">
        <v>73</v>
      </c>
      <c r="B127" s="196">
        <v>60062</v>
      </c>
      <c r="C127" s="559" t="s">
        <v>1303</v>
      </c>
      <c r="D127" s="432">
        <f t="shared" si="17"/>
        <v>8825363</v>
      </c>
      <c r="E127" s="431">
        <v>3195745</v>
      </c>
      <c r="F127" s="431">
        <v>387307</v>
      </c>
      <c r="G127" s="431">
        <v>1469950</v>
      </c>
      <c r="H127" s="431">
        <v>0</v>
      </c>
      <c r="I127" s="431">
        <v>2615809</v>
      </c>
      <c r="J127" s="431">
        <v>350000</v>
      </c>
      <c r="K127" s="431">
        <v>1649373</v>
      </c>
      <c r="L127" s="431">
        <v>0</v>
      </c>
      <c r="M127" s="431">
        <v>1014436</v>
      </c>
      <c r="N127" s="431">
        <v>0</v>
      </c>
      <c r="O127" s="431">
        <v>0</v>
      </c>
      <c r="P127" s="432">
        <f t="shared" si="18"/>
        <v>6788798</v>
      </c>
      <c r="Q127" s="431">
        <v>2757111</v>
      </c>
      <c r="R127" s="431">
        <v>1362858</v>
      </c>
      <c r="S127" s="431">
        <v>0</v>
      </c>
      <c r="T127" s="431">
        <v>0</v>
      </c>
      <c r="U127" s="431">
        <v>51923</v>
      </c>
      <c r="V127" s="431">
        <v>0</v>
      </c>
      <c r="W127" s="431">
        <v>0</v>
      </c>
      <c r="X127" s="431">
        <v>323110</v>
      </c>
      <c r="Y127" s="431">
        <v>0</v>
      </c>
      <c r="Z127" s="468">
        <v>2298303</v>
      </c>
      <c r="AA127" s="431">
        <v>0</v>
      </c>
      <c r="AB127" s="431">
        <v>-4507</v>
      </c>
      <c r="AC127" s="468">
        <v>1189066</v>
      </c>
      <c r="AD127" s="431">
        <v>2148</v>
      </c>
      <c r="AE127" s="431">
        <v>2171792</v>
      </c>
      <c r="AF127" s="431">
        <v>9582</v>
      </c>
      <c r="AG127" s="431">
        <v>515942</v>
      </c>
      <c r="AH127" s="431">
        <v>607119</v>
      </c>
      <c r="AI127" s="468">
        <v>280343</v>
      </c>
      <c r="AJ127" s="468">
        <v>0</v>
      </c>
      <c r="AK127" s="431">
        <v>0</v>
      </c>
      <c r="AL127" s="431">
        <v>2012806</v>
      </c>
      <c r="AM127" s="431">
        <v>0</v>
      </c>
    </row>
    <row r="128" spans="1:39" s="155" customFormat="1" ht="12" x14ac:dyDescent="0.2">
      <c r="A128" s="560">
        <v>74</v>
      </c>
      <c r="B128" s="197">
        <v>60099</v>
      </c>
      <c r="C128" s="561" t="s">
        <v>1304</v>
      </c>
      <c r="D128" s="432">
        <f t="shared" si="17"/>
        <v>4074922</v>
      </c>
      <c r="E128" s="431">
        <v>1792809</v>
      </c>
      <c r="F128" s="431">
        <v>126737</v>
      </c>
      <c r="G128" s="431">
        <v>1257500</v>
      </c>
      <c r="H128" s="431">
        <v>0</v>
      </c>
      <c r="I128" s="431">
        <v>747463</v>
      </c>
      <c r="J128" s="431">
        <v>122222</v>
      </c>
      <c r="K128" s="431">
        <v>140373</v>
      </c>
      <c r="L128" s="431">
        <v>0</v>
      </c>
      <c r="M128" s="431">
        <v>788425</v>
      </c>
      <c r="N128" s="431">
        <v>267881</v>
      </c>
      <c r="O128" s="431">
        <v>215749</v>
      </c>
      <c r="P128" s="432">
        <f t="shared" si="18"/>
        <v>4298658</v>
      </c>
      <c r="Q128" s="431">
        <v>1083192</v>
      </c>
      <c r="R128" s="431">
        <v>1190934</v>
      </c>
      <c r="S128" s="431">
        <v>0</v>
      </c>
      <c r="T128" s="431">
        <v>0</v>
      </c>
      <c r="U128" s="431">
        <v>0</v>
      </c>
      <c r="V128" s="431">
        <v>0</v>
      </c>
      <c r="W128" s="431">
        <v>484757</v>
      </c>
      <c r="X128" s="431">
        <v>149304</v>
      </c>
      <c r="Y128" s="431">
        <v>3259</v>
      </c>
      <c r="Z128" s="468">
        <v>1422012</v>
      </c>
      <c r="AA128" s="431">
        <v>0</v>
      </c>
      <c r="AB128" s="431">
        <v>-34800</v>
      </c>
      <c r="AC128" s="468">
        <v>912505</v>
      </c>
      <c r="AD128" s="431">
        <v>14688</v>
      </c>
      <c r="AE128" s="431">
        <v>558422</v>
      </c>
      <c r="AF128" s="431">
        <v>0</v>
      </c>
      <c r="AG128" s="431">
        <v>265063</v>
      </c>
      <c r="AH128" s="431">
        <v>237245</v>
      </c>
      <c r="AI128" s="468">
        <v>778110</v>
      </c>
      <c r="AJ128" s="468">
        <v>104454</v>
      </c>
      <c r="AK128" s="431">
        <v>0</v>
      </c>
      <c r="AL128" s="431">
        <v>1044264</v>
      </c>
      <c r="AM128" s="431">
        <v>383907</v>
      </c>
    </row>
    <row r="129" spans="1:39" s="155" customFormat="1" ht="12" x14ac:dyDescent="0.2">
      <c r="A129" s="168">
        <v>75</v>
      </c>
      <c r="B129" s="168">
        <v>60169</v>
      </c>
      <c r="C129" s="559" t="s">
        <v>1305</v>
      </c>
      <c r="D129" s="432">
        <f t="shared" si="17"/>
        <v>5601007</v>
      </c>
      <c r="E129" s="431">
        <v>2796072</v>
      </c>
      <c r="F129" s="431">
        <v>167425</v>
      </c>
      <c r="G129" s="431">
        <v>2115170</v>
      </c>
      <c r="H129" s="431">
        <v>0</v>
      </c>
      <c r="I129" s="431">
        <v>1536773</v>
      </c>
      <c r="J129" s="431">
        <v>121413</v>
      </c>
      <c r="K129" s="431">
        <v>197373</v>
      </c>
      <c r="L129" s="431">
        <v>0</v>
      </c>
      <c r="M129" s="431">
        <v>295024</v>
      </c>
      <c r="N129" s="431">
        <v>567242</v>
      </c>
      <c r="O129" s="431">
        <v>87110</v>
      </c>
      <c r="P129" s="432">
        <f t="shared" si="18"/>
        <v>6787832</v>
      </c>
      <c r="Q129" s="431">
        <v>1825134</v>
      </c>
      <c r="R129" s="431">
        <v>2236953</v>
      </c>
      <c r="S129" s="431">
        <v>0</v>
      </c>
      <c r="T129" s="431">
        <v>0</v>
      </c>
      <c r="U129" s="431">
        <v>1290</v>
      </c>
      <c r="V129" s="431">
        <v>0</v>
      </c>
      <c r="W129" s="431">
        <v>2139388</v>
      </c>
      <c r="X129" s="431">
        <v>260389</v>
      </c>
      <c r="Y129" s="431">
        <v>19422</v>
      </c>
      <c r="Z129" s="468">
        <v>289303</v>
      </c>
      <c r="AA129" s="431">
        <v>15953</v>
      </c>
      <c r="AB129" s="431">
        <v>0</v>
      </c>
      <c r="AC129" s="468">
        <v>1109486</v>
      </c>
      <c r="AD129" s="431">
        <v>73763</v>
      </c>
      <c r="AE129" s="431">
        <v>1175898</v>
      </c>
      <c r="AF129" s="431">
        <v>0</v>
      </c>
      <c r="AG129" s="431">
        <v>154605</v>
      </c>
      <c r="AH129" s="431">
        <v>508811</v>
      </c>
      <c r="AI129" s="468">
        <v>324867</v>
      </c>
      <c r="AJ129" s="468">
        <v>140534</v>
      </c>
      <c r="AK129" s="431">
        <v>0</v>
      </c>
      <c r="AL129" s="431">
        <v>902530</v>
      </c>
      <c r="AM129" s="431">
        <v>2397338</v>
      </c>
    </row>
    <row r="130" spans="1:39" s="155" customFormat="1" ht="12" hidden="1" x14ac:dyDescent="0.2">
      <c r="A130" s="168">
        <v>76</v>
      </c>
      <c r="B130" s="558"/>
      <c r="C130" s="559"/>
      <c r="D130" s="432">
        <f t="shared" ref="D130:D143" si="19">E130+SUM(H130:O130)</f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32">
        <f t="shared" ref="P130:P142" si="20">IF(SUM(Q130:AB130)=SUM(AC130:AM130),SUM(Q130:AB130),"  EROARE ART/CAP")</f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</row>
    <row r="131" spans="1:39" s="155" customFormat="1" ht="12" hidden="1" x14ac:dyDescent="0.2">
      <c r="A131" s="168">
        <v>77</v>
      </c>
      <c r="B131" s="168"/>
      <c r="C131" s="261"/>
      <c r="D131" s="432">
        <f t="shared" si="19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2">
        <f t="shared" si="20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</row>
    <row r="132" spans="1:39" s="155" customFormat="1" ht="12" hidden="1" x14ac:dyDescent="0.2">
      <c r="A132" s="168">
        <v>78</v>
      </c>
      <c r="B132" s="168"/>
      <c r="C132" s="261"/>
      <c r="D132" s="432">
        <f t="shared" si="19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2">
        <f t="shared" si="20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</row>
    <row r="133" spans="1:39" s="155" customFormat="1" ht="12" hidden="1" x14ac:dyDescent="0.2">
      <c r="A133" s="168">
        <v>79</v>
      </c>
      <c r="B133" s="168"/>
      <c r="C133" s="261"/>
      <c r="D133" s="432">
        <f t="shared" si="19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si="20"/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155" customFormat="1" ht="12" hidden="1" x14ac:dyDescent="0.2">
      <c r="A134" s="168">
        <v>80</v>
      </c>
      <c r="B134" s="168"/>
      <c r="C134" s="261"/>
      <c r="D134" s="432">
        <f t="shared" si="19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si="20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155" customFormat="1" ht="12" hidden="1" x14ac:dyDescent="0.2">
      <c r="A135" s="168">
        <v>81</v>
      </c>
      <c r="B135" s="168"/>
      <c r="C135" s="261"/>
      <c r="D135" s="432">
        <f t="shared" si="19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20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155" customFormat="1" ht="12" hidden="1" x14ac:dyDescent="0.2">
      <c r="A136" s="168">
        <v>82</v>
      </c>
      <c r="B136" s="168"/>
      <c r="C136" s="261"/>
      <c r="D136" s="432">
        <f t="shared" si="19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20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155" customFormat="1" ht="12" hidden="1" x14ac:dyDescent="0.2">
      <c r="A137" s="168">
        <v>83</v>
      </c>
      <c r="B137" s="168"/>
      <c r="C137" s="261"/>
      <c r="D137" s="432">
        <f t="shared" si="19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20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68"/>
      <c r="C138" s="261"/>
      <c r="D138" s="432">
        <f t="shared" si="19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20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68"/>
      <c r="C139" s="261"/>
      <c r="D139" s="432">
        <f t="shared" si="19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20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68"/>
      <c r="C140" s="261"/>
      <c r="D140" s="432">
        <f t="shared" si="19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20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263"/>
      <c r="D141" s="432">
        <f t="shared" si="19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20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9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20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9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style="325" customWidth="1"/>
    <col min="2" max="2" width="8.140625" style="325" customWidth="1"/>
    <col min="3" max="3" width="17.42578125" style="325" customWidth="1"/>
    <col min="4" max="5" width="12" style="325" customWidth="1"/>
    <col min="6" max="6" width="11" style="325" customWidth="1"/>
    <col min="7" max="7" width="11.5703125" style="325" customWidth="1"/>
    <col min="8" max="8" width="9.7109375" style="325" customWidth="1"/>
    <col min="9" max="9" width="11.42578125" style="325" customWidth="1"/>
    <col min="10" max="10" width="10" style="325" customWidth="1"/>
    <col min="11" max="11" width="11.5703125" style="325" customWidth="1"/>
    <col min="12" max="12" width="7.28515625" style="325" customWidth="1"/>
    <col min="13" max="13" width="10.85546875" style="325" customWidth="1"/>
    <col min="14" max="14" width="10.5703125" style="325" customWidth="1"/>
    <col min="15" max="15" width="9" style="325" customWidth="1"/>
    <col min="16" max="16" width="11.42578125" style="325" customWidth="1"/>
    <col min="17" max="18" width="10.85546875" style="325" customWidth="1"/>
    <col min="19" max="19" width="9.5703125" style="325" customWidth="1"/>
    <col min="20" max="20" width="8.5703125" style="325" customWidth="1"/>
    <col min="21" max="21" width="11" style="325" customWidth="1"/>
    <col min="22" max="22" width="9.28515625" style="325" customWidth="1"/>
    <col min="23" max="23" width="10.42578125" style="325" customWidth="1"/>
    <col min="24" max="24" width="9.7109375" style="325" customWidth="1"/>
    <col min="25" max="25" width="8.5703125" style="325" customWidth="1"/>
    <col min="26" max="26" width="10.85546875" style="325" customWidth="1"/>
    <col min="27" max="27" width="10.5703125" style="325" customWidth="1"/>
    <col min="28" max="28" width="10.140625" style="325" customWidth="1"/>
    <col min="29" max="29" width="11.5703125" style="325" customWidth="1"/>
    <col min="30" max="30" width="11" style="325" customWidth="1"/>
    <col min="31" max="31" width="10.85546875" style="325" customWidth="1"/>
    <col min="32" max="32" width="10.28515625" style="325" customWidth="1"/>
    <col min="33" max="33" width="10.5703125" style="325" customWidth="1"/>
    <col min="34" max="35" width="10.7109375" style="325" customWidth="1"/>
    <col min="36" max="36" width="10" style="325" customWidth="1"/>
    <col min="37" max="37" width="8.42578125" style="325" customWidth="1"/>
    <col min="38" max="38" width="11.7109375" style="325" customWidth="1"/>
    <col min="39" max="39" width="9.85546875" style="325" customWidth="1"/>
    <col min="40" max="16384" width="9.140625" style="325"/>
  </cols>
  <sheetData>
    <row r="1" spans="1:39" s="55" customFormat="1" ht="15.75" x14ac:dyDescent="0.25">
      <c r="A1" s="58"/>
      <c r="B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342" t="s">
        <v>0</v>
      </c>
      <c r="AL1" s="342"/>
      <c r="AM1" s="58"/>
    </row>
    <row r="2" spans="1:39" s="55" customFormat="1" ht="15.75" x14ac:dyDescent="0.25">
      <c r="A2" s="58"/>
      <c r="B2" s="341" t="s">
        <v>956</v>
      </c>
      <c r="D2" s="341"/>
      <c r="E2" s="341"/>
      <c r="F2" s="341"/>
      <c r="G2" s="341"/>
      <c r="H2" s="341"/>
      <c r="I2" s="341"/>
      <c r="J2" s="341"/>
      <c r="K2" s="341"/>
      <c r="L2" s="341"/>
      <c r="M2" s="341"/>
      <c r="N2" s="341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</row>
    <row r="3" spans="1:39" s="55" customFormat="1" ht="15.75" x14ac:dyDescent="0.25">
      <c r="A3" s="58"/>
      <c r="B3" s="341" t="s">
        <v>77</v>
      </c>
      <c r="D3" s="343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</row>
    <row r="4" spans="1:39" s="55" customFormat="1" ht="15.75" x14ac:dyDescent="0.25">
      <c r="A4" s="58"/>
      <c r="B4" s="58"/>
      <c r="C4" s="341"/>
      <c r="D4" s="343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</row>
    <row r="5" spans="1:39" s="55" customFormat="1" ht="15.75" x14ac:dyDescent="0.25">
      <c r="A5" s="58"/>
      <c r="B5" s="58"/>
      <c r="D5" s="341"/>
      <c r="F5" s="341"/>
      <c r="H5" s="341"/>
      <c r="I5" s="341"/>
      <c r="J5" s="341"/>
      <c r="L5" s="344" t="s">
        <v>2</v>
      </c>
      <c r="N5" s="341"/>
      <c r="O5" s="341"/>
      <c r="P5" s="341"/>
      <c r="Q5" s="341"/>
      <c r="R5" s="341"/>
      <c r="S5" s="341"/>
      <c r="T5" s="341"/>
      <c r="U5" s="341"/>
      <c r="V5" s="341"/>
      <c r="W5" s="341"/>
      <c r="X5" s="341"/>
      <c r="Y5" s="341"/>
      <c r="Z5" s="341"/>
      <c r="AA5" s="341"/>
      <c r="AB5" s="341"/>
      <c r="AC5" s="341"/>
      <c r="AD5" s="341"/>
      <c r="AE5" s="341"/>
      <c r="AF5" s="341"/>
      <c r="AG5" s="341"/>
      <c r="AH5" s="341"/>
      <c r="AI5" s="341"/>
      <c r="AJ5" s="341"/>
      <c r="AK5" s="341"/>
      <c r="AL5" s="341"/>
      <c r="AM5" s="341"/>
    </row>
    <row r="6" spans="1:39" s="55" customFormat="1" ht="15.75" x14ac:dyDescent="0.25">
      <c r="A6" s="58"/>
      <c r="B6" s="58"/>
      <c r="C6" s="344"/>
      <c r="D6" s="341"/>
      <c r="E6" s="341"/>
      <c r="F6" s="341"/>
      <c r="G6" s="341"/>
      <c r="H6" s="341"/>
      <c r="I6" s="341"/>
      <c r="J6" s="341"/>
      <c r="K6" s="341"/>
      <c r="L6" s="341"/>
      <c r="M6" s="341"/>
      <c r="N6" s="341"/>
      <c r="O6" s="341"/>
      <c r="P6" s="341"/>
      <c r="Q6" s="341"/>
      <c r="R6" s="341"/>
      <c r="S6" s="341"/>
      <c r="T6" s="341"/>
      <c r="U6" s="341"/>
      <c r="V6" s="341"/>
      <c r="W6" s="341"/>
      <c r="X6" s="341"/>
      <c r="Y6" s="341"/>
      <c r="Z6" s="341"/>
      <c r="AA6" s="341"/>
      <c r="AB6" s="341"/>
      <c r="AC6" s="341"/>
      <c r="AD6" s="341"/>
      <c r="AE6" s="341"/>
      <c r="AF6" s="341"/>
      <c r="AG6" s="341"/>
      <c r="AH6" s="341"/>
      <c r="AI6" s="341"/>
      <c r="AJ6" s="341"/>
      <c r="AK6" s="341"/>
      <c r="AL6" s="341"/>
      <c r="AM6" s="341"/>
    </row>
    <row r="7" spans="1:39" x14ac:dyDescent="0.2">
      <c r="A7" s="4"/>
      <c r="B7" s="4"/>
      <c r="C7" s="345"/>
      <c r="D7" s="346"/>
      <c r="E7" s="346"/>
      <c r="F7" s="346"/>
      <c r="G7" s="346"/>
      <c r="H7" s="346"/>
      <c r="I7" s="346"/>
      <c r="J7" s="346"/>
      <c r="K7" s="347"/>
      <c r="L7" s="347"/>
      <c r="M7" s="347"/>
      <c r="N7" s="347"/>
      <c r="O7" s="347"/>
      <c r="P7" s="347"/>
      <c r="Q7" s="347"/>
      <c r="R7" s="347"/>
      <c r="S7" s="347"/>
      <c r="T7" s="347"/>
      <c r="U7" s="347"/>
      <c r="V7" s="347"/>
      <c r="W7" s="347"/>
      <c r="X7" s="347"/>
      <c r="Y7" s="347"/>
      <c r="Z7" s="347"/>
      <c r="AA7" s="347"/>
      <c r="AB7" s="347"/>
      <c r="AC7" s="347"/>
      <c r="AD7" s="347"/>
      <c r="AE7" s="347"/>
      <c r="AF7" s="347"/>
      <c r="AG7" s="347"/>
      <c r="AH7" s="347"/>
      <c r="AI7" s="347"/>
      <c r="AJ7" s="347"/>
      <c r="AK7" s="347"/>
      <c r="AL7" s="347"/>
      <c r="AM7" s="348" t="s">
        <v>3</v>
      </c>
    </row>
    <row r="8" spans="1:39" ht="7.5" hidden="1" customHeight="1" thickBo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349"/>
      <c r="AH8" s="4"/>
      <c r="AI8" s="350"/>
      <c r="AJ8" s="350"/>
      <c r="AK8" s="4"/>
      <c r="AL8" s="4"/>
    </row>
    <row r="9" spans="1:39" s="78" customFormat="1" ht="16.5" customHeight="1" x14ac:dyDescent="0.2">
      <c r="A9" s="692" t="s">
        <v>4</v>
      </c>
      <c r="B9" s="693"/>
      <c r="C9" s="694"/>
      <c r="D9" s="351" t="s">
        <v>5</v>
      </c>
      <c r="E9" s="352" t="s">
        <v>6</v>
      </c>
      <c r="F9" s="353"/>
      <c r="G9" s="354"/>
      <c r="H9" s="701" t="s">
        <v>7</v>
      </c>
      <c r="I9" s="701" t="s">
        <v>8</v>
      </c>
      <c r="J9" s="701" t="s">
        <v>9</v>
      </c>
      <c r="K9" s="701" t="s">
        <v>10</v>
      </c>
      <c r="L9" s="704" t="s">
        <v>11</v>
      </c>
      <c r="M9" s="701" t="s">
        <v>12</v>
      </c>
      <c r="N9" s="710" t="s">
        <v>13</v>
      </c>
      <c r="O9" s="701" t="s">
        <v>14</v>
      </c>
      <c r="P9" s="351" t="s">
        <v>15</v>
      </c>
      <c r="Q9" s="711" t="s">
        <v>16</v>
      </c>
      <c r="R9" s="685"/>
      <c r="S9" s="685"/>
      <c r="T9" s="685"/>
      <c r="U9" s="685"/>
      <c r="V9" s="685"/>
      <c r="W9" s="685"/>
      <c r="X9" s="685"/>
      <c r="Y9" s="685"/>
      <c r="Z9" s="685"/>
      <c r="AA9" s="355"/>
      <c r="AB9" s="355"/>
      <c r="AC9" s="684" t="s">
        <v>17</v>
      </c>
      <c r="AD9" s="685"/>
      <c r="AE9" s="685"/>
      <c r="AF9" s="685"/>
      <c r="AG9" s="685"/>
      <c r="AH9" s="685"/>
      <c r="AI9" s="685"/>
      <c r="AJ9" s="685"/>
      <c r="AK9" s="685"/>
      <c r="AL9" s="685"/>
      <c r="AM9" s="686"/>
    </row>
    <row r="10" spans="1:39" s="78" customFormat="1" ht="10.5" customHeight="1" x14ac:dyDescent="0.2">
      <c r="A10" s="695"/>
      <c r="B10" s="696"/>
      <c r="C10" s="697"/>
      <c r="D10" s="356" t="s">
        <v>18</v>
      </c>
      <c r="E10" s="352"/>
      <c r="F10" s="690" t="s">
        <v>19</v>
      </c>
      <c r="G10" s="691"/>
      <c r="H10" s="702"/>
      <c r="I10" s="702"/>
      <c r="J10" s="702"/>
      <c r="K10" s="702"/>
      <c r="L10" s="705"/>
      <c r="M10" s="702"/>
      <c r="N10" s="680"/>
      <c r="O10" s="702"/>
      <c r="P10" s="356" t="s">
        <v>18</v>
      </c>
      <c r="Q10" s="712"/>
      <c r="R10" s="688"/>
      <c r="S10" s="688"/>
      <c r="T10" s="688"/>
      <c r="U10" s="688"/>
      <c r="V10" s="688"/>
      <c r="W10" s="688"/>
      <c r="X10" s="688"/>
      <c r="Y10" s="688"/>
      <c r="Z10" s="688"/>
      <c r="AA10" s="357"/>
      <c r="AB10" s="357"/>
      <c r="AC10" s="687"/>
      <c r="AD10" s="688"/>
      <c r="AE10" s="688"/>
      <c r="AF10" s="688"/>
      <c r="AG10" s="688"/>
      <c r="AH10" s="688"/>
      <c r="AI10" s="688"/>
      <c r="AJ10" s="688"/>
      <c r="AK10" s="688"/>
      <c r="AL10" s="688"/>
      <c r="AM10" s="689"/>
    </row>
    <row r="11" spans="1:39" s="78" customFormat="1" ht="90.75" customHeight="1" x14ac:dyDescent="0.2">
      <c r="A11" s="695"/>
      <c r="B11" s="696"/>
      <c r="C11" s="697"/>
      <c r="D11" s="358" t="s">
        <v>20</v>
      </c>
      <c r="E11" s="359" t="s">
        <v>21</v>
      </c>
      <c r="F11" s="85" t="s">
        <v>22</v>
      </c>
      <c r="G11" s="85" t="s">
        <v>23</v>
      </c>
      <c r="H11" s="703"/>
      <c r="I11" s="703"/>
      <c r="J11" s="703"/>
      <c r="K11" s="703"/>
      <c r="L11" s="706"/>
      <c r="M11" s="703"/>
      <c r="N11" s="681"/>
      <c r="O11" s="703"/>
      <c r="P11" s="358" t="s">
        <v>24</v>
      </c>
      <c r="Q11" s="85" t="s">
        <v>25</v>
      </c>
      <c r="R11" s="85" t="s">
        <v>26</v>
      </c>
      <c r="S11" s="85" t="s">
        <v>27</v>
      </c>
      <c r="T11" s="85" t="s">
        <v>12</v>
      </c>
      <c r="U11" s="85" t="s">
        <v>28</v>
      </c>
      <c r="V11" s="85" t="s">
        <v>29</v>
      </c>
      <c r="W11" s="85" t="s">
        <v>30</v>
      </c>
      <c r="X11" s="85" t="s">
        <v>31</v>
      </c>
      <c r="Y11" s="85" t="s">
        <v>32</v>
      </c>
      <c r="Z11" s="85" t="s">
        <v>33</v>
      </c>
      <c r="AA11" s="87" t="s">
        <v>34</v>
      </c>
      <c r="AB11" s="87" t="s">
        <v>35</v>
      </c>
      <c r="AC11" s="85" t="s">
        <v>36</v>
      </c>
      <c r="AD11" s="85" t="s">
        <v>37</v>
      </c>
      <c r="AE11" s="85" t="s">
        <v>38</v>
      </c>
      <c r="AF11" s="85" t="s">
        <v>39</v>
      </c>
      <c r="AG11" s="85" t="s">
        <v>40</v>
      </c>
      <c r="AH11" s="85" t="s">
        <v>41</v>
      </c>
      <c r="AI11" s="85" t="s">
        <v>42</v>
      </c>
      <c r="AJ11" s="85" t="s">
        <v>43</v>
      </c>
      <c r="AK11" s="85" t="s">
        <v>44</v>
      </c>
      <c r="AL11" s="85" t="s">
        <v>45</v>
      </c>
      <c r="AM11" s="360" t="s">
        <v>32</v>
      </c>
    </row>
    <row r="12" spans="1:39" s="66" customFormat="1" ht="11.25" x14ac:dyDescent="0.2">
      <c r="A12" s="698"/>
      <c r="B12" s="699"/>
      <c r="C12" s="700"/>
      <c r="D12" s="86" t="s">
        <v>46</v>
      </c>
      <c r="E12" s="88" t="s">
        <v>47</v>
      </c>
      <c r="F12" s="86" t="s">
        <v>48</v>
      </c>
      <c r="G12" s="86" t="s">
        <v>49</v>
      </c>
      <c r="H12" s="86" t="s">
        <v>50</v>
      </c>
      <c r="I12" s="86" t="s">
        <v>51</v>
      </c>
      <c r="J12" s="86" t="s">
        <v>52</v>
      </c>
      <c r="K12" s="86" t="s">
        <v>53</v>
      </c>
      <c r="L12" s="86" t="s">
        <v>54</v>
      </c>
      <c r="M12" s="88" t="s">
        <v>55</v>
      </c>
      <c r="N12" s="88" t="s">
        <v>79</v>
      </c>
      <c r="O12" s="88"/>
      <c r="P12" s="86" t="s">
        <v>56</v>
      </c>
      <c r="Q12" s="86" t="s">
        <v>57</v>
      </c>
      <c r="R12" s="88">
        <v>20</v>
      </c>
      <c r="S12" s="88">
        <v>30</v>
      </c>
      <c r="T12" s="86" t="s">
        <v>58</v>
      </c>
      <c r="U12" s="86">
        <v>51</v>
      </c>
      <c r="V12" s="86" t="s">
        <v>59</v>
      </c>
      <c r="W12" s="86" t="s">
        <v>80</v>
      </c>
      <c r="X12" s="86" t="s">
        <v>60</v>
      </c>
      <c r="Y12" s="88">
        <v>59</v>
      </c>
      <c r="Z12" s="88">
        <v>70</v>
      </c>
      <c r="AA12" s="88">
        <v>79</v>
      </c>
      <c r="AB12" s="88">
        <v>84</v>
      </c>
      <c r="AC12" s="86" t="s">
        <v>56</v>
      </c>
      <c r="AD12" s="86" t="s">
        <v>61</v>
      </c>
      <c r="AE12" s="86" t="s">
        <v>62</v>
      </c>
      <c r="AF12" s="86" t="s">
        <v>63</v>
      </c>
      <c r="AG12" s="86" t="s">
        <v>64</v>
      </c>
      <c r="AH12" s="86" t="s">
        <v>65</v>
      </c>
      <c r="AI12" s="86" t="s">
        <v>66</v>
      </c>
      <c r="AJ12" s="86" t="s">
        <v>78</v>
      </c>
      <c r="AK12" s="86" t="s">
        <v>67</v>
      </c>
      <c r="AL12" s="86" t="s">
        <v>68</v>
      </c>
      <c r="AM12" s="361"/>
    </row>
    <row r="13" spans="1:39" s="66" customFormat="1" ht="11.25" x14ac:dyDescent="0.2">
      <c r="A13" s="707" t="s">
        <v>69</v>
      </c>
      <c r="B13" s="708"/>
      <c r="C13" s="709"/>
      <c r="D13" s="89">
        <v>1</v>
      </c>
      <c r="E13" s="89">
        <v>2</v>
      </c>
      <c r="F13" s="89">
        <v>3</v>
      </c>
      <c r="G13" s="89">
        <v>4</v>
      </c>
      <c r="H13" s="89">
        <v>5</v>
      </c>
      <c r="I13" s="89">
        <v>6</v>
      </c>
      <c r="J13" s="89">
        <v>7</v>
      </c>
      <c r="K13" s="89">
        <v>8</v>
      </c>
      <c r="L13" s="89">
        <v>9</v>
      </c>
      <c r="M13" s="89">
        <v>10</v>
      </c>
      <c r="N13" s="89">
        <v>11</v>
      </c>
      <c r="O13" s="89">
        <v>12</v>
      </c>
      <c r="P13" s="89">
        <v>13</v>
      </c>
      <c r="Q13" s="89">
        <v>14</v>
      </c>
      <c r="R13" s="89">
        <v>15</v>
      </c>
      <c r="S13" s="89">
        <v>16</v>
      </c>
      <c r="T13" s="89">
        <v>17</v>
      </c>
      <c r="U13" s="89">
        <v>18</v>
      </c>
      <c r="V13" s="89">
        <v>19</v>
      </c>
      <c r="W13" s="89">
        <v>20</v>
      </c>
      <c r="X13" s="89">
        <v>21</v>
      </c>
      <c r="Y13" s="89">
        <v>22</v>
      </c>
      <c r="Z13" s="89">
        <v>23</v>
      </c>
      <c r="AA13" s="89">
        <v>24</v>
      </c>
      <c r="AB13" s="89">
        <v>25</v>
      </c>
      <c r="AC13" s="89">
        <v>26</v>
      </c>
      <c r="AD13" s="89">
        <v>27</v>
      </c>
      <c r="AE13" s="89">
        <v>28</v>
      </c>
      <c r="AF13" s="89">
        <v>29</v>
      </c>
      <c r="AG13" s="89">
        <v>30</v>
      </c>
      <c r="AH13" s="89">
        <v>31</v>
      </c>
      <c r="AI13" s="89">
        <v>32</v>
      </c>
      <c r="AJ13" s="89">
        <v>33</v>
      </c>
      <c r="AK13" s="89">
        <v>34</v>
      </c>
      <c r="AL13" s="89">
        <v>35</v>
      </c>
      <c r="AM13" s="362">
        <v>36</v>
      </c>
    </row>
    <row r="14" spans="1:39" s="155" customFormat="1" ht="13.5" customHeight="1" x14ac:dyDescent="0.2">
      <c r="A14" s="363" t="s">
        <v>70</v>
      </c>
      <c r="B14" s="364"/>
      <c r="C14" s="365"/>
      <c r="D14" s="450">
        <f>E14+SUM(H14:O14)</f>
        <v>2305630399</v>
      </c>
      <c r="E14" s="450">
        <f>SUM(E15,E16,E33,E54)</f>
        <v>1265097097</v>
      </c>
      <c r="F14" s="450">
        <f t="shared" ref="F14:O14" si="0">SUM(F15,F16,F33,F54)</f>
        <v>558281758</v>
      </c>
      <c r="G14" s="450">
        <f t="shared" si="0"/>
        <v>181134717</v>
      </c>
      <c r="H14" s="450">
        <f t="shared" si="0"/>
        <v>72941014</v>
      </c>
      <c r="I14" s="450">
        <f t="shared" si="0"/>
        <v>391496714</v>
      </c>
      <c r="J14" s="450">
        <f t="shared" si="0"/>
        <v>17760269</v>
      </c>
      <c r="K14" s="450">
        <f t="shared" si="0"/>
        <v>53227738</v>
      </c>
      <c r="L14" s="450">
        <f t="shared" si="0"/>
        <v>0</v>
      </c>
      <c r="M14" s="450">
        <f t="shared" si="0"/>
        <v>237770978</v>
      </c>
      <c r="N14" s="450">
        <f t="shared" si="0"/>
        <v>254502724</v>
      </c>
      <c r="O14" s="450">
        <f t="shared" si="0"/>
        <v>12833865</v>
      </c>
      <c r="P14" s="450">
        <f>IF(SUM(Q14:AB14)=SUM(AC14:AM14),SUM(Q14:AB14),"  EROARE ART/CAP")</f>
        <v>2102228081</v>
      </c>
      <c r="Q14" s="450">
        <f t="shared" ref="Q14:AM14" si="1">Q15+Q16+Q33+Q54</f>
        <v>528792187</v>
      </c>
      <c r="R14" s="450">
        <f t="shared" si="1"/>
        <v>520356444</v>
      </c>
      <c r="S14" s="450">
        <f t="shared" si="1"/>
        <v>6707672</v>
      </c>
      <c r="T14" s="450">
        <f t="shared" si="1"/>
        <v>71157789</v>
      </c>
      <c r="U14" s="450">
        <f t="shared" si="1"/>
        <v>147317987</v>
      </c>
      <c r="V14" s="450">
        <f t="shared" si="1"/>
        <v>36984281</v>
      </c>
      <c r="W14" s="450">
        <f t="shared" si="1"/>
        <v>419093270</v>
      </c>
      <c r="X14" s="450">
        <f t="shared" si="1"/>
        <v>63963858</v>
      </c>
      <c r="Y14" s="450">
        <f t="shared" si="1"/>
        <v>21187519</v>
      </c>
      <c r="Z14" s="450">
        <f t="shared" si="1"/>
        <v>251560419</v>
      </c>
      <c r="AA14" s="450">
        <f t="shared" si="1"/>
        <v>36713166</v>
      </c>
      <c r="AB14" s="450">
        <f t="shared" si="1"/>
        <v>-1606511</v>
      </c>
      <c r="AC14" s="450">
        <f t="shared" si="1"/>
        <v>215481933</v>
      </c>
      <c r="AD14" s="450">
        <f t="shared" si="1"/>
        <v>33769440</v>
      </c>
      <c r="AE14" s="450">
        <f t="shared" si="1"/>
        <v>441244146</v>
      </c>
      <c r="AF14" s="450">
        <f t="shared" si="1"/>
        <v>50053130</v>
      </c>
      <c r="AG14" s="450">
        <f t="shared" si="1"/>
        <v>156313754</v>
      </c>
      <c r="AH14" s="450">
        <f t="shared" si="1"/>
        <v>227641643</v>
      </c>
      <c r="AI14" s="450">
        <f t="shared" si="1"/>
        <v>421196365</v>
      </c>
      <c r="AJ14" s="450">
        <f t="shared" si="1"/>
        <v>229604805</v>
      </c>
      <c r="AK14" s="450">
        <f t="shared" si="1"/>
        <v>63798504</v>
      </c>
      <c r="AL14" s="450">
        <f t="shared" si="1"/>
        <v>239795091</v>
      </c>
      <c r="AM14" s="450">
        <f t="shared" si="1"/>
        <v>23329270</v>
      </c>
    </row>
    <row r="15" spans="1:39" s="155" customFormat="1" ht="12.75" customHeight="1" x14ac:dyDescent="0.2">
      <c r="A15" s="366" t="s">
        <v>71</v>
      </c>
      <c r="B15" s="367"/>
      <c r="C15" s="368"/>
      <c r="D15" s="450">
        <f>E15+SUM(H15:O15)</f>
        <v>484924542</v>
      </c>
      <c r="E15" s="454">
        <f>484924542-81860014-51500-120939498-2711746-104351390</f>
        <v>175010394</v>
      </c>
      <c r="F15" s="454">
        <v>110010649</v>
      </c>
      <c r="G15" s="454">
        <v>54448550</v>
      </c>
      <c r="H15" s="454">
        <v>72941014</v>
      </c>
      <c r="I15" s="454">
        <v>0</v>
      </c>
      <c r="J15" s="454">
        <v>0</v>
      </c>
      <c r="K15" s="454">
        <v>8919000</v>
      </c>
      <c r="L15" s="454">
        <v>0</v>
      </c>
      <c r="M15" s="454">
        <v>120939498</v>
      </c>
      <c r="N15" s="455">
        <v>104351390</v>
      </c>
      <c r="O15" s="455">
        <f>51500+2711746</f>
        <v>2763246</v>
      </c>
      <c r="P15" s="450">
        <f>IF(SUM(Q15:AB15)=SUM(AC15:AM15),SUM(Q15:AB15),"  EROARE ART/CAP")</f>
        <v>459350789</v>
      </c>
      <c r="Q15" s="454">
        <f>10458766+14631913+1431000+31940439</f>
        <v>58462118</v>
      </c>
      <c r="R15" s="454">
        <f>6999211+26040+274237+298582+1271733+4572451+18873825+216186+15504811</f>
        <v>48037076</v>
      </c>
      <c r="S15" s="454">
        <v>1568000</v>
      </c>
      <c r="T15" s="454">
        <v>0</v>
      </c>
      <c r="U15" s="454">
        <f>8361884+2085966+24914130+14532469+64795726+744889+1192327</f>
        <v>116627391</v>
      </c>
      <c r="V15" s="454">
        <f>3687553+4936067</f>
        <v>8623620</v>
      </c>
      <c r="W15" s="454">
        <f>6317876+1491133+47233829+2174990+99402485+3206793+16189241+4635334</f>
        <v>180651681</v>
      </c>
      <c r="X15" s="454">
        <f>14840735+217410</f>
        <v>15058145</v>
      </c>
      <c r="Y15" s="456">
        <f>2144350+5680642</f>
        <v>7824992</v>
      </c>
      <c r="Z15" s="454">
        <f>3529870+13234+7820869+7500+1279611+158044+5867770+79484+44143+231256</f>
        <v>19031781</v>
      </c>
      <c r="AA15" s="456">
        <f>2400000+1310000</f>
        <v>3710000</v>
      </c>
      <c r="AB15" s="456">
        <f>-2747-2285-17158-221825</f>
        <v>-244015</v>
      </c>
      <c r="AC15" s="456">
        <f>41752412+2109724+1568000</f>
        <v>45430136</v>
      </c>
      <c r="AD15" s="454">
        <f>274237+298582</f>
        <v>572819</v>
      </c>
      <c r="AE15" s="454">
        <v>32901965</v>
      </c>
      <c r="AF15" s="454">
        <v>35536132</v>
      </c>
      <c r="AG15" s="454">
        <v>73440733</v>
      </c>
      <c r="AH15" s="454">
        <v>119060175</v>
      </c>
      <c r="AI15" s="454">
        <v>11922957</v>
      </c>
      <c r="AJ15" s="456">
        <v>99481969</v>
      </c>
      <c r="AK15" s="454">
        <v>0</v>
      </c>
      <c r="AL15" s="454">
        <v>31925307</v>
      </c>
      <c r="AM15" s="456">
        <f>3206792+1236470+4635334</f>
        <v>9078596</v>
      </c>
    </row>
    <row r="16" spans="1:39" s="155" customFormat="1" ht="12" x14ac:dyDescent="0.2">
      <c r="A16" s="366" t="s">
        <v>72</v>
      </c>
      <c r="B16" s="367"/>
      <c r="C16" s="369"/>
      <c r="D16" s="450">
        <f>E16+SUM(H16:O16)</f>
        <v>927885414</v>
      </c>
      <c r="E16" s="457">
        <f>SUM(E18:E32)</f>
        <v>662671260</v>
      </c>
      <c r="F16" s="457">
        <f t="shared" ref="F16:O16" si="2">SUM(F18:F32)</f>
        <v>356770507</v>
      </c>
      <c r="G16" s="457">
        <f t="shared" si="2"/>
        <v>28856357</v>
      </c>
      <c r="H16" s="457">
        <f t="shared" si="2"/>
        <v>0</v>
      </c>
      <c r="I16" s="457">
        <f t="shared" si="2"/>
        <v>222334147</v>
      </c>
      <c r="J16" s="457">
        <f t="shared" si="2"/>
        <v>500000</v>
      </c>
      <c r="K16" s="457">
        <f t="shared" si="2"/>
        <v>6336429</v>
      </c>
      <c r="L16" s="457">
        <f t="shared" si="2"/>
        <v>0</v>
      </c>
      <c r="M16" s="457">
        <f t="shared" si="2"/>
        <v>16598521</v>
      </c>
      <c r="N16" s="457">
        <f t="shared" si="2"/>
        <v>19339234</v>
      </c>
      <c r="O16" s="457">
        <f t="shared" si="2"/>
        <v>105823</v>
      </c>
      <c r="P16" s="450">
        <f t="shared" ref="P16:P54" si="3">IF(SUM(Q16:AB16)=SUM(AC16:AM16),SUM(Q16:AB16),"  EROARE ART/CAP")</f>
        <v>786981164</v>
      </c>
      <c r="Q16" s="450">
        <f>SUM(Q18:Q32)</f>
        <v>254763282</v>
      </c>
      <c r="R16" s="450">
        <f t="shared" ref="R16:AM16" si="4">SUM(R18:R32)</f>
        <v>232271546</v>
      </c>
      <c r="S16" s="450">
        <f t="shared" si="4"/>
        <v>1792305</v>
      </c>
      <c r="T16" s="450">
        <f t="shared" si="4"/>
        <v>70012836</v>
      </c>
      <c r="U16" s="450">
        <f t="shared" si="4"/>
        <v>21948582</v>
      </c>
      <c r="V16" s="450">
        <f t="shared" si="4"/>
        <v>24560001</v>
      </c>
      <c r="W16" s="450">
        <f t="shared" si="4"/>
        <v>60974955</v>
      </c>
      <c r="X16" s="450">
        <f t="shared" si="4"/>
        <v>29029095</v>
      </c>
      <c r="Y16" s="450">
        <f t="shared" si="4"/>
        <v>8348491</v>
      </c>
      <c r="Z16" s="450">
        <f t="shared" si="4"/>
        <v>70157764</v>
      </c>
      <c r="AA16" s="450">
        <f t="shared" si="4"/>
        <v>13969318</v>
      </c>
      <c r="AB16" s="450">
        <f t="shared" si="4"/>
        <v>-847011</v>
      </c>
      <c r="AC16" s="450">
        <f t="shared" si="4"/>
        <v>51637856</v>
      </c>
      <c r="AD16" s="450">
        <f t="shared" si="4"/>
        <v>21270868</v>
      </c>
      <c r="AE16" s="450">
        <f t="shared" si="4"/>
        <v>207888157</v>
      </c>
      <c r="AF16" s="450">
        <f t="shared" si="4"/>
        <v>10272479</v>
      </c>
      <c r="AG16" s="450">
        <f t="shared" si="4"/>
        <v>32930128</v>
      </c>
      <c r="AH16" s="450">
        <f t="shared" si="4"/>
        <v>62647052</v>
      </c>
      <c r="AI16" s="450">
        <f t="shared" si="4"/>
        <v>215490461</v>
      </c>
      <c r="AJ16" s="450">
        <f t="shared" si="4"/>
        <v>87799669</v>
      </c>
      <c r="AK16" s="450">
        <f t="shared" si="4"/>
        <v>50037395</v>
      </c>
      <c r="AL16" s="450">
        <f t="shared" si="4"/>
        <v>45873235</v>
      </c>
      <c r="AM16" s="450">
        <f t="shared" si="4"/>
        <v>1133864</v>
      </c>
    </row>
    <row r="17" spans="1:39" s="155" customFormat="1" ht="22.5" x14ac:dyDescent="0.2">
      <c r="A17" s="370" t="s">
        <v>2306</v>
      </c>
      <c r="B17" s="371" t="s">
        <v>74</v>
      </c>
      <c r="C17" s="372"/>
      <c r="D17" s="450"/>
      <c r="E17" s="457"/>
      <c r="F17" s="457"/>
      <c r="G17" s="457"/>
      <c r="H17" s="457"/>
      <c r="I17" s="457"/>
      <c r="J17" s="457"/>
      <c r="K17" s="457"/>
      <c r="L17" s="457"/>
      <c r="M17" s="457"/>
      <c r="N17" s="457"/>
      <c r="O17" s="457"/>
      <c r="P17" s="450"/>
      <c r="Q17" s="450"/>
      <c r="R17" s="450"/>
      <c r="S17" s="450"/>
      <c r="T17" s="450"/>
      <c r="U17" s="450"/>
      <c r="V17" s="450"/>
      <c r="W17" s="450"/>
      <c r="X17" s="450"/>
      <c r="Y17" s="450"/>
      <c r="Z17" s="450"/>
      <c r="AA17" s="450"/>
      <c r="AB17" s="450"/>
      <c r="AC17" s="450"/>
      <c r="AD17" s="450"/>
      <c r="AE17" s="450"/>
      <c r="AF17" s="450"/>
      <c r="AG17" s="450"/>
      <c r="AH17" s="450"/>
      <c r="AI17" s="450"/>
      <c r="AJ17" s="450"/>
      <c r="AK17" s="450"/>
      <c r="AL17" s="450"/>
      <c r="AM17" s="450"/>
    </row>
    <row r="18" spans="1:39" s="155" customFormat="1" ht="12" x14ac:dyDescent="0.2">
      <c r="A18" s="377">
        <v>1</v>
      </c>
      <c r="B18" s="377">
        <v>60419</v>
      </c>
      <c r="C18" s="425" t="s">
        <v>2742</v>
      </c>
      <c r="D18" s="450">
        <f t="shared" ref="D18:D20" si="5">E18+SUM(H18:O18)</f>
        <v>780235589</v>
      </c>
      <c r="E18" s="454">
        <f>780235589-179631335-10286352-12245700</f>
        <v>578072202</v>
      </c>
      <c r="F18" s="454">
        <v>322873436</v>
      </c>
      <c r="G18" s="454">
        <v>17124507</v>
      </c>
      <c r="H18" s="454">
        <v>0</v>
      </c>
      <c r="I18" s="454">
        <v>176503925</v>
      </c>
      <c r="J18" s="454">
        <v>0</v>
      </c>
      <c r="K18" s="454">
        <v>3127409</v>
      </c>
      <c r="L18" s="454">
        <v>0</v>
      </c>
      <c r="M18" s="454">
        <v>10286351</v>
      </c>
      <c r="N18" s="455">
        <v>12245702</v>
      </c>
      <c r="O18" s="455">
        <v>0</v>
      </c>
      <c r="P18" s="450">
        <f>IF(SUM(Q18:AB18)=SUM(AC18:AM18),SUM(Q18:AB18),"  EROARE ART/CAP")</f>
        <v>639634027</v>
      </c>
      <c r="Q18" s="454">
        <f>18149725+166726+4292366+143582789+4162702+16975892+14862994</f>
        <v>202193194</v>
      </c>
      <c r="R18" s="454">
        <f>12201926+620+12495211+18052688+90832+22103705+6290987+26952507+77176505+22294660</f>
        <v>197659641</v>
      </c>
      <c r="S18" s="454">
        <f>214780</f>
        <v>214780</v>
      </c>
      <c r="T18" s="454">
        <f>2731855+18264146+39406304</f>
        <v>60402305</v>
      </c>
      <c r="U18" s="454">
        <f>774000+3168847</f>
        <v>3942847</v>
      </c>
      <c r="V18" s="454">
        <v>24560001</v>
      </c>
      <c r="W18" s="454">
        <f>44670751+1133867</f>
        <v>45804618</v>
      </c>
      <c r="X18" s="454">
        <f>81802+24645385</f>
        <v>24727187</v>
      </c>
      <c r="Y18" s="456">
        <f>693248+6513541+417190</f>
        <v>7623979</v>
      </c>
      <c r="Z18" s="454">
        <f>2068076+339864+313197+703966+13601775+43963860+2285930</f>
        <v>63276668</v>
      </c>
      <c r="AA18" s="456">
        <v>9613013</v>
      </c>
      <c r="AB18" s="456">
        <f>-112773-464-49670-39748-181551</f>
        <v>-384206</v>
      </c>
      <c r="AC18" s="456">
        <f>32306954+167346+214775</f>
        <v>32689075</v>
      </c>
      <c r="AD18" s="454">
        <v>17126976</v>
      </c>
      <c r="AE18" s="454">
        <v>162641919</v>
      </c>
      <c r="AF18" s="454">
        <v>4335336</v>
      </c>
      <c r="AG18" s="454">
        <v>29391239</v>
      </c>
      <c r="AH18" s="454">
        <v>52152599</v>
      </c>
      <c r="AI18" s="454">
        <v>180917003</v>
      </c>
      <c r="AJ18" s="456">
        <v>79462460</v>
      </c>
      <c r="AK18" s="454">
        <v>39224752</v>
      </c>
      <c r="AL18" s="454">
        <v>40558804</v>
      </c>
      <c r="AM18" s="456">
        <v>1133864</v>
      </c>
    </row>
    <row r="19" spans="1:39" s="155" customFormat="1" ht="12" x14ac:dyDescent="0.2">
      <c r="A19" s="377">
        <v>2</v>
      </c>
      <c r="B19" s="377">
        <v>60847</v>
      </c>
      <c r="C19" s="425" t="s">
        <v>2743</v>
      </c>
      <c r="D19" s="450">
        <f t="shared" si="5"/>
        <v>60005033</v>
      </c>
      <c r="E19" s="454">
        <f>60005033-25536695-105823-1218370-1703435</f>
        <v>31440710</v>
      </c>
      <c r="F19" s="454">
        <v>9039347</v>
      </c>
      <c r="G19" s="454">
        <v>8883660</v>
      </c>
      <c r="H19" s="454">
        <v>0</v>
      </c>
      <c r="I19" s="454">
        <v>23679705</v>
      </c>
      <c r="J19" s="454">
        <v>500000</v>
      </c>
      <c r="K19" s="454">
        <v>1356990</v>
      </c>
      <c r="L19" s="454">
        <v>0</v>
      </c>
      <c r="M19" s="454">
        <v>1218370</v>
      </c>
      <c r="N19" s="455">
        <v>1703435</v>
      </c>
      <c r="O19" s="455">
        <v>105823</v>
      </c>
      <c r="P19" s="450">
        <f>IF(SUM(Q19:AB19)=SUM(AC19:AM19),SUM(Q19:AB19),"  EROARE ART/CAP")</f>
        <v>60212651</v>
      </c>
      <c r="Q19" s="454">
        <f>2981900+1529348+1711066+18826070+220541+266112+2192413</f>
        <v>27727450</v>
      </c>
      <c r="R19" s="454">
        <f>2279700+928061+572875+2732687+869052+223409+5816034+5000729+168290</f>
        <v>18590837</v>
      </c>
      <c r="S19" s="454">
        <v>1201800</v>
      </c>
      <c r="T19" s="454">
        <v>945809</v>
      </c>
      <c r="U19" s="454">
        <v>299425</v>
      </c>
      <c r="V19" s="454">
        <v>0</v>
      </c>
      <c r="W19" s="454">
        <f>264925+46536+327914+2959707</f>
        <v>3599082</v>
      </c>
      <c r="X19" s="454">
        <v>2077525</v>
      </c>
      <c r="Y19" s="456">
        <v>162929</v>
      </c>
      <c r="Z19" s="454">
        <f>22419+342479+555365+56792+308711+819077</f>
        <v>2104843</v>
      </c>
      <c r="AA19" s="456">
        <v>3502951</v>
      </c>
      <c r="AB19" s="456">
        <v>0</v>
      </c>
      <c r="AC19" s="456">
        <f>8786970+2799888+1201800</f>
        <v>12788658</v>
      </c>
      <c r="AD19" s="454">
        <v>2283941</v>
      </c>
      <c r="AE19" s="454">
        <v>22379047</v>
      </c>
      <c r="AF19" s="454">
        <v>566503</v>
      </c>
      <c r="AG19" s="454">
        <v>1682799</v>
      </c>
      <c r="AH19" s="454">
        <v>4802057</v>
      </c>
      <c r="AI19" s="454">
        <v>6635111</v>
      </c>
      <c r="AJ19" s="456">
        <v>5000729</v>
      </c>
      <c r="AK19" s="456">
        <v>945809</v>
      </c>
      <c r="AL19" s="454">
        <v>3127997</v>
      </c>
      <c r="AM19" s="456">
        <v>0</v>
      </c>
    </row>
    <row r="20" spans="1:39" s="155" customFormat="1" ht="12" x14ac:dyDescent="0.2">
      <c r="A20" s="377">
        <v>3</v>
      </c>
      <c r="B20" s="377">
        <v>60482</v>
      </c>
      <c r="C20" s="425" t="s">
        <v>2744</v>
      </c>
      <c r="D20" s="450">
        <f t="shared" si="5"/>
        <v>87644792</v>
      </c>
      <c r="E20" s="454">
        <f>87644792-24002547-5093800-5390097</f>
        <v>53158348</v>
      </c>
      <c r="F20" s="454">
        <v>24857724</v>
      </c>
      <c r="G20" s="454">
        <v>2848190</v>
      </c>
      <c r="H20" s="454">
        <v>0</v>
      </c>
      <c r="I20" s="454">
        <v>22150517</v>
      </c>
      <c r="J20" s="454">
        <v>0</v>
      </c>
      <c r="K20" s="454">
        <v>1852030</v>
      </c>
      <c r="L20" s="454">
        <v>0</v>
      </c>
      <c r="M20" s="454">
        <v>5093800</v>
      </c>
      <c r="N20" s="455">
        <v>5390097</v>
      </c>
      <c r="O20" s="455">
        <v>0</v>
      </c>
      <c r="P20" s="450">
        <f>IF(SUM(Q20:AB20)=SUM(AC20:AM20),SUM(Q20:AB20),"  EROARE ART/CAP")</f>
        <v>87134486</v>
      </c>
      <c r="Q20" s="454">
        <f>3307372+215681+1325297+18430696+207529+1317630+38433</f>
        <v>24842638</v>
      </c>
      <c r="R20" s="454">
        <f>2446347+49950+307294+3424734+1054+567080+2400164+3487965+3336480</f>
        <v>16021068</v>
      </c>
      <c r="S20" s="454">
        <v>375725</v>
      </c>
      <c r="T20" s="454">
        <f>8164017+500705</f>
        <v>8664722</v>
      </c>
      <c r="U20" s="454">
        <f>4015989+700882+11319298+1670141</f>
        <v>17706310</v>
      </c>
      <c r="V20" s="454">
        <v>0</v>
      </c>
      <c r="W20" s="454">
        <f>31077+11540178</f>
        <v>11571255</v>
      </c>
      <c r="X20" s="454">
        <f>99013+2125370</f>
        <v>2224383</v>
      </c>
      <c r="Y20" s="456">
        <f>561583</f>
        <v>561583</v>
      </c>
      <c r="Z20" s="454">
        <f>35566+227360+912748+1146068+36987+699119+1702817+15588</f>
        <v>4776253</v>
      </c>
      <c r="AA20" s="456">
        <v>853354</v>
      </c>
      <c r="AB20" s="454">
        <f>-270518-4532-187755</f>
        <v>-462805</v>
      </c>
      <c r="AC20" s="456">
        <f>5518767+265631+375725</f>
        <v>6160123</v>
      </c>
      <c r="AD20" s="456">
        <v>1859951</v>
      </c>
      <c r="AE20" s="454">
        <v>22867191</v>
      </c>
      <c r="AF20" s="454">
        <v>5370640</v>
      </c>
      <c r="AG20" s="454">
        <v>1856090</v>
      </c>
      <c r="AH20" s="454">
        <v>5692396</v>
      </c>
      <c r="AI20" s="454">
        <v>27938347</v>
      </c>
      <c r="AJ20" s="456">
        <v>3336480</v>
      </c>
      <c r="AK20" s="454">
        <v>9866834</v>
      </c>
      <c r="AL20" s="454">
        <v>2186434</v>
      </c>
      <c r="AM20" s="456">
        <v>0</v>
      </c>
    </row>
    <row r="21" spans="1:39" s="155" customFormat="1" ht="12" hidden="1" x14ac:dyDescent="0.2">
      <c r="A21" s="377">
        <v>4</v>
      </c>
      <c r="B21" s="377"/>
      <c r="C21" s="378"/>
      <c r="D21" s="450">
        <f t="shared" ref="D21:D33" si="6">E21+SUM(H21:O21)</f>
        <v>0</v>
      </c>
      <c r="E21" s="458"/>
      <c r="F21" s="458"/>
      <c r="G21" s="458"/>
      <c r="H21" s="458"/>
      <c r="I21" s="458"/>
      <c r="J21" s="458"/>
      <c r="K21" s="458"/>
      <c r="L21" s="458"/>
      <c r="M21" s="458"/>
      <c r="N21" s="458"/>
      <c r="O21" s="458"/>
      <c r="P21" s="450">
        <f t="shared" si="3"/>
        <v>0</v>
      </c>
      <c r="Q21" s="459"/>
      <c r="R21" s="459"/>
      <c r="S21" s="459"/>
      <c r="T21" s="459"/>
      <c r="U21" s="459"/>
      <c r="V21" s="459"/>
      <c r="W21" s="459"/>
      <c r="X21" s="459"/>
      <c r="Y21" s="459"/>
      <c r="Z21" s="459"/>
      <c r="AA21" s="459"/>
      <c r="AB21" s="459"/>
      <c r="AC21" s="459"/>
      <c r="AD21" s="459"/>
      <c r="AE21" s="459"/>
      <c r="AF21" s="459"/>
      <c r="AG21" s="459"/>
      <c r="AH21" s="459"/>
      <c r="AI21" s="459"/>
      <c r="AJ21" s="459"/>
      <c r="AK21" s="459"/>
      <c r="AL21" s="459"/>
      <c r="AM21" s="459"/>
    </row>
    <row r="22" spans="1:39" s="155" customFormat="1" ht="12" hidden="1" x14ac:dyDescent="0.2">
      <c r="A22" s="377">
        <v>5</v>
      </c>
      <c r="B22" s="377"/>
      <c r="C22" s="378"/>
      <c r="D22" s="450">
        <f t="shared" si="6"/>
        <v>0</v>
      </c>
      <c r="E22" s="458"/>
      <c r="F22" s="458"/>
      <c r="G22" s="458"/>
      <c r="H22" s="458"/>
      <c r="I22" s="458"/>
      <c r="J22" s="458"/>
      <c r="K22" s="458"/>
      <c r="L22" s="458"/>
      <c r="M22" s="458"/>
      <c r="N22" s="458"/>
      <c r="O22" s="458"/>
      <c r="P22" s="450">
        <f t="shared" si="3"/>
        <v>0</v>
      </c>
      <c r="Q22" s="459"/>
      <c r="R22" s="459"/>
      <c r="S22" s="459"/>
      <c r="T22" s="459"/>
      <c r="U22" s="459"/>
      <c r="V22" s="459"/>
      <c r="W22" s="459"/>
      <c r="X22" s="459"/>
      <c r="Y22" s="459"/>
      <c r="Z22" s="459"/>
      <c r="AA22" s="459"/>
      <c r="AB22" s="459"/>
      <c r="AC22" s="459"/>
      <c r="AD22" s="459"/>
      <c r="AE22" s="459"/>
      <c r="AF22" s="459"/>
      <c r="AG22" s="459"/>
      <c r="AH22" s="459"/>
      <c r="AI22" s="459"/>
      <c r="AJ22" s="459"/>
      <c r="AK22" s="459"/>
      <c r="AL22" s="459"/>
      <c r="AM22" s="459"/>
    </row>
    <row r="23" spans="1:39" s="155" customFormat="1" ht="12" hidden="1" x14ac:dyDescent="0.2">
      <c r="A23" s="377">
        <v>6</v>
      </c>
      <c r="B23" s="377"/>
      <c r="C23" s="378"/>
      <c r="D23" s="450">
        <f t="shared" si="6"/>
        <v>0</v>
      </c>
      <c r="E23" s="458"/>
      <c r="F23" s="458"/>
      <c r="G23" s="458"/>
      <c r="H23" s="458"/>
      <c r="I23" s="458"/>
      <c r="J23" s="458"/>
      <c r="K23" s="458"/>
      <c r="L23" s="458"/>
      <c r="M23" s="458"/>
      <c r="N23" s="458"/>
      <c r="O23" s="458"/>
      <c r="P23" s="450">
        <f t="shared" si="3"/>
        <v>0</v>
      </c>
      <c r="Q23" s="459"/>
      <c r="R23" s="459"/>
      <c r="S23" s="459"/>
      <c r="T23" s="459"/>
      <c r="U23" s="459"/>
      <c r="V23" s="459"/>
      <c r="W23" s="459"/>
      <c r="X23" s="459"/>
      <c r="Y23" s="459"/>
      <c r="Z23" s="459"/>
      <c r="AA23" s="459"/>
      <c r="AB23" s="459"/>
      <c r="AC23" s="459"/>
      <c r="AD23" s="459"/>
      <c r="AE23" s="459"/>
      <c r="AF23" s="459"/>
      <c r="AG23" s="459"/>
      <c r="AH23" s="459"/>
      <c r="AI23" s="459"/>
      <c r="AJ23" s="459"/>
      <c r="AK23" s="459"/>
      <c r="AL23" s="459"/>
      <c r="AM23" s="459"/>
    </row>
    <row r="24" spans="1:39" s="155" customFormat="1" ht="12" hidden="1" x14ac:dyDescent="0.2">
      <c r="A24" s="377">
        <v>7</v>
      </c>
      <c r="B24" s="377"/>
      <c r="C24" s="378"/>
      <c r="D24" s="450">
        <f t="shared" si="6"/>
        <v>0</v>
      </c>
      <c r="E24" s="458"/>
      <c r="F24" s="458"/>
      <c r="G24" s="458"/>
      <c r="H24" s="458"/>
      <c r="I24" s="458"/>
      <c r="J24" s="458"/>
      <c r="K24" s="458"/>
      <c r="L24" s="458"/>
      <c r="M24" s="458"/>
      <c r="N24" s="458"/>
      <c r="O24" s="458"/>
      <c r="P24" s="450">
        <f t="shared" si="3"/>
        <v>0</v>
      </c>
      <c r="Q24" s="459"/>
      <c r="R24" s="459"/>
      <c r="S24" s="459"/>
      <c r="T24" s="459"/>
      <c r="U24" s="459"/>
      <c r="V24" s="459"/>
      <c r="W24" s="459"/>
      <c r="X24" s="459"/>
      <c r="Y24" s="459"/>
      <c r="Z24" s="459"/>
      <c r="AA24" s="459"/>
      <c r="AB24" s="459"/>
      <c r="AC24" s="459"/>
      <c r="AD24" s="459"/>
      <c r="AE24" s="459"/>
      <c r="AF24" s="459"/>
      <c r="AG24" s="459"/>
      <c r="AH24" s="459"/>
      <c r="AI24" s="459"/>
      <c r="AJ24" s="459"/>
      <c r="AK24" s="459"/>
      <c r="AL24" s="459"/>
      <c r="AM24" s="459"/>
    </row>
    <row r="25" spans="1:39" s="155" customFormat="1" ht="12" hidden="1" x14ac:dyDescent="0.2">
      <c r="A25" s="377">
        <v>8</v>
      </c>
      <c r="B25" s="377"/>
      <c r="C25" s="378"/>
      <c r="D25" s="450">
        <f t="shared" si="6"/>
        <v>0</v>
      </c>
      <c r="E25" s="458"/>
      <c r="F25" s="458"/>
      <c r="G25" s="458"/>
      <c r="H25" s="458"/>
      <c r="I25" s="458"/>
      <c r="J25" s="458"/>
      <c r="K25" s="458"/>
      <c r="L25" s="458"/>
      <c r="M25" s="458"/>
      <c r="N25" s="458"/>
      <c r="O25" s="458"/>
      <c r="P25" s="450">
        <f t="shared" si="3"/>
        <v>0</v>
      </c>
      <c r="Q25" s="459"/>
      <c r="R25" s="459"/>
      <c r="S25" s="459"/>
      <c r="T25" s="459"/>
      <c r="U25" s="459"/>
      <c r="V25" s="459"/>
      <c r="W25" s="459"/>
      <c r="X25" s="459"/>
      <c r="Y25" s="459"/>
      <c r="Z25" s="459"/>
      <c r="AA25" s="459"/>
      <c r="AB25" s="459"/>
      <c r="AC25" s="459"/>
      <c r="AD25" s="459"/>
      <c r="AE25" s="459"/>
      <c r="AF25" s="459"/>
      <c r="AG25" s="459"/>
      <c r="AH25" s="459"/>
      <c r="AI25" s="459"/>
      <c r="AJ25" s="459"/>
      <c r="AK25" s="459"/>
      <c r="AL25" s="459"/>
      <c r="AM25" s="459"/>
    </row>
    <row r="26" spans="1:39" s="155" customFormat="1" ht="12" hidden="1" x14ac:dyDescent="0.2">
      <c r="A26" s="377">
        <v>9</v>
      </c>
      <c r="B26" s="377"/>
      <c r="C26" s="378"/>
      <c r="D26" s="450">
        <f t="shared" si="6"/>
        <v>0</v>
      </c>
      <c r="E26" s="458"/>
      <c r="F26" s="458"/>
      <c r="G26" s="458"/>
      <c r="H26" s="458"/>
      <c r="I26" s="458"/>
      <c r="J26" s="458"/>
      <c r="K26" s="458"/>
      <c r="L26" s="458"/>
      <c r="M26" s="458"/>
      <c r="N26" s="458"/>
      <c r="O26" s="458"/>
      <c r="P26" s="450">
        <f t="shared" si="3"/>
        <v>0</v>
      </c>
      <c r="Q26" s="459"/>
      <c r="R26" s="459"/>
      <c r="S26" s="459"/>
      <c r="T26" s="459"/>
      <c r="U26" s="459"/>
      <c r="V26" s="459"/>
      <c r="W26" s="459"/>
      <c r="X26" s="459"/>
      <c r="Y26" s="459"/>
      <c r="Z26" s="459"/>
      <c r="AA26" s="459"/>
      <c r="AB26" s="459"/>
      <c r="AC26" s="459"/>
      <c r="AD26" s="459"/>
      <c r="AE26" s="459"/>
      <c r="AF26" s="459"/>
      <c r="AG26" s="459"/>
      <c r="AH26" s="459"/>
      <c r="AI26" s="459"/>
      <c r="AJ26" s="459"/>
      <c r="AK26" s="459"/>
      <c r="AL26" s="459"/>
      <c r="AM26" s="459"/>
    </row>
    <row r="27" spans="1:39" s="155" customFormat="1" ht="12" hidden="1" x14ac:dyDescent="0.2">
      <c r="A27" s="377">
        <v>10</v>
      </c>
      <c r="B27" s="377"/>
      <c r="C27" s="378"/>
      <c r="D27" s="450">
        <f t="shared" si="6"/>
        <v>0</v>
      </c>
      <c r="E27" s="458"/>
      <c r="F27" s="458"/>
      <c r="G27" s="458"/>
      <c r="H27" s="458"/>
      <c r="I27" s="458"/>
      <c r="J27" s="458"/>
      <c r="K27" s="458"/>
      <c r="L27" s="458"/>
      <c r="M27" s="458"/>
      <c r="N27" s="458"/>
      <c r="O27" s="458"/>
      <c r="P27" s="450">
        <f t="shared" si="3"/>
        <v>0</v>
      </c>
      <c r="Q27" s="459"/>
      <c r="R27" s="459"/>
      <c r="S27" s="459"/>
      <c r="T27" s="459"/>
      <c r="U27" s="459"/>
      <c r="V27" s="459"/>
      <c r="W27" s="459"/>
      <c r="X27" s="459"/>
      <c r="Y27" s="459"/>
      <c r="Z27" s="459"/>
      <c r="AA27" s="459"/>
      <c r="AB27" s="459"/>
      <c r="AC27" s="459"/>
      <c r="AD27" s="459"/>
      <c r="AE27" s="459"/>
      <c r="AF27" s="459"/>
      <c r="AG27" s="459"/>
      <c r="AH27" s="459"/>
      <c r="AI27" s="459"/>
      <c r="AJ27" s="459"/>
      <c r="AK27" s="459"/>
      <c r="AL27" s="459"/>
      <c r="AM27" s="459"/>
    </row>
    <row r="28" spans="1:39" s="155" customFormat="1" ht="12" hidden="1" x14ac:dyDescent="0.2">
      <c r="A28" s="377">
        <v>11</v>
      </c>
      <c r="B28" s="377"/>
      <c r="C28" s="378"/>
      <c r="D28" s="450">
        <f t="shared" si="6"/>
        <v>0</v>
      </c>
      <c r="E28" s="458"/>
      <c r="F28" s="458"/>
      <c r="G28" s="458"/>
      <c r="H28" s="458"/>
      <c r="I28" s="458"/>
      <c r="J28" s="458"/>
      <c r="K28" s="458"/>
      <c r="L28" s="458"/>
      <c r="M28" s="458"/>
      <c r="N28" s="458"/>
      <c r="O28" s="458"/>
      <c r="P28" s="450">
        <f t="shared" si="3"/>
        <v>0</v>
      </c>
      <c r="Q28" s="459"/>
      <c r="R28" s="459"/>
      <c r="S28" s="459"/>
      <c r="T28" s="459"/>
      <c r="U28" s="459"/>
      <c r="V28" s="459"/>
      <c r="W28" s="459"/>
      <c r="X28" s="459"/>
      <c r="Y28" s="459"/>
      <c r="Z28" s="459"/>
      <c r="AA28" s="459"/>
      <c r="AB28" s="459"/>
      <c r="AC28" s="459"/>
      <c r="AD28" s="459"/>
      <c r="AE28" s="459"/>
      <c r="AF28" s="459"/>
      <c r="AG28" s="459"/>
      <c r="AH28" s="459"/>
      <c r="AI28" s="459"/>
      <c r="AJ28" s="459"/>
      <c r="AK28" s="459"/>
      <c r="AL28" s="459"/>
      <c r="AM28" s="459"/>
    </row>
    <row r="29" spans="1:39" s="155" customFormat="1" ht="12" hidden="1" x14ac:dyDescent="0.2">
      <c r="A29" s="377">
        <v>12</v>
      </c>
      <c r="B29" s="377"/>
      <c r="C29" s="378"/>
      <c r="D29" s="450">
        <f t="shared" si="6"/>
        <v>0</v>
      </c>
      <c r="E29" s="458"/>
      <c r="F29" s="458"/>
      <c r="G29" s="458"/>
      <c r="H29" s="458"/>
      <c r="I29" s="458"/>
      <c r="J29" s="458"/>
      <c r="K29" s="458"/>
      <c r="L29" s="458"/>
      <c r="M29" s="458"/>
      <c r="N29" s="458"/>
      <c r="O29" s="458"/>
      <c r="P29" s="450">
        <f t="shared" si="3"/>
        <v>0</v>
      </c>
      <c r="Q29" s="459"/>
      <c r="R29" s="459"/>
      <c r="S29" s="459"/>
      <c r="T29" s="459"/>
      <c r="U29" s="459"/>
      <c r="V29" s="459"/>
      <c r="W29" s="459"/>
      <c r="X29" s="459"/>
      <c r="Y29" s="459"/>
      <c r="Z29" s="459"/>
      <c r="AA29" s="459"/>
      <c r="AB29" s="459"/>
      <c r="AC29" s="459"/>
      <c r="AD29" s="459"/>
      <c r="AE29" s="459"/>
      <c r="AF29" s="459"/>
      <c r="AG29" s="459"/>
      <c r="AH29" s="459"/>
      <c r="AI29" s="459"/>
      <c r="AJ29" s="459"/>
      <c r="AK29" s="459"/>
      <c r="AL29" s="459"/>
      <c r="AM29" s="459"/>
    </row>
    <row r="30" spans="1:39" s="155" customFormat="1" ht="12" hidden="1" x14ac:dyDescent="0.2">
      <c r="A30" s="377">
        <v>13</v>
      </c>
      <c r="B30" s="377"/>
      <c r="C30" s="378"/>
      <c r="D30" s="450">
        <f t="shared" si="6"/>
        <v>0</v>
      </c>
      <c r="E30" s="458"/>
      <c r="F30" s="458"/>
      <c r="G30" s="458"/>
      <c r="H30" s="458"/>
      <c r="I30" s="458"/>
      <c r="J30" s="458"/>
      <c r="K30" s="458"/>
      <c r="L30" s="458"/>
      <c r="M30" s="458"/>
      <c r="N30" s="458"/>
      <c r="O30" s="458"/>
      <c r="P30" s="450">
        <f t="shared" si="3"/>
        <v>0</v>
      </c>
      <c r="Q30" s="459"/>
      <c r="R30" s="459"/>
      <c r="S30" s="459"/>
      <c r="T30" s="459"/>
      <c r="U30" s="459"/>
      <c r="V30" s="459"/>
      <c r="W30" s="459"/>
      <c r="X30" s="459"/>
      <c r="Y30" s="459"/>
      <c r="Z30" s="459"/>
      <c r="AA30" s="459"/>
      <c r="AB30" s="459"/>
      <c r="AC30" s="459"/>
      <c r="AD30" s="459"/>
      <c r="AE30" s="459"/>
      <c r="AF30" s="459"/>
      <c r="AG30" s="459"/>
      <c r="AH30" s="459"/>
      <c r="AI30" s="459"/>
      <c r="AJ30" s="459"/>
      <c r="AK30" s="459"/>
      <c r="AL30" s="459"/>
      <c r="AM30" s="459"/>
    </row>
    <row r="31" spans="1:39" s="155" customFormat="1" ht="12" hidden="1" x14ac:dyDescent="0.2">
      <c r="A31" s="377">
        <v>14</v>
      </c>
      <c r="B31" s="377"/>
      <c r="C31" s="378"/>
      <c r="D31" s="450">
        <f t="shared" si="6"/>
        <v>0</v>
      </c>
      <c r="E31" s="458"/>
      <c r="F31" s="458"/>
      <c r="G31" s="458"/>
      <c r="H31" s="458"/>
      <c r="I31" s="458"/>
      <c r="J31" s="458"/>
      <c r="K31" s="458"/>
      <c r="L31" s="458"/>
      <c r="M31" s="458"/>
      <c r="N31" s="458"/>
      <c r="O31" s="458"/>
      <c r="P31" s="450">
        <f t="shared" si="3"/>
        <v>0</v>
      </c>
      <c r="Q31" s="459"/>
      <c r="R31" s="459"/>
      <c r="S31" s="459"/>
      <c r="T31" s="459"/>
      <c r="U31" s="459"/>
      <c r="V31" s="459"/>
      <c r="W31" s="459"/>
      <c r="X31" s="459"/>
      <c r="Y31" s="459"/>
      <c r="Z31" s="459"/>
      <c r="AA31" s="459"/>
      <c r="AB31" s="459"/>
      <c r="AC31" s="459"/>
      <c r="AD31" s="459"/>
      <c r="AE31" s="459"/>
      <c r="AF31" s="459"/>
      <c r="AG31" s="459"/>
      <c r="AH31" s="459"/>
      <c r="AI31" s="459"/>
      <c r="AJ31" s="459"/>
      <c r="AK31" s="459"/>
      <c r="AL31" s="459"/>
      <c r="AM31" s="459"/>
    </row>
    <row r="32" spans="1:39" s="155" customFormat="1" ht="12" hidden="1" x14ac:dyDescent="0.2">
      <c r="A32" s="377">
        <v>15</v>
      </c>
      <c r="B32" s="377"/>
      <c r="C32" s="373"/>
      <c r="D32" s="450">
        <f t="shared" si="6"/>
        <v>0</v>
      </c>
      <c r="E32" s="458"/>
      <c r="F32" s="458"/>
      <c r="G32" s="458"/>
      <c r="H32" s="458"/>
      <c r="I32" s="458"/>
      <c r="J32" s="458"/>
      <c r="K32" s="458"/>
      <c r="L32" s="458"/>
      <c r="M32" s="458"/>
      <c r="N32" s="458"/>
      <c r="O32" s="458"/>
      <c r="P32" s="450">
        <f t="shared" si="3"/>
        <v>0</v>
      </c>
      <c r="Q32" s="458"/>
      <c r="R32" s="458"/>
      <c r="S32" s="458"/>
      <c r="T32" s="458"/>
      <c r="U32" s="458"/>
      <c r="V32" s="458"/>
      <c r="W32" s="458"/>
      <c r="X32" s="458"/>
      <c r="Y32" s="458"/>
      <c r="Z32" s="458"/>
      <c r="AA32" s="458"/>
      <c r="AB32" s="458"/>
      <c r="AC32" s="458"/>
      <c r="AD32" s="458"/>
      <c r="AE32" s="458"/>
      <c r="AF32" s="458"/>
      <c r="AG32" s="458"/>
      <c r="AH32" s="458"/>
      <c r="AI32" s="458"/>
      <c r="AJ32" s="458"/>
      <c r="AK32" s="458"/>
      <c r="AL32" s="458"/>
      <c r="AM32" s="458"/>
    </row>
    <row r="33" spans="1:39" s="155" customFormat="1" ht="12" x14ac:dyDescent="0.2">
      <c r="A33" s="374" t="s">
        <v>75</v>
      </c>
      <c r="B33" s="374"/>
      <c r="C33" s="375"/>
      <c r="D33" s="450">
        <f t="shared" si="6"/>
        <v>359132948</v>
      </c>
      <c r="E33" s="450">
        <f>SUM(E34:E53)</f>
        <v>192411535</v>
      </c>
      <c r="F33" s="450">
        <f t="shared" ref="F33:O33" si="7">SUM(F34:F53)</f>
        <v>52365423</v>
      </c>
      <c r="G33" s="450">
        <f t="shared" si="7"/>
        <v>30277410</v>
      </c>
      <c r="H33" s="450">
        <f t="shared" si="7"/>
        <v>0</v>
      </c>
      <c r="I33" s="450">
        <f t="shared" si="7"/>
        <v>61584143</v>
      </c>
      <c r="J33" s="450">
        <f t="shared" si="7"/>
        <v>1306020</v>
      </c>
      <c r="K33" s="450">
        <f t="shared" si="7"/>
        <v>6226145</v>
      </c>
      <c r="L33" s="450">
        <f t="shared" si="7"/>
        <v>0</v>
      </c>
      <c r="M33" s="450">
        <f t="shared" si="7"/>
        <v>28534806</v>
      </c>
      <c r="N33" s="450">
        <f t="shared" si="7"/>
        <v>68648151</v>
      </c>
      <c r="O33" s="450">
        <f t="shared" si="7"/>
        <v>422148</v>
      </c>
      <c r="P33" s="450">
        <f t="shared" si="3"/>
        <v>347790337</v>
      </c>
      <c r="Q33" s="450">
        <f>SUM(Q34:Q53)</f>
        <v>85186643</v>
      </c>
      <c r="R33" s="450">
        <f t="shared" ref="R33:AM33" si="8">SUM(R34:R53)</f>
        <v>99123630</v>
      </c>
      <c r="S33" s="450">
        <f t="shared" si="8"/>
        <v>2603482</v>
      </c>
      <c r="T33" s="450">
        <f t="shared" si="8"/>
        <v>1144953</v>
      </c>
      <c r="U33" s="450">
        <f t="shared" si="8"/>
        <v>6631089</v>
      </c>
      <c r="V33" s="450">
        <f t="shared" si="8"/>
        <v>3273716</v>
      </c>
      <c r="W33" s="450">
        <f t="shared" si="8"/>
        <v>98581332</v>
      </c>
      <c r="X33" s="450">
        <f t="shared" si="8"/>
        <v>7398048</v>
      </c>
      <c r="Y33" s="450">
        <f t="shared" si="8"/>
        <v>2797728</v>
      </c>
      <c r="Z33" s="450">
        <f t="shared" si="8"/>
        <v>26985043</v>
      </c>
      <c r="AA33" s="450">
        <f t="shared" si="8"/>
        <v>14216352</v>
      </c>
      <c r="AB33" s="450">
        <f t="shared" si="8"/>
        <v>-151679</v>
      </c>
      <c r="AC33" s="450">
        <f t="shared" si="8"/>
        <v>35984832</v>
      </c>
      <c r="AD33" s="450">
        <f t="shared" si="8"/>
        <v>6885741</v>
      </c>
      <c r="AE33" s="450">
        <f t="shared" si="8"/>
        <v>58089205</v>
      </c>
      <c r="AF33" s="450">
        <f t="shared" si="8"/>
        <v>3128235</v>
      </c>
      <c r="AG33" s="450">
        <f t="shared" si="8"/>
        <v>27536703</v>
      </c>
      <c r="AH33" s="450">
        <f t="shared" si="8"/>
        <v>19651210</v>
      </c>
      <c r="AI33" s="450">
        <f t="shared" si="8"/>
        <v>80533079</v>
      </c>
      <c r="AJ33" s="450">
        <f t="shared" si="8"/>
        <v>14665001</v>
      </c>
      <c r="AK33" s="450">
        <f t="shared" si="8"/>
        <v>13553521</v>
      </c>
      <c r="AL33" s="450">
        <f t="shared" si="8"/>
        <v>86608679</v>
      </c>
      <c r="AM33" s="450">
        <f t="shared" si="8"/>
        <v>1154131</v>
      </c>
    </row>
    <row r="34" spans="1:39" s="155" customFormat="1" ht="12" x14ac:dyDescent="0.2">
      <c r="A34" s="377">
        <v>1</v>
      </c>
      <c r="B34" s="377">
        <v>61069</v>
      </c>
      <c r="C34" s="425" t="s">
        <v>2745</v>
      </c>
      <c r="D34" s="450">
        <f t="shared" ref="D34:D42" si="9">E34+SUM(H34:O34)</f>
        <v>11537702</v>
      </c>
      <c r="E34" s="454">
        <f>11537702-4871849-25953-177856</f>
        <v>6462044</v>
      </c>
      <c r="F34" s="454">
        <v>951873</v>
      </c>
      <c r="G34" s="456">
        <v>4515580</v>
      </c>
      <c r="H34" s="454">
        <v>0</v>
      </c>
      <c r="I34" s="454">
        <v>4056439</v>
      </c>
      <c r="J34" s="454">
        <v>0</v>
      </c>
      <c r="K34" s="454">
        <v>815410</v>
      </c>
      <c r="L34" s="454">
        <v>0</v>
      </c>
      <c r="M34" s="454">
        <v>25953</v>
      </c>
      <c r="N34" s="456">
        <v>177856</v>
      </c>
      <c r="O34" s="456">
        <v>0</v>
      </c>
      <c r="P34" s="450">
        <f t="shared" ref="P34:P42" si="10">IF(SUM(Q34:AB34)=SUM(AC34:AM34),SUM(Q34:AB34),"  EROARE ART/CAP")</f>
        <v>9643102</v>
      </c>
      <c r="Q34" s="454">
        <f>1108828+98051+35389+3057956+28415+88580+657996+410040</f>
        <v>5485255</v>
      </c>
      <c r="R34" s="454">
        <f>652204+8775+60524+646090+23477+125683+148224+1311272</f>
        <v>2976249</v>
      </c>
      <c r="S34" s="454">
        <v>0</v>
      </c>
      <c r="T34" s="454">
        <v>0</v>
      </c>
      <c r="U34" s="454">
        <v>0</v>
      </c>
      <c r="V34" s="454">
        <v>0</v>
      </c>
      <c r="W34" s="454">
        <f>299017+234286</f>
        <v>533303</v>
      </c>
      <c r="X34" s="454">
        <v>90629</v>
      </c>
      <c r="Y34" s="456">
        <v>353000</v>
      </c>
      <c r="Z34" s="454">
        <f>143501+61165</f>
        <v>204666</v>
      </c>
      <c r="AA34" s="456">
        <v>0</v>
      </c>
      <c r="AB34" s="456">
        <v>0</v>
      </c>
      <c r="AC34" s="456">
        <f>1904533+106826</f>
        <v>2011359</v>
      </c>
      <c r="AD34" s="454">
        <v>95913</v>
      </c>
      <c r="AE34" s="454">
        <v>3704046</v>
      </c>
      <c r="AF34" s="454">
        <v>51892</v>
      </c>
      <c r="AG34" s="454">
        <v>866280</v>
      </c>
      <c r="AH34" s="454">
        <v>1131135</v>
      </c>
      <c r="AI34" s="454">
        <v>1782477</v>
      </c>
      <c r="AJ34" s="456">
        <v>0</v>
      </c>
      <c r="AK34" s="454">
        <v>0</v>
      </c>
      <c r="AL34" s="454">
        <v>0</v>
      </c>
      <c r="AM34" s="456">
        <v>0</v>
      </c>
    </row>
    <row r="35" spans="1:39" s="155" customFormat="1" ht="12" x14ac:dyDescent="0.2">
      <c r="A35" s="377">
        <v>2</v>
      </c>
      <c r="B35" s="377">
        <v>60507</v>
      </c>
      <c r="C35" s="425" t="s">
        <v>2746</v>
      </c>
      <c r="D35" s="450">
        <f t="shared" si="9"/>
        <v>139986739</v>
      </c>
      <c r="E35" s="454">
        <f>139986739-17496004-15412462-26165235</f>
        <v>80913038</v>
      </c>
      <c r="F35" s="454">
        <v>17017741</v>
      </c>
      <c r="G35" s="454">
        <v>8445600</v>
      </c>
      <c r="H35" s="454">
        <v>0</v>
      </c>
      <c r="I35" s="454">
        <v>16822854</v>
      </c>
      <c r="J35" s="454">
        <v>0</v>
      </c>
      <c r="K35" s="454">
        <v>673150</v>
      </c>
      <c r="L35" s="454">
        <v>0</v>
      </c>
      <c r="M35" s="454">
        <v>15412462</v>
      </c>
      <c r="N35" s="456">
        <v>26165235</v>
      </c>
      <c r="O35" s="456">
        <v>0</v>
      </c>
      <c r="P35" s="450">
        <f t="shared" si="10"/>
        <v>129322814</v>
      </c>
      <c r="Q35" s="454">
        <f>4471994+329833+1477843+13088918+271516+520503+2636286+917141</f>
        <v>23714034</v>
      </c>
      <c r="R35" s="454">
        <f>3095030+92532+396854+2447467+163451+2349197+786048+5791184+4484066+94921+13553154+3491204+387090</f>
        <v>37132198</v>
      </c>
      <c r="S35" s="454">
        <v>553764</v>
      </c>
      <c r="T35" s="454">
        <v>52204</v>
      </c>
      <c r="U35" s="454">
        <f>2205944</f>
        <v>2205944</v>
      </c>
      <c r="V35" s="454">
        <v>16716</v>
      </c>
      <c r="W35" s="454">
        <f>14870931+39796724</f>
        <v>54667655</v>
      </c>
      <c r="X35" s="456">
        <f>340681+2775854</f>
        <v>3116535</v>
      </c>
      <c r="Y35" s="454">
        <f>8124+625000</f>
        <v>633124</v>
      </c>
      <c r="Z35" s="456">
        <f>20013+17980+142128+250954+231285+14544+1684480+648579+368+3162341</f>
        <v>6172672</v>
      </c>
      <c r="AA35" s="454">
        <v>1080000</v>
      </c>
      <c r="AB35" s="456">
        <f>-4579-233-9195-2365-5660</f>
        <v>-22032</v>
      </c>
      <c r="AC35" s="456">
        <f>7582458+440345+553764</f>
        <v>8576567</v>
      </c>
      <c r="AD35" s="454">
        <v>2016825</v>
      </c>
      <c r="AE35" s="454">
        <v>16135910</v>
      </c>
      <c r="AF35" s="454">
        <v>434967</v>
      </c>
      <c r="AG35" s="454">
        <v>5922735</v>
      </c>
      <c r="AH35" s="454">
        <v>6210367</v>
      </c>
      <c r="AI35" s="454">
        <v>24390280</v>
      </c>
      <c r="AJ35" s="454">
        <v>5132645</v>
      </c>
      <c r="AK35" s="456">
        <v>13553521</v>
      </c>
      <c r="AL35" s="454">
        <v>46450270</v>
      </c>
      <c r="AM35" s="456">
        <f>111637+387090</f>
        <v>498727</v>
      </c>
    </row>
    <row r="36" spans="1:39" s="155" customFormat="1" ht="12" x14ac:dyDescent="0.2">
      <c r="A36" s="377">
        <v>3</v>
      </c>
      <c r="B36" s="377">
        <v>60776</v>
      </c>
      <c r="C36" s="425" t="s">
        <v>2747</v>
      </c>
      <c r="D36" s="450">
        <f t="shared" si="9"/>
        <v>47177650</v>
      </c>
      <c r="E36" s="454">
        <f>47177650-11230455-3000-6314887-97114</f>
        <v>29532194</v>
      </c>
      <c r="F36" s="454">
        <v>17469850</v>
      </c>
      <c r="G36" s="454">
        <v>1315690</v>
      </c>
      <c r="H36" s="454">
        <v>0</v>
      </c>
      <c r="I36" s="454">
        <v>11045435</v>
      </c>
      <c r="J36" s="454">
        <v>0</v>
      </c>
      <c r="K36" s="454">
        <v>185020</v>
      </c>
      <c r="L36" s="454">
        <v>0</v>
      </c>
      <c r="M36" s="454">
        <v>6314887</v>
      </c>
      <c r="N36" s="456">
        <v>97114</v>
      </c>
      <c r="O36" s="456">
        <v>3000</v>
      </c>
      <c r="P36" s="450">
        <f t="shared" si="10"/>
        <v>45931355</v>
      </c>
      <c r="Q36" s="454">
        <f>2521595+85152+851494+8461324+128960+275923+2147689</f>
        <v>14472137</v>
      </c>
      <c r="R36" s="454">
        <f>1551299+20210+536772+1056994+74731+2910886+1441486+2055847+2246473+287249+1267210</f>
        <v>13449157</v>
      </c>
      <c r="S36" s="454">
        <v>216675</v>
      </c>
      <c r="T36" s="454">
        <v>704825</v>
      </c>
      <c r="U36" s="454">
        <f>1285669+101716</f>
        <v>1387385</v>
      </c>
      <c r="V36" s="454">
        <v>3257000</v>
      </c>
      <c r="W36" s="454">
        <v>416630</v>
      </c>
      <c r="X36" s="454">
        <v>847977</v>
      </c>
      <c r="Y36" s="456">
        <f>84899+1102250</f>
        <v>1187149</v>
      </c>
      <c r="Z36" s="454">
        <f>18708+192707+35000+8832776+1000000</f>
        <v>10079191</v>
      </c>
      <c r="AA36" s="456">
        <v>42300</v>
      </c>
      <c r="AB36" s="456">
        <f>-126048-378-2645</f>
        <v>-129071</v>
      </c>
      <c r="AC36" s="456">
        <f>4091602+105362+216675</f>
        <v>4413639</v>
      </c>
      <c r="AD36" s="454">
        <v>1580973</v>
      </c>
      <c r="AE36" s="454">
        <v>9638217</v>
      </c>
      <c r="AF36" s="454">
        <v>1363312</v>
      </c>
      <c r="AG36" s="454">
        <v>4289059</v>
      </c>
      <c r="AH36" s="454">
        <v>5243315</v>
      </c>
      <c r="AI36" s="454">
        <v>15601908</v>
      </c>
      <c r="AJ36" s="456">
        <v>2246473</v>
      </c>
      <c r="AK36" s="454">
        <v>0</v>
      </c>
      <c r="AL36" s="454">
        <v>1267210</v>
      </c>
      <c r="AM36" s="456">
        <v>287249</v>
      </c>
    </row>
    <row r="37" spans="1:39" s="155" customFormat="1" ht="12" x14ac:dyDescent="0.2">
      <c r="A37" s="377">
        <v>4</v>
      </c>
      <c r="B37" s="377">
        <v>60455</v>
      </c>
      <c r="C37" s="425" t="s">
        <v>2748</v>
      </c>
      <c r="D37" s="450">
        <f t="shared" si="9"/>
        <v>37837973</v>
      </c>
      <c r="E37" s="454">
        <f>37837973-5936462-2545650-5392808</f>
        <v>23963053</v>
      </c>
      <c r="F37" s="454">
        <v>4466532</v>
      </c>
      <c r="G37" s="454">
        <v>2279810</v>
      </c>
      <c r="H37" s="454">
        <v>0</v>
      </c>
      <c r="I37" s="454">
        <v>4494954</v>
      </c>
      <c r="J37" s="454">
        <v>0</v>
      </c>
      <c r="K37" s="454">
        <v>1441508</v>
      </c>
      <c r="L37" s="454">
        <v>0</v>
      </c>
      <c r="M37" s="454">
        <v>2545650</v>
      </c>
      <c r="N37" s="456">
        <v>5392808</v>
      </c>
      <c r="O37" s="456">
        <v>0</v>
      </c>
      <c r="P37" s="450">
        <f t="shared" si="10"/>
        <v>39240444</v>
      </c>
      <c r="Q37" s="454">
        <f>2736172+79714+481043+3495761+58585+642297</f>
        <v>7493572</v>
      </c>
      <c r="R37" s="454">
        <f>2686988+61916+303649+1425399+1914+1011702+181244+5954925+2318717+80474</f>
        <v>14026928</v>
      </c>
      <c r="S37" s="454">
        <v>1384767</v>
      </c>
      <c r="T37" s="454">
        <v>44690</v>
      </c>
      <c r="U37" s="454">
        <f>1002639+644511</f>
        <v>1647150</v>
      </c>
      <c r="V37" s="454">
        <v>0</v>
      </c>
      <c r="W37" s="454">
        <v>8282401</v>
      </c>
      <c r="X37" s="454">
        <v>412898</v>
      </c>
      <c r="Y37" s="456">
        <f>30100+28500</f>
        <v>58600</v>
      </c>
      <c r="Z37" s="454">
        <f>520067+37465+50590+190541+64690+2379331+745098</f>
        <v>3987782</v>
      </c>
      <c r="AA37" s="456">
        <v>1901656</v>
      </c>
      <c r="AB37" s="456">
        <v>0</v>
      </c>
      <c r="AC37" s="456">
        <f>5943227+179095+1384767</f>
        <v>7507089</v>
      </c>
      <c r="AD37" s="454">
        <v>835282</v>
      </c>
      <c r="AE37" s="454">
        <v>5141801</v>
      </c>
      <c r="AF37" s="454">
        <v>60499</v>
      </c>
      <c r="AG37" s="454">
        <v>2107530</v>
      </c>
      <c r="AH37" s="454">
        <v>1236439</v>
      </c>
      <c r="AI37" s="454">
        <v>19162824</v>
      </c>
      <c r="AJ37" s="456">
        <v>2318717</v>
      </c>
      <c r="AK37" s="454">
        <v>0</v>
      </c>
      <c r="AL37" s="454">
        <v>870263</v>
      </c>
      <c r="AM37" s="456">
        <v>0</v>
      </c>
    </row>
    <row r="38" spans="1:39" s="155" customFormat="1" ht="12" x14ac:dyDescent="0.2">
      <c r="A38" s="377">
        <v>5</v>
      </c>
      <c r="B38" s="377">
        <v>60801</v>
      </c>
      <c r="C38" s="425" t="s">
        <v>2749</v>
      </c>
      <c r="D38" s="450">
        <f t="shared" si="9"/>
        <v>36376729</v>
      </c>
      <c r="E38" s="454">
        <f>36376729-8477687-73057-497181-333091-16957389</f>
        <v>10038324</v>
      </c>
      <c r="F38" s="454">
        <v>2785351</v>
      </c>
      <c r="G38" s="454">
        <v>2144910</v>
      </c>
      <c r="H38" s="454">
        <v>0</v>
      </c>
      <c r="I38" s="454">
        <v>7565137</v>
      </c>
      <c r="J38" s="454">
        <v>0</v>
      </c>
      <c r="K38" s="454">
        <v>912550</v>
      </c>
      <c r="L38" s="454">
        <v>0</v>
      </c>
      <c r="M38" s="454">
        <v>497181</v>
      </c>
      <c r="N38" s="456">
        <v>16957389</v>
      </c>
      <c r="O38" s="456">
        <f>73057+333091</f>
        <v>406148</v>
      </c>
      <c r="P38" s="450">
        <f t="shared" si="10"/>
        <v>36545558</v>
      </c>
      <c r="Q38" s="454">
        <f>1807063+81891+371651+5430677+17639+1134342+354655+150730</f>
        <v>9348648</v>
      </c>
      <c r="R38" s="454">
        <f>625438+41770+67749+815074+20152+373110+110368+1352792+96133+177179+2589447</f>
        <v>6269212</v>
      </c>
      <c r="S38" s="454">
        <v>86000</v>
      </c>
      <c r="T38" s="454">
        <v>0</v>
      </c>
      <c r="U38" s="454">
        <f>1002248+191428</f>
        <v>1193676</v>
      </c>
      <c r="V38" s="454">
        <v>0</v>
      </c>
      <c r="W38" s="454">
        <f>758+17778644</f>
        <v>17779402</v>
      </c>
      <c r="X38" s="454">
        <v>701576</v>
      </c>
      <c r="Y38" s="456">
        <v>0</v>
      </c>
      <c r="Z38" s="454">
        <f>15729+83689+32006+371305+272443+16864</f>
        <v>792036</v>
      </c>
      <c r="AA38" s="456">
        <v>375008</v>
      </c>
      <c r="AB38" s="456">
        <v>0</v>
      </c>
      <c r="AC38" s="456">
        <f>2823238+123661+86000</f>
        <v>3032899</v>
      </c>
      <c r="AD38" s="454">
        <v>439400</v>
      </c>
      <c r="AE38" s="454">
        <v>6329440</v>
      </c>
      <c r="AF38" s="454">
        <v>1072045</v>
      </c>
      <c r="AG38" s="454">
        <v>935843</v>
      </c>
      <c r="AH38" s="454">
        <v>1946286</v>
      </c>
      <c r="AI38" s="454">
        <v>1979889</v>
      </c>
      <c r="AJ38" s="456">
        <v>96133</v>
      </c>
      <c r="AK38" s="454">
        <v>0</v>
      </c>
      <c r="AL38" s="454">
        <v>20384955</v>
      </c>
      <c r="AM38" s="456">
        <v>328668</v>
      </c>
    </row>
    <row r="39" spans="1:39" s="155" customFormat="1" ht="12" x14ac:dyDescent="0.2">
      <c r="A39" s="377">
        <v>6</v>
      </c>
      <c r="B39" s="377">
        <v>62397</v>
      </c>
      <c r="C39" s="425" t="s">
        <v>2750</v>
      </c>
      <c r="D39" s="450">
        <f t="shared" si="9"/>
        <v>20782216</v>
      </c>
      <c r="E39" s="454">
        <f>20782216-3258751-133345-9719317</f>
        <v>7670803</v>
      </c>
      <c r="F39" s="454">
        <v>1223742</v>
      </c>
      <c r="G39" s="454">
        <v>4204270</v>
      </c>
      <c r="H39" s="454">
        <v>0</v>
      </c>
      <c r="I39" s="454">
        <v>2562571</v>
      </c>
      <c r="J39" s="454">
        <v>0</v>
      </c>
      <c r="K39" s="454">
        <v>696180</v>
      </c>
      <c r="L39" s="454">
        <v>0</v>
      </c>
      <c r="M39" s="454">
        <v>133345</v>
      </c>
      <c r="N39" s="456">
        <v>9719317</v>
      </c>
      <c r="O39" s="455">
        <v>0</v>
      </c>
      <c r="P39" s="450">
        <f t="shared" si="10"/>
        <v>18502963</v>
      </c>
      <c r="Q39" s="454">
        <f>918327+71520+2016938+70749+173840+297791</f>
        <v>3549165</v>
      </c>
      <c r="R39" s="454">
        <f>687074+35033+447182+435722+2069696+40063+150265</f>
        <v>3865035</v>
      </c>
      <c r="S39" s="454">
        <v>164427</v>
      </c>
      <c r="T39" s="454">
        <v>0</v>
      </c>
      <c r="U39" s="454">
        <v>0</v>
      </c>
      <c r="V39" s="454">
        <v>0</v>
      </c>
      <c r="W39" s="454">
        <f>170032+2319715</f>
        <v>2489747</v>
      </c>
      <c r="X39" s="454">
        <v>234020</v>
      </c>
      <c r="Y39" s="455">
        <v>0</v>
      </c>
      <c r="Z39" s="455">
        <f>26000+27900+412746+380499</f>
        <v>847145</v>
      </c>
      <c r="AA39" s="455">
        <v>7354000</v>
      </c>
      <c r="AB39" s="455">
        <v>-576</v>
      </c>
      <c r="AC39" s="454">
        <f>1605401+106553+164427</f>
        <v>1876381</v>
      </c>
      <c r="AD39" s="454">
        <v>0</v>
      </c>
      <c r="AE39" s="454">
        <v>2660151</v>
      </c>
      <c r="AF39" s="454">
        <v>0</v>
      </c>
      <c r="AG39" s="454">
        <v>534371</v>
      </c>
      <c r="AH39" s="454">
        <v>407860</v>
      </c>
      <c r="AI39" s="454">
        <v>2780233</v>
      </c>
      <c r="AJ39" s="456">
        <v>0</v>
      </c>
      <c r="AK39" s="454">
        <v>0</v>
      </c>
      <c r="AL39" s="454">
        <v>10204480</v>
      </c>
      <c r="AM39" s="455">
        <v>39487</v>
      </c>
    </row>
    <row r="40" spans="1:39" s="155" customFormat="1" ht="12" x14ac:dyDescent="0.2">
      <c r="A40" s="377">
        <v>7</v>
      </c>
      <c r="B40" s="377">
        <v>62360</v>
      </c>
      <c r="C40" s="425" t="s">
        <v>2751</v>
      </c>
      <c r="D40" s="450">
        <f t="shared" si="9"/>
        <v>15780818</v>
      </c>
      <c r="E40" s="456">
        <f>15780818-6063288-1121665-517575</f>
        <v>8078290</v>
      </c>
      <c r="F40" s="456">
        <v>2249195</v>
      </c>
      <c r="G40" s="456">
        <v>2397030</v>
      </c>
      <c r="H40" s="456">
        <v>0</v>
      </c>
      <c r="I40" s="456">
        <v>5402159</v>
      </c>
      <c r="J40" s="456">
        <v>106020</v>
      </c>
      <c r="K40" s="456">
        <v>555109</v>
      </c>
      <c r="L40" s="456">
        <v>0</v>
      </c>
      <c r="M40" s="456">
        <v>1121665</v>
      </c>
      <c r="N40" s="456">
        <v>517575</v>
      </c>
      <c r="O40" s="456">
        <v>0</v>
      </c>
      <c r="P40" s="450">
        <f t="shared" si="10"/>
        <v>16157019</v>
      </c>
      <c r="Q40" s="456">
        <f>1143274+89812+4133823+101799+336698+433639+329718+402882</f>
        <v>6971645</v>
      </c>
      <c r="R40" s="456">
        <f>1013258+16498+523415+538986+2000+1038497+1127102+480187+438762</f>
        <v>5178705</v>
      </c>
      <c r="S40" s="456">
        <v>151552</v>
      </c>
      <c r="T40" s="456">
        <v>0</v>
      </c>
      <c r="U40" s="456">
        <v>0</v>
      </c>
      <c r="V40" s="456">
        <v>0</v>
      </c>
      <c r="W40" s="456">
        <v>677285</v>
      </c>
      <c r="X40" s="456">
        <v>626155</v>
      </c>
      <c r="Y40" s="454">
        <v>374132</v>
      </c>
      <c r="Z40" s="456">
        <f>6899+65658+1357403</f>
        <v>1429960</v>
      </c>
      <c r="AA40" s="456">
        <f>422531+120445+204609</f>
        <v>747585</v>
      </c>
      <c r="AB40" s="456">
        <v>0</v>
      </c>
      <c r="AC40" s="456">
        <f>2833817+106310+151552</f>
        <v>3091679</v>
      </c>
      <c r="AD40" s="456">
        <v>926297</v>
      </c>
      <c r="AE40" s="456">
        <v>4672809</v>
      </c>
      <c r="AF40" s="456">
        <v>103799</v>
      </c>
      <c r="AG40" s="456">
        <v>2178757</v>
      </c>
      <c r="AH40" s="456">
        <v>1059794</v>
      </c>
      <c r="AI40" s="456">
        <v>1642923</v>
      </c>
      <c r="AJ40" s="456">
        <v>480187</v>
      </c>
      <c r="AK40" s="456">
        <v>0</v>
      </c>
      <c r="AL40" s="456">
        <v>2000774</v>
      </c>
      <c r="AM40" s="456">
        <v>0</v>
      </c>
    </row>
    <row r="41" spans="1:39" s="155" customFormat="1" ht="12" x14ac:dyDescent="0.2">
      <c r="A41" s="377">
        <v>8</v>
      </c>
      <c r="B41" s="377">
        <v>60687</v>
      </c>
      <c r="C41" s="425" t="s">
        <v>2752</v>
      </c>
      <c r="D41" s="450">
        <f t="shared" si="9"/>
        <v>32380043</v>
      </c>
      <c r="E41" s="456">
        <f>32380043-8198841-13000-1796541-3982381</f>
        <v>18389280</v>
      </c>
      <c r="F41" s="456">
        <v>4472861</v>
      </c>
      <c r="G41" s="456">
        <v>3127870</v>
      </c>
      <c r="H41" s="456">
        <v>0</v>
      </c>
      <c r="I41" s="456">
        <v>6760883</v>
      </c>
      <c r="J41" s="456">
        <v>700000</v>
      </c>
      <c r="K41" s="456">
        <v>737958</v>
      </c>
      <c r="L41" s="456">
        <v>0</v>
      </c>
      <c r="M41" s="456">
        <v>1796541</v>
      </c>
      <c r="N41" s="456">
        <v>3982381</v>
      </c>
      <c r="O41" s="456">
        <v>13000</v>
      </c>
      <c r="P41" s="450">
        <f t="shared" si="10"/>
        <v>33611115</v>
      </c>
      <c r="Q41" s="456">
        <f>1863101+119285+375047+5376424+24423+743228+734191+219724</f>
        <v>9455423</v>
      </c>
      <c r="R41" s="456">
        <f>1749565+24083+344347+1677881+17298+3562181+33460+1923337+2680087+1044136</f>
        <v>13056375</v>
      </c>
      <c r="S41" s="456">
        <v>46297</v>
      </c>
      <c r="T41" s="456">
        <v>343234</v>
      </c>
      <c r="U41" s="456">
        <v>196934</v>
      </c>
      <c r="V41" s="456">
        <v>0</v>
      </c>
      <c r="W41" s="456">
        <f>4765273+4960</f>
        <v>4770233</v>
      </c>
      <c r="X41" s="456">
        <f>2300+927155</f>
        <v>929455</v>
      </c>
      <c r="Y41" s="454">
        <v>31700</v>
      </c>
      <c r="Z41" s="454">
        <f>8161+36802+194609+586621+281337+958131</f>
        <v>2065661</v>
      </c>
      <c r="AA41" s="456">
        <v>2715803</v>
      </c>
      <c r="AB41" s="456">
        <v>0</v>
      </c>
      <c r="AC41" s="456">
        <f>3620827+143368</f>
        <v>3764195</v>
      </c>
      <c r="AD41" s="456">
        <v>756196</v>
      </c>
      <c r="AE41" s="456">
        <v>7086005</v>
      </c>
      <c r="AF41" s="456">
        <v>41721</v>
      </c>
      <c r="AG41" s="456">
        <v>9464525</v>
      </c>
      <c r="AH41" s="456">
        <v>1694806</v>
      </c>
      <c r="AI41" s="456">
        <v>2729682</v>
      </c>
      <c r="AJ41" s="456">
        <v>3304659</v>
      </c>
      <c r="AK41" s="456">
        <v>0</v>
      </c>
      <c r="AL41" s="456">
        <v>4769326</v>
      </c>
      <c r="AM41" s="456">
        <v>0</v>
      </c>
    </row>
    <row r="42" spans="1:39" s="155" customFormat="1" ht="12" x14ac:dyDescent="0.2">
      <c r="A42" s="377">
        <v>9</v>
      </c>
      <c r="B42" s="377">
        <v>60534</v>
      </c>
      <c r="C42" s="425" t="s">
        <v>2753</v>
      </c>
      <c r="D42" s="450">
        <f t="shared" si="9"/>
        <v>17273078</v>
      </c>
      <c r="E42" s="456">
        <f>17273078-3582971-687122-5638476</f>
        <v>7364509</v>
      </c>
      <c r="F42" s="456">
        <v>1728278</v>
      </c>
      <c r="G42" s="456">
        <v>1846650</v>
      </c>
      <c r="H42" s="456">
        <v>0</v>
      </c>
      <c r="I42" s="456">
        <v>2873711</v>
      </c>
      <c r="J42" s="456">
        <v>500000</v>
      </c>
      <c r="K42" s="456">
        <v>209260</v>
      </c>
      <c r="L42" s="456">
        <v>0</v>
      </c>
      <c r="M42" s="456">
        <v>687122</v>
      </c>
      <c r="N42" s="456">
        <v>5638476</v>
      </c>
      <c r="O42" s="456">
        <v>0</v>
      </c>
      <c r="P42" s="450">
        <f t="shared" si="10"/>
        <v>18835967</v>
      </c>
      <c r="Q42" s="456">
        <f>1037159+80529+215861+2307140+387105+282406+386564</f>
        <v>4696764</v>
      </c>
      <c r="R42" s="456">
        <f>526271+17064+18994+362976+723898+690945+699623+130000</f>
        <v>3169771</v>
      </c>
      <c r="S42" s="456">
        <v>0</v>
      </c>
      <c r="T42" s="456">
        <v>0</v>
      </c>
      <c r="U42" s="456">
        <v>0</v>
      </c>
      <c r="V42" s="456">
        <v>0</v>
      </c>
      <c r="W42" s="456">
        <v>8964676</v>
      </c>
      <c r="X42" s="454">
        <v>438803</v>
      </c>
      <c r="Y42" s="456">
        <f>33423+126600</f>
        <v>160023</v>
      </c>
      <c r="Z42" s="456">
        <f>50000+17287+807241+531402</f>
        <v>1405930</v>
      </c>
      <c r="AA42" s="456">
        <v>0</v>
      </c>
      <c r="AB42" s="456">
        <v>0</v>
      </c>
      <c r="AC42" s="456">
        <f>1613431+97593</f>
        <v>1711024</v>
      </c>
      <c r="AD42" s="456">
        <v>234855</v>
      </c>
      <c r="AE42" s="456">
        <v>2720826</v>
      </c>
      <c r="AF42" s="456">
        <v>0</v>
      </c>
      <c r="AG42" s="456">
        <v>1237603</v>
      </c>
      <c r="AH42" s="456">
        <v>721208</v>
      </c>
      <c r="AI42" s="456">
        <v>10462863</v>
      </c>
      <c r="AJ42" s="456">
        <v>1086187</v>
      </c>
      <c r="AK42" s="456">
        <v>0</v>
      </c>
      <c r="AL42" s="456">
        <v>661401</v>
      </c>
      <c r="AM42" s="456">
        <v>0</v>
      </c>
    </row>
    <row r="43" spans="1:39" s="155" customFormat="1" ht="12" hidden="1" x14ac:dyDescent="0.2">
      <c r="A43" s="377">
        <v>10</v>
      </c>
      <c r="B43" s="377"/>
      <c r="C43" s="378"/>
      <c r="D43" s="450">
        <v>0</v>
      </c>
      <c r="E43" s="459"/>
      <c r="F43" s="459"/>
      <c r="G43" s="459"/>
      <c r="H43" s="459"/>
      <c r="I43" s="459"/>
      <c r="J43" s="459"/>
      <c r="K43" s="459"/>
      <c r="L43" s="459"/>
      <c r="M43" s="459"/>
      <c r="N43" s="459"/>
      <c r="O43" s="459"/>
      <c r="P43" s="450">
        <f t="shared" si="3"/>
        <v>0</v>
      </c>
      <c r="Q43" s="459"/>
      <c r="R43" s="459"/>
      <c r="S43" s="459"/>
      <c r="T43" s="459"/>
      <c r="U43" s="459"/>
      <c r="V43" s="459"/>
      <c r="W43" s="459"/>
      <c r="X43" s="459"/>
      <c r="Y43" s="459"/>
      <c r="Z43" s="459"/>
      <c r="AA43" s="459"/>
      <c r="AB43" s="459"/>
      <c r="AC43" s="459"/>
      <c r="AD43" s="459"/>
      <c r="AE43" s="459"/>
      <c r="AF43" s="459"/>
      <c r="AG43" s="459"/>
      <c r="AH43" s="459"/>
      <c r="AI43" s="459"/>
      <c r="AJ43" s="459"/>
      <c r="AK43" s="459"/>
      <c r="AL43" s="459"/>
      <c r="AM43" s="459"/>
    </row>
    <row r="44" spans="1:39" s="155" customFormat="1" ht="12" hidden="1" x14ac:dyDescent="0.2">
      <c r="A44" s="377">
        <v>11</v>
      </c>
      <c r="B44" s="377"/>
      <c r="C44" s="378"/>
      <c r="D44" s="450">
        <v>0</v>
      </c>
      <c r="E44" s="459"/>
      <c r="F44" s="459"/>
      <c r="G44" s="459"/>
      <c r="H44" s="459"/>
      <c r="I44" s="459"/>
      <c r="J44" s="459"/>
      <c r="K44" s="459"/>
      <c r="L44" s="459"/>
      <c r="M44" s="459"/>
      <c r="N44" s="459"/>
      <c r="O44" s="459"/>
      <c r="P44" s="450">
        <f t="shared" si="3"/>
        <v>0</v>
      </c>
      <c r="Q44" s="459"/>
      <c r="R44" s="459"/>
      <c r="S44" s="459"/>
      <c r="T44" s="459"/>
      <c r="U44" s="459"/>
      <c r="V44" s="459"/>
      <c r="W44" s="459"/>
      <c r="X44" s="459"/>
      <c r="Y44" s="459"/>
      <c r="Z44" s="459"/>
      <c r="AA44" s="459"/>
      <c r="AB44" s="459"/>
      <c r="AC44" s="459"/>
      <c r="AD44" s="459"/>
      <c r="AE44" s="459"/>
      <c r="AF44" s="459"/>
      <c r="AG44" s="459"/>
      <c r="AH44" s="459"/>
      <c r="AI44" s="459"/>
      <c r="AJ44" s="459"/>
      <c r="AK44" s="459"/>
      <c r="AL44" s="459"/>
      <c r="AM44" s="459"/>
    </row>
    <row r="45" spans="1:39" s="155" customFormat="1" ht="12" hidden="1" x14ac:dyDescent="0.2">
      <c r="A45" s="377">
        <v>12</v>
      </c>
      <c r="B45" s="377"/>
      <c r="C45" s="378"/>
      <c r="D45" s="450">
        <v>0</v>
      </c>
      <c r="E45" s="459"/>
      <c r="F45" s="459"/>
      <c r="G45" s="459"/>
      <c r="H45" s="459"/>
      <c r="I45" s="459"/>
      <c r="J45" s="459"/>
      <c r="K45" s="459"/>
      <c r="L45" s="459"/>
      <c r="M45" s="459"/>
      <c r="N45" s="459"/>
      <c r="O45" s="459"/>
      <c r="P45" s="450">
        <f t="shared" si="3"/>
        <v>0</v>
      </c>
      <c r="Q45" s="459"/>
      <c r="R45" s="459"/>
      <c r="S45" s="459"/>
      <c r="T45" s="459"/>
      <c r="U45" s="459"/>
      <c r="V45" s="459"/>
      <c r="W45" s="459"/>
      <c r="X45" s="459"/>
      <c r="Y45" s="459"/>
      <c r="Z45" s="459"/>
      <c r="AA45" s="459"/>
      <c r="AB45" s="459"/>
      <c r="AC45" s="459"/>
      <c r="AD45" s="459"/>
      <c r="AE45" s="459"/>
      <c r="AF45" s="459"/>
      <c r="AG45" s="459"/>
      <c r="AH45" s="459"/>
      <c r="AI45" s="459"/>
      <c r="AJ45" s="459"/>
      <c r="AK45" s="459"/>
      <c r="AL45" s="459"/>
      <c r="AM45" s="459"/>
    </row>
    <row r="46" spans="1:39" s="155" customFormat="1" ht="12" hidden="1" x14ac:dyDescent="0.2">
      <c r="A46" s="377">
        <v>13</v>
      </c>
      <c r="B46" s="377"/>
      <c r="C46" s="378"/>
      <c r="D46" s="450">
        <v>0</v>
      </c>
      <c r="E46" s="459"/>
      <c r="F46" s="459"/>
      <c r="G46" s="459"/>
      <c r="H46" s="459"/>
      <c r="I46" s="459"/>
      <c r="J46" s="459"/>
      <c r="K46" s="459"/>
      <c r="L46" s="459"/>
      <c r="M46" s="459"/>
      <c r="N46" s="459"/>
      <c r="O46" s="459"/>
      <c r="P46" s="450">
        <f t="shared" si="3"/>
        <v>0</v>
      </c>
      <c r="Q46" s="459"/>
      <c r="R46" s="459"/>
      <c r="S46" s="459"/>
      <c r="T46" s="459"/>
      <c r="U46" s="459"/>
      <c r="V46" s="459"/>
      <c r="W46" s="459"/>
      <c r="X46" s="459"/>
      <c r="Y46" s="459"/>
      <c r="Z46" s="459"/>
      <c r="AA46" s="459"/>
      <c r="AB46" s="459"/>
      <c r="AC46" s="459"/>
      <c r="AD46" s="459"/>
      <c r="AE46" s="459"/>
      <c r="AF46" s="459"/>
      <c r="AG46" s="459"/>
      <c r="AH46" s="459"/>
      <c r="AI46" s="459"/>
      <c r="AJ46" s="459"/>
      <c r="AK46" s="459"/>
      <c r="AL46" s="459"/>
      <c r="AM46" s="459"/>
    </row>
    <row r="47" spans="1:39" s="155" customFormat="1" ht="12" hidden="1" x14ac:dyDescent="0.2">
      <c r="A47" s="377">
        <v>14</v>
      </c>
      <c r="B47" s="377"/>
      <c r="C47" s="378"/>
      <c r="D47" s="450">
        <v>0</v>
      </c>
      <c r="E47" s="459"/>
      <c r="F47" s="459"/>
      <c r="G47" s="459"/>
      <c r="H47" s="459"/>
      <c r="I47" s="459"/>
      <c r="J47" s="459"/>
      <c r="K47" s="459"/>
      <c r="L47" s="459"/>
      <c r="M47" s="459"/>
      <c r="N47" s="459"/>
      <c r="O47" s="459"/>
      <c r="P47" s="450">
        <f t="shared" si="3"/>
        <v>0</v>
      </c>
      <c r="Q47" s="459"/>
      <c r="R47" s="459"/>
      <c r="S47" s="459"/>
      <c r="T47" s="459"/>
      <c r="U47" s="459"/>
      <c r="V47" s="459"/>
      <c r="W47" s="459"/>
      <c r="X47" s="459"/>
      <c r="Y47" s="459"/>
      <c r="Z47" s="459"/>
      <c r="AA47" s="459"/>
      <c r="AB47" s="459"/>
      <c r="AC47" s="459"/>
      <c r="AD47" s="459"/>
      <c r="AE47" s="459"/>
      <c r="AF47" s="459"/>
      <c r="AG47" s="459"/>
      <c r="AH47" s="459"/>
      <c r="AI47" s="459"/>
      <c r="AJ47" s="459"/>
      <c r="AK47" s="459"/>
      <c r="AL47" s="459"/>
      <c r="AM47" s="459"/>
    </row>
    <row r="48" spans="1:39" s="155" customFormat="1" ht="12" hidden="1" x14ac:dyDescent="0.2">
      <c r="A48" s="377">
        <v>15</v>
      </c>
      <c r="B48" s="377"/>
      <c r="C48" s="378"/>
      <c r="D48" s="450">
        <v>0</v>
      </c>
      <c r="E48" s="459"/>
      <c r="F48" s="459"/>
      <c r="G48" s="459"/>
      <c r="H48" s="459"/>
      <c r="I48" s="459"/>
      <c r="J48" s="459"/>
      <c r="K48" s="459"/>
      <c r="L48" s="459"/>
      <c r="M48" s="459"/>
      <c r="N48" s="459"/>
      <c r="O48" s="459"/>
      <c r="P48" s="450">
        <f t="shared" si="3"/>
        <v>0</v>
      </c>
      <c r="Q48" s="459"/>
      <c r="R48" s="459"/>
      <c r="S48" s="459"/>
      <c r="T48" s="459"/>
      <c r="U48" s="459"/>
      <c r="V48" s="459"/>
      <c r="W48" s="459"/>
      <c r="X48" s="459"/>
      <c r="Y48" s="459"/>
      <c r="Z48" s="459"/>
      <c r="AA48" s="459"/>
      <c r="AB48" s="459"/>
      <c r="AC48" s="459"/>
      <c r="AD48" s="459"/>
      <c r="AE48" s="459"/>
      <c r="AF48" s="459"/>
      <c r="AG48" s="459"/>
      <c r="AH48" s="459"/>
      <c r="AI48" s="459"/>
      <c r="AJ48" s="459"/>
      <c r="AK48" s="459"/>
      <c r="AL48" s="459"/>
      <c r="AM48" s="459"/>
    </row>
    <row r="49" spans="1:39" s="155" customFormat="1" ht="12" hidden="1" x14ac:dyDescent="0.2">
      <c r="A49" s="377">
        <v>16</v>
      </c>
      <c r="B49" s="377"/>
      <c r="C49" s="378"/>
      <c r="D49" s="450">
        <v>0</v>
      </c>
      <c r="E49" s="459"/>
      <c r="F49" s="459"/>
      <c r="G49" s="459"/>
      <c r="H49" s="459"/>
      <c r="I49" s="459"/>
      <c r="J49" s="459"/>
      <c r="K49" s="459"/>
      <c r="L49" s="459"/>
      <c r="M49" s="459"/>
      <c r="N49" s="459"/>
      <c r="O49" s="459"/>
      <c r="P49" s="450">
        <f t="shared" si="3"/>
        <v>0</v>
      </c>
      <c r="Q49" s="459"/>
      <c r="R49" s="459"/>
      <c r="S49" s="459"/>
      <c r="T49" s="459"/>
      <c r="U49" s="459"/>
      <c r="V49" s="459"/>
      <c r="W49" s="459"/>
      <c r="X49" s="459"/>
      <c r="Y49" s="459"/>
      <c r="Z49" s="459"/>
      <c r="AA49" s="459"/>
      <c r="AB49" s="459"/>
      <c r="AC49" s="459"/>
      <c r="AD49" s="459"/>
      <c r="AE49" s="459"/>
      <c r="AF49" s="459"/>
      <c r="AG49" s="459"/>
      <c r="AH49" s="459"/>
      <c r="AI49" s="459"/>
      <c r="AJ49" s="459"/>
      <c r="AK49" s="459"/>
      <c r="AL49" s="459"/>
      <c r="AM49" s="459"/>
    </row>
    <row r="50" spans="1:39" s="155" customFormat="1" ht="12" hidden="1" x14ac:dyDescent="0.2">
      <c r="A50" s="377">
        <v>17</v>
      </c>
      <c r="B50" s="377"/>
      <c r="C50" s="378"/>
      <c r="D50" s="450">
        <v>0</v>
      </c>
      <c r="E50" s="459"/>
      <c r="F50" s="459"/>
      <c r="G50" s="459"/>
      <c r="H50" s="459"/>
      <c r="I50" s="459"/>
      <c r="J50" s="459"/>
      <c r="K50" s="459"/>
      <c r="L50" s="459"/>
      <c r="M50" s="459"/>
      <c r="N50" s="459"/>
      <c r="O50" s="459"/>
      <c r="P50" s="450">
        <f t="shared" si="3"/>
        <v>0</v>
      </c>
      <c r="Q50" s="459"/>
      <c r="R50" s="459"/>
      <c r="S50" s="459"/>
      <c r="T50" s="459"/>
      <c r="U50" s="459"/>
      <c r="V50" s="459"/>
      <c r="W50" s="459"/>
      <c r="X50" s="459"/>
      <c r="Y50" s="459"/>
      <c r="Z50" s="459"/>
      <c r="AA50" s="459"/>
      <c r="AB50" s="459"/>
      <c r="AC50" s="459"/>
      <c r="AD50" s="459"/>
      <c r="AE50" s="459"/>
      <c r="AF50" s="459"/>
      <c r="AG50" s="459"/>
      <c r="AH50" s="459"/>
      <c r="AI50" s="459"/>
      <c r="AJ50" s="459"/>
      <c r="AK50" s="459"/>
      <c r="AL50" s="459"/>
      <c r="AM50" s="459"/>
    </row>
    <row r="51" spans="1:39" s="155" customFormat="1" ht="12" hidden="1" x14ac:dyDescent="0.2">
      <c r="A51" s="377">
        <v>18</v>
      </c>
      <c r="B51" s="377"/>
      <c r="C51" s="378"/>
      <c r="D51" s="450">
        <v>0</v>
      </c>
      <c r="E51" s="459"/>
      <c r="F51" s="459"/>
      <c r="G51" s="459"/>
      <c r="H51" s="459"/>
      <c r="I51" s="459"/>
      <c r="J51" s="459"/>
      <c r="K51" s="459"/>
      <c r="L51" s="459"/>
      <c r="M51" s="459"/>
      <c r="N51" s="459"/>
      <c r="O51" s="459"/>
      <c r="P51" s="450">
        <f t="shared" si="3"/>
        <v>0</v>
      </c>
      <c r="Q51" s="459"/>
      <c r="R51" s="459"/>
      <c r="S51" s="459"/>
      <c r="T51" s="459"/>
      <c r="U51" s="459"/>
      <c r="V51" s="459"/>
      <c r="W51" s="459"/>
      <c r="X51" s="459"/>
      <c r="Y51" s="459"/>
      <c r="Z51" s="459"/>
      <c r="AA51" s="459"/>
      <c r="AB51" s="459"/>
      <c r="AC51" s="459"/>
      <c r="AD51" s="459"/>
      <c r="AE51" s="459"/>
      <c r="AF51" s="459"/>
      <c r="AG51" s="459"/>
      <c r="AH51" s="459"/>
      <c r="AI51" s="459"/>
      <c r="AJ51" s="459"/>
      <c r="AK51" s="459"/>
      <c r="AL51" s="459"/>
      <c r="AM51" s="459"/>
    </row>
    <row r="52" spans="1:39" s="155" customFormat="1" ht="12" hidden="1" x14ac:dyDescent="0.2">
      <c r="A52" s="377">
        <v>19</v>
      </c>
      <c r="B52" s="377"/>
      <c r="C52" s="373"/>
      <c r="D52" s="450">
        <v>0</v>
      </c>
      <c r="E52" s="458"/>
      <c r="F52" s="458"/>
      <c r="G52" s="458"/>
      <c r="H52" s="458"/>
      <c r="I52" s="458"/>
      <c r="J52" s="458"/>
      <c r="K52" s="458"/>
      <c r="L52" s="458"/>
      <c r="M52" s="458"/>
      <c r="N52" s="458"/>
      <c r="O52" s="458"/>
      <c r="P52" s="450">
        <f t="shared" si="3"/>
        <v>0</v>
      </c>
      <c r="Q52" s="458"/>
      <c r="R52" s="458"/>
      <c r="S52" s="458"/>
      <c r="T52" s="458"/>
      <c r="U52" s="458"/>
      <c r="V52" s="458"/>
      <c r="W52" s="458"/>
      <c r="X52" s="458"/>
      <c r="Y52" s="458"/>
      <c r="Z52" s="458"/>
      <c r="AA52" s="458"/>
      <c r="AB52" s="458"/>
      <c r="AC52" s="458"/>
      <c r="AD52" s="458"/>
      <c r="AE52" s="458"/>
      <c r="AF52" s="458"/>
      <c r="AG52" s="458"/>
      <c r="AH52" s="458"/>
      <c r="AI52" s="458"/>
      <c r="AJ52" s="458"/>
      <c r="AK52" s="458"/>
      <c r="AL52" s="458"/>
      <c r="AM52" s="458"/>
    </row>
    <row r="53" spans="1:39" s="155" customFormat="1" ht="12" hidden="1" x14ac:dyDescent="0.2">
      <c r="A53" s="380">
        <v>20</v>
      </c>
      <c r="B53" s="380"/>
      <c r="C53" s="381"/>
      <c r="D53" s="450">
        <v>0</v>
      </c>
      <c r="E53" s="458"/>
      <c r="F53" s="458"/>
      <c r="G53" s="458"/>
      <c r="H53" s="458"/>
      <c r="I53" s="458"/>
      <c r="J53" s="458"/>
      <c r="K53" s="458"/>
      <c r="L53" s="458"/>
      <c r="M53" s="458"/>
      <c r="N53" s="458"/>
      <c r="O53" s="458"/>
      <c r="P53" s="450">
        <f t="shared" si="3"/>
        <v>0</v>
      </c>
      <c r="Q53" s="458"/>
      <c r="R53" s="458"/>
      <c r="S53" s="458"/>
      <c r="T53" s="458"/>
      <c r="U53" s="458"/>
      <c r="V53" s="458"/>
      <c r="W53" s="458"/>
      <c r="X53" s="458"/>
      <c r="Y53" s="458"/>
      <c r="Z53" s="458"/>
      <c r="AA53" s="458"/>
      <c r="AB53" s="458"/>
      <c r="AC53" s="458"/>
      <c r="AD53" s="458"/>
      <c r="AE53" s="458"/>
      <c r="AF53" s="458"/>
      <c r="AG53" s="458"/>
      <c r="AH53" s="458"/>
      <c r="AI53" s="458"/>
      <c r="AJ53" s="458"/>
      <c r="AK53" s="458"/>
      <c r="AL53" s="458"/>
      <c r="AM53" s="458"/>
    </row>
    <row r="54" spans="1:39" s="382" customFormat="1" ht="12.75" customHeight="1" x14ac:dyDescent="0.2">
      <c r="A54" s="374" t="s">
        <v>76</v>
      </c>
      <c r="B54" s="374"/>
      <c r="C54" s="375"/>
      <c r="D54" s="450">
        <f t="shared" ref="D54:D117" si="11">E54+SUM(H54:O54)</f>
        <v>533687495</v>
      </c>
      <c r="E54" s="450">
        <f>SUM(E55:E143)</f>
        <v>235003908</v>
      </c>
      <c r="F54" s="450">
        <f t="shared" ref="F54:O54" si="12">SUM(F55:F143)</f>
        <v>39135179</v>
      </c>
      <c r="G54" s="450">
        <f t="shared" si="12"/>
        <v>67552400</v>
      </c>
      <c r="H54" s="450">
        <f t="shared" si="12"/>
        <v>0</v>
      </c>
      <c r="I54" s="450">
        <f t="shared" si="12"/>
        <v>107578424</v>
      </c>
      <c r="J54" s="450">
        <f t="shared" si="12"/>
        <v>15954249</v>
      </c>
      <c r="K54" s="450">
        <f t="shared" si="12"/>
        <v>31746164</v>
      </c>
      <c r="L54" s="450">
        <f t="shared" si="12"/>
        <v>0</v>
      </c>
      <c r="M54" s="450">
        <f t="shared" si="12"/>
        <v>71698153</v>
      </c>
      <c r="N54" s="450">
        <f t="shared" si="12"/>
        <v>62163949</v>
      </c>
      <c r="O54" s="450">
        <f t="shared" si="12"/>
        <v>9542648</v>
      </c>
      <c r="P54" s="450">
        <f t="shared" si="3"/>
        <v>508105791</v>
      </c>
      <c r="Q54" s="450">
        <f>SUM(Q55:Q143)</f>
        <v>130380144</v>
      </c>
      <c r="R54" s="450">
        <f t="shared" ref="R54:AM54" si="13">SUM(R55:R143)</f>
        <v>140924192</v>
      </c>
      <c r="S54" s="450">
        <f t="shared" si="13"/>
        <v>743885</v>
      </c>
      <c r="T54" s="450">
        <f t="shared" si="13"/>
        <v>0</v>
      </c>
      <c r="U54" s="450">
        <f t="shared" si="13"/>
        <v>2110925</v>
      </c>
      <c r="V54" s="450">
        <f t="shared" si="13"/>
        <v>526944</v>
      </c>
      <c r="W54" s="450">
        <f t="shared" si="13"/>
        <v>78885302</v>
      </c>
      <c r="X54" s="450">
        <f t="shared" si="13"/>
        <v>12478570</v>
      </c>
      <c r="Y54" s="450">
        <f t="shared" si="13"/>
        <v>2216308</v>
      </c>
      <c r="Z54" s="450">
        <f t="shared" si="13"/>
        <v>135385831</v>
      </c>
      <c r="AA54" s="450">
        <f t="shared" si="13"/>
        <v>4817496</v>
      </c>
      <c r="AB54" s="450">
        <f t="shared" si="13"/>
        <v>-363806</v>
      </c>
      <c r="AC54" s="450">
        <f t="shared" si="13"/>
        <v>82429109</v>
      </c>
      <c r="AD54" s="450">
        <f t="shared" si="13"/>
        <v>5040012</v>
      </c>
      <c r="AE54" s="450">
        <f t="shared" si="13"/>
        <v>142364819</v>
      </c>
      <c r="AF54" s="450">
        <f t="shared" si="13"/>
        <v>1116284</v>
      </c>
      <c r="AG54" s="450">
        <f t="shared" si="13"/>
        <v>22406190</v>
      </c>
      <c r="AH54" s="450">
        <f t="shared" si="13"/>
        <v>26283206</v>
      </c>
      <c r="AI54" s="450">
        <f t="shared" si="13"/>
        <v>113249868</v>
      </c>
      <c r="AJ54" s="450">
        <f t="shared" si="13"/>
        <v>27658166</v>
      </c>
      <c r="AK54" s="450">
        <f t="shared" si="13"/>
        <v>207588</v>
      </c>
      <c r="AL54" s="450">
        <f>SUM(AL55:AL143)</f>
        <v>75387870</v>
      </c>
      <c r="AM54" s="450">
        <f t="shared" si="13"/>
        <v>11962679</v>
      </c>
    </row>
    <row r="55" spans="1:39" s="382" customFormat="1" ht="12" x14ac:dyDescent="0.2">
      <c r="A55" s="376">
        <v>1</v>
      </c>
      <c r="B55" s="376">
        <v>60883</v>
      </c>
      <c r="C55" s="425" t="s">
        <v>2754</v>
      </c>
      <c r="D55" s="450">
        <f t="shared" ref="D55:D101" si="14">E55+SUM(H55:O55)</f>
        <v>6686955</v>
      </c>
      <c r="E55" s="454">
        <f>6686955-2447209-1005987-972032</f>
        <v>2261727</v>
      </c>
      <c r="F55" s="454">
        <v>390052</v>
      </c>
      <c r="G55" s="454">
        <v>1047050</v>
      </c>
      <c r="H55" s="454">
        <v>0</v>
      </c>
      <c r="I55" s="454">
        <v>1412847</v>
      </c>
      <c r="J55" s="454">
        <v>865732</v>
      </c>
      <c r="K55" s="454">
        <v>168630</v>
      </c>
      <c r="L55" s="454">
        <v>0</v>
      </c>
      <c r="M55" s="454">
        <v>1005987</v>
      </c>
      <c r="N55" s="455">
        <v>972032</v>
      </c>
      <c r="O55" s="455">
        <v>0</v>
      </c>
      <c r="P55" s="450">
        <f t="shared" ref="P55:P111" si="15">IF(SUM(Q55:AB55)=SUM(AC55:AM55),SUM(Q55:AB55),"  EROARE ART/CAP")</f>
        <v>7017805</v>
      </c>
      <c r="Q55" s="454">
        <f>597182+58886+984184+39245+184766</f>
        <v>1864263</v>
      </c>
      <c r="R55" s="454">
        <f>403545+19717+222070+217815+351488+32119+592871+9540</f>
        <v>1849165</v>
      </c>
      <c r="S55" s="454">
        <v>0</v>
      </c>
      <c r="T55" s="454">
        <v>0</v>
      </c>
      <c r="U55" s="454">
        <v>0</v>
      </c>
      <c r="V55" s="454">
        <v>0</v>
      </c>
      <c r="W55" s="454">
        <v>1859432</v>
      </c>
      <c r="X55" s="454">
        <v>130403</v>
      </c>
      <c r="Y55" s="455">
        <v>57402</v>
      </c>
      <c r="Z55" s="455">
        <f>31938+485632+739570</f>
        <v>1257140</v>
      </c>
      <c r="AA55" s="455">
        <v>0</v>
      </c>
      <c r="AB55" s="455">
        <v>0</v>
      </c>
      <c r="AC55" s="454">
        <v>1000727</v>
      </c>
      <c r="AD55" s="454">
        <v>110542</v>
      </c>
      <c r="AE55" s="454">
        <v>1206254</v>
      </c>
      <c r="AF55" s="454">
        <v>0</v>
      </c>
      <c r="AG55" s="454">
        <v>314461</v>
      </c>
      <c r="AH55" s="454">
        <v>315169</v>
      </c>
      <c r="AI55" s="460">
        <v>2696552</v>
      </c>
      <c r="AJ55" s="454">
        <v>32119</v>
      </c>
      <c r="AK55" s="454">
        <v>0</v>
      </c>
      <c r="AL55" s="455">
        <v>1332441</v>
      </c>
      <c r="AM55" s="455">
        <v>9540</v>
      </c>
    </row>
    <row r="56" spans="1:39" s="382" customFormat="1" ht="12" x14ac:dyDescent="0.2">
      <c r="A56" s="376">
        <v>2</v>
      </c>
      <c r="B56" s="376">
        <v>60570</v>
      </c>
      <c r="C56" s="425" t="s">
        <v>2755</v>
      </c>
      <c r="D56" s="450">
        <f t="shared" si="14"/>
        <v>22334394</v>
      </c>
      <c r="E56" s="454">
        <f>22334394-4642059-700-3776682-673908</f>
        <v>13241045</v>
      </c>
      <c r="F56" s="454">
        <v>5588025</v>
      </c>
      <c r="G56" s="454">
        <v>1161770</v>
      </c>
      <c r="H56" s="454">
        <v>0</v>
      </c>
      <c r="I56" s="454">
        <v>2280059</v>
      </c>
      <c r="J56" s="454">
        <v>2254000</v>
      </c>
      <c r="K56" s="454">
        <v>108000</v>
      </c>
      <c r="L56" s="454">
        <v>0</v>
      </c>
      <c r="M56" s="454">
        <v>3776682</v>
      </c>
      <c r="N56" s="455">
        <v>673908</v>
      </c>
      <c r="O56" s="455">
        <v>700</v>
      </c>
      <c r="P56" s="450">
        <f t="shared" si="15"/>
        <v>22138221</v>
      </c>
      <c r="Q56" s="454">
        <f>948671+42805+221380+1679496+38669+572503</f>
        <v>3503524</v>
      </c>
      <c r="R56" s="454">
        <f>1727529+30826+169066+266389+10132+80566+312304+1991996+963879+34510+6822</f>
        <v>5594019</v>
      </c>
      <c r="S56" s="454">
        <v>206030</v>
      </c>
      <c r="T56" s="454">
        <v>0</v>
      </c>
      <c r="U56" s="454">
        <v>270042</v>
      </c>
      <c r="V56" s="454">
        <v>0</v>
      </c>
      <c r="W56" s="454">
        <f>10683</f>
        <v>10683</v>
      </c>
      <c r="X56" s="454">
        <v>737416</v>
      </c>
      <c r="Y56" s="454">
        <v>25472</v>
      </c>
      <c r="Z56" s="454">
        <f>297809+145741+1522694+520356+44448+1953770+39060+4678185+1641868</f>
        <v>10843931</v>
      </c>
      <c r="AA56" s="454">
        <v>947104</v>
      </c>
      <c r="AB56" s="454">
        <v>0</v>
      </c>
      <c r="AC56" s="455">
        <f>2984692+73631+206030</f>
        <v>3264353</v>
      </c>
      <c r="AD56" s="455">
        <v>536187</v>
      </c>
      <c r="AE56" s="455">
        <v>4415683</v>
      </c>
      <c r="AF56" s="454">
        <v>530489</v>
      </c>
      <c r="AG56" s="454">
        <v>459197</v>
      </c>
      <c r="AH56" s="454">
        <v>1622223</v>
      </c>
      <c r="AI56" s="454">
        <v>3945766</v>
      </c>
      <c r="AJ56" s="460">
        <v>1002938</v>
      </c>
      <c r="AK56" s="454">
        <v>0</v>
      </c>
      <c r="AL56" s="454">
        <v>4712695</v>
      </c>
      <c r="AM56" s="455">
        <v>1648690</v>
      </c>
    </row>
    <row r="57" spans="1:39" s="382" customFormat="1" ht="12" x14ac:dyDescent="0.2">
      <c r="A57" s="376">
        <v>3</v>
      </c>
      <c r="B57" s="376">
        <v>60945</v>
      </c>
      <c r="C57" s="425" t="s">
        <v>2756</v>
      </c>
      <c r="D57" s="450">
        <f t="shared" si="14"/>
        <v>5098355</v>
      </c>
      <c r="E57" s="454">
        <f>5098355-1999370-11500-6022</f>
        <v>3081463</v>
      </c>
      <c r="F57" s="454">
        <v>476730</v>
      </c>
      <c r="G57" s="454">
        <v>966450</v>
      </c>
      <c r="H57" s="454">
        <v>0</v>
      </c>
      <c r="I57" s="454">
        <v>1582110</v>
      </c>
      <c r="J57" s="454">
        <v>100000</v>
      </c>
      <c r="K57" s="454">
        <v>317260</v>
      </c>
      <c r="L57" s="454">
        <v>0</v>
      </c>
      <c r="M57" s="454">
        <v>6022</v>
      </c>
      <c r="N57" s="455">
        <v>0</v>
      </c>
      <c r="O57" s="455">
        <v>11500</v>
      </c>
      <c r="P57" s="450">
        <f t="shared" si="15"/>
        <v>5934403</v>
      </c>
      <c r="Q57" s="454">
        <f>706237+1210151+26461+123186</f>
        <v>2066035</v>
      </c>
      <c r="R57" s="454">
        <f>385821+289153+118123+93422+1317751+125759+22516</f>
        <v>2352545</v>
      </c>
      <c r="S57" s="454">
        <v>8490</v>
      </c>
      <c r="T57" s="454">
        <v>0</v>
      </c>
      <c r="U57" s="454">
        <v>0</v>
      </c>
      <c r="V57" s="454">
        <v>0</v>
      </c>
      <c r="W57" s="454">
        <v>0</v>
      </c>
      <c r="X57" s="454">
        <v>143306</v>
      </c>
      <c r="Y57" s="455">
        <v>98900</v>
      </c>
      <c r="Z57" s="454">
        <f>41285+104037+572855+516864</f>
        <v>1235041</v>
      </c>
      <c r="AA57" s="455">
        <v>32664</v>
      </c>
      <c r="AB57" s="455">
        <v>-2578</v>
      </c>
      <c r="AC57" s="454">
        <f>1133343+8490</f>
        <v>1141833</v>
      </c>
      <c r="AD57" s="454">
        <v>0</v>
      </c>
      <c r="AE57" s="454">
        <v>1499304</v>
      </c>
      <c r="AF57" s="454">
        <v>0</v>
      </c>
      <c r="AG57" s="454">
        <v>347521</v>
      </c>
      <c r="AH57" s="454">
        <v>359914</v>
      </c>
      <c r="AI57" s="454">
        <v>1923270</v>
      </c>
      <c r="AJ57" s="461">
        <v>0</v>
      </c>
      <c r="AK57" s="454">
        <v>0</v>
      </c>
      <c r="AL57" s="454">
        <v>536802</v>
      </c>
      <c r="AM57" s="455">
        <v>125759</v>
      </c>
    </row>
    <row r="58" spans="1:39" s="382" customFormat="1" ht="12" x14ac:dyDescent="0.2">
      <c r="A58" s="376">
        <v>4</v>
      </c>
      <c r="B58" s="376">
        <v>61005</v>
      </c>
      <c r="C58" s="425" t="s">
        <v>2757</v>
      </c>
      <c r="D58" s="450">
        <f t="shared" si="14"/>
        <v>4767780</v>
      </c>
      <c r="E58" s="454">
        <f>4767780-2925904-67041-77868</f>
        <v>1696967</v>
      </c>
      <c r="F58" s="454">
        <v>104383</v>
      </c>
      <c r="G58" s="454">
        <v>1010090</v>
      </c>
      <c r="H58" s="454">
        <v>0</v>
      </c>
      <c r="I58" s="454">
        <v>1408396</v>
      </c>
      <c r="J58" s="454">
        <v>1231228</v>
      </c>
      <c r="K58" s="454">
        <v>286280</v>
      </c>
      <c r="L58" s="454">
        <v>0</v>
      </c>
      <c r="M58" s="454">
        <v>67041</v>
      </c>
      <c r="N58" s="455">
        <v>0</v>
      </c>
      <c r="O58" s="455">
        <v>77868</v>
      </c>
      <c r="P58" s="450">
        <f t="shared" si="15"/>
        <v>4709990</v>
      </c>
      <c r="Q58" s="454">
        <f>347939+1065305+17819+151678</f>
        <v>1582741</v>
      </c>
      <c r="R58" s="454">
        <f>536383+54449+360444+17194+311909+49861+322857</f>
        <v>1653097</v>
      </c>
      <c r="S58" s="454">
        <v>0</v>
      </c>
      <c r="T58" s="454">
        <v>0</v>
      </c>
      <c r="U58" s="454">
        <v>-2085</v>
      </c>
      <c r="V58" s="454">
        <v>0</v>
      </c>
      <c r="W58" s="454">
        <v>0</v>
      </c>
      <c r="X58" s="454">
        <v>180303</v>
      </c>
      <c r="Y58" s="455">
        <v>0</v>
      </c>
      <c r="Z58" s="454">
        <f>34018+356785+908371</f>
        <v>1299174</v>
      </c>
      <c r="AA58" s="455">
        <v>0</v>
      </c>
      <c r="AB58" s="455">
        <v>-3240</v>
      </c>
      <c r="AC58" s="454">
        <v>915100</v>
      </c>
      <c r="AD58" s="454">
        <v>54449</v>
      </c>
      <c r="AE58" s="454">
        <v>1425749</v>
      </c>
      <c r="AF58" s="454">
        <v>0</v>
      </c>
      <c r="AG58" s="454">
        <v>35013</v>
      </c>
      <c r="AH58" s="454">
        <v>329896</v>
      </c>
      <c r="AI58" s="454">
        <v>668694</v>
      </c>
      <c r="AJ58" s="460">
        <v>49861</v>
      </c>
      <c r="AK58" s="454">
        <v>0</v>
      </c>
      <c r="AL58" s="454">
        <v>1231228</v>
      </c>
      <c r="AM58" s="454">
        <v>0</v>
      </c>
    </row>
    <row r="59" spans="1:39" s="382" customFormat="1" ht="12" x14ac:dyDescent="0.2">
      <c r="A59" s="376">
        <v>5</v>
      </c>
      <c r="B59" s="376">
        <v>63198</v>
      </c>
      <c r="C59" s="425" t="s">
        <v>2758</v>
      </c>
      <c r="D59" s="450">
        <f t="shared" si="14"/>
        <v>8490790</v>
      </c>
      <c r="E59" s="454">
        <f>8490790-2260908-2422491-1803328</f>
        <v>2004063</v>
      </c>
      <c r="F59" s="454">
        <v>391187</v>
      </c>
      <c r="G59" s="454">
        <v>685000</v>
      </c>
      <c r="H59" s="454">
        <v>0</v>
      </c>
      <c r="I59" s="454">
        <v>1375473</v>
      </c>
      <c r="J59" s="454">
        <v>632555</v>
      </c>
      <c r="K59" s="454">
        <v>252880</v>
      </c>
      <c r="L59" s="454">
        <v>0</v>
      </c>
      <c r="M59" s="454">
        <v>2422491</v>
      </c>
      <c r="N59" s="455">
        <v>1803328</v>
      </c>
      <c r="O59" s="455">
        <v>0</v>
      </c>
      <c r="P59" s="450">
        <f t="shared" si="15"/>
        <v>6429802</v>
      </c>
      <c r="Q59" s="454">
        <f>484643+948821+12198+249160</f>
        <v>1694822</v>
      </c>
      <c r="R59" s="454">
        <f>468930+370494+120138+728267+74248+515+535</f>
        <v>1763127</v>
      </c>
      <c r="S59" s="454">
        <v>0</v>
      </c>
      <c r="T59" s="454">
        <v>0</v>
      </c>
      <c r="U59" s="454">
        <v>0</v>
      </c>
      <c r="V59" s="454">
        <v>0</v>
      </c>
      <c r="W59" s="454">
        <v>0</v>
      </c>
      <c r="X59" s="454">
        <v>173249</v>
      </c>
      <c r="Y59" s="455">
        <v>21248</v>
      </c>
      <c r="Z59" s="454">
        <f>19511+1711665+423604+622576</f>
        <v>2777356</v>
      </c>
      <c r="AA59" s="455">
        <v>0</v>
      </c>
      <c r="AB59" s="455">
        <v>0</v>
      </c>
      <c r="AC59" s="454">
        <v>973084</v>
      </c>
      <c r="AD59" s="454">
        <v>0</v>
      </c>
      <c r="AE59" s="454">
        <v>3030981</v>
      </c>
      <c r="AF59" s="454">
        <v>0</v>
      </c>
      <c r="AG59" s="454">
        <v>153584</v>
      </c>
      <c r="AH59" s="454">
        <v>422409</v>
      </c>
      <c r="AI59" s="454">
        <v>1151871</v>
      </c>
      <c r="AJ59" s="460">
        <v>74248</v>
      </c>
      <c r="AK59" s="454">
        <v>0</v>
      </c>
      <c r="AL59" s="454">
        <v>623090</v>
      </c>
      <c r="AM59" s="455">
        <v>535</v>
      </c>
    </row>
    <row r="60" spans="1:39" s="382" customFormat="1" ht="12" x14ac:dyDescent="0.2">
      <c r="A60" s="376">
        <v>6</v>
      </c>
      <c r="B60" s="376">
        <v>60598</v>
      </c>
      <c r="C60" s="426" t="s">
        <v>2759</v>
      </c>
      <c r="D60" s="450">
        <f t="shared" si="14"/>
        <v>9731143</v>
      </c>
      <c r="E60" s="454">
        <f>9731143-3032434-782155-1638953</f>
        <v>4277601</v>
      </c>
      <c r="F60" s="454">
        <v>656493</v>
      </c>
      <c r="G60" s="454">
        <v>1168770</v>
      </c>
      <c r="H60" s="454">
        <v>0</v>
      </c>
      <c r="I60" s="454">
        <v>2362011</v>
      </c>
      <c r="J60" s="454">
        <v>199463</v>
      </c>
      <c r="K60" s="454">
        <v>470960</v>
      </c>
      <c r="L60" s="454">
        <v>0</v>
      </c>
      <c r="M60" s="454">
        <v>782155</v>
      </c>
      <c r="N60" s="460">
        <v>1638953</v>
      </c>
      <c r="O60" s="455">
        <v>0</v>
      </c>
      <c r="P60" s="450">
        <f t="shared" si="15"/>
        <v>7745011</v>
      </c>
      <c r="Q60" s="454">
        <f>518831+128821+1797399+265981+159938</f>
        <v>2870970</v>
      </c>
      <c r="R60" s="454">
        <f>236388+35000+47328+535473+67462+501958+632962+63533</f>
        <v>2120104</v>
      </c>
      <c r="S60" s="454">
        <v>48164</v>
      </c>
      <c r="T60" s="454">
        <v>0</v>
      </c>
      <c r="U60" s="454">
        <v>0</v>
      </c>
      <c r="V60" s="454">
        <v>193709</v>
      </c>
      <c r="W60" s="454">
        <v>0</v>
      </c>
      <c r="X60" s="454">
        <v>352452</v>
      </c>
      <c r="Y60" s="454">
        <f>52435+31822+240</f>
        <v>84497</v>
      </c>
      <c r="Z60" s="455">
        <f>105883+403227+400+1364081</f>
        <v>1873591</v>
      </c>
      <c r="AA60" s="454">
        <v>201524</v>
      </c>
      <c r="AB60" s="455">
        <v>0</v>
      </c>
      <c r="AC60" s="454">
        <f>948928+35000+48164</f>
        <v>1032092</v>
      </c>
      <c r="AD60" s="454">
        <v>176148</v>
      </c>
      <c r="AE60" s="454">
        <v>2640280</v>
      </c>
      <c r="AF60" s="454">
        <v>0</v>
      </c>
      <c r="AG60" s="454">
        <v>119898</v>
      </c>
      <c r="AH60" s="454">
        <v>650254</v>
      </c>
      <c r="AI60" s="454">
        <v>1065363</v>
      </c>
      <c r="AJ60" s="460">
        <v>633362</v>
      </c>
      <c r="AK60" s="454">
        <v>0</v>
      </c>
      <c r="AL60" s="454">
        <v>1427614</v>
      </c>
      <c r="AM60" s="455">
        <v>0</v>
      </c>
    </row>
    <row r="61" spans="1:39" s="382" customFormat="1" ht="12" x14ac:dyDescent="0.2">
      <c r="A61" s="376">
        <v>7</v>
      </c>
      <c r="B61" s="376">
        <v>63294</v>
      </c>
      <c r="C61" s="425" t="s">
        <v>2760</v>
      </c>
      <c r="D61" s="450">
        <f t="shared" si="14"/>
        <v>6831669</v>
      </c>
      <c r="E61" s="454">
        <f>6831669-1577665-40295-3017354</f>
        <v>2196355</v>
      </c>
      <c r="F61" s="454">
        <v>211283</v>
      </c>
      <c r="G61" s="454">
        <v>1491340</v>
      </c>
      <c r="H61" s="454">
        <v>0</v>
      </c>
      <c r="I61" s="454">
        <v>1242982</v>
      </c>
      <c r="J61" s="454">
        <v>0</v>
      </c>
      <c r="K61" s="454">
        <v>334683</v>
      </c>
      <c r="L61" s="454">
        <v>0</v>
      </c>
      <c r="M61" s="454">
        <v>40295</v>
      </c>
      <c r="N61" s="455">
        <v>3017354</v>
      </c>
      <c r="O61" s="455">
        <v>0</v>
      </c>
      <c r="P61" s="450">
        <f t="shared" si="15"/>
        <v>6985197</v>
      </c>
      <c r="Q61" s="454">
        <f>347220+656150+103127</f>
        <v>1106497</v>
      </c>
      <c r="R61" s="454">
        <f>681912+75600+142010+335197+177544+25716</f>
        <v>1437979</v>
      </c>
      <c r="S61" s="454">
        <v>0</v>
      </c>
      <c r="T61" s="454">
        <v>0</v>
      </c>
      <c r="U61" s="454">
        <v>0</v>
      </c>
      <c r="V61" s="454">
        <v>0</v>
      </c>
      <c r="W61" s="454">
        <v>4282572</v>
      </c>
      <c r="X61" s="454">
        <v>43155</v>
      </c>
      <c r="Y61" s="455">
        <v>16826</v>
      </c>
      <c r="Z61" s="454">
        <f>35769+7802+59592</f>
        <v>103163</v>
      </c>
      <c r="AA61" s="455">
        <v>0</v>
      </c>
      <c r="AB61" s="455">
        <v>-4995</v>
      </c>
      <c r="AC61" s="454">
        <v>1059906</v>
      </c>
      <c r="AD61" s="454">
        <v>75600</v>
      </c>
      <c r="AE61" s="454">
        <v>822788</v>
      </c>
      <c r="AF61" s="454">
        <v>0</v>
      </c>
      <c r="AG61" s="454">
        <v>335196</v>
      </c>
      <c r="AH61" s="454">
        <v>146282</v>
      </c>
      <c r="AI61" s="454">
        <v>4460116</v>
      </c>
      <c r="AJ61" s="460">
        <v>0</v>
      </c>
      <c r="AK61" s="454">
        <v>0</v>
      </c>
      <c r="AL61" s="454">
        <v>59592</v>
      </c>
      <c r="AM61" s="455">
        <v>25717</v>
      </c>
    </row>
    <row r="62" spans="1:39" s="382" customFormat="1" ht="12" x14ac:dyDescent="0.2">
      <c r="A62" s="376">
        <v>8</v>
      </c>
      <c r="B62" s="376">
        <v>61121</v>
      </c>
      <c r="C62" s="425" t="s">
        <v>2761</v>
      </c>
      <c r="D62" s="450">
        <f t="shared" si="14"/>
        <v>7032620</v>
      </c>
      <c r="E62" s="454">
        <f>7032620-3738716-451194-192751</f>
        <v>2649959</v>
      </c>
      <c r="F62" s="454">
        <v>327386</v>
      </c>
      <c r="G62" s="454">
        <v>1286950</v>
      </c>
      <c r="H62" s="454">
        <v>0</v>
      </c>
      <c r="I62" s="454">
        <v>3306826</v>
      </c>
      <c r="J62" s="454">
        <v>0</v>
      </c>
      <c r="K62" s="454">
        <v>431890</v>
      </c>
      <c r="L62" s="454">
        <v>0</v>
      </c>
      <c r="M62" s="454">
        <v>451194</v>
      </c>
      <c r="N62" s="455">
        <v>192751</v>
      </c>
      <c r="O62" s="455">
        <v>0</v>
      </c>
      <c r="P62" s="450">
        <f t="shared" si="15"/>
        <v>7020912</v>
      </c>
      <c r="Q62" s="454">
        <f>495120+45878+40958+2640669+236247+188587</f>
        <v>3647459</v>
      </c>
      <c r="R62" s="454">
        <f>535096+14927+43647+521231+84455+275272+223839+2865</f>
        <v>1701332</v>
      </c>
      <c r="S62" s="454">
        <v>9600</v>
      </c>
      <c r="T62" s="454">
        <v>0</v>
      </c>
      <c r="U62" s="454">
        <v>0</v>
      </c>
      <c r="V62" s="454">
        <v>10000</v>
      </c>
      <c r="W62" s="454">
        <f>138978+499831</f>
        <v>638809</v>
      </c>
      <c r="X62" s="454">
        <v>143632</v>
      </c>
      <c r="Y62" s="455">
        <v>165995</v>
      </c>
      <c r="Z62" s="454">
        <f>374999+397982</f>
        <v>772981</v>
      </c>
      <c r="AA62" s="455">
        <v>0</v>
      </c>
      <c r="AB62" s="455">
        <v>-68896</v>
      </c>
      <c r="AC62" s="454">
        <f>971320+60805+9600</f>
        <v>1041725</v>
      </c>
      <c r="AD62" s="454">
        <v>84605</v>
      </c>
      <c r="AE62" s="454">
        <v>3161900</v>
      </c>
      <c r="AF62" s="454">
        <v>0</v>
      </c>
      <c r="AG62" s="454">
        <v>625449</v>
      </c>
      <c r="AH62" s="454">
        <v>379879</v>
      </c>
      <c r="AI62" s="454">
        <v>861841</v>
      </c>
      <c r="AJ62" s="460">
        <v>223839</v>
      </c>
      <c r="AK62" s="454">
        <v>0</v>
      </c>
      <c r="AL62" s="454">
        <v>499831</v>
      </c>
      <c r="AM62" s="455">
        <v>141843</v>
      </c>
    </row>
    <row r="63" spans="1:39" s="382" customFormat="1" ht="12" x14ac:dyDescent="0.2">
      <c r="A63" s="376">
        <v>9</v>
      </c>
      <c r="B63" s="376">
        <v>61167</v>
      </c>
      <c r="C63" s="425" t="s">
        <v>2762</v>
      </c>
      <c r="D63" s="450">
        <f t="shared" si="14"/>
        <v>5902653</v>
      </c>
      <c r="E63" s="454">
        <f>5902653-1017561-1121003-1806732</f>
        <v>1957357</v>
      </c>
      <c r="F63" s="454">
        <v>135296</v>
      </c>
      <c r="G63" s="454">
        <v>621760</v>
      </c>
      <c r="H63" s="454">
        <v>0</v>
      </c>
      <c r="I63" s="454">
        <v>886761</v>
      </c>
      <c r="J63" s="454">
        <v>0</v>
      </c>
      <c r="K63" s="454">
        <v>130800</v>
      </c>
      <c r="L63" s="454">
        <v>0</v>
      </c>
      <c r="M63" s="454">
        <v>1121003</v>
      </c>
      <c r="N63" s="455">
        <v>1806732</v>
      </c>
      <c r="O63" s="455">
        <v>0</v>
      </c>
      <c r="P63" s="450">
        <f t="shared" si="15"/>
        <v>5359176</v>
      </c>
      <c r="Q63" s="454">
        <f>312032+521329+122650+59726</f>
        <v>1015737</v>
      </c>
      <c r="R63" s="454">
        <f>443735+214330+237502+58797+39837</f>
        <v>994201</v>
      </c>
      <c r="S63" s="454">
        <v>5688</v>
      </c>
      <c r="T63" s="454">
        <v>0</v>
      </c>
      <c r="U63" s="454">
        <v>0</v>
      </c>
      <c r="V63" s="454">
        <v>0</v>
      </c>
      <c r="W63" s="454">
        <v>2330734</v>
      </c>
      <c r="X63" s="454">
        <v>77053</v>
      </c>
      <c r="Y63" s="455">
        <v>363224</v>
      </c>
      <c r="Z63" s="455">
        <f>50202+27000</f>
        <v>77202</v>
      </c>
      <c r="AA63" s="455">
        <v>495337</v>
      </c>
      <c r="AB63" s="455">
        <v>0</v>
      </c>
      <c r="AC63" s="454">
        <f>755767+5688</f>
        <v>761455</v>
      </c>
      <c r="AD63" s="454">
        <v>0</v>
      </c>
      <c r="AE63" s="454">
        <v>735659</v>
      </c>
      <c r="AF63" s="454">
        <v>0</v>
      </c>
      <c r="AG63" s="454">
        <v>600726</v>
      </c>
      <c r="AH63" s="454">
        <v>199703</v>
      </c>
      <c r="AI63" s="454">
        <v>168725</v>
      </c>
      <c r="AJ63" s="454">
        <v>0</v>
      </c>
      <c r="AK63" s="454">
        <v>0</v>
      </c>
      <c r="AL63" s="454">
        <v>2892908</v>
      </c>
      <c r="AM63" s="455">
        <v>0</v>
      </c>
    </row>
    <row r="64" spans="1:39" s="382" customFormat="1" ht="12" x14ac:dyDescent="0.2">
      <c r="A64" s="376">
        <v>10</v>
      </c>
      <c r="B64" s="376">
        <v>61210</v>
      </c>
      <c r="C64" s="425" t="s">
        <v>2763</v>
      </c>
      <c r="D64" s="450">
        <f t="shared" si="14"/>
        <v>7674591</v>
      </c>
      <c r="E64" s="454">
        <f>7674591-2878752-15820-338878-699699</f>
        <v>3741442</v>
      </c>
      <c r="F64" s="454">
        <v>401206</v>
      </c>
      <c r="G64" s="454">
        <v>992850</v>
      </c>
      <c r="H64" s="454">
        <v>0</v>
      </c>
      <c r="I64" s="454">
        <v>1720028</v>
      </c>
      <c r="J64" s="454">
        <v>980784</v>
      </c>
      <c r="K64" s="454">
        <v>177940</v>
      </c>
      <c r="L64" s="454">
        <v>0</v>
      </c>
      <c r="M64" s="454">
        <v>338878</v>
      </c>
      <c r="N64" s="455">
        <v>699699</v>
      </c>
      <c r="O64" s="455">
        <v>15820</v>
      </c>
      <c r="P64" s="450">
        <f t="shared" si="15"/>
        <v>6709875</v>
      </c>
      <c r="Q64" s="454">
        <f>460050+1130225+52594+303104</f>
        <v>1945973</v>
      </c>
      <c r="R64" s="454">
        <f>309096+279818+5902+323896+588537+154281+445828</f>
        <v>2107358</v>
      </c>
      <c r="S64" s="454">
        <v>0</v>
      </c>
      <c r="T64" s="454">
        <v>0</v>
      </c>
      <c r="U64" s="454">
        <v>0</v>
      </c>
      <c r="V64" s="454">
        <v>0</v>
      </c>
      <c r="W64" s="454">
        <f>879163+38311</f>
        <v>917474</v>
      </c>
      <c r="X64" s="454">
        <v>269695</v>
      </c>
      <c r="Y64" s="455">
        <v>0</v>
      </c>
      <c r="Z64" s="454">
        <f>11780+624616+833231</f>
        <v>1469627</v>
      </c>
      <c r="AA64" s="455">
        <v>0</v>
      </c>
      <c r="AB64" s="454">
        <v>-252</v>
      </c>
      <c r="AC64" s="455">
        <v>769146</v>
      </c>
      <c r="AD64" s="454">
        <v>0</v>
      </c>
      <c r="AE64" s="454">
        <v>2300986</v>
      </c>
      <c r="AF64" s="454">
        <v>5902</v>
      </c>
      <c r="AG64" s="454">
        <v>414801</v>
      </c>
      <c r="AH64" s="454">
        <v>572547</v>
      </c>
      <c r="AI64" s="454">
        <v>1213153</v>
      </c>
      <c r="AJ64" s="454">
        <v>154281</v>
      </c>
      <c r="AK64" s="454">
        <v>0</v>
      </c>
      <c r="AL64" s="460">
        <v>1279059</v>
      </c>
      <c r="AM64" s="454">
        <v>0</v>
      </c>
    </row>
    <row r="65" spans="1:39" s="382" customFormat="1" ht="12" x14ac:dyDescent="0.2">
      <c r="A65" s="376">
        <v>11</v>
      </c>
      <c r="B65" s="376">
        <v>61256</v>
      </c>
      <c r="C65" s="425" t="s">
        <v>2764</v>
      </c>
      <c r="D65" s="450">
        <f t="shared" si="14"/>
        <v>4996974</v>
      </c>
      <c r="E65" s="454">
        <f>4996974-2205650-658889</f>
        <v>2132435</v>
      </c>
      <c r="F65" s="454">
        <v>174121</v>
      </c>
      <c r="G65" s="454">
        <v>1497490</v>
      </c>
      <c r="H65" s="454">
        <v>0</v>
      </c>
      <c r="I65" s="454">
        <v>1551980</v>
      </c>
      <c r="J65" s="454">
        <v>250000</v>
      </c>
      <c r="K65" s="454">
        <v>403670</v>
      </c>
      <c r="L65" s="454">
        <v>0</v>
      </c>
      <c r="M65" s="454">
        <v>658889</v>
      </c>
      <c r="N65" s="455">
        <v>0</v>
      </c>
      <c r="O65" s="455">
        <v>0</v>
      </c>
      <c r="P65" s="450">
        <f t="shared" si="15"/>
        <v>4974555</v>
      </c>
      <c r="Q65" s="454">
        <f>512747+1229321+123836</f>
        <v>1865904</v>
      </c>
      <c r="R65" s="454">
        <f>1811594+168520+90759+358247+349726</f>
        <v>2778846</v>
      </c>
      <c r="S65" s="454">
        <v>0</v>
      </c>
      <c r="T65" s="454">
        <v>0</v>
      </c>
      <c r="U65" s="454">
        <v>0</v>
      </c>
      <c r="V65" s="454">
        <v>0</v>
      </c>
      <c r="W65" s="454">
        <v>0</v>
      </c>
      <c r="X65" s="454">
        <v>39737</v>
      </c>
      <c r="Y65" s="455">
        <v>0</v>
      </c>
      <c r="Z65" s="454">
        <f>50000+240068</f>
        <v>290068</v>
      </c>
      <c r="AA65" s="455">
        <v>0</v>
      </c>
      <c r="AB65" s="455">
        <v>0</v>
      </c>
      <c r="AC65" s="454">
        <v>2324341</v>
      </c>
      <c r="AD65" s="454">
        <v>0</v>
      </c>
      <c r="AE65" s="454">
        <v>1397841</v>
      </c>
      <c r="AF65" s="454">
        <v>0</v>
      </c>
      <c r="AG65" s="454">
        <v>0</v>
      </c>
      <c r="AH65" s="454">
        <v>163573</v>
      </c>
      <c r="AI65" s="454">
        <v>140759</v>
      </c>
      <c r="AJ65" s="460">
        <v>0</v>
      </c>
      <c r="AK65" s="454">
        <v>0</v>
      </c>
      <c r="AL65" s="454">
        <v>349726</v>
      </c>
      <c r="AM65" s="455">
        <v>598315</v>
      </c>
    </row>
    <row r="66" spans="1:39" s="382" customFormat="1" ht="12" x14ac:dyDescent="0.2">
      <c r="A66" s="376">
        <v>12</v>
      </c>
      <c r="B66" s="376">
        <v>61283</v>
      </c>
      <c r="C66" s="425" t="s">
        <v>2765</v>
      </c>
      <c r="D66" s="450">
        <f t="shared" si="14"/>
        <v>5134454</v>
      </c>
      <c r="E66" s="454">
        <f>5134454-1713709-155034</f>
        <v>3265711</v>
      </c>
      <c r="F66" s="454">
        <v>534150</v>
      </c>
      <c r="G66" s="454">
        <v>875090</v>
      </c>
      <c r="H66" s="454">
        <v>0</v>
      </c>
      <c r="I66" s="454">
        <v>1317319</v>
      </c>
      <c r="J66" s="454">
        <v>0</v>
      </c>
      <c r="K66" s="454">
        <v>396390</v>
      </c>
      <c r="L66" s="454">
        <v>0</v>
      </c>
      <c r="M66" s="454">
        <v>155034</v>
      </c>
      <c r="N66" s="455">
        <v>0</v>
      </c>
      <c r="O66" s="455">
        <v>0</v>
      </c>
      <c r="P66" s="450">
        <f t="shared" si="15"/>
        <v>5471936</v>
      </c>
      <c r="Q66" s="454">
        <f>767147+1086773+101566+124838</f>
        <v>2080324</v>
      </c>
      <c r="R66" s="454">
        <f>727278+309190+68439+500259+225244+189659+2213</f>
        <v>2022282</v>
      </c>
      <c r="S66" s="454">
        <v>0</v>
      </c>
      <c r="T66" s="454">
        <v>0</v>
      </c>
      <c r="U66" s="454">
        <v>0</v>
      </c>
      <c r="V66" s="454">
        <v>0</v>
      </c>
      <c r="W66" s="454">
        <v>0</v>
      </c>
      <c r="X66" s="454">
        <v>320571</v>
      </c>
      <c r="Y66" s="455">
        <v>93852</v>
      </c>
      <c r="Z66" s="454">
        <f>20016+4340+21250+397870+144652+366779</f>
        <v>954907</v>
      </c>
      <c r="AA66" s="455">
        <v>0</v>
      </c>
      <c r="AB66" s="455">
        <v>0</v>
      </c>
      <c r="AC66" s="454">
        <f>1514441+4340</f>
        <v>1518781</v>
      </c>
      <c r="AD66" s="454">
        <v>0</v>
      </c>
      <c r="AE66" s="454">
        <v>1417213</v>
      </c>
      <c r="AF66" s="454">
        <v>0</v>
      </c>
      <c r="AG66" s="454">
        <v>560161</v>
      </c>
      <c r="AH66" s="454">
        <v>422137</v>
      </c>
      <c r="AI66" s="454">
        <v>644911</v>
      </c>
      <c r="AJ66" s="460">
        <v>350082</v>
      </c>
      <c r="AK66" s="454">
        <v>0</v>
      </c>
      <c r="AL66" s="454">
        <v>368992</v>
      </c>
      <c r="AM66" s="455">
        <v>189659</v>
      </c>
    </row>
    <row r="67" spans="1:39" s="382" customFormat="1" ht="12" x14ac:dyDescent="0.2">
      <c r="A67" s="376">
        <v>13</v>
      </c>
      <c r="B67" s="376">
        <v>61318</v>
      </c>
      <c r="C67" s="425" t="s">
        <v>2766</v>
      </c>
      <c r="D67" s="450">
        <f t="shared" si="14"/>
        <v>11147594</v>
      </c>
      <c r="E67" s="454">
        <f>11147594-5104565-885309</f>
        <v>5157720</v>
      </c>
      <c r="F67" s="454">
        <v>1152413</v>
      </c>
      <c r="G67" s="454">
        <v>1654850</v>
      </c>
      <c r="H67" s="454">
        <v>0</v>
      </c>
      <c r="I67" s="454">
        <v>4528055</v>
      </c>
      <c r="J67" s="454">
        <v>0</v>
      </c>
      <c r="K67" s="454">
        <v>576510</v>
      </c>
      <c r="L67" s="454">
        <v>0</v>
      </c>
      <c r="M67" s="454">
        <v>885309</v>
      </c>
      <c r="N67" s="455">
        <v>0</v>
      </c>
      <c r="O67" s="455">
        <v>0</v>
      </c>
      <c r="P67" s="450">
        <f t="shared" si="15"/>
        <v>11061931</v>
      </c>
      <c r="Q67" s="454">
        <f>670762+19813+3388438+49860+744442+256223</f>
        <v>5129538</v>
      </c>
      <c r="R67" s="454">
        <f>667085+36365+705500+162785+52894+1240666+624042+19651+4757+32207</f>
        <v>3545952</v>
      </c>
      <c r="S67" s="454">
        <v>0</v>
      </c>
      <c r="T67" s="454">
        <v>0</v>
      </c>
      <c r="U67" s="454">
        <v>0</v>
      </c>
      <c r="V67" s="454">
        <v>0</v>
      </c>
      <c r="W67" s="454">
        <v>0</v>
      </c>
      <c r="X67" s="455">
        <v>328984</v>
      </c>
      <c r="Y67" s="454">
        <v>21619</v>
      </c>
      <c r="Z67" s="455">
        <f>58314+904679+121111+24107+927627</f>
        <v>2035838</v>
      </c>
      <c r="AA67" s="455">
        <v>0</v>
      </c>
      <c r="AB67" s="455">
        <v>0</v>
      </c>
      <c r="AC67" s="454">
        <f>1396161+56178</f>
        <v>1452339</v>
      </c>
      <c r="AD67" s="454">
        <v>0</v>
      </c>
      <c r="AE67" s="454">
        <v>4998617</v>
      </c>
      <c r="AF67" s="454">
        <v>0</v>
      </c>
      <c r="AG67" s="454">
        <v>355375</v>
      </c>
      <c r="AH67" s="454">
        <v>1126320</v>
      </c>
      <c r="AI67" s="454">
        <v>1520996</v>
      </c>
      <c r="AJ67" s="454">
        <v>624042</v>
      </c>
      <c r="AK67" s="460">
        <v>0</v>
      </c>
      <c r="AL67" s="454">
        <v>959834</v>
      </c>
      <c r="AM67" s="455">
        <f>19651+4757</f>
        <v>24408</v>
      </c>
    </row>
    <row r="68" spans="1:39" s="382" customFormat="1" ht="12" x14ac:dyDescent="0.2">
      <c r="A68" s="376">
        <v>14</v>
      </c>
      <c r="B68" s="376">
        <v>63286</v>
      </c>
      <c r="C68" s="425" t="s">
        <v>2767</v>
      </c>
      <c r="D68" s="450">
        <f t="shared" si="14"/>
        <v>7575587</v>
      </c>
      <c r="E68" s="454">
        <f>7575587-2008590-22500-176</f>
        <v>5544321</v>
      </c>
      <c r="F68" s="454">
        <v>1079127</v>
      </c>
      <c r="G68" s="454">
        <v>540740</v>
      </c>
      <c r="H68" s="454">
        <v>0</v>
      </c>
      <c r="I68" s="454">
        <v>997080</v>
      </c>
      <c r="J68" s="454">
        <v>0</v>
      </c>
      <c r="K68" s="454">
        <v>1011510</v>
      </c>
      <c r="L68" s="454">
        <v>0</v>
      </c>
      <c r="M68" s="454">
        <v>176</v>
      </c>
      <c r="N68" s="455">
        <v>0</v>
      </c>
      <c r="O68" s="455">
        <v>22500</v>
      </c>
      <c r="P68" s="450">
        <f t="shared" si="15"/>
        <v>7572377</v>
      </c>
      <c r="Q68" s="454">
        <f>465678+679468+54951+175072</f>
        <v>1375169</v>
      </c>
      <c r="R68" s="454">
        <f>379477+303000+2577+317717+126475+1448280+1599800+1261402</f>
        <v>5438728</v>
      </c>
      <c r="S68" s="454">
        <v>0</v>
      </c>
      <c r="T68" s="454">
        <v>0</v>
      </c>
      <c r="U68" s="454">
        <v>0</v>
      </c>
      <c r="V68" s="454">
        <v>0</v>
      </c>
      <c r="W68" s="454">
        <v>0</v>
      </c>
      <c r="X68" s="454">
        <v>315552</v>
      </c>
      <c r="Y68" s="454">
        <v>0</v>
      </c>
      <c r="Z68" s="455">
        <f>9437+29372+256407+147712</f>
        <v>442928</v>
      </c>
      <c r="AA68" s="455">
        <v>0</v>
      </c>
      <c r="AB68" s="455">
        <v>0</v>
      </c>
      <c r="AC68" s="454">
        <f>854592+303000</f>
        <v>1157592</v>
      </c>
      <c r="AD68" s="454">
        <v>2577</v>
      </c>
      <c r="AE68" s="454">
        <v>997185</v>
      </c>
      <c r="AF68" s="454">
        <v>0</v>
      </c>
      <c r="AG68" s="454">
        <v>210798</v>
      </c>
      <c r="AH68" s="454">
        <v>490624</v>
      </c>
      <c r="AI68" s="454">
        <v>1704687</v>
      </c>
      <c r="AJ68" s="460">
        <v>1599800</v>
      </c>
      <c r="AK68" s="454">
        <v>0</v>
      </c>
      <c r="AL68" s="454">
        <v>1409114</v>
      </c>
      <c r="AM68" s="455">
        <v>0</v>
      </c>
    </row>
    <row r="69" spans="1:39" s="382" customFormat="1" ht="12" x14ac:dyDescent="0.2">
      <c r="A69" s="376">
        <v>15</v>
      </c>
      <c r="B69" s="376">
        <v>61372</v>
      </c>
      <c r="C69" s="425" t="s">
        <v>2768</v>
      </c>
      <c r="D69" s="450">
        <f t="shared" si="14"/>
        <v>11707070</v>
      </c>
      <c r="E69" s="454">
        <f>11707070-5197334-125074</f>
        <v>6384662</v>
      </c>
      <c r="F69" s="454">
        <v>1385743</v>
      </c>
      <c r="G69" s="454">
        <v>796420</v>
      </c>
      <c r="H69" s="454">
        <v>0</v>
      </c>
      <c r="I69" s="454">
        <v>3861239</v>
      </c>
      <c r="J69" s="454">
        <v>136215</v>
      </c>
      <c r="K69" s="454">
        <v>1199880</v>
      </c>
      <c r="L69" s="454">
        <v>0</v>
      </c>
      <c r="M69" s="454">
        <v>125074</v>
      </c>
      <c r="N69" s="455">
        <v>0</v>
      </c>
      <c r="O69" s="455">
        <v>0</v>
      </c>
      <c r="P69" s="450">
        <f t="shared" si="15"/>
        <v>10471961</v>
      </c>
      <c r="Q69" s="454">
        <f>850733+41610+2778227+24037+523010</f>
        <v>4217617</v>
      </c>
      <c r="R69" s="454">
        <f>1734833+29012+416609+166116+973787+137932+324955</f>
        <v>3783244</v>
      </c>
      <c r="S69" s="454">
        <v>231972</v>
      </c>
      <c r="T69" s="454">
        <v>0</v>
      </c>
      <c r="U69" s="454">
        <v>0</v>
      </c>
      <c r="V69" s="454">
        <v>0</v>
      </c>
      <c r="W69" s="454">
        <v>0</v>
      </c>
      <c r="X69" s="454">
        <v>103841</v>
      </c>
      <c r="Y69" s="455">
        <v>60000</v>
      </c>
      <c r="Z69" s="454">
        <f>28000+36120+1441510+135340</f>
        <v>1640970</v>
      </c>
      <c r="AA69" s="455">
        <f>223707+215215</f>
        <v>438922</v>
      </c>
      <c r="AB69" s="455">
        <v>-4605</v>
      </c>
      <c r="AC69" s="454">
        <f>2608961+70622+231972</f>
        <v>2911555</v>
      </c>
      <c r="AD69" s="454">
        <v>0</v>
      </c>
      <c r="AE69" s="454">
        <v>3194836</v>
      </c>
      <c r="AF69" s="454">
        <v>0</v>
      </c>
      <c r="AG69" s="454">
        <v>286273</v>
      </c>
      <c r="AH69" s="454">
        <v>626851</v>
      </c>
      <c r="AI69" s="460">
        <v>2639004</v>
      </c>
      <c r="AJ69" s="454">
        <v>353147</v>
      </c>
      <c r="AK69" s="454">
        <v>0</v>
      </c>
      <c r="AL69" s="454">
        <v>460295</v>
      </c>
      <c r="AM69" s="455">
        <v>0</v>
      </c>
    </row>
    <row r="70" spans="1:39" s="382" customFormat="1" ht="12" x14ac:dyDescent="0.2">
      <c r="A70" s="376">
        <v>16</v>
      </c>
      <c r="B70" s="376">
        <v>61452</v>
      </c>
      <c r="C70" s="425" t="s">
        <v>2769</v>
      </c>
      <c r="D70" s="450">
        <f t="shared" si="14"/>
        <v>4671814</v>
      </c>
      <c r="E70" s="454">
        <f>4671814-1399475-15000-173861-49488-977502</f>
        <v>2056488</v>
      </c>
      <c r="F70" s="454">
        <v>287924</v>
      </c>
      <c r="G70" s="454">
        <v>1059240</v>
      </c>
      <c r="H70" s="454">
        <v>0</v>
      </c>
      <c r="I70" s="454">
        <v>1068665</v>
      </c>
      <c r="J70" s="454">
        <v>0</v>
      </c>
      <c r="K70" s="454">
        <v>330810</v>
      </c>
      <c r="L70" s="454">
        <v>0</v>
      </c>
      <c r="M70" s="454">
        <v>173861</v>
      </c>
      <c r="N70" s="455">
        <v>977502</v>
      </c>
      <c r="O70" s="455">
        <f>15000+49488</f>
        <v>64488</v>
      </c>
      <c r="P70" s="450">
        <f t="shared" si="15"/>
        <v>4648097</v>
      </c>
      <c r="Q70" s="454">
        <f>446810+778389+168578</f>
        <v>1393777</v>
      </c>
      <c r="R70" s="454">
        <f>257222+29338+213963+3153+216834+257702+75938+19651</f>
        <v>1073801</v>
      </c>
      <c r="S70" s="454">
        <v>0</v>
      </c>
      <c r="T70" s="454">
        <v>0</v>
      </c>
      <c r="U70" s="454">
        <v>0</v>
      </c>
      <c r="V70" s="454">
        <v>0</v>
      </c>
      <c r="W70" s="454">
        <v>1426230</v>
      </c>
      <c r="X70" s="454">
        <v>74085</v>
      </c>
      <c r="Y70" s="455">
        <v>0</v>
      </c>
      <c r="Z70" s="454">
        <f>140863+100000+39689+189823+49488+160527</f>
        <v>680390</v>
      </c>
      <c r="AA70" s="455">
        <v>0</v>
      </c>
      <c r="AB70" s="455">
        <v>-186</v>
      </c>
      <c r="AC70" s="454">
        <f>844895</f>
        <v>844895</v>
      </c>
      <c r="AD70" s="454">
        <v>29338</v>
      </c>
      <c r="AE70" s="454">
        <v>1092352</v>
      </c>
      <c r="AF70" s="454">
        <v>42842</v>
      </c>
      <c r="AG70" s="454">
        <v>406657</v>
      </c>
      <c r="AH70" s="454">
        <v>242663</v>
      </c>
      <c r="AI70" s="454">
        <v>1733234</v>
      </c>
      <c r="AJ70" s="460">
        <v>75938</v>
      </c>
      <c r="AK70" s="454">
        <v>0</v>
      </c>
      <c r="AL70" s="454">
        <v>180178</v>
      </c>
      <c r="AM70" s="455">
        <v>0</v>
      </c>
    </row>
    <row r="71" spans="1:39" s="382" customFormat="1" ht="12" x14ac:dyDescent="0.2">
      <c r="A71" s="376">
        <v>17</v>
      </c>
      <c r="B71" s="376">
        <v>61513</v>
      </c>
      <c r="C71" s="425" t="s">
        <v>2770</v>
      </c>
      <c r="D71" s="450">
        <f t="shared" si="14"/>
        <v>11578520</v>
      </c>
      <c r="E71" s="454">
        <f>11578520-2922967-24060-4120-728432</f>
        <v>7898941</v>
      </c>
      <c r="F71" s="454">
        <v>1373882</v>
      </c>
      <c r="G71" s="454">
        <v>1397020</v>
      </c>
      <c r="H71" s="454">
        <v>0</v>
      </c>
      <c r="I71" s="454">
        <v>2303977</v>
      </c>
      <c r="J71" s="454">
        <v>300000</v>
      </c>
      <c r="K71" s="454">
        <v>318990</v>
      </c>
      <c r="L71" s="454">
        <v>0</v>
      </c>
      <c r="M71" s="454">
        <v>4120</v>
      </c>
      <c r="N71" s="455">
        <v>0</v>
      </c>
      <c r="O71" s="455">
        <f>24060+728432</f>
        <v>752492</v>
      </c>
      <c r="P71" s="450">
        <f t="shared" si="15"/>
        <v>12154475</v>
      </c>
      <c r="Q71" s="454">
        <v>3088720</v>
      </c>
      <c r="R71" s="454">
        <v>4967113</v>
      </c>
      <c r="S71" s="454">
        <v>0</v>
      </c>
      <c r="T71" s="454">
        <v>0</v>
      </c>
      <c r="U71" s="454">
        <v>0</v>
      </c>
      <c r="V71" s="454">
        <v>0</v>
      </c>
      <c r="W71" s="454">
        <v>0</v>
      </c>
      <c r="X71" s="454">
        <v>306180</v>
      </c>
      <c r="Y71" s="455">
        <v>110500</v>
      </c>
      <c r="Z71" s="454">
        <v>3681962</v>
      </c>
      <c r="AA71" s="455">
        <v>0</v>
      </c>
      <c r="AB71" s="455">
        <v>0</v>
      </c>
      <c r="AC71" s="454">
        <v>2706055</v>
      </c>
      <c r="AD71" s="454">
        <v>0</v>
      </c>
      <c r="AE71" s="454">
        <v>2276938</v>
      </c>
      <c r="AF71" s="454">
        <v>0</v>
      </c>
      <c r="AG71" s="454">
        <v>163708</v>
      </c>
      <c r="AH71" s="454">
        <v>752645</v>
      </c>
      <c r="AI71" s="454">
        <v>6255129</v>
      </c>
      <c r="AJ71" s="460">
        <v>0</v>
      </c>
      <c r="AK71" s="454">
        <v>0</v>
      </c>
      <c r="AL71" s="454">
        <v>0</v>
      </c>
      <c r="AM71" s="455">
        <v>0</v>
      </c>
    </row>
    <row r="72" spans="1:39" s="382" customFormat="1" ht="12" x14ac:dyDescent="0.2">
      <c r="A72" s="376">
        <v>18</v>
      </c>
      <c r="B72" s="376">
        <v>61559</v>
      </c>
      <c r="C72" s="425" t="s">
        <v>2771</v>
      </c>
      <c r="D72" s="450">
        <f t="shared" si="14"/>
        <v>11961240</v>
      </c>
      <c r="E72" s="454">
        <f>11961240-1925450-1143156-120684-3886879</f>
        <v>4885071</v>
      </c>
      <c r="F72" s="454">
        <v>418352</v>
      </c>
      <c r="G72" s="454">
        <v>1077010</v>
      </c>
      <c r="H72" s="454">
        <v>0</v>
      </c>
      <c r="I72" s="454">
        <v>1707820</v>
      </c>
      <c r="J72" s="454">
        <v>0</v>
      </c>
      <c r="K72" s="454">
        <v>217630</v>
      </c>
      <c r="L72" s="454">
        <v>0</v>
      </c>
      <c r="M72" s="454">
        <v>1143156</v>
      </c>
      <c r="N72" s="455">
        <v>3886879</v>
      </c>
      <c r="O72" s="455">
        <f>120684</f>
        <v>120684</v>
      </c>
      <c r="P72" s="450">
        <f t="shared" si="15"/>
        <v>12476829</v>
      </c>
      <c r="Q72" s="454">
        <f>689966+20444+1265846+207185</f>
        <v>2183441</v>
      </c>
      <c r="R72" s="454">
        <f>1343027+5912+488528+106521+1003034+65099</f>
        <v>3012121</v>
      </c>
      <c r="S72" s="454">
        <v>0</v>
      </c>
      <c r="T72" s="454">
        <v>0</v>
      </c>
      <c r="U72" s="454">
        <v>0</v>
      </c>
      <c r="V72" s="454">
        <v>0</v>
      </c>
      <c r="W72" s="454">
        <v>6820261</v>
      </c>
      <c r="X72" s="455">
        <v>127049</v>
      </c>
      <c r="Y72" s="454">
        <v>0</v>
      </c>
      <c r="Z72" s="455">
        <f>77872+291385</f>
        <v>369257</v>
      </c>
      <c r="AA72" s="455">
        <v>0</v>
      </c>
      <c r="AB72" s="455">
        <v>-35300</v>
      </c>
      <c r="AC72" s="455">
        <v>2075565</v>
      </c>
      <c r="AD72" s="454">
        <v>26356</v>
      </c>
      <c r="AE72" s="454">
        <v>1754374</v>
      </c>
      <c r="AF72" s="454">
        <v>0</v>
      </c>
      <c r="AG72" s="454">
        <v>106521</v>
      </c>
      <c r="AH72" s="454">
        <v>334234</v>
      </c>
      <c r="AI72" s="454">
        <v>8114680</v>
      </c>
      <c r="AJ72" s="454">
        <v>0</v>
      </c>
      <c r="AK72" s="454">
        <v>0</v>
      </c>
      <c r="AL72" s="454">
        <v>65099</v>
      </c>
      <c r="AM72" s="455">
        <v>0</v>
      </c>
    </row>
    <row r="73" spans="1:39" s="382" customFormat="1" ht="12" x14ac:dyDescent="0.2">
      <c r="A73" s="376">
        <v>19</v>
      </c>
      <c r="B73" s="376">
        <v>61620</v>
      </c>
      <c r="C73" s="425" t="s">
        <v>2772</v>
      </c>
      <c r="D73" s="450">
        <f t="shared" si="14"/>
        <v>37272225</v>
      </c>
      <c r="E73" s="454">
        <f>37272225-7311113-70366-1782413-18429330</f>
        <v>9679003</v>
      </c>
      <c r="F73" s="454">
        <v>1040993</v>
      </c>
      <c r="G73" s="454">
        <v>2713120</v>
      </c>
      <c r="H73" s="454">
        <v>0</v>
      </c>
      <c r="I73" s="454">
        <v>5306093</v>
      </c>
      <c r="J73" s="454">
        <v>372000</v>
      </c>
      <c r="K73" s="454">
        <v>1633020</v>
      </c>
      <c r="L73" s="454">
        <v>0</v>
      </c>
      <c r="M73" s="454">
        <v>1782413</v>
      </c>
      <c r="N73" s="455">
        <v>18429330</v>
      </c>
      <c r="O73" s="455">
        <v>70366</v>
      </c>
      <c r="P73" s="450">
        <f t="shared" si="15"/>
        <v>37986517</v>
      </c>
      <c r="Q73" s="454">
        <f>1801699+137125+268826+4150437+16097+171787+216124</f>
        <v>6762095</v>
      </c>
      <c r="R73" s="454">
        <f>1089908+15385+89798+769302+65657+978754+17073+767744+1761391+216737</f>
        <v>5771749</v>
      </c>
      <c r="S73" s="454">
        <v>45953</v>
      </c>
      <c r="T73" s="454">
        <v>0</v>
      </c>
      <c r="U73" s="454">
        <v>0</v>
      </c>
      <c r="V73" s="454">
        <v>40242</v>
      </c>
      <c r="W73" s="454">
        <v>17692076</v>
      </c>
      <c r="X73" s="454">
        <v>674777</v>
      </c>
      <c r="Y73" s="455">
        <v>0</v>
      </c>
      <c r="Z73" s="454">
        <f>5766+4439734+41227+473904+111778+2056423</f>
        <v>7128832</v>
      </c>
      <c r="AA73" s="455">
        <v>0</v>
      </c>
      <c r="AB73" s="455">
        <f>-129007-200</f>
        <v>-129207</v>
      </c>
      <c r="AC73" s="454">
        <f>2768366+152510+45953</f>
        <v>2966829</v>
      </c>
      <c r="AD73" s="454">
        <v>358624</v>
      </c>
      <c r="AE73" s="454">
        <v>27051349</v>
      </c>
      <c r="AF73" s="454">
        <v>81754</v>
      </c>
      <c r="AG73" s="454">
        <v>1150541</v>
      </c>
      <c r="AH73" s="454">
        <v>773319</v>
      </c>
      <c r="AI73" s="454">
        <v>1241648</v>
      </c>
      <c r="AJ73" s="460">
        <v>2089293</v>
      </c>
      <c r="AK73" s="454">
        <v>0</v>
      </c>
      <c r="AL73" s="454">
        <v>2273160</v>
      </c>
      <c r="AM73" s="455">
        <v>0</v>
      </c>
    </row>
    <row r="74" spans="1:39" s="382" customFormat="1" ht="12" x14ac:dyDescent="0.2">
      <c r="A74" s="376">
        <v>20</v>
      </c>
      <c r="B74" s="376">
        <v>63300</v>
      </c>
      <c r="C74" s="425" t="s">
        <v>2773</v>
      </c>
      <c r="D74" s="450">
        <f t="shared" si="14"/>
        <v>4470626</v>
      </c>
      <c r="E74" s="454">
        <f>4470626-2311610-53458-27984</f>
        <v>2077574</v>
      </c>
      <c r="F74" s="454">
        <v>231107</v>
      </c>
      <c r="G74" s="454">
        <v>1208870</v>
      </c>
      <c r="H74" s="454">
        <v>0</v>
      </c>
      <c r="I74" s="454">
        <v>1907439</v>
      </c>
      <c r="J74" s="454">
        <v>100000</v>
      </c>
      <c r="K74" s="454">
        <v>304171</v>
      </c>
      <c r="L74" s="454">
        <v>0</v>
      </c>
      <c r="M74" s="454">
        <v>53458</v>
      </c>
      <c r="N74" s="454">
        <v>0</v>
      </c>
      <c r="O74" s="455">
        <v>27984</v>
      </c>
      <c r="P74" s="450">
        <f t="shared" si="15"/>
        <v>4619396</v>
      </c>
      <c r="Q74" s="454">
        <f>713034+81804+1279246+21656+296694</f>
        <v>2392434</v>
      </c>
      <c r="R74" s="454">
        <f>482565+20411+319937+15484+497338+77793</f>
        <v>1413528</v>
      </c>
      <c r="S74" s="454">
        <v>0</v>
      </c>
      <c r="T74" s="454">
        <v>0</v>
      </c>
      <c r="U74" s="454">
        <v>0</v>
      </c>
      <c r="V74" s="454">
        <v>0</v>
      </c>
      <c r="W74" s="454">
        <v>0</v>
      </c>
      <c r="X74" s="455">
        <v>131157</v>
      </c>
      <c r="Y74" s="454">
        <v>150500</v>
      </c>
      <c r="Z74" s="455">
        <f>120141+181561+132372+100000</f>
        <v>534074</v>
      </c>
      <c r="AA74" s="455">
        <v>0</v>
      </c>
      <c r="AB74" s="455">
        <v>-2297</v>
      </c>
      <c r="AC74" s="454">
        <f>1313443</f>
        <v>1313443</v>
      </c>
      <c r="AD74" s="454">
        <v>102215</v>
      </c>
      <c r="AE74" s="454">
        <v>1780744</v>
      </c>
      <c r="AF74" s="454">
        <v>21656</v>
      </c>
      <c r="AG74" s="454">
        <v>165984</v>
      </c>
      <c r="AH74" s="454">
        <v>427851</v>
      </c>
      <c r="AI74" s="454">
        <v>629710</v>
      </c>
      <c r="AJ74" s="460">
        <v>77793</v>
      </c>
      <c r="AK74" s="454"/>
      <c r="AL74" s="454">
        <v>100000</v>
      </c>
      <c r="AM74" s="455">
        <v>0</v>
      </c>
    </row>
    <row r="75" spans="1:39" s="382" customFormat="1" ht="12" x14ac:dyDescent="0.2">
      <c r="A75" s="376">
        <v>21</v>
      </c>
      <c r="B75" s="376">
        <v>61675</v>
      </c>
      <c r="C75" s="425" t="s">
        <v>2774</v>
      </c>
      <c r="D75" s="450">
        <f t="shared" si="14"/>
        <v>11313855</v>
      </c>
      <c r="E75" s="454">
        <f>11313855-3673920-1468325-4140631</f>
        <v>2030979</v>
      </c>
      <c r="F75" s="454">
        <v>294644</v>
      </c>
      <c r="G75" s="454">
        <v>712130</v>
      </c>
      <c r="H75" s="454">
        <v>0</v>
      </c>
      <c r="I75" s="454">
        <v>2016360</v>
      </c>
      <c r="J75" s="454">
        <v>1125000</v>
      </c>
      <c r="K75" s="454">
        <v>532560</v>
      </c>
      <c r="L75" s="454">
        <v>0</v>
      </c>
      <c r="M75" s="454">
        <v>1468325</v>
      </c>
      <c r="N75" s="455">
        <v>4140631</v>
      </c>
      <c r="O75" s="455">
        <v>0</v>
      </c>
      <c r="P75" s="450">
        <f t="shared" si="15"/>
        <v>13290556</v>
      </c>
      <c r="Q75" s="454">
        <f>573337+28094+1409968+23050+18528+282607+89743</f>
        <v>2425327</v>
      </c>
      <c r="R75" s="454">
        <f>341750+67467+17792+396512+5732+1005437</f>
        <v>1834690</v>
      </c>
      <c r="S75" s="454">
        <v>0</v>
      </c>
      <c r="T75" s="454">
        <v>0</v>
      </c>
      <c r="U75" s="454">
        <v>0</v>
      </c>
      <c r="V75" s="454">
        <v>0</v>
      </c>
      <c r="W75" s="454">
        <f>497473+3413518+4676891</f>
        <v>8587882</v>
      </c>
      <c r="X75" s="454">
        <v>65974</v>
      </c>
      <c r="Y75" s="455">
        <v>0</v>
      </c>
      <c r="Z75" s="455">
        <f>106794+14000+255889</f>
        <v>376683</v>
      </c>
      <c r="AA75" s="455">
        <v>0</v>
      </c>
      <c r="AB75" s="455">
        <v>0</v>
      </c>
      <c r="AC75" s="454">
        <f>915087+67467</f>
        <v>982554</v>
      </c>
      <c r="AD75" s="454">
        <v>45886</v>
      </c>
      <c r="AE75" s="454">
        <v>1913274</v>
      </c>
      <c r="AF75" s="454">
        <v>23050</v>
      </c>
      <c r="AG75" s="454">
        <v>521732</v>
      </c>
      <c r="AH75" s="454">
        <v>348581</v>
      </c>
      <c r="AI75" s="454">
        <v>3427518</v>
      </c>
      <c r="AJ75" s="460">
        <v>0</v>
      </c>
      <c r="AK75" s="454">
        <v>0</v>
      </c>
      <c r="AL75" s="454">
        <v>4932780</v>
      </c>
      <c r="AM75" s="455">
        <v>1095181</v>
      </c>
    </row>
    <row r="76" spans="1:39" s="382" customFormat="1" ht="12" x14ac:dyDescent="0.2">
      <c r="A76" s="376">
        <v>22</v>
      </c>
      <c r="B76" s="376">
        <v>61737</v>
      </c>
      <c r="C76" s="425" t="s">
        <v>2775</v>
      </c>
      <c r="D76" s="450">
        <f t="shared" si="14"/>
        <v>5496131</v>
      </c>
      <c r="E76" s="454">
        <f>5496131-3170693-46731</f>
        <v>2278707</v>
      </c>
      <c r="F76" s="454">
        <v>176795</v>
      </c>
      <c r="G76" s="454">
        <v>1058220</v>
      </c>
      <c r="H76" s="454">
        <v>0</v>
      </c>
      <c r="I76" s="454">
        <v>2530398</v>
      </c>
      <c r="J76" s="454">
        <v>319145</v>
      </c>
      <c r="K76" s="454">
        <v>321150</v>
      </c>
      <c r="L76" s="454">
        <v>0</v>
      </c>
      <c r="M76" s="454">
        <v>46731</v>
      </c>
      <c r="N76" s="455">
        <v>0</v>
      </c>
      <c r="O76" s="455">
        <v>0</v>
      </c>
      <c r="P76" s="450">
        <f t="shared" si="15"/>
        <v>5526176</v>
      </c>
      <c r="Q76" s="454">
        <f>422056+66703+1791538+23666+14149+304747+70873</f>
        <v>2693732</v>
      </c>
      <c r="R76" s="454">
        <f>508213+18525+499065+175878+245637+42193+319145</f>
        <v>1808656</v>
      </c>
      <c r="S76" s="454">
        <v>8600</v>
      </c>
      <c r="T76" s="454">
        <v>0</v>
      </c>
      <c r="U76" s="454">
        <v>0</v>
      </c>
      <c r="V76" s="454">
        <v>0</v>
      </c>
      <c r="W76" s="454">
        <v>0</v>
      </c>
      <c r="X76" s="454">
        <v>111863</v>
      </c>
      <c r="Y76" s="455">
        <v>0</v>
      </c>
      <c r="Z76" s="454">
        <f>100000+126000+15508+10961+650856</f>
        <v>903325</v>
      </c>
      <c r="AA76" s="455">
        <v>0</v>
      </c>
      <c r="AB76" s="455">
        <v>0</v>
      </c>
      <c r="AC76" s="454">
        <f>1030269+8600</f>
        <v>1038869</v>
      </c>
      <c r="AD76" s="454">
        <v>85228</v>
      </c>
      <c r="AE76" s="454">
        <v>2416603</v>
      </c>
      <c r="AF76" s="454">
        <v>23666</v>
      </c>
      <c r="AG76" s="454">
        <v>190027</v>
      </c>
      <c r="AH76" s="454">
        <v>432118</v>
      </c>
      <c r="AI76" s="454">
        <v>327471</v>
      </c>
      <c r="AJ76" s="460">
        <v>42193</v>
      </c>
      <c r="AK76" s="454">
        <v>0</v>
      </c>
      <c r="AL76" s="454">
        <v>970001</v>
      </c>
      <c r="AM76" s="455"/>
    </row>
    <row r="77" spans="1:39" s="382" customFormat="1" ht="12" x14ac:dyDescent="0.2">
      <c r="A77" s="376">
        <v>23</v>
      </c>
      <c r="B77" s="376">
        <v>63161</v>
      </c>
      <c r="C77" s="425" t="s">
        <v>2776</v>
      </c>
      <c r="D77" s="450">
        <f t="shared" si="14"/>
        <v>2082595</v>
      </c>
      <c r="E77" s="454">
        <f>2082595-467694-20632</f>
        <v>1594269</v>
      </c>
      <c r="F77" s="454">
        <v>144665</v>
      </c>
      <c r="G77" s="454">
        <v>1247510</v>
      </c>
      <c r="H77" s="454">
        <v>0</v>
      </c>
      <c r="I77" s="454">
        <v>417794</v>
      </c>
      <c r="J77" s="454">
        <v>0</v>
      </c>
      <c r="K77" s="454">
        <v>49900</v>
      </c>
      <c r="L77" s="454">
        <v>0</v>
      </c>
      <c r="M77" s="454">
        <v>20632</v>
      </c>
      <c r="N77" s="455">
        <v>0</v>
      </c>
      <c r="O77" s="455">
        <v>0</v>
      </c>
      <c r="P77" s="450">
        <f t="shared" si="15"/>
        <v>1733105</v>
      </c>
      <c r="Q77" s="454">
        <f>210817+359457+17138</f>
        <v>587412</v>
      </c>
      <c r="R77" s="454">
        <f>182397+50691+57864+48071+436415</f>
        <v>775438</v>
      </c>
      <c r="S77" s="454">
        <v>0</v>
      </c>
      <c r="T77" s="454">
        <v>0</v>
      </c>
      <c r="U77" s="454">
        <v>0</v>
      </c>
      <c r="V77" s="454">
        <v>0</v>
      </c>
      <c r="W77" s="454">
        <v>0</v>
      </c>
      <c r="X77" s="454">
        <v>9095</v>
      </c>
      <c r="Y77" s="455">
        <v>0</v>
      </c>
      <c r="Z77" s="454">
        <f>340988+20172</f>
        <v>361160</v>
      </c>
      <c r="AA77" s="455">
        <v>0</v>
      </c>
      <c r="AB77" s="455">
        <v>0</v>
      </c>
      <c r="AC77" s="455">
        <v>393214</v>
      </c>
      <c r="AD77" s="454">
        <v>0</v>
      </c>
      <c r="AE77" s="454">
        <v>410148</v>
      </c>
      <c r="AF77" s="454">
        <v>0</v>
      </c>
      <c r="AG77" s="454">
        <v>398852</v>
      </c>
      <c r="AH77" s="454">
        <v>26233</v>
      </c>
      <c r="AI77" s="454">
        <v>68243</v>
      </c>
      <c r="AJ77" s="454">
        <v>0</v>
      </c>
      <c r="AK77" s="460">
        <v>0</v>
      </c>
      <c r="AL77" s="454">
        <v>436415</v>
      </c>
      <c r="AM77" s="454">
        <v>0</v>
      </c>
    </row>
    <row r="78" spans="1:39" s="382" customFormat="1" ht="12" x14ac:dyDescent="0.2">
      <c r="A78" s="376">
        <v>24</v>
      </c>
      <c r="B78" s="376">
        <v>63334</v>
      </c>
      <c r="C78" s="425" t="s">
        <v>2777</v>
      </c>
      <c r="D78" s="450">
        <f t="shared" si="14"/>
        <v>9647228</v>
      </c>
      <c r="E78" s="454">
        <f>9647228-889478-38952</f>
        <v>8718798</v>
      </c>
      <c r="F78" s="454">
        <v>813776</v>
      </c>
      <c r="G78" s="454">
        <v>663840</v>
      </c>
      <c r="H78" s="454">
        <v>0</v>
      </c>
      <c r="I78" s="454">
        <v>793908</v>
      </c>
      <c r="J78" s="454">
        <v>0</v>
      </c>
      <c r="K78" s="454">
        <v>95570</v>
      </c>
      <c r="L78" s="454">
        <v>0</v>
      </c>
      <c r="M78" s="454">
        <v>38952</v>
      </c>
      <c r="N78" s="455">
        <v>0</v>
      </c>
      <c r="O78" s="455">
        <v>0</v>
      </c>
      <c r="P78" s="450">
        <f t="shared" si="15"/>
        <v>4944610</v>
      </c>
      <c r="Q78" s="454">
        <f>394008+559526+91531</f>
        <v>1045065</v>
      </c>
      <c r="R78" s="454">
        <f>476472+268585+383718+1647465</f>
        <v>2776240</v>
      </c>
      <c r="S78" s="454">
        <v>0</v>
      </c>
      <c r="T78" s="454">
        <v>0</v>
      </c>
      <c r="U78" s="454">
        <v>0</v>
      </c>
      <c r="V78" s="454">
        <v>0</v>
      </c>
      <c r="W78" s="454">
        <v>28125</v>
      </c>
      <c r="X78" s="454">
        <v>107902</v>
      </c>
      <c r="Y78" s="454">
        <v>0</v>
      </c>
      <c r="Z78" s="454">
        <f>254366+732912</f>
        <v>987278</v>
      </c>
      <c r="AA78" s="454">
        <v>0</v>
      </c>
      <c r="AB78" s="454">
        <v>0</v>
      </c>
      <c r="AC78" s="454">
        <v>870480</v>
      </c>
      <c r="AD78" s="454">
        <v>0</v>
      </c>
      <c r="AE78" s="454">
        <v>828111</v>
      </c>
      <c r="AF78" s="454">
        <v>0</v>
      </c>
      <c r="AG78" s="454">
        <v>383718</v>
      </c>
      <c r="AH78" s="454">
        <v>199433</v>
      </c>
      <c r="AI78" s="454">
        <v>1901831</v>
      </c>
      <c r="AJ78" s="454">
        <v>732912</v>
      </c>
      <c r="AK78" s="454">
        <v>0</v>
      </c>
      <c r="AL78" s="454">
        <v>0</v>
      </c>
      <c r="AM78" s="454">
        <v>28125</v>
      </c>
    </row>
    <row r="79" spans="1:39" s="382" customFormat="1" ht="12" x14ac:dyDescent="0.2">
      <c r="A79" s="376">
        <v>25</v>
      </c>
      <c r="B79" s="376">
        <v>61826</v>
      </c>
      <c r="C79" s="425" t="s">
        <v>2778</v>
      </c>
      <c r="D79" s="450">
        <f t="shared" si="14"/>
        <v>7081231</v>
      </c>
      <c r="E79" s="454">
        <f>7081231-1411926-179922-2838645</f>
        <v>2650738</v>
      </c>
      <c r="F79" s="454">
        <v>163842</v>
      </c>
      <c r="G79" s="454">
        <v>1690580</v>
      </c>
      <c r="H79" s="454">
        <v>0</v>
      </c>
      <c r="I79" s="454">
        <v>875106</v>
      </c>
      <c r="J79" s="454">
        <v>200000</v>
      </c>
      <c r="K79" s="454">
        <v>336820</v>
      </c>
      <c r="L79" s="454">
        <v>0</v>
      </c>
      <c r="M79" s="454">
        <v>179922</v>
      </c>
      <c r="N79" s="455">
        <v>2838645</v>
      </c>
      <c r="O79" s="455">
        <v>0</v>
      </c>
      <c r="P79" s="450">
        <f t="shared" si="15"/>
        <v>7509873</v>
      </c>
      <c r="Q79" s="454">
        <f>662084+636925+153597</f>
        <v>1452606</v>
      </c>
      <c r="R79" s="454">
        <f>552810+84310+71723+556027+32180+239317</f>
        <v>1536367</v>
      </c>
      <c r="S79" s="454">
        <v>0</v>
      </c>
      <c r="T79" s="454">
        <v>0</v>
      </c>
      <c r="U79" s="454">
        <v>0</v>
      </c>
      <c r="V79" s="454">
        <v>0</v>
      </c>
      <c r="W79" s="454">
        <f>1183497+3029143</f>
        <v>4212640</v>
      </c>
      <c r="X79" s="454">
        <v>28083</v>
      </c>
      <c r="Y79" s="455">
        <v>0</v>
      </c>
      <c r="Z79" s="454">
        <f>-7106+121046+166237</f>
        <v>280177</v>
      </c>
      <c r="AA79" s="455">
        <v>0</v>
      </c>
      <c r="AB79" s="455">
        <v>0</v>
      </c>
      <c r="AC79" s="454">
        <v>2391285</v>
      </c>
      <c r="AD79" s="454">
        <v>0</v>
      </c>
      <c r="AE79" s="454">
        <v>721235</v>
      </c>
      <c r="AF79" s="454">
        <v>0</v>
      </c>
      <c r="AG79" s="454">
        <v>71723</v>
      </c>
      <c r="AH79" s="454">
        <v>181680</v>
      </c>
      <c r="AI79" s="454">
        <v>3706216</v>
      </c>
      <c r="AJ79" s="460">
        <v>0</v>
      </c>
      <c r="AK79" s="454">
        <v>0</v>
      </c>
      <c r="AL79" s="454">
        <v>405554</v>
      </c>
      <c r="AM79" s="455">
        <v>32180</v>
      </c>
    </row>
    <row r="80" spans="1:39" s="382" customFormat="1" ht="12" x14ac:dyDescent="0.2">
      <c r="A80" s="376">
        <v>26</v>
      </c>
      <c r="B80" s="376">
        <v>63326</v>
      </c>
      <c r="C80" s="425" t="s">
        <v>2779</v>
      </c>
      <c r="D80" s="450">
        <f t="shared" si="14"/>
        <v>5944012</v>
      </c>
      <c r="E80" s="454">
        <f>5944012-780352-13292-357749-836788</f>
        <v>3955831</v>
      </c>
      <c r="F80" s="454">
        <v>106137</v>
      </c>
      <c r="G80" s="454">
        <v>413460</v>
      </c>
      <c r="H80" s="454">
        <v>0</v>
      </c>
      <c r="I80" s="454">
        <v>569402</v>
      </c>
      <c r="J80" s="454">
        <v>0</v>
      </c>
      <c r="K80" s="454">
        <v>210950</v>
      </c>
      <c r="L80" s="454">
        <v>0</v>
      </c>
      <c r="M80" s="454">
        <v>357749</v>
      </c>
      <c r="N80" s="455">
        <v>836788</v>
      </c>
      <c r="O80" s="455">
        <v>13292</v>
      </c>
      <c r="P80" s="450">
        <f t="shared" si="15"/>
        <v>6128119</v>
      </c>
      <c r="Q80" s="454">
        <f>426178+429574+88433</f>
        <v>944185</v>
      </c>
      <c r="R80" s="454">
        <f>1169072+214860+44088+476821</f>
        <v>1904841</v>
      </c>
      <c r="S80" s="454">
        <v>0</v>
      </c>
      <c r="T80" s="454">
        <v>0</v>
      </c>
      <c r="U80" s="454">
        <v>0</v>
      </c>
      <c r="V80" s="454">
        <v>0</v>
      </c>
      <c r="W80" s="454">
        <v>1896975</v>
      </c>
      <c r="X80" s="454">
        <v>17988</v>
      </c>
      <c r="Y80" s="455">
        <v>0</v>
      </c>
      <c r="Z80" s="454">
        <f>100665+627199+560686+75580</f>
        <v>1364130</v>
      </c>
      <c r="AA80" s="455">
        <v>0</v>
      </c>
      <c r="AB80" s="455">
        <v>0</v>
      </c>
      <c r="AC80" s="455">
        <f>1595250</f>
        <v>1595250</v>
      </c>
      <c r="AD80" s="454">
        <v>0</v>
      </c>
      <c r="AE80" s="454">
        <v>745099</v>
      </c>
      <c r="AF80" s="454">
        <v>0</v>
      </c>
      <c r="AG80" s="454">
        <v>671288</v>
      </c>
      <c r="AH80" s="454">
        <v>2003396</v>
      </c>
      <c r="AI80" s="454">
        <v>1037506</v>
      </c>
      <c r="AJ80" s="460">
        <v>0</v>
      </c>
      <c r="AK80" s="454">
        <v>0</v>
      </c>
      <c r="AL80" s="454">
        <v>75580</v>
      </c>
      <c r="AM80" s="455"/>
    </row>
    <row r="81" spans="1:39" s="382" customFormat="1" ht="12" x14ac:dyDescent="0.2">
      <c r="A81" s="376">
        <v>27</v>
      </c>
      <c r="B81" s="376">
        <v>61808</v>
      </c>
      <c r="C81" s="425" t="s">
        <v>2780</v>
      </c>
      <c r="D81" s="450">
        <f t="shared" si="14"/>
        <v>3909996</v>
      </c>
      <c r="E81" s="454">
        <f>3909996-1579248-14500-43674-403262</f>
        <v>1869312</v>
      </c>
      <c r="F81" s="454">
        <v>58156</v>
      </c>
      <c r="G81" s="454">
        <v>1427250</v>
      </c>
      <c r="H81" s="454">
        <v>0</v>
      </c>
      <c r="I81" s="454">
        <v>1072615</v>
      </c>
      <c r="J81" s="454">
        <v>247473</v>
      </c>
      <c r="K81" s="454">
        <v>259160</v>
      </c>
      <c r="L81" s="454">
        <v>0</v>
      </c>
      <c r="M81" s="454">
        <v>43674</v>
      </c>
      <c r="N81" s="455">
        <v>0</v>
      </c>
      <c r="O81" s="455">
        <f>14500+403262</f>
        <v>417762</v>
      </c>
      <c r="P81" s="450">
        <f t="shared" si="15"/>
        <v>3909996</v>
      </c>
      <c r="Q81" s="454">
        <f>425562+625389+21688+161160+70912</f>
        <v>1304711</v>
      </c>
      <c r="R81" s="454">
        <f>423629+170242+49627+696337+37200</f>
        <v>1377035</v>
      </c>
      <c r="S81" s="454">
        <v>0</v>
      </c>
      <c r="T81" s="454">
        <v>0</v>
      </c>
      <c r="U81" s="454">
        <v>0</v>
      </c>
      <c r="V81" s="454">
        <v>0</v>
      </c>
      <c r="W81" s="454">
        <v>0</v>
      </c>
      <c r="X81" s="454">
        <v>177396</v>
      </c>
      <c r="Y81" s="455">
        <v>0</v>
      </c>
      <c r="Z81" s="455">
        <f>187089+466291+397474</f>
        <v>1050854</v>
      </c>
      <c r="AA81" s="455">
        <v>0</v>
      </c>
      <c r="AB81" s="455">
        <v>0</v>
      </c>
      <c r="AC81" s="454">
        <v>1036280</v>
      </c>
      <c r="AD81" s="454">
        <v>0</v>
      </c>
      <c r="AE81" s="454">
        <v>795631</v>
      </c>
      <c r="AF81" s="454">
        <v>0</v>
      </c>
      <c r="AG81" s="454">
        <v>71315</v>
      </c>
      <c r="AH81" s="454">
        <v>338556</v>
      </c>
      <c r="AI81" s="454">
        <v>1233540</v>
      </c>
      <c r="AJ81" s="460">
        <v>0</v>
      </c>
      <c r="AK81" s="454">
        <v>0</v>
      </c>
      <c r="AL81" s="454">
        <v>434674</v>
      </c>
      <c r="AM81" s="455">
        <v>0</v>
      </c>
    </row>
    <row r="82" spans="1:39" s="382" customFormat="1" ht="12" x14ac:dyDescent="0.2">
      <c r="A82" s="376">
        <v>28</v>
      </c>
      <c r="B82" s="376">
        <v>63278</v>
      </c>
      <c r="C82" s="425" t="s">
        <v>2781</v>
      </c>
      <c r="D82" s="450">
        <f t="shared" si="14"/>
        <v>4644706</v>
      </c>
      <c r="E82" s="454">
        <f>4644706-1178705-3800-1168913-491062</f>
        <v>1802226</v>
      </c>
      <c r="F82" s="454">
        <v>41907</v>
      </c>
      <c r="G82" s="454">
        <v>1193420</v>
      </c>
      <c r="H82" s="454">
        <v>0</v>
      </c>
      <c r="I82" s="454">
        <v>533345</v>
      </c>
      <c r="J82" s="454">
        <v>320500</v>
      </c>
      <c r="K82" s="454">
        <v>324860</v>
      </c>
      <c r="L82" s="454">
        <v>0</v>
      </c>
      <c r="M82" s="454">
        <v>1168913</v>
      </c>
      <c r="N82" s="455">
        <v>491062</v>
      </c>
      <c r="O82" s="455">
        <v>3800</v>
      </c>
      <c r="P82" s="450">
        <f t="shared" si="15"/>
        <v>4534180</v>
      </c>
      <c r="Q82" s="454">
        <f>471328+443019</f>
        <v>914347</v>
      </c>
      <c r="R82" s="454">
        <f>406470+27257+60169+155713+85270+168056+13367+351860</f>
        <v>1268162</v>
      </c>
      <c r="S82" s="454">
        <v>0</v>
      </c>
      <c r="T82" s="454">
        <v>0</v>
      </c>
      <c r="U82" s="454">
        <v>0</v>
      </c>
      <c r="V82" s="454">
        <v>0</v>
      </c>
      <c r="W82" s="454">
        <v>326430</v>
      </c>
      <c r="X82" s="454">
        <v>93285</v>
      </c>
      <c r="Y82" s="455">
        <f>30542+30903</f>
        <v>61445</v>
      </c>
      <c r="Z82" s="454">
        <f>562369+446161+647797+214184</f>
        <v>1870511</v>
      </c>
      <c r="AA82" s="455">
        <v>0</v>
      </c>
      <c r="AB82" s="455">
        <v>0</v>
      </c>
      <c r="AC82" s="454">
        <v>1440167</v>
      </c>
      <c r="AD82" s="454">
        <v>353687</v>
      </c>
      <c r="AE82" s="454">
        <v>949349</v>
      </c>
      <c r="AF82" s="454">
        <v>0</v>
      </c>
      <c r="AG82" s="454">
        <v>834052</v>
      </c>
      <c r="AH82" s="454">
        <v>209458</v>
      </c>
      <c r="AI82" s="454">
        <v>382240</v>
      </c>
      <c r="AJ82" s="460">
        <v>13367</v>
      </c>
      <c r="AK82" s="454">
        <v>0</v>
      </c>
      <c r="AL82" s="454">
        <v>351860</v>
      </c>
      <c r="AM82" s="455">
        <v>0</v>
      </c>
    </row>
    <row r="83" spans="1:39" s="382" customFormat="1" ht="12" x14ac:dyDescent="0.2">
      <c r="A83" s="376">
        <v>29</v>
      </c>
      <c r="B83" s="376">
        <v>61871</v>
      </c>
      <c r="C83" s="425" t="s">
        <v>2782</v>
      </c>
      <c r="D83" s="450">
        <f t="shared" si="14"/>
        <v>6731637</v>
      </c>
      <c r="E83" s="454">
        <f>6731637-2018697-666411</f>
        <v>4046529</v>
      </c>
      <c r="F83" s="454">
        <v>504013</v>
      </c>
      <c r="G83" s="454">
        <v>883330</v>
      </c>
      <c r="H83" s="454">
        <v>0</v>
      </c>
      <c r="I83" s="454">
        <v>1717647</v>
      </c>
      <c r="J83" s="454">
        <v>0</v>
      </c>
      <c r="K83" s="454">
        <v>301050</v>
      </c>
      <c r="L83" s="454">
        <v>0</v>
      </c>
      <c r="M83" s="454">
        <v>666411</v>
      </c>
      <c r="N83" s="455">
        <v>0</v>
      </c>
      <c r="O83" s="455">
        <v>0</v>
      </c>
      <c r="P83" s="450">
        <f t="shared" si="15"/>
        <v>5780654</v>
      </c>
      <c r="Q83" s="454">
        <f>467989+1508867+40596+185026+103945</f>
        <v>2306423</v>
      </c>
      <c r="R83" s="454">
        <f>873411+2770+296061+115295+106834+427323+124640+164559</f>
        <v>2110893</v>
      </c>
      <c r="S83" s="454">
        <v>0</v>
      </c>
      <c r="T83" s="454">
        <v>0</v>
      </c>
      <c r="U83" s="454">
        <v>0</v>
      </c>
      <c r="V83" s="454">
        <v>0</v>
      </c>
      <c r="W83" s="454">
        <v>0</v>
      </c>
      <c r="X83" s="454">
        <v>30090</v>
      </c>
      <c r="Y83" s="455">
        <v>0</v>
      </c>
      <c r="Z83" s="454">
        <f>19105+837987+393106+83050</f>
        <v>1333248</v>
      </c>
      <c r="AA83" s="455">
        <v>0</v>
      </c>
      <c r="AB83" s="455">
        <v>0</v>
      </c>
      <c r="AC83" s="454">
        <v>1360505</v>
      </c>
      <c r="AD83" s="454">
        <v>2770</v>
      </c>
      <c r="AE83" s="454">
        <v>2642915</v>
      </c>
      <c r="AF83" s="454">
        <v>0</v>
      </c>
      <c r="AG83" s="454">
        <v>155891</v>
      </c>
      <c r="AH83" s="454">
        <v>321950</v>
      </c>
      <c r="AI83" s="454">
        <v>924374</v>
      </c>
      <c r="AJ83" s="460">
        <v>124640</v>
      </c>
      <c r="AK83" s="454">
        <v>0</v>
      </c>
      <c r="AL83" s="454">
        <v>83050</v>
      </c>
      <c r="AM83" s="455">
        <v>164559</v>
      </c>
    </row>
    <row r="84" spans="1:39" s="382" customFormat="1" ht="12" x14ac:dyDescent="0.2">
      <c r="A84" s="376">
        <v>30</v>
      </c>
      <c r="B84" s="376">
        <v>61951</v>
      </c>
      <c r="C84" s="425" t="s">
        <v>2783</v>
      </c>
      <c r="D84" s="450">
        <f t="shared" si="14"/>
        <v>4816006</v>
      </c>
      <c r="E84" s="454">
        <f>4816006-1311167-9000-565262-870989</f>
        <v>2059588</v>
      </c>
      <c r="F84" s="454">
        <v>123166</v>
      </c>
      <c r="G84" s="454">
        <v>1397550</v>
      </c>
      <c r="H84" s="454">
        <v>0</v>
      </c>
      <c r="I84" s="454">
        <v>1190587</v>
      </c>
      <c r="J84" s="454">
        <v>0</v>
      </c>
      <c r="K84" s="454">
        <v>120580</v>
      </c>
      <c r="L84" s="454">
        <v>0</v>
      </c>
      <c r="M84" s="454">
        <v>565262</v>
      </c>
      <c r="N84" s="455">
        <v>870989</v>
      </c>
      <c r="O84" s="455">
        <v>9000</v>
      </c>
      <c r="P84" s="450">
        <f t="shared" si="15"/>
        <v>5385934</v>
      </c>
      <c r="Q84" s="454">
        <f>417389+759681+17793+193315+19845</f>
        <v>1408023</v>
      </c>
      <c r="R84" s="454">
        <f>568906+4724+204318+161682+347019+41957+67511+51300</f>
        <v>1447417</v>
      </c>
      <c r="S84" s="454">
        <v>0</v>
      </c>
      <c r="T84" s="454">
        <v>0</v>
      </c>
      <c r="U84" s="454">
        <v>0</v>
      </c>
      <c r="V84" s="454">
        <v>0</v>
      </c>
      <c r="W84" s="454">
        <v>1380864</v>
      </c>
      <c r="X84" s="455">
        <v>114206</v>
      </c>
      <c r="Y84" s="454">
        <v>0</v>
      </c>
      <c r="Z84" s="455">
        <f>243206+365346+12000+424696</f>
        <v>1045248</v>
      </c>
      <c r="AA84" s="454">
        <v>0</v>
      </c>
      <c r="AB84" s="455">
        <v>-9824</v>
      </c>
      <c r="AC84" s="454">
        <v>1219677</v>
      </c>
      <c r="AD84" s="454">
        <v>4724</v>
      </c>
      <c r="AE84" s="454">
        <v>1329345</v>
      </c>
      <c r="AF84" s="454">
        <v>0</v>
      </c>
      <c r="AG84" s="454">
        <v>179475</v>
      </c>
      <c r="AH84" s="454">
        <v>319521</v>
      </c>
      <c r="AI84" s="454">
        <v>1747728</v>
      </c>
      <c r="AJ84" s="460">
        <v>41957</v>
      </c>
      <c r="AK84" s="454">
        <v>0</v>
      </c>
      <c r="AL84" s="454">
        <v>492207</v>
      </c>
      <c r="AM84" s="455">
        <v>51300</v>
      </c>
    </row>
    <row r="85" spans="1:39" s="382" customFormat="1" ht="12" x14ac:dyDescent="0.2">
      <c r="A85" s="376">
        <v>31</v>
      </c>
      <c r="B85" s="376">
        <v>62020</v>
      </c>
      <c r="C85" s="425" t="s">
        <v>2784</v>
      </c>
      <c r="D85" s="450">
        <f t="shared" si="14"/>
        <v>3462754</v>
      </c>
      <c r="E85" s="454">
        <f>3462754-1381683-5703-104856-11284</f>
        <v>1959228</v>
      </c>
      <c r="F85" s="454">
        <v>318939</v>
      </c>
      <c r="G85" s="454">
        <v>1072520</v>
      </c>
      <c r="H85" s="454">
        <v>0</v>
      </c>
      <c r="I85" s="454">
        <v>1166013</v>
      </c>
      <c r="J85" s="454">
        <v>0</v>
      </c>
      <c r="K85" s="454">
        <v>215670</v>
      </c>
      <c r="L85" s="454">
        <v>0</v>
      </c>
      <c r="M85" s="454">
        <v>5703</v>
      </c>
      <c r="N85" s="455">
        <v>11284</v>
      </c>
      <c r="O85" s="455">
        <v>104856</v>
      </c>
      <c r="P85" s="450">
        <f t="shared" si="15"/>
        <v>3890554</v>
      </c>
      <c r="Q85" s="454">
        <f>404284+865657+163559</f>
        <v>1433500</v>
      </c>
      <c r="R85" s="454">
        <f>249692+583+238234+5901+293557+124054</f>
        <v>912021</v>
      </c>
      <c r="S85" s="454">
        <v>0</v>
      </c>
      <c r="T85" s="454">
        <v>0</v>
      </c>
      <c r="U85" s="454">
        <v>0</v>
      </c>
      <c r="V85" s="454">
        <v>0</v>
      </c>
      <c r="W85" s="454">
        <v>0</v>
      </c>
      <c r="X85" s="454">
        <v>98035</v>
      </c>
      <c r="Y85" s="455">
        <v>0</v>
      </c>
      <c r="Z85" s="455">
        <f>66535+92602+518855+266672+502349</f>
        <v>1447013</v>
      </c>
      <c r="AA85" s="455">
        <v>0</v>
      </c>
      <c r="AB85" s="455">
        <v>-15</v>
      </c>
      <c r="AC85" s="454">
        <v>720496</v>
      </c>
      <c r="AD85" s="454">
        <v>583</v>
      </c>
      <c r="AE85" s="454">
        <v>1196493</v>
      </c>
      <c r="AF85" s="454">
        <v>0</v>
      </c>
      <c r="AG85" s="454">
        <v>524756</v>
      </c>
      <c r="AH85" s="454">
        <v>261594</v>
      </c>
      <c r="AI85" s="460">
        <v>560229</v>
      </c>
      <c r="AJ85" s="454">
        <v>0</v>
      </c>
      <c r="AK85" s="454">
        <v>0</v>
      </c>
      <c r="AL85" s="455">
        <v>502349</v>
      </c>
      <c r="AM85" s="455">
        <v>124054</v>
      </c>
    </row>
    <row r="86" spans="1:39" s="382" customFormat="1" ht="12" x14ac:dyDescent="0.2">
      <c r="A86" s="376">
        <v>32</v>
      </c>
      <c r="B86" s="376">
        <v>60632</v>
      </c>
      <c r="C86" s="425" t="s">
        <v>2785</v>
      </c>
      <c r="D86" s="450">
        <f t="shared" si="14"/>
        <v>10365922</v>
      </c>
      <c r="E86" s="454">
        <f>10365922-2233257-88369-1614605</f>
        <v>6429691</v>
      </c>
      <c r="F86" s="454">
        <v>1096364</v>
      </c>
      <c r="G86" s="454">
        <v>897440</v>
      </c>
      <c r="H86" s="454">
        <v>0</v>
      </c>
      <c r="I86" s="454">
        <v>1689357</v>
      </c>
      <c r="J86" s="454">
        <v>0</v>
      </c>
      <c r="K86" s="454">
        <v>543900</v>
      </c>
      <c r="L86" s="454">
        <v>0</v>
      </c>
      <c r="M86" s="454">
        <v>88369</v>
      </c>
      <c r="N86" s="455">
        <v>1614605</v>
      </c>
      <c r="O86" s="455">
        <v>0</v>
      </c>
      <c r="P86" s="450">
        <f t="shared" si="15"/>
        <v>9717881</v>
      </c>
      <c r="Q86" s="454">
        <f>662838+1247388</f>
        <v>1910226</v>
      </c>
      <c r="R86" s="454">
        <f>1289452+557316+219142+40806+37096+33055+1527657+6766+92485</f>
        <v>3803775</v>
      </c>
      <c r="S86" s="454">
        <v>0</v>
      </c>
      <c r="T86" s="454">
        <v>0</v>
      </c>
      <c r="U86" s="454">
        <v>122000</v>
      </c>
      <c r="V86" s="454">
        <v>0</v>
      </c>
      <c r="W86" s="454">
        <v>3057638</v>
      </c>
      <c r="X86" s="455">
        <v>264792</v>
      </c>
      <c r="Y86" s="454">
        <v>13715</v>
      </c>
      <c r="Z86" s="454">
        <f>58763+13516+13516+53324+406616</f>
        <v>545735</v>
      </c>
      <c r="AA86" s="462">
        <v>0</v>
      </c>
      <c r="AB86" s="455">
        <v>0</v>
      </c>
      <c r="AC86" s="454">
        <f>557316+2011053</f>
        <v>2568369</v>
      </c>
      <c r="AD86" s="454">
        <v>0</v>
      </c>
      <c r="AE86" s="454">
        <v>1480046</v>
      </c>
      <c r="AF86" s="454">
        <v>40806</v>
      </c>
      <c r="AG86" s="454">
        <v>64327</v>
      </c>
      <c r="AH86" s="454">
        <v>297847</v>
      </c>
      <c r="AI86" s="454">
        <v>1702981</v>
      </c>
      <c r="AJ86" s="454">
        <v>6766</v>
      </c>
      <c r="AK86" s="454">
        <v>0</v>
      </c>
      <c r="AL86" s="454">
        <v>3556739</v>
      </c>
      <c r="AM86" s="455">
        <v>0</v>
      </c>
    </row>
    <row r="87" spans="1:39" s="382" customFormat="1" ht="12" x14ac:dyDescent="0.2">
      <c r="A87" s="376">
        <v>33</v>
      </c>
      <c r="B87" s="376">
        <v>62057</v>
      </c>
      <c r="C87" s="425" t="s">
        <v>2786</v>
      </c>
      <c r="D87" s="450">
        <f t="shared" si="14"/>
        <v>5801958</v>
      </c>
      <c r="E87" s="454">
        <f>5801958-3091110-7797</f>
        <v>2703051</v>
      </c>
      <c r="F87" s="454">
        <v>225433</v>
      </c>
      <c r="G87" s="454">
        <v>1011650</v>
      </c>
      <c r="H87" s="454">
        <v>0</v>
      </c>
      <c r="I87" s="454">
        <v>1903479</v>
      </c>
      <c r="J87" s="454">
        <v>442762</v>
      </c>
      <c r="K87" s="454">
        <v>744869</v>
      </c>
      <c r="L87" s="454">
        <v>0</v>
      </c>
      <c r="M87" s="454">
        <v>7797</v>
      </c>
      <c r="N87" s="455">
        <v>0</v>
      </c>
      <c r="O87" s="455">
        <v>0</v>
      </c>
      <c r="P87" s="450">
        <f t="shared" si="15"/>
        <v>5087320</v>
      </c>
      <c r="Q87" s="454">
        <f>358813+1665190+20160+103325</f>
        <v>2147488</v>
      </c>
      <c r="R87" s="454">
        <f>668466+181366+85097+592459+166457+207588</f>
        <v>1901433</v>
      </c>
      <c r="S87" s="454">
        <v>0</v>
      </c>
      <c r="T87" s="454">
        <v>0</v>
      </c>
      <c r="U87" s="454">
        <v>0</v>
      </c>
      <c r="V87" s="454">
        <v>0</v>
      </c>
      <c r="W87" s="454">
        <v>0</v>
      </c>
      <c r="X87" s="454">
        <v>96502</v>
      </c>
      <c r="Y87" s="455">
        <v>34300</v>
      </c>
      <c r="Z87" s="454">
        <f>18600+175344+713653</f>
        <v>907597</v>
      </c>
      <c r="AA87" s="455">
        <v>0</v>
      </c>
      <c r="AB87" s="455">
        <v>0</v>
      </c>
      <c r="AC87" s="454">
        <v>1045879</v>
      </c>
      <c r="AD87" s="454">
        <v>0</v>
      </c>
      <c r="AE87" s="454">
        <v>1846556</v>
      </c>
      <c r="AF87" s="454">
        <v>0</v>
      </c>
      <c r="AG87" s="454">
        <v>20160</v>
      </c>
      <c r="AH87" s="454">
        <v>319224</v>
      </c>
      <c r="AI87" s="454">
        <v>767803</v>
      </c>
      <c r="AJ87" s="454">
        <v>166457</v>
      </c>
      <c r="AK87" s="460">
        <v>207588</v>
      </c>
      <c r="AL87" s="454">
        <v>713653</v>
      </c>
      <c r="AM87" s="455">
        <v>0</v>
      </c>
    </row>
    <row r="88" spans="1:39" s="382" customFormat="1" ht="12" x14ac:dyDescent="0.2">
      <c r="A88" s="376">
        <v>34</v>
      </c>
      <c r="B88" s="376">
        <v>63152</v>
      </c>
      <c r="C88" s="425" t="s">
        <v>2787</v>
      </c>
      <c r="D88" s="450">
        <f t="shared" si="14"/>
        <v>41270279</v>
      </c>
      <c r="E88" s="454">
        <f>41270279-12000746-19955774</f>
        <v>9313759</v>
      </c>
      <c r="F88" s="454">
        <v>1716986</v>
      </c>
      <c r="G88" s="454">
        <v>2685420</v>
      </c>
      <c r="H88" s="454">
        <v>0</v>
      </c>
      <c r="I88" s="454">
        <v>3325346</v>
      </c>
      <c r="J88" s="454">
        <v>400000</v>
      </c>
      <c r="K88" s="454">
        <v>8275400</v>
      </c>
      <c r="L88" s="454">
        <v>0</v>
      </c>
      <c r="M88" s="454">
        <v>19955774</v>
      </c>
      <c r="N88" s="454">
        <v>0</v>
      </c>
      <c r="O88" s="455">
        <v>0</v>
      </c>
      <c r="P88" s="450">
        <f t="shared" si="15"/>
        <v>31791521</v>
      </c>
      <c r="Q88" s="454">
        <f>1012579+216769+2630726+40977+329681</f>
        <v>4230732</v>
      </c>
      <c r="R88" s="454">
        <f>988590+278139+761883+352896+663958+1190995+642303</f>
        <v>4878764</v>
      </c>
      <c r="S88" s="454">
        <v>0</v>
      </c>
      <c r="T88" s="454">
        <v>0</v>
      </c>
      <c r="U88" s="454">
        <v>0</v>
      </c>
      <c r="V88" s="454">
        <f>11632+35051</f>
        <v>46683</v>
      </c>
      <c r="W88" s="454">
        <v>0</v>
      </c>
      <c r="X88" s="454">
        <v>323647</v>
      </c>
      <c r="Y88" s="455">
        <v>50000</v>
      </c>
      <c r="Z88" s="454">
        <f>120178+73358+1281587+146584+5722248+6022141+8980899</f>
        <v>22346995</v>
      </c>
      <c r="AA88" s="455">
        <v>0</v>
      </c>
      <c r="AB88" s="455">
        <f>-13700-22000-24800-24800</f>
        <v>-85300</v>
      </c>
      <c r="AC88" s="454">
        <v>2119279</v>
      </c>
      <c r="AD88" s="454">
        <v>568266</v>
      </c>
      <c r="AE88" s="454">
        <v>4652196</v>
      </c>
      <c r="AF88" s="454">
        <v>0</v>
      </c>
      <c r="AG88" s="454">
        <v>590457</v>
      </c>
      <c r="AH88" s="454">
        <v>653328</v>
      </c>
      <c r="AI88" s="454">
        <v>6396456</v>
      </c>
      <c r="AJ88" s="460">
        <v>7188336</v>
      </c>
      <c r="AK88" s="454">
        <v>0</v>
      </c>
      <c r="AL88" s="454">
        <v>9623203</v>
      </c>
      <c r="AM88" s="455">
        <v>0</v>
      </c>
    </row>
    <row r="89" spans="1:39" s="382" customFormat="1" ht="12" x14ac:dyDescent="0.2">
      <c r="A89" s="376">
        <v>35</v>
      </c>
      <c r="B89" s="376">
        <v>62137</v>
      </c>
      <c r="C89" s="425" t="s">
        <v>2788</v>
      </c>
      <c r="D89" s="450">
        <f t="shared" si="14"/>
        <v>4018452</v>
      </c>
      <c r="E89" s="454">
        <f>4018452-1881862-3259</f>
        <v>2133331</v>
      </c>
      <c r="F89" s="454">
        <v>469420</v>
      </c>
      <c r="G89" s="454">
        <v>775820</v>
      </c>
      <c r="H89" s="454">
        <v>0</v>
      </c>
      <c r="I89" s="454">
        <v>1205667</v>
      </c>
      <c r="J89" s="454">
        <v>307885</v>
      </c>
      <c r="K89" s="454">
        <v>368310</v>
      </c>
      <c r="L89" s="454">
        <v>0</v>
      </c>
      <c r="M89" s="454">
        <v>3259</v>
      </c>
      <c r="N89" s="455">
        <v>0</v>
      </c>
      <c r="O89" s="455">
        <v>0</v>
      </c>
      <c r="P89" s="450">
        <f t="shared" si="15"/>
        <v>4116226</v>
      </c>
      <c r="Q89" s="454">
        <f>341134+896463+34136+83092</f>
        <v>1354825</v>
      </c>
      <c r="R89" s="454">
        <f>244191+239913+163963+2085+523063+112366+324980+949848</f>
        <v>2560409</v>
      </c>
      <c r="S89" s="454">
        <v>0</v>
      </c>
      <c r="T89" s="454">
        <v>0</v>
      </c>
      <c r="U89" s="454">
        <v>0</v>
      </c>
      <c r="V89" s="454">
        <v>0</v>
      </c>
      <c r="W89" s="454">
        <v>0</v>
      </c>
      <c r="X89" s="454">
        <v>70570</v>
      </c>
      <c r="Y89" s="454">
        <v>14000</v>
      </c>
      <c r="Z89" s="454">
        <v>100000</v>
      </c>
      <c r="AA89" s="455">
        <f>15237+1185</f>
        <v>16422</v>
      </c>
      <c r="AB89" s="455">
        <v>0</v>
      </c>
      <c r="AC89" s="454">
        <v>600562</v>
      </c>
      <c r="AD89" s="454">
        <v>239913</v>
      </c>
      <c r="AE89" s="454">
        <v>1060426</v>
      </c>
      <c r="AF89" s="454">
        <v>0</v>
      </c>
      <c r="AG89" s="454">
        <v>50221</v>
      </c>
      <c r="AH89" s="454">
        <v>153662</v>
      </c>
      <c r="AI89" s="454">
        <v>624248</v>
      </c>
      <c r="AJ89" s="454">
        <v>112366</v>
      </c>
      <c r="AK89" s="460">
        <v>0</v>
      </c>
      <c r="AL89" s="454">
        <v>324980</v>
      </c>
      <c r="AM89" s="455">
        <v>949848</v>
      </c>
    </row>
    <row r="90" spans="1:39" s="382" customFormat="1" ht="12" x14ac:dyDescent="0.2">
      <c r="A90" s="376">
        <v>36</v>
      </c>
      <c r="B90" s="376">
        <v>62191</v>
      </c>
      <c r="C90" s="425" t="s">
        <v>2789</v>
      </c>
      <c r="D90" s="450">
        <f t="shared" si="14"/>
        <v>18060826</v>
      </c>
      <c r="E90" s="454">
        <f>18060826-5046073-2947-463666-1621957</f>
        <v>10926183</v>
      </c>
      <c r="F90" s="454">
        <v>3953543</v>
      </c>
      <c r="G90" s="454">
        <v>2469600</v>
      </c>
      <c r="H90" s="454">
        <v>0</v>
      </c>
      <c r="I90" s="454">
        <v>4372673</v>
      </c>
      <c r="J90" s="454">
        <v>205000</v>
      </c>
      <c r="K90" s="454">
        <v>468400</v>
      </c>
      <c r="L90" s="454">
        <v>0</v>
      </c>
      <c r="M90" s="454">
        <v>463666</v>
      </c>
      <c r="N90" s="455">
        <v>1621957</v>
      </c>
      <c r="O90" s="455">
        <v>2947</v>
      </c>
      <c r="P90" s="450">
        <f>IF(SUM(Q90:AB90)=SUM(AC90:AM90),SUM(Q90:AB90),"  EROARE ART/CAP")</f>
        <v>17728750</v>
      </c>
      <c r="Q90" s="454">
        <f>987522+141037+3332326+59897+53227</f>
        <v>4574009</v>
      </c>
      <c r="R90" s="454">
        <f>1151563+200594+1188113+109476+742505+2388367+1448095+461107+18748</f>
        <v>7708568</v>
      </c>
      <c r="S90" s="454">
        <v>0</v>
      </c>
      <c r="T90" s="454">
        <v>0</v>
      </c>
      <c r="U90" s="454">
        <f>295940</f>
        <v>295940</v>
      </c>
      <c r="V90" s="454">
        <v>0</v>
      </c>
      <c r="W90" s="454">
        <f>891895+288693+1651366</f>
        <v>2831954</v>
      </c>
      <c r="X90" s="454">
        <v>707440</v>
      </c>
      <c r="Y90" s="454">
        <v>57700</v>
      </c>
      <c r="Z90" s="455">
        <f>175672+99629+367914+173287+14455+722182</f>
        <v>1553139</v>
      </c>
      <c r="AA90" s="454">
        <v>0</v>
      </c>
      <c r="AB90" s="455">
        <v>0</v>
      </c>
      <c r="AC90" s="455">
        <v>2314757</v>
      </c>
      <c r="AD90" s="454">
        <v>341631</v>
      </c>
      <c r="AE90" s="454">
        <v>5511962</v>
      </c>
      <c r="AF90" s="454">
        <v>169373</v>
      </c>
      <c r="AG90" s="454">
        <v>1517287</v>
      </c>
      <c r="AH90" s="454">
        <v>707440</v>
      </c>
      <c r="AI90" s="454">
        <v>2561654</v>
      </c>
      <c r="AJ90" s="454">
        <v>1462550</v>
      </c>
      <c r="AK90" s="454">
        <v>0</v>
      </c>
      <c r="AL90" s="454">
        <v>2392296</v>
      </c>
      <c r="AM90" s="455">
        <v>749800</v>
      </c>
    </row>
    <row r="91" spans="1:39" s="382" customFormat="1" ht="12" x14ac:dyDescent="0.2">
      <c r="A91" s="376">
        <v>37</v>
      </c>
      <c r="B91" s="376">
        <v>62253</v>
      </c>
      <c r="C91" s="425" t="s">
        <v>2790</v>
      </c>
      <c r="D91" s="450">
        <f t="shared" si="14"/>
        <v>6804953</v>
      </c>
      <c r="E91" s="454">
        <f>6804953-2475485-26963-376084</f>
        <v>3926421</v>
      </c>
      <c r="F91" s="454">
        <v>514855</v>
      </c>
      <c r="G91" s="454">
        <v>872310</v>
      </c>
      <c r="H91" s="454">
        <v>0</v>
      </c>
      <c r="I91" s="454">
        <v>1868475</v>
      </c>
      <c r="J91" s="454">
        <v>230000</v>
      </c>
      <c r="K91" s="454">
        <v>377010</v>
      </c>
      <c r="L91" s="454">
        <v>0</v>
      </c>
      <c r="M91" s="454">
        <v>26963</v>
      </c>
      <c r="N91" s="455">
        <v>376084</v>
      </c>
      <c r="O91" s="455">
        <v>0</v>
      </c>
      <c r="P91" s="450">
        <f t="shared" si="15"/>
        <v>6314821</v>
      </c>
      <c r="Q91" s="454">
        <f>590328+1435079+39513+13440</f>
        <v>2078360</v>
      </c>
      <c r="R91" s="454">
        <f>1865498+235802+18257+164990+335953</f>
        <v>2620500</v>
      </c>
      <c r="S91" s="454">
        <v>152200</v>
      </c>
      <c r="T91" s="454">
        <v>0</v>
      </c>
      <c r="U91" s="454">
        <v>0</v>
      </c>
      <c r="V91" s="454">
        <v>0</v>
      </c>
      <c r="W91" s="454">
        <v>661666</v>
      </c>
      <c r="X91" s="454">
        <v>337095</v>
      </c>
      <c r="Y91" s="455">
        <v>0</v>
      </c>
      <c r="Z91" s="455">
        <v>465000</v>
      </c>
      <c r="AA91" s="455">
        <v>0</v>
      </c>
      <c r="AB91" s="455">
        <v>0</v>
      </c>
      <c r="AC91" s="454">
        <f>2920826+152200</f>
        <v>3073026</v>
      </c>
      <c r="AD91" s="454">
        <v>0</v>
      </c>
      <c r="AE91" s="454">
        <v>1670881</v>
      </c>
      <c r="AF91" s="454">
        <v>0</v>
      </c>
      <c r="AG91" s="454">
        <v>57770</v>
      </c>
      <c r="AH91" s="454">
        <v>350535</v>
      </c>
      <c r="AI91" s="460">
        <v>826656</v>
      </c>
      <c r="AJ91" s="454">
        <v>0</v>
      </c>
      <c r="AK91" s="454">
        <v>0</v>
      </c>
      <c r="AL91" s="454">
        <v>335953</v>
      </c>
      <c r="AM91" s="455">
        <v>0</v>
      </c>
    </row>
    <row r="92" spans="1:39" s="382" customFormat="1" ht="12" x14ac:dyDescent="0.2">
      <c r="A92" s="376">
        <v>38</v>
      </c>
      <c r="B92" s="376">
        <v>62280</v>
      </c>
      <c r="C92" s="425" t="s">
        <v>2791</v>
      </c>
      <c r="D92" s="450">
        <f t="shared" si="14"/>
        <v>8238859</v>
      </c>
      <c r="E92" s="454">
        <f>8238859-3341241-14000-368297-42504-759854</f>
        <v>3712963</v>
      </c>
      <c r="F92" s="454">
        <v>207440</v>
      </c>
      <c r="G92" s="454">
        <v>1430790</v>
      </c>
      <c r="H92" s="454">
        <v>0</v>
      </c>
      <c r="I92" s="454">
        <v>2760181</v>
      </c>
      <c r="J92" s="454">
        <v>321850</v>
      </c>
      <c r="K92" s="454">
        <v>259210</v>
      </c>
      <c r="L92" s="454">
        <v>0</v>
      </c>
      <c r="M92" s="454">
        <v>368297</v>
      </c>
      <c r="N92" s="455">
        <v>759854</v>
      </c>
      <c r="O92" s="455">
        <f>42504+14000</f>
        <v>56504</v>
      </c>
      <c r="P92" s="450">
        <f t="shared" si="15"/>
        <v>8288674</v>
      </c>
      <c r="Q92" s="454">
        <f>646239+101991+1880450+240375</f>
        <v>2869055</v>
      </c>
      <c r="R92" s="454">
        <f>491552+55738+301987+111659+671113+94012+244466</f>
        <v>1970527</v>
      </c>
      <c r="S92" s="454">
        <v>0</v>
      </c>
      <c r="T92" s="454">
        <v>0</v>
      </c>
      <c r="U92" s="454">
        <v>0</v>
      </c>
      <c r="V92" s="454">
        <v>3000</v>
      </c>
      <c r="W92" s="454">
        <f>140257+834277</f>
        <v>974534</v>
      </c>
      <c r="X92" s="454">
        <v>587454</v>
      </c>
      <c r="Y92" s="455">
        <v>98000</v>
      </c>
      <c r="Z92" s="454">
        <f>530690+110771+1144643</f>
        <v>1786104</v>
      </c>
      <c r="AA92" s="455">
        <v>0</v>
      </c>
      <c r="AB92" s="455">
        <v>0</v>
      </c>
      <c r="AC92" s="455">
        <v>1140791</v>
      </c>
      <c r="AD92" s="454">
        <v>157728</v>
      </c>
      <c r="AE92" s="454">
        <v>2713128</v>
      </c>
      <c r="AF92" s="454">
        <v>0</v>
      </c>
      <c r="AG92" s="454">
        <v>209659</v>
      </c>
      <c r="AH92" s="454">
        <v>827829</v>
      </c>
      <c r="AI92" s="454">
        <v>781884</v>
      </c>
      <c r="AJ92" s="454">
        <v>94012</v>
      </c>
      <c r="AK92" s="460">
        <v>0</v>
      </c>
      <c r="AL92" s="454">
        <v>2223386</v>
      </c>
      <c r="AM92" s="455">
        <v>140257</v>
      </c>
    </row>
    <row r="93" spans="1:39" s="382" customFormat="1" ht="12" x14ac:dyDescent="0.2">
      <c r="A93" s="376">
        <v>39</v>
      </c>
      <c r="B93" s="376">
        <v>62440</v>
      </c>
      <c r="C93" s="425" t="s">
        <v>2792</v>
      </c>
      <c r="D93" s="450">
        <f t="shared" si="14"/>
        <v>9579469</v>
      </c>
      <c r="E93" s="454">
        <f>9579469-3282017-26878</f>
        <v>6270574</v>
      </c>
      <c r="F93" s="454">
        <v>905933</v>
      </c>
      <c r="G93" s="454">
        <v>1367460</v>
      </c>
      <c r="H93" s="454">
        <v>0</v>
      </c>
      <c r="I93" s="454">
        <v>2694907</v>
      </c>
      <c r="J93" s="454">
        <v>0</v>
      </c>
      <c r="K93" s="454">
        <v>587110</v>
      </c>
      <c r="L93" s="454">
        <v>0</v>
      </c>
      <c r="M93" s="454">
        <v>26878</v>
      </c>
      <c r="N93" s="455">
        <v>0</v>
      </c>
      <c r="O93" s="455">
        <v>0</v>
      </c>
      <c r="P93" s="450">
        <f t="shared" si="15"/>
        <v>9736809</v>
      </c>
      <c r="Q93" s="454">
        <f>467471+110360+2026510+57182+361344+176710</f>
        <v>3199577</v>
      </c>
      <c r="R93" s="454">
        <f>809737+219930+289406+317443+960+3193127+12340</f>
        <v>4842943</v>
      </c>
      <c r="S93" s="454">
        <v>0</v>
      </c>
      <c r="T93" s="454">
        <v>0</v>
      </c>
      <c r="U93" s="454">
        <v>0</v>
      </c>
      <c r="V93" s="454">
        <v>0</v>
      </c>
      <c r="W93" s="454">
        <v>0</v>
      </c>
      <c r="X93" s="454">
        <v>193351</v>
      </c>
      <c r="Y93" s="454">
        <v>0</v>
      </c>
      <c r="Z93" s="455">
        <f>40972+364410+1095556</f>
        <v>1500938</v>
      </c>
      <c r="AA93" s="455">
        <v>0</v>
      </c>
      <c r="AB93" s="455">
        <v>0</v>
      </c>
      <c r="AC93" s="454">
        <v>1277208</v>
      </c>
      <c r="AD93" s="454">
        <v>330290</v>
      </c>
      <c r="AE93" s="454">
        <v>2356888</v>
      </c>
      <c r="AF93" s="454">
        <v>0</v>
      </c>
      <c r="AG93" s="454">
        <v>374625</v>
      </c>
      <c r="AH93" s="454">
        <v>555655</v>
      </c>
      <c r="AI93" s="454">
        <v>3734247</v>
      </c>
      <c r="AJ93" s="460">
        <v>12340</v>
      </c>
      <c r="AK93" s="454">
        <v>0</v>
      </c>
      <c r="AL93" s="454">
        <v>1095556</v>
      </c>
      <c r="AM93" s="455">
        <v>0</v>
      </c>
    </row>
    <row r="94" spans="1:39" s="382" customFormat="1" ht="12" x14ac:dyDescent="0.2">
      <c r="A94" s="376">
        <v>40</v>
      </c>
      <c r="B94" s="376">
        <v>62486</v>
      </c>
      <c r="C94" s="425" t="s">
        <v>2793</v>
      </c>
      <c r="D94" s="450">
        <f t="shared" si="14"/>
        <v>3391380</v>
      </c>
      <c r="E94" s="454">
        <f>3391380-1325803-40124</f>
        <v>2025453</v>
      </c>
      <c r="F94" s="454">
        <v>317953</v>
      </c>
      <c r="G94" s="454">
        <v>715290</v>
      </c>
      <c r="H94" s="454">
        <v>0</v>
      </c>
      <c r="I94" s="454">
        <v>1203213</v>
      </c>
      <c r="J94" s="454">
        <v>0</v>
      </c>
      <c r="K94" s="454">
        <v>122590</v>
      </c>
      <c r="L94" s="454">
        <v>0</v>
      </c>
      <c r="M94" s="454">
        <v>40124</v>
      </c>
      <c r="N94" s="455">
        <v>0</v>
      </c>
      <c r="O94" s="455">
        <v>0</v>
      </c>
      <c r="P94" s="450">
        <f t="shared" si="15"/>
        <v>3411200</v>
      </c>
      <c r="Q94" s="454">
        <f>434405+41963+880703+185663+94431</f>
        <v>1637165</v>
      </c>
      <c r="R94" s="454">
        <f>284168+9271+121356+121691+381490+118258+6517+60331+96227+128380</f>
        <v>1327689</v>
      </c>
      <c r="S94" s="454">
        <v>0</v>
      </c>
      <c r="T94" s="454">
        <v>0</v>
      </c>
      <c r="U94" s="454">
        <v>0</v>
      </c>
      <c r="V94" s="454">
        <v>0</v>
      </c>
      <c r="W94" s="454">
        <v>0</v>
      </c>
      <c r="X94" s="454">
        <v>96168</v>
      </c>
      <c r="Y94" s="455">
        <v>0</v>
      </c>
      <c r="Z94" s="454">
        <f>270972+42264+36942</f>
        <v>350178</v>
      </c>
      <c r="AA94" s="455">
        <v>0</v>
      </c>
      <c r="AB94" s="455">
        <v>0</v>
      </c>
      <c r="AC94" s="454">
        <v>718573</v>
      </c>
      <c r="AD94" s="454">
        <v>51234</v>
      </c>
      <c r="AE94" s="454">
        <v>1002060</v>
      </c>
      <c r="AF94" s="454">
        <v>0</v>
      </c>
      <c r="AG94" s="454">
        <v>121691</v>
      </c>
      <c r="AH94" s="454">
        <v>281831</v>
      </c>
      <c r="AI94" s="454">
        <v>652461</v>
      </c>
      <c r="AJ94" s="460">
        <v>160522</v>
      </c>
      <c r="AK94" s="454">
        <v>0</v>
      </c>
      <c r="AL94" s="454">
        <v>133169</v>
      </c>
      <c r="AM94" s="455">
        <f>6517+60331+222811</f>
        <v>289659</v>
      </c>
    </row>
    <row r="95" spans="1:39" s="382" customFormat="1" ht="12" x14ac:dyDescent="0.2">
      <c r="A95" s="376">
        <v>41</v>
      </c>
      <c r="B95" s="376">
        <v>62538</v>
      </c>
      <c r="C95" s="425" t="s">
        <v>2794</v>
      </c>
      <c r="D95" s="450">
        <f t="shared" si="14"/>
        <v>15304820</v>
      </c>
      <c r="E95" s="454">
        <f>15304820-3700269-8045076-106248-52530</f>
        <v>3400697</v>
      </c>
      <c r="F95" s="454">
        <v>740315</v>
      </c>
      <c r="G95" s="454">
        <v>1406090</v>
      </c>
      <c r="H95" s="454">
        <v>0</v>
      </c>
      <c r="I95" s="454">
        <v>3339919</v>
      </c>
      <c r="J95" s="454">
        <v>0</v>
      </c>
      <c r="K95" s="454">
        <v>360350</v>
      </c>
      <c r="L95" s="454">
        <v>0</v>
      </c>
      <c r="M95" s="454">
        <v>8045076</v>
      </c>
      <c r="N95" s="454">
        <v>52530</v>
      </c>
      <c r="O95" s="455">
        <v>106248</v>
      </c>
      <c r="P95" s="450">
        <f t="shared" si="15"/>
        <v>14873546</v>
      </c>
      <c r="Q95" s="454">
        <f>565105+2677225+39117+38382+167077+202267+45646</f>
        <v>3734819</v>
      </c>
      <c r="R95" s="454">
        <f>320642+482774+4627+54821+36295+433317+23494+612960+21520+21174</f>
        <v>2011624</v>
      </c>
      <c r="S95" s="454">
        <v>903</v>
      </c>
      <c r="T95" s="454">
        <v>0</v>
      </c>
      <c r="U95" s="454">
        <v>0</v>
      </c>
      <c r="V95" s="454">
        <v>0</v>
      </c>
      <c r="W95" s="454">
        <v>75396</v>
      </c>
      <c r="X95" s="454">
        <v>180851</v>
      </c>
      <c r="Y95" s="454">
        <f>35000+6950</f>
        <v>41950</v>
      </c>
      <c r="Z95" s="454">
        <f>16963+217989+30008+146042+12285+8404716</f>
        <v>8828003</v>
      </c>
      <c r="AA95" s="454">
        <v>0</v>
      </c>
      <c r="AB95" s="454">
        <v>0</v>
      </c>
      <c r="AC95" s="454">
        <f>902710+903</f>
        <v>903613</v>
      </c>
      <c r="AD95" s="454">
        <v>0</v>
      </c>
      <c r="AE95" s="454">
        <v>3377988</v>
      </c>
      <c r="AF95" s="454">
        <v>43744</v>
      </c>
      <c r="AG95" s="454">
        <v>158211</v>
      </c>
      <c r="AH95" s="454">
        <v>391173</v>
      </c>
      <c r="AI95" s="461">
        <v>857022</v>
      </c>
      <c r="AJ95" s="461">
        <v>35779</v>
      </c>
      <c r="AK95" s="454">
        <v>0</v>
      </c>
      <c r="AL95" s="454">
        <v>8426236</v>
      </c>
      <c r="AM95" s="454">
        <f>612960+66820</f>
        <v>679780</v>
      </c>
    </row>
    <row r="96" spans="1:39" s="382" customFormat="1" ht="12" x14ac:dyDescent="0.2">
      <c r="A96" s="376">
        <v>42</v>
      </c>
      <c r="B96" s="376">
        <v>62609</v>
      </c>
      <c r="C96" s="425" t="s">
        <v>2795</v>
      </c>
      <c r="D96" s="450">
        <f t="shared" si="14"/>
        <v>13574129</v>
      </c>
      <c r="E96" s="454">
        <f>13574129-1167623-28300-8849378-323950</f>
        <v>3204878</v>
      </c>
      <c r="F96" s="454">
        <v>216668</v>
      </c>
      <c r="G96" s="454">
        <v>880600</v>
      </c>
      <c r="H96" s="454">
        <v>0</v>
      </c>
      <c r="I96" s="454">
        <v>1038663</v>
      </c>
      <c r="J96" s="454">
        <v>0</v>
      </c>
      <c r="K96" s="454">
        <v>128960</v>
      </c>
      <c r="L96" s="454">
        <v>0</v>
      </c>
      <c r="M96" s="454">
        <v>8849378</v>
      </c>
      <c r="N96" s="454">
        <v>323950</v>
      </c>
      <c r="O96" s="455">
        <v>28300</v>
      </c>
      <c r="P96" s="450">
        <f t="shared" si="15"/>
        <v>13172343</v>
      </c>
      <c r="Q96" s="454">
        <f>376951+34116+826278+27940+86023</f>
        <v>1351308</v>
      </c>
      <c r="R96" s="454">
        <f>799322+157380+302097+135787+282826+218</f>
        <v>1677630</v>
      </c>
      <c r="S96" s="454">
        <v>0</v>
      </c>
      <c r="T96" s="454">
        <v>0</v>
      </c>
      <c r="U96" s="454">
        <v>159241</v>
      </c>
      <c r="V96" s="454">
        <v>1313</v>
      </c>
      <c r="W96" s="454">
        <v>0</v>
      </c>
      <c r="X96" s="454">
        <v>37135</v>
      </c>
      <c r="Y96" s="454">
        <v>0</v>
      </c>
      <c r="Z96" s="454">
        <f>486999+9304135+154582</f>
        <v>9945716</v>
      </c>
      <c r="AA96" s="454">
        <v>0</v>
      </c>
      <c r="AB96" s="454">
        <v>0</v>
      </c>
      <c r="AC96" s="454">
        <f>1176273+191497+159241</f>
        <v>1527011</v>
      </c>
      <c r="AD96" s="454">
        <v>0</v>
      </c>
      <c r="AE96" s="454">
        <v>1128375</v>
      </c>
      <c r="AF96" s="454">
        <v>0</v>
      </c>
      <c r="AG96" s="454">
        <v>652038</v>
      </c>
      <c r="AH96" s="454">
        <v>123158</v>
      </c>
      <c r="AI96" s="454">
        <v>9586961</v>
      </c>
      <c r="AJ96" s="461">
        <v>0</v>
      </c>
      <c r="AK96" s="454">
        <v>0</v>
      </c>
      <c r="AL96" s="454">
        <v>154800</v>
      </c>
      <c r="AM96" s="454">
        <v>0</v>
      </c>
    </row>
    <row r="97" spans="1:39" s="382" customFormat="1" ht="12" x14ac:dyDescent="0.2">
      <c r="A97" s="376">
        <v>43</v>
      </c>
      <c r="B97" s="376">
        <v>62672</v>
      </c>
      <c r="C97" s="425" t="s">
        <v>2796</v>
      </c>
      <c r="D97" s="450">
        <f t="shared" si="14"/>
        <v>5155843</v>
      </c>
      <c r="E97" s="454">
        <f>5155843-2207490-10700-560086</f>
        <v>2377567</v>
      </c>
      <c r="F97" s="454">
        <v>316017</v>
      </c>
      <c r="G97" s="454">
        <v>807690</v>
      </c>
      <c r="H97" s="454">
        <v>0</v>
      </c>
      <c r="I97" s="454">
        <v>1481208</v>
      </c>
      <c r="J97" s="454">
        <v>0</v>
      </c>
      <c r="K97" s="454">
        <v>726282</v>
      </c>
      <c r="L97" s="454">
        <v>0</v>
      </c>
      <c r="M97" s="454">
        <v>560086</v>
      </c>
      <c r="N97" s="460">
        <v>0</v>
      </c>
      <c r="O97" s="455">
        <v>10700</v>
      </c>
      <c r="P97" s="450">
        <f t="shared" si="15"/>
        <v>4740147</v>
      </c>
      <c r="Q97" s="454">
        <f>406747+48685+1174541+33797+122423</f>
        <v>1786193</v>
      </c>
      <c r="R97" s="454">
        <f>624848+114781+379137+183791+641322+55234</f>
        <v>1999113</v>
      </c>
      <c r="S97" s="454">
        <v>0</v>
      </c>
      <c r="T97" s="454">
        <v>0</v>
      </c>
      <c r="U97" s="454">
        <v>0</v>
      </c>
      <c r="V97" s="454">
        <v>0</v>
      </c>
      <c r="W97" s="454">
        <v>0</v>
      </c>
      <c r="X97" s="454">
        <v>131209</v>
      </c>
      <c r="Y97" s="454">
        <f>4000+19000</f>
        <v>23000</v>
      </c>
      <c r="Z97" s="455">
        <f>266120+534512</f>
        <v>800632</v>
      </c>
      <c r="AA97" s="454">
        <v>0</v>
      </c>
      <c r="AB97" s="455">
        <v>0</v>
      </c>
      <c r="AC97" s="454">
        <v>1031595</v>
      </c>
      <c r="AD97" s="454">
        <v>163466</v>
      </c>
      <c r="AE97" s="454">
        <v>1557678</v>
      </c>
      <c r="AF97" s="454">
        <v>0</v>
      </c>
      <c r="AG97" s="454">
        <v>236588</v>
      </c>
      <c r="AH97" s="454">
        <v>253632</v>
      </c>
      <c r="AI97" s="454">
        <v>907442</v>
      </c>
      <c r="AJ97" s="460">
        <v>0</v>
      </c>
      <c r="AK97" s="454">
        <v>0</v>
      </c>
      <c r="AL97" s="454">
        <v>589746</v>
      </c>
      <c r="AM97" s="455">
        <v>0</v>
      </c>
    </row>
    <row r="98" spans="1:39" s="382" customFormat="1" ht="12" x14ac:dyDescent="0.2">
      <c r="A98" s="376">
        <v>44</v>
      </c>
      <c r="B98" s="376">
        <v>62707</v>
      </c>
      <c r="C98" s="425" t="s">
        <v>2797</v>
      </c>
      <c r="D98" s="450">
        <f t="shared" si="14"/>
        <v>9609543</v>
      </c>
      <c r="E98" s="454">
        <f>9609543-3636401-8000-7095-126330</f>
        <v>5831717</v>
      </c>
      <c r="F98" s="454">
        <v>665728</v>
      </c>
      <c r="G98" s="454">
        <v>780750</v>
      </c>
      <c r="H98" s="454">
        <v>0</v>
      </c>
      <c r="I98" s="454">
        <v>1805761</v>
      </c>
      <c r="J98" s="454">
        <v>649426</v>
      </c>
      <c r="K98" s="454">
        <v>1181214</v>
      </c>
      <c r="L98" s="454">
        <v>0</v>
      </c>
      <c r="M98" s="454">
        <v>7095</v>
      </c>
      <c r="N98" s="454">
        <v>0</v>
      </c>
      <c r="O98" s="455">
        <f>8000+126330</f>
        <v>134330</v>
      </c>
      <c r="P98" s="450">
        <f t="shared" si="15"/>
        <v>9136346</v>
      </c>
      <c r="Q98" s="454">
        <f>684173+52292+1265992+385980</f>
        <v>2388437</v>
      </c>
      <c r="R98" s="454">
        <f>1074248+91856+74272+198662+627123+1494468+256470+103676</f>
        <v>3920775</v>
      </c>
      <c r="S98" s="454">
        <v>0</v>
      </c>
      <c r="T98" s="454">
        <v>0</v>
      </c>
      <c r="U98" s="454">
        <v>0</v>
      </c>
      <c r="V98" s="454">
        <v>20000</v>
      </c>
      <c r="W98" s="454">
        <v>649029</v>
      </c>
      <c r="X98" s="454">
        <v>927153</v>
      </c>
      <c r="Y98" s="454">
        <v>41000</v>
      </c>
      <c r="Z98" s="454">
        <f>490526+699426</f>
        <v>1189952</v>
      </c>
      <c r="AA98" s="454">
        <v>0</v>
      </c>
      <c r="AB98" s="454">
        <v>0</v>
      </c>
      <c r="AC98" s="454">
        <f>1778421+91856</f>
        <v>1870277</v>
      </c>
      <c r="AD98" s="454">
        <v>126564</v>
      </c>
      <c r="AE98" s="454">
        <v>1464654</v>
      </c>
      <c r="AF98" s="454">
        <v>0</v>
      </c>
      <c r="AG98" s="454">
        <v>668123</v>
      </c>
      <c r="AH98" s="454">
        <v>1313133</v>
      </c>
      <c r="AI98" s="454">
        <v>1984994</v>
      </c>
      <c r="AJ98" s="461">
        <v>256470</v>
      </c>
      <c r="AK98" s="454">
        <v>0</v>
      </c>
      <c r="AL98" s="454">
        <v>803102</v>
      </c>
      <c r="AM98" s="454">
        <f>649029</f>
        <v>649029</v>
      </c>
    </row>
    <row r="99" spans="1:39" s="382" customFormat="1" ht="12" x14ac:dyDescent="0.2">
      <c r="A99" s="376">
        <v>45</v>
      </c>
      <c r="B99" s="376">
        <v>62761</v>
      </c>
      <c r="C99" s="425" t="s">
        <v>2798</v>
      </c>
      <c r="D99" s="450">
        <f t="shared" si="14"/>
        <v>18365374</v>
      </c>
      <c r="E99" s="454">
        <f>18365374-5150818-1714781-5071987-2559777</f>
        <v>3868011</v>
      </c>
      <c r="F99" s="454">
        <v>1722694</v>
      </c>
      <c r="G99" s="454">
        <v>1063350</v>
      </c>
      <c r="H99" s="454">
        <v>0</v>
      </c>
      <c r="I99" s="454">
        <v>3955438</v>
      </c>
      <c r="J99" s="454">
        <v>300000</v>
      </c>
      <c r="K99" s="454">
        <v>895380</v>
      </c>
      <c r="L99" s="454">
        <v>0</v>
      </c>
      <c r="M99" s="454">
        <v>1714781</v>
      </c>
      <c r="N99" s="454">
        <v>2559777</v>
      </c>
      <c r="O99" s="455">
        <v>5071987</v>
      </c>
      <c r="P99" s="450">
        <f t="shared" si="15"/>
        <v>17915378</v>
      </c>
      <c r="Q99" s="454">
        <f>551116+102641+3253041+92503+16294+125312+252980</f>
        <v>4393887</v>
      </c>
      <c r="R99" s="454">
        <f>446141+29960+671516+13696+64481+372833+61234+308+41190+297316</f>
        <v>1998675</v>
      </c>
      <c r="S99" s="454">
        <v>16286</v>
      </c>
      <c r="T99" s="454">
        <v>0</v>
      </c>
      <c r="U99" s="454">
        <v>0</v>
      </c>
      <c r="V99" s="454">
        <v>0</v>
      </c>
      <c r="W99" s="454">
        <f>3825581</f>
        <v>3825581</v>
      </c>
      <c r="X99" s="454">
        <f>9765+429991</f>
        <v>439756</v>
      </c>
      <c r="Y99" s="454">
        <v>92800</v>
      </c>
      <c r="Z99" s="454">
        <f>7212+2480+7067837</f>
        <v>7077529</v>
      </c>
      <c r="AA99" s="454">
        <f>73250</f>
        <v>73250</v>
      </c>
      <c r="AB99" s="454">
        <f>-116-2270</f>
        <v>-2386</v>
      </c>
      <c r="AC99" s="454">
        <f>997257+89535</f>
        <v>1086792</v>
      </c>
      <c r="AD99" s="454">
        <v>132601</v>
      </c>
      <c r="AE99" s="454">
        <v>7767115</v>
      </c>
      <c r="AF99" s="454">
        <v>106199</v>
      </c>
      <c r="AG99" s="454">
        <v>176055</v>
      </c>
      <c r="AH99" s="454">
        <v>555187</v>
      </c>
      <c r="AI99" s="454">
        <v>7691380</v>
      </c>
      <c r="AJ99" s="461">
        <v>61234</v>
      </c>
      <c r="AK99" s="454">
        <v>0</v>
      </c>
      <c r="AL99" s="454">
        <v>297317</v>
      </c>
      <c r="AM99" s="454">
        <f>308+41190</f>
        <v>41498</v>
      </c>
    </row>
    <row r="100" spans="1:39" s="382" customFormat="1" ht="12" x14ac:dyDescent="0.2">
      <c r="A100" s="376">
        <v>46</v>
      </c>
      <c r="B100" s="376">
        <v>62798</v>
      </c>
      <c r="C100" s="425" t="s">
        <v>2799</v>
      </c>
      <c r="D100" s="450">
        <f t="shared" si="14"/>
        <v>5934514</v>
      </c>
      <c r="E100" s="454">
        <f>5934514-1973031-20000-94031-1804239</f>
        <v>2043213</v>
      </c>
      <c r="F100" s="454">
        <v>164353</v>
      </c>
      <c r="G100" s="454">
        <v>1137170</v>
      </c>
      <c r="H100" s="454">
        <v>0</v>
      </c>
      <c r="I100" s="454">
        <v>1624351</v>
      </c>
      <c r="J100" s="454">
        <v>0</v>
      </c>
      <c r="K100" s="454">
        <v>348680</v>
      </c>
      <c r="L100" s="454">
        <v>0</v>
      </c>
      <c r="M100" s="454">
        <v>94031</v>
      </c>
      <c r="N100" s="454">
        <v>0</v>
      </c>
      <c r="O100" s="455">
        <f>20000+1804239</f>
        <v>1824239</v>
      </c>
      <c r="P100" s="450">
        <f t="shared" si="15"/>
        <v>5990890</v>
      </c>
      <c r="Q100" s="454">
        <f>433793+1119878+329485+47039+47188</f>
        <v>1977383</v>
      </c>
      <c r="R100" s="454">
        <f>389951+193752+25731+432697+2000+55697+175361</f>
        <v>1275189</v>
      </c>
      <c r="S100" s="454">
        <v>0</v>
      </c>
      <c r="T100" s="454">
        <v>0</v>
      </c>
      <c r="U100" s="454">
        <v>0</v>
      </c>
      <c r="V100" s="454">
        <v>0</v>
      </c>
      <c r="W100" s="454">
        <v>0</v>
      </c>
      <c r="X100" s="454">
        <v>108575</v>
      </c>
      <c r="Y100" s="454">
        <v>0</v>
      </c>
      <c r="Z100" s="454">
        <f>95208+72222+150840+279200+2032273</f>
        <v>2629743</v>
      </c>
      <c r="AA100" s="454">
        <v>0</v>
      </c>
      <c r="AB100" s="454">
        <v>0</v>
      </c>
      <c r="AC100" s="454">
        <v>918951</v>
      </c>
      <c r="AD100" s="454">
        <v>0</v>
      </c>
      <c r="AE100" s="454">
        <v>1313630</v>
      </c>
      <c r="AF100" s="454">
        <v>0</v>
      </c>
      <c r="AG100" s="454">
        <v>97954</v>
      </c>
      <c r="AH100" s="454">
        <v>438060</v>
      </c>
      <c r="AI100" s="454">
        <v>583537</v>
      </c>
      <c r="AJ100" s="461">
        <v>0</v>
      </c>
      <c r="AK100" s="454">
        <v>0</v>
      </c>
      <c r="AL100" s="454">
        <v>334897</v>
      </c>
      <c r="AM100" s="454">
        <f>49039+2254822</f>
        <v>2303861</v>
      </c>
    </row>
    <row r="101" spans="1:39" s="382" customFormat="1" ht="12" x14ac:dyDescent="0.2">
      <c r="A101" s="376">
        <v>47</v>
      </c>
      <c r="B101" s="376">
        <v>62823</v>
      </c>
      <c r="C101" s="425" t="s">
        <v>2800</v>
      </c>
      <c r="D101" s="450">
        <f t="shared" si="14"/>
        <v>4971514</v>
      </c>
      <c r="E101" s="454">
        <f>4971514-1444676-330000-737807-902406</f>
        <v>1556625</v>
      </c>
      <c r="F101" s="454">
        <v>311015</v>
      </c>
      <c r="G101" s="454">
        <v>537090</v>
      </c>
      <c r="H101" s="454">
        <v>0</v>
      </c>
      <c r="I101" s="454">
        <v>753282</v>
      </c>
      <c r="J101" s="454">
        <v>482444</v>
      </c>
      <c r="K101" s="454">
        <v>208950</v>
      </c>
      <c r="L101" s="454">
        <v>0</v>
      </c>
      <c r="M101" s="454">
        <v>737807</v>
      </c>
      <c r="N101" s="454">
        <v>902406</v>
      </c>
      <c r="O101" s="455">
        <v>330000</v>
      </c>
      <c r="P101" s="450">
        <f t="shared" si="15"/>
        <v>4724899</v>
      </c>
      <c r="Q101" s="454">
        <f>397848+535595+21676+129221</f>
        <v>1084340</v>
      </c>
      <c r="R101" s="454">
        <f>632595+88528+888803+38201</f>
        <v>1648127</v>
      </c>
      <c r="S101" s="454">
        <v>0</v>
      </c>
      <c r="T101" s="454">
        <v>0</v>
      </c>
      <c r="U101" s="454">
        <v>0</v>
      </c>
      <c r="V101" s="454">
        <v>0</v>
      </c>
      <c r="W101" s="454">
        <f>279075+3818+511982</f>
        <v>794875</v>
      </c>
      <c r="X101" s="454">
        <v>18100</v>
      </c>
      <c r="Y101" s="454">
        <v>0</v>
      </c>
      <c r="Z101" s="454">
        <f>597013+100000+482444</f>
        <v>1179457</v>
      </c>
      <c r="AA101" s="454">
        <v>0</v>
      </c>
      <c r="AB101" s="454">
        <v>0</v>
      </c>
      <c r="AC101" s="454">
        <v>1627457</v>
      </c>
      <c r="AD101" s="454">
        <v>0</v>
      </c>
      <c r="AE101" s="454">
        <v>724123</v>
      </c>
      <c r="AF101" s="454">
        <v>0</v>
      </c>
      <c r="AG101" s="454">
        <v>300751</v>
      </c>
      <c r="AH101" s="454">
        <v>147321</v>
      </c>
      <c r="AI101" s="454">
        <v>892621</v>
      </c>
      <c r="AJ101" s="461">
        <v>0</v>
      </c>
      <c r="AK101" s="454">
        <v>0</v>
      </c>
      <c r="AL101" s="454">
        <v>994425</v>
      </c>
      <c r="AM101" s="454">
        <v>38201</v>
      </c>
    </row>
    <row r="102" spans="1:39" s="382" customFormat="1" ht="12" x14ac:dyDescent="0.2">
      <c r="A102" s="376">
        <v>48</v>
      </c>
      <c r="B102" s="376">
        <v>63318</v>
      </c>
      <c r="C102" s="425" t="s">
        <v>2801</v>
      </c>
      <c r="D102" s="450">
        <f>E102+SUM(I102:O102)</f>
        <v>7287950</v>
      </c>
      <c r="E102" s="454">
        <f>7287950-2643051-735743-933769</f>
        <v>2975387</v>
      </c>
      <c r="F102" s="454">
        <v>151754</v>
      </c>
      <c r="G102" s="454">
        <v>1259770</v>
      </c>
      <c r="H102" s="454">
        <v>0</v>
      </c>
      <c r="I102" s="454">
        <v>815680</v>
      </c>
      <c r="J102" s="454">
        <v>959061</v>
      </c>
      <c r="K102" s="454">
        <v>868310</v>
      </c>
      <c r="L102" s="454">
        <v>0</v>
      </c>
      <c r="M102" s="454">
        <v>735743</v>
      </c>
      <c r="N102" s="454">
        <v>933769</v>
      </c>
      <c r="O102" s="454">
        <v>0</v>
      </c>
      <c r="P102" s="450">
        <f t="shared" si="15"/>
        <v>7755129</v>
      </c>
      <c r="Q102" s="454">
        <f>399881+640526+72413</f>
        <v>1112820</v>
      </c>
      <c r="R102" s="454">
        <f>1383976+53250+227295+29927+62500+15993</f>
        <v>1772941</v>
      </c>
      <c r="S102" s="454">
        <v>0</v>
      </c>
      <c r="T102" s="454">
        <v>0</v>
      </c>
      <c r="U102" s="454">
        <v>0</v>
      </c>
      <c r="V102" s="454">
        <v>0</v>
      </c>
      <c r="W102" s="454">
        <f>363637+1178844</f>
        <v>1542481</v>
      </c>
      <c r="X102" s="454">
        <v>166786</v>
      </c>
      <c r="Y102" s="454">
        <v>140645</v>
      </c>
      <c r="Z102" s="454">
        <f>492609+164649+711927+277803+1373073</f>
        <v>3020061</v>
      </c>
      <c r="AA102" s="454">
        <v>0</v>
      </c>
      <c r="AB102" s="454">
        <v>-605</v>
      </c>
      <c r="AC102" s="454">
        <f>2276466</f>
        <v>2276466</v>
      </c>
      <c r="AD102" s="454">
        <v>53250</v>
      </c>
      <c r="AE102" s="454">
        <v>1031865</v>
      </c>
      <c r="AF102" s="454">
        <v>0</v>
      </c>
      <c r="AG102" s="454">
        <v>882500</v>
      </c>
      <c r="AH102" s="454">
        <v>239199</v>
      </c>
      <c r="AI102" s="454">
        <v>703939</v>
      </c>
      <c r="AJ102" s="454">
        <v>15993</v>
      </c>
      <c r="AK102" s="461"/>
      <c r="AL102" s="454">
        <v>1373073</v>
      </c>
      <c r="AM102" s="454">
        <v>1178844</v>
      </c>
    </row>
    <row r="103" spans="1:39" s="382" customFormat="1" ht="12" x14ac:dyDescent="0.2">
      <c r="A103" s="376">
        <v>49</v>
      </c>
      <c r="B103" s="376">
        <v>62878</v>
      </c>
      <c r="C103" s="425" t="s">
        <v>2802</v>
      </c>
      <c r="D103" s="450">
        <f t="shared" ref="D103:D112" si="16">E103+SUM(H103:O103)</f>
        <v>3943764</v>
      </c>
      <c r="E103" s="454">
        <f>3943764-2159888-22922</f>
        <v>1760954</v>
      </c>
      <c r="F103" s="454">
        <v>253169</v>
      </c>
      <c r="G103" s="454">
        <v>415950</v>
      </c>
      <c r="H103" s="454">
        <v>0</v>
      </c>
      <c r="I103" s="454">
        <v>1243218</v>
      </c>
      <c r="J103" s="454">
        <v>700000</v>
      </c>
      <c r="K103" s="454">
        <v>216670</v>
      </c>
      <c r="L103" s="454">
        <v>0</v>
      </c>
      <c r="M103" s="454">
        <v>22922</v>
      </c>
      <c r="N103" s="454">
        <v>0</v>
      </c>
      <c r="O103" s="454">
        <v>0</v>
      </c>
      <c r="P103" s="450">
        <f t="shared" si="15"/>
        <v>4286724</v>
      </c>
      <c r="Q103" s="454">
        <f>421315+950302+192939+65155</f>
        <v>1629711</v>
      </c>
      <c r="R103" s="454">
        <f>524892+143577+19253+354527+8337</f>
        <v>1050586</v>
      </c>
      <c r="S103" s="454">
        <v>0</v>
      </c>
      <c r="T103" s="454">
        <v>0</v>
      </c>
      <c r="U103" s="454">
        <v>6685</v>
      </c>
      <c r="V103" s="454">
        <v>0</v>
      </c>
      <c r="W103" s="454">
        <v>184442</v>
      </c>
      <c r="X103" s="454">
        <v>198905</v>
      </c>
      <c r="Y103" s="454">
        <v>0</v>
      </c>
      <c r="Z103" s="454">
        <f>71680+605490+539225</f>
        <v>1216395</v>
      </c>
      <c r="AA103" s="454">
        <v>0</v>
      </c>
      <c r="AB103" s="454">
        <v>0</v>
      </c>
      <c r="AC103" s="454">
        <v>946207</v>
      </c>
      <c r="AD103" s="454">
        <v>0</v>
      </c>
      <c r="AE103" s="454">
        <v>1093879</v>
      </c>
      <c r="AF103" s="454">
        <v>0</v>
      </c>
      <c r="AG103" s="454">
        <v>97618</v>
      </c>
      <c r="AH103" s="454">
        <v>391844</v>
      </c>
      <c r="AI103" s="454">
        <v>1025172</v>
      </c>
      <c r="AJ103" s="461">
        <v>8337</v>
      </c>
      <c r="AK103" s="454">
        <v>0</v>
      </c>
      <c r="AL103" s="454">
        <v>539225</v>
      </c>
      <c r="AM103" s="454">
        <v>184442</v>
      </c>
    </row>
    <row r="104" spans="1:39" s="382" customFormat="1" ht="12" x14ac:dyDescent="0.2">
      <c r="A104" s="376">
        <v>50</v>
      </c>
      <c r="B104" s="376">
        <v>62949</v>
      </c>
      <c r="C104" s="425" t="s">
        <v>2803</v>
      </c>
      <c r="D104" s="450">
        <f t="shared" si="16"/>
        <v>3822535</v>
      </c>
      <c r="E104" s="454">
        <f>3822535-1058603-6100-135511-46176-463552</f>
        <v>2112593</v>
      </c>
      <c r="F104" s="454">
        <v>106080</v>
      </c>
      <c r="G104" s="454">
        <v>1068900</v>
      </c>
      <c r="H104" s="454">
        <v>0</v>
      </c>
      <c r="I104" s="454">
        <v>746233</v>
      </c>
      <c r="J104" s="454">
        <v>0</v>
      </c>
      <c r="K104" s="454">
        <v>312370</v>
      </c>
      <c r="L104" s="454">
        <v>0</v>
      </c>
      <c r="M104" s="454">
        <v>135511</v>
      </c>
      <c r="N104" s="454">
        <v>463552</v>
      </c>
      <c r="O104" s="454">
        <f>6100+46176</f>
        <v>52276</v>
      </c>
      <c r="P104" s="450">
        <f t="shared" si="15"/>
        <v>3618400</v>
      </c>
      <c r="Q104" s="454">
        <f>410781+583011+86753</f>
        <v>1080545</v>
      </c>
      <c r="R104" s="454">
        <f>711359+166677+7141+191776+107089+43255+924+100440</f>
        <v>1328661</v>
      </c>
      <c r="S104" s="454">
        <v>0</v>
      </c>
      <c r="T104" s="454">
        <v>0</v>
      </c>
      <c r="U104" s="454">
        <v>0</v>
      </c>
      <c r="V104" s="454">
        <v>0</v>
      </c>
      <c r="W104" s="454">
        <f>599982+56714</f>
        <v>656696</v>
      </c>
      <c r="X104" s="454">
        <v>96076</v>
      </c>
      <c r="Y104" s="454">
        <v>41288</v>
      </c>
      <c r="Z104" s="454">
        <f>169670+80855+104655+60186</f>
        <v>415366</v>
      </c>
      <c r="AA104" s="454">
        <v>0</v>
      </c>
      <c r="AB104" s="454">
        <v>-232</v>
      </c>
      <c r="AC104" s="454">
        <v>1291811</v>
      </c>
      <c r="AD104" s="454">
        <v>0</v>
      </c>
      <c r="AE104" s="454">
        <v>830543</v>
      </c>
      <c r="AF104" s="454">
        <v>7141</v>
      </c>
      <c r="AG104" s="454">
        <v>937701</v>
      </c>
      <c r="AH104" s="454">
        <v>182596</v>
      </c>
      <c r="AI104" s="461">
        <v>107089</v>
      </c>
      <c r="AJ104" s="454">
        <v>43255</v>
      </c>
      <c r="AK104" s="454">
        <v>0</v>
      </c>
      <c r="AL104" s="454">
        <v>160626</v>
      </c>
      <c r="AM104" s="454">
        <f>924+56714</f>
        <v>57638</v>
      </c>
    </row>
    <row r="105" spans="1:39" s="382" customFormat="1" ht="12" x14ac:dyDescent="0.2">
      <c r="A105" s="376">
        <v>51</v>
      </c>
      <c r="B105" s="376">
        <v>62985</v>
      </c>
      <c r="C105" s="425" t="s">
        <v>2804</v>
      </c>
      <c r="D105" s="450">
        <f t="shared" si="16"/>
        <v>5357093</v>
      </c>
      <c r="E105" s="454">
        <f>5357093-843762-446412-1133297</f>
        <v>2933622</v>
      </c>
      <c r="F105" s="454">
        <v>336813</v>
      </c>
      <c r="G105" s="454">
        <v>635160</v>
      </c>
      <c r="H105" s="454">
        <v>0</v>
      </c>
      <c r="I105" s="454">
        <v>749652</v>
      </c>
      <c r="J105" s="454">
        <v>0</v>
      </c>
      <c r="K105" s="454">
        <v>94110</v>
      </c>
      <c r="L105" s="454">
        <v>0</v>
      </c>
      <c r="M105" s="454">
        <v>446412</v>
      </c>
      <c r="N105" s="454">
        <v>1133297</v>
      </c>
      <c r="O105" s="454">
        <v>0</v>
      </c>
      <c r="P105" s="450">
        <f t="shared" si="15"/>
        <v>3857835</v>
      </c>
      <c r="Q105" s="454">
        <f>393701+53407+591293+20904+74101</f>
        <v>1133406</v>
      </c>
      <c r="R105" s="454">
        <f>247101+19599+181202+27635+523574+2098</f>
        <v>1001209</v>
      </c>
      <c r="S105" s="454">
        <v>0</v>
      </c>
      <c r="T105" s="454">
        <v>0</v>
      </c>
      <c r="U105" s="454">
        <v>0</v>
      </c>
      <c r="V105" s="454">
        <v>0</v>
      </c>
      <c r="W105" s="454">
        <f>316375</f>
        <v>316375</v>
      </c>
      <c r="X105" s="454">
        <v>22067</v>
      </c>
      <c r="Y105" s="454">
        <v>0</v>
      </c>
      <c r="Z105" s="454">
        <f>480962+270739+633077</f>
        <v>1384778</v>
      </c>
      <c r="AA105" s="454">
        <v>0</v>
      </c>
      <c r="AB105" s="454">
        <v>0</v>
      </c>
      <c r="AC105" s="454">
        <v>640802</v>
      </c>
      <c r="AD105" s="454">
        <v>73005</v>
      </c>
      <c r="AE105" s="454">
        <v>772495</v>
      </c>
      <c r="AF105" s="454">
        <v>0</v>
      </c>
      <c r="AG105" s="454">
        <v>845877</v>
      </c>
      <c r="AH105" s="454">
        <v>96168</v>
      </c>
      <c r="AI105" s="461">
        <v>794313</v>
      </c>
      <c r="AJ105" s="454">
        <v>0</v>
      </c>
      <c r="AK105" s="454">
        <v>0</v>
      </c>
      <c r="AL105" s="454">
        <v>635175</v>
      </c>
      <c r="AM105" s="454">
        <v>0</v>
      </c>
    </row>
    <row r="106" spans="1:39" s="382" customFormat="1" ht="12" x14ac:dyDescent="0.2">
      <c r="A106" s="376">
        <v>52</v>
      </c>
      <c r="B106" s="376">
        <v>60721</v>
      </c>
      <c r="C106" s="425" t="s">
        <v>2805</v>
      </c>
      <c r="D106" s="450">
        <f t="shared" si="16"/>
        <v>14557538</v>
      </c>
      <c r="E106" s="454">
        <f>14557538-2935986-3570-326</f>
        <v>11617656</v>
      </c>
      <c r="F106" s="454">
        <v>1303553</v>
      </c>
      <c r="G106" s="454">
        <v>1749170</v>
      </c>
      <c r="H106" s="454">
        <v>0</v>
      </c>
      <c r="I106" s="454">
        <v>2229829</v>
      </c>
      <c r="J106" s="454">
        <v>218887</v>
      </c>
      <c r="K106" s="454">
        <v>487270</v>
      </c>
      <c r="L106" s="454">
        <v>0</v>
      </c>
      <c r="M106" s="454">
        <v>326</v>
      </c>
      <c r="N106" s="454">
        <v>0</v>
      </c>
      <c r="O106" s="454">
        <v>3570</v>
      </c>
      <c r="P106" s="450">
        <f>IF(SUM(Q106:AB106)=SUM(AC106:AM106),SUM(Q106:AB106),"  EROARE ART/CAP")</f>
        <v>10367691</v>
      </c>
      <c r="Q106" s="454">
        <f>851402+197284+1675777+118413+87138</f>
        <v>2930014</v>
      </c>
      <c r="R106" s="454">
        <f>662560+35000+44379+298064+173396+2437885</f>
        <v>3651284</v>
      </c>
      <c r="S106" s="454">
        <v>0</v>
      </c>
      <c r="T106" s="454">
        <v>0</v>
      </c>
      <c r="U106" s="454">
        <v>1105697</v>
      </c>
      <c r="V106" s="454">
        <v>0</v>
      </c>
      <c r="W106" s="454">
        <v>0</v>
      </c>
      <c r="X106" s="454">
        <v>417227</v>
      </c>
      <c r="Y106" s="454">
        <v>0</v>
      </c>
      <c r="Z106" s="454">
        <f>20828+39737+345592+1861200</f>
        <v>2267357</v>
      </c>
      <c r="AA106" s="454">
        <v>0</v>
      </c>
      <c r="AB106" s="454">
        <f>-2093-1795</f>
        <v>-3888</v>
      </c>
      <c r="AC106" s="454">
        <f>1534790+35000</f>
        <v>1569790</v>
      </c>
      <c r="AD106" s="454">
        <v>241663</v>
      </c>
      <c r="AE106" s="454">
        <v>2013578</v>
      </c>
      <c r="AF106" s="454">
        <v>0</v>
      </c>
      <c r="AG106" s="454">
        <v>291809</v>
      </c>
      <c r="AH106" s="454">
        <v>417227</v>
      </c>
      <c r="AI106" s="454">
        <v>3974219</v>
      </c>
      <c r="AJ106" s="461">
        <v>0</v>
      </c>
      <c r="AK106" s="454">
        <v>0</v>
      </c>
      <c r="AL106" s="454">
        <v>1859405</v>
      </c>
      <c r="AM106" s="454">
        <v>0</v>
      </c>
    </row>
    <row r="107" spans="1:39" s="382" customFormat="1" ht="12" x14ac:dyDescent="0.2">
      <c r="A107" s="376">
        <v>53</v>
      </c>
      <c r="B107" s="376">
        <v>63045</v>
      </c>
      <c r="C107" s="425" t="s">
        <v>2806</v>
      </c>
      <c r="D107" s="450">
        <f t="shared" si="16"/>
        <v>2655828</v>
      </c>
      <c r="E107" s="454">
        <f>2655828-980763-1000-4196-55224-12953</f>
        <v>1601692</v>
      </c>
      <c r="F107" s="454">
        <v>332403</v>
      </c>
      <c r="G107" s="454">
        <v>661340</v>
      </c>
      <c r="H107" s="454">
        <v>0</v>
      </c>
      <c r="I107" s="454">
        <v>796473</v>
      </c>
      <c r="J107" s="454">
        <v>0</v>
      </c>
      <c r="K107" s="454">
        <v>184290</v>
      </c>
      <c r="L107" s="454">
        <v>0</v>
      </c>
      <c r="M107" s="454">
        <v>4196</v>
      </c>
      <c r="N107" s="454">
        <v>12953</v>
      </c>
      <c r="O107" s="454">
        <f>1000+55224</f>
        <v>56224</v>
      </c>
      <c r="P107" s="450">
        <f t="shared" si="15"/>
        <v>2426141</v>
      </c>
      <c r="Q107" s="454">
        <f>458035+500746+151956</f>
        <v>1110737</v>
      </c>
      <c r="R107" s="454">
        <f>437862+118011+49156+57134+69317</f>
        <v>731480</v>
      </c>
      <c r="S107" s="454">
        <v>0</v>
      </c>
      <c r="T107" s="454">
        <v>0</v>
      </c>
      <c r="U107" s="454">
        <v>0</v>
      </c>
      <c r="V107" s="454">
        <v>0</v>
      </c>
      <c r="W107" s="454">
        <v>0</v>
      </c>
      <c r="X107" s="454">
        <v>153155</v>
      </c>
      <c r="Y107" s="454">
        <v>3300</v>
      </c>
      <c r="Z107" s="454">
        <f>18373+188000+47972+133515+16609+23000</f>
        <v>427469</v>
      </c>
      <c r="AA107" s="454">
        <v>0</v>
      </c>
      <c r="AB107" s="454">
        <v>0</v>
      </c>
      <c r="AC107" s="454">
        <v>914270</v>
      </c>
      <c r="AD107" s="454">
        <v>0</v>
      </c>
      <c r="AE107" s="454">
        <v>806757</v>
      </c>
      <c r="AF107" s="454">
        <v>0</v>
      </c>
      <c r="AG107" s="454">
        <v>100428</v>
      </c>
      <c r="AH107" s="454">
        <v>305111</v>
      </c>
      <c r="AI107" s="454">
        <v>190649</v>
      </c>
      <c r="AJ107" s="461">
        <v>0</v>
      </c>
      <c r="AK107" s="454">
        <v>0</v>
      </c>
      <c r="AL107" s="454">
        <v>92317</v>
      </c>
      <c r="AM107" s="454">
        <v>16609</v>
      </c>
    </row>
    <row r="108" spans="1:39" s="382" customFormat="1" ht="12" x14ac:dyDescent="0.2">
      <c r="A108" s="376">
        <v>54</v>
      </c>
      <c r="B108" s="376">
        <v>63072</v>
      </c>
      <c r="C108" s="425" t="s">
        <v>2807</v>
      </c>
      <c r="D108" s="450">
        <f t="shared" si="16"/>
        <v>14174002</v>
      </c>
      <c r="E108" s="454">
        <f>14174002-4641565-2899809-1693578</f>
        <v>4939050</v>
      </c>
      <c r="F108" s="454">
        <v>1618497</v>
      </c>
      <c r="G108" s="454">
        <v>1602390</v>
      </c>
      <c r="H108" s="454">
        <v>0</v>
      </c>
      <c r="I108" s="454">
        <v>3628725</v>
      </c>
      <c r="J108" s="454">
        <v>650000</v>
      </c>
      <c r="K108" s="454">
        <v>362840</v>
      </c>
      <c r="L108" s="454">
        <v>0</v>
      </c>
      <c r="M108" s="454">
        <v>2899809</v>
      </c>
      <c r="N108" s="455">
        <v>1693578</v>
      </c>
      <c r="O108" s="455">
        <v>0</v>
      </c>
      <c r="P108" s="450">
        <f t="shared" si="15"/>
        <v>12349457</v>
      </c>
      <c r="Q108" s="454">
        <f>711286+2821859+17802+329930</f>
        <v>3880877</v>
      </c>
      <c r="R108" s="454">
        <f>1169383+406055+12462+138404+644230+383168+496477+40107</f>
        <v>3290286</v>
      </c>
      <c r="S108" s="454">
        <v>0</v>
      </c>
      <c r="T108" s="454">
        <v>0</v>
      </c>
      <c r="U108" s="454">
        <v>0</v>
      </c>
      <c r="V108" s="454">
        <v>0</v>
      </c>
      <c r="W108" s="454">
        <v>686112</v>
      </c>
      <c r="X108" s="454">
        <v>133069</v>
      </c>
      <c r="Y108" s="455">
        <v>105000</v>
      </c>
      <c r="Z108" s="454">
        <f>4313+1776621+32386+2440793</f>
        <v>4254113</v>
      </c>
      <c r="AA108" s="455">
        <v>0</v>
      </c>
      <c r="AB108" s="455">
        <v>0</v>
      </c>
      <c r="AC108" s="454">
        <v>1884982</v>
      </c>
      <c r="AD108" s="454">
        <v>0</v>
      </c>
      <c r="AE108" s="454">
        <v>3227915</v>
      </c>
      <c r="AF108" s="454">
        <v>12462</v>
      </c>
      <c r="AG108" s="454">
        <v>261207</v>
      </c>
      <c r="AH108" s="454">
        <v>462999</v>
      </c>
      <c r="AI108" s="454">
        <v>3106962</v>
      </c>
      <c r="AJ108" s="454">
        <v>415553</v>
      </c>
      <c r="AK108" s="454">
        <v>0</v>
      </c>
      <c r="AL108" s="461">
        <v>2937269</v>
      </c>
      <c r="AM108" s="454">
        <v>40108</v>
      </c>
    </row>
    <row r="109" spans="1:39" s="382" customFormat="1" ht="12" x14ac:dyDescent="0.2">
      <c r="A109" s="376">
        <v>55</v>
      </c>
      <c r="B109" s="376">
        <v>63189</v>
      </c>
      <c r="C109" s="425" t="s">
        <v>2808</v>
      </c>
      <c r="D109" s="450">
        <f t="shared" si="16"/>
        <v>4189958</v>
      </c>
      <c r="E109" s="454">
        <f>4189958-1313419-3000-6802</f>
        <v>2866737</v>
      </c>
      <c r="F109" s="454">
        <v>287830</v>
      </c>
      <c r="G109" s="454">
        <v>1148150</v>
      </c>
      <c r="H109" s="454">
        <v>0</v>
      </c>
      <c r="I109" s="454">
        <v>1038199</v>
      </c>
      <c r="J109" s="454">
        <v>0</v>
      </c>
      <c r="K109" s="454">
        <v>275220</v>
      </c>
      <c r="L109" s="454">
        <v>0</v>
      </c>
      <c r="M109" s="454">
        <v>6802</v>
      </c>
      <c r="N109" s="454">
        <v>0</v>
      </c>
      <c r="O109" s="454">
        <v>3000</v>
      </c>
      <c r="P109" s="450">
        <f>IF(SUM(Q109:AB109)=SUM(AC109:AM109),SUM(Q109:AB109),"  EROARE ART/CAP")</f>
        <v>3278080</v>
      </c>
      <c r="Q109" s="454">
        <f>482236+781240+128724+18966</f>
        <v>1411166</v>
      </c>
      <c r="R109" s="454">
        <f>575692+102769+132893+8288+6198+232837+90616+82461+168723</f>
        <v>1400477</v>
      </c>
      <c r="S109" s="454">
        <v>0</v>
      </c>
      <c r="T109" s="454">
        <v>0</v>
      </c>
      <c r="U109" s="454">
        <v>0</v>
      </c>
      <c r="V109" s="454">
        <v>0</v>
      </c>
      <c r="W109" s="454">
        <v>0</v>
      </c>
      <c r="X109" s="454">
        <v>41885</v>
      </c>
      <c r="Y109" s="454">
        <v>17417</v>
      </c>
      <c r="Z109" s="454">
        <f>385973+21162</f>
        <v>407135</v>
      </c>
      <c r="AA109" s="454">
        <v>0</v>
      </c>
      <c r="AB109" s="454">
        <v>0</v>
      </c>
      <c r="AC109" s="454">
        <v>1443901</v>
      </c>
      <c r="AD109" s="454">
        <v>102769</v>
      </c>
      <c r="AE109" s="454">
        <v>935295</v>
      </c>
      <c r="AF109" s="454">
        <v>0</v>
      </c>
      <c r="AG109" s="454">
        <v>25705</v>
      </c>
      <c r="AH109" s="454">
        <v>176807</v>
      </c>
      <c r="AI109" s="454">
        <v>251803</v>
      </c>
      <c r="AJ109" s="461">
        <v>90616</v>
      </c>
      <c r="AK109" s="454">
        <v>0</v>
      </c>
      <c r="AL109" s="454">
        <v>82461</v>
      </c>
      <c r="AM109" s="454">
        <v>168723</v>
      </c>
    </row>
    <row r="110" spans="1:39" s="382" customFormat="1" ht="12" x14ac:dyDescent="0.2">
      <c r="A110" s="376">
        <v>56</v>
      </c>
      <c r="B110" s="376">
        <v>63125</v>
      </c>
      <c r="C110" s="425" t="s">
        <v>2809</v>
      </c>
      <c r="D110" s="450">
        <f t="shared" si="16"/>
        <v>28780524</v>
      </c>
      <c r="E110" s="454">
        <f>28780524-6314901-6636512-5442265</f>
        <v>10386846</v>
      </c>
      <c r="F110" s="454">
        <v>1726845</v>
      </c>
      <c r="G110" s="454">
        <v>3214460</v>
      </c>
      <c r="H110" s="454">
        <v>0</v>
      </c>
      <c r="I110" s="454">
        <v>4865706</v>
      </c>
      <c r="J110" s="454">
        <v>300000</v>
      </c>
      <c r="K110" s="454">
        <v>1149195</v>
      </c>
      <c r="L110" s="454">
        <v>0</v>
      </c>
      <c r="M110" s="454">
        <v>6636512</v>
      </c>
      <c r="N110" s="454">
        <v>5442265</v>
      </c>
      <c r="O110" s="454">
        <v>0</v>
      </c>
      <c r="P110" s="450">
        <f>IF(SUM(Q110:AB110)=SUM(AC110:AM110),SUM(Q110:AB110),"  EROARE ART/CAP")</f>
        <v>32456153</v>
      </c>
      <c r="Q110" s="454">
        <f>841094+45496+291829+3780034+18954+52145</f>
        <v>5029552</v>
      </c>
      <c r="R110" s="454">
        <f>761742+18183+103335+620479+743522+3978+2201652+1094572</f>
        <v>5547463</v>
      </c>
      <c r="S110" s="454">
        <v>9999</v>
      </c>
      <c r="T110" s="454">
        <v>0</v>
      </c>
      <c r="U110" s="454">
        <v>0</v>
      </c>
      <c r="V110" s="454">
        <v>211997</v>
      </c>
      <c r="W110" s="454">
        <f>3318185+5471435</f>
        <v>8789620</v>
      </c>
      <c r="X110" s="454">
        <v>1156683</v>
      </c>
      <c r="Y110" s="454">
        <v>10067</v>
      </c>
      <c r="Z110" s="454">
        <f>88459+11036+202209+976353+1289723+465762+6054957</f>
        <v>9088499</v>
      </c>
      <c r="AA110" s="454">
        <f>412273+2200000</f>
        <v>2612273</v>
      </c>
      <c r="AB110" s="454">
        <v>0</v>
      </c>
      <c r="AC110" s="454">
        <f>1691295+74715+9999</f>
        <v>1776009</v>
      </c>
      <c r="AD110" s="454">
        <v>395164</v>
      </c>
      <c r="AE110" s="454">
        <v>8343246</v>
      </c>
      <c r="AF110" s="454">
        <v>0</v>
      </c>
      <c r="AG110" s="454">
        <v>1950827</v>
      </c>
      <c r="AH110" s="454">
        <v>1212806</v>
      </c>
      <c r="AI110" s="454">
        <v>3491375</v>
      </c>
      <c r="AJ110" s="461">
        <v>9231768</v>
      </c>
      <c r="AK110" s="454">
        <v>0</v>
      </c>
      <c r="AL110" s="454">
        <v>6054958</v>
      </c>
      <c r="AM110" s="454">
        <v>0</v>
      </c>
    </row>
    <row r="111" spans="1:39" s="382" customFormat="1" ht="12" x14ac:dyDescent="0.2">
      <c r="A111" s="376">
        <v>57</v>
      </c>
      <c r="B111" s="376">
        <v>63170</v>
      </c>
      <c r="C111" s="425" t="s">
        <v>2810</v>
      </c>
      <c r="D111" s="450">
        <f t="shared" si="16"/>
        <v>4945547</v>
      </c>
      <c r="E111" s="454">
        <f>4945547-528000-258790-83415-985505</f>
        <v>3089837</v>
      </c>
      <c r="F111" s="454">
        <v>294571</v>
      </c>
      <c r="G111" s="454">
        <v>1044480</v>
      </c>
      <c r="H111" s="454">
        <v>0</v>
      </c>
      <c r="I111" s="454">
        <v>507150</v>
      </c>
      <c r="J111" s="454">
        <v>0</v>
      </c>
      <c r="K111" s="454">
        <v>20850</v>
      </c>
      <c r="L111" s="454">
        <v>0</v>
      </c>
      <c r="M111" s="454">
        <v>258790</v>
      </c>
      <c r="N111" s="454">
        <v>985505</v>
      </c>
      <c r="O111" s="454">
        <v>83415</v>
      </c>
      <c r="P111" s="450">
        <f t="shared" si="15"/>
        <v>3376714</v>
      </c>
      <c r="Q111" s="454">
        <f>223610+345849+26121+121655+17332</f>
        <v>734567</v>
      </c>
      <c r="R111" s="454">
        <f>448082+5349+110961+15601+74857+207775</f>
        <v>862625</v>
      </c>
      <c r="S111" s="454">
        <v>0</v>
      </c>
      <c r="T111" s="454">
        <v>0</v>
      </c>
      <c r="U111" s="454">
        <f>7200+4900+141305</f>
        <v>153405</v>
      </c>
      <c r="V111" s="454">
        <v>0</v>
      </c>
      <c r="W111" s="454">
        <f>986558+421770</f>
        <v>1408328</v>
      </c>
      <c r="X111" s="454">
        <v>14239</v>
      </c>
      <c r="Y111" s="454">
        <f>52597+36390+11659</f>
        <v>100646</v>
      </c>
      <c r="Z111" s="454">
        <f>55748+7600+39556</f>
        <v>102904</v>
      </c>
      <c r="AA111" s="454">
        <v>0</v>
      </c>
      <c r="AB111" s="454">
        <v>0</v>
      </c>
      <c r="AC111" s="454">
        <v>727441</v>
      </c>
      <c r="AD111" s="454">
        <v>12949</v>
      </c>
      <c r="AE111" s="454">
        <v>1495965</v>
      </c>
      <c r="AF111" s="454">
        <v>7200</v>
      </c>
      <c r="AG111" s="454">
        <v>504782</v>
      </c>
      <c r="AH111" s="454">
        <v>288857</v>
      </c>
      <c r="AI111" s="454">
        <v>131745</v>
      </c>
      <c r="AJ111" s="461">
        <v>0</v>
      </c>
      <c r="AK111" s="454">
        <v>0</v>
      </c>
      <c r="AL111" s="454">
        <v>207775</v>
      </c>
      <c r="AM111" s="454">
        <v>0</v>
      </c>
    </row>
    <row r="112" spans="1:39" s="382" customFormat="1" ht="12" x14ac:dyDescent="0.2">
      <c r="A112" s="376">
        <v>58</v>
      </c>
      <c r="B112" s="376">
        <v>62903</v>
      </c>
      <c r="C112" s="425" t="s">
        <v>2811</v>
      </c>
      <c r="D112" s="450">
        <f t="shared" si="16"/>
        <v>3327716</v>
      </c>
      <c r="E112" s="454">
        <f>3327716-1416393-1800-6237-63996</f>
        <v>1839290</v>
      </c>
      <c r="F112" s="454">
        <v>73054</v>
      </c>
      <c r="G112" s="454">
        <v>902420</v>
      </c>
      <c r="H112" s="454">
        <v>0</v>
      </c>
      <c r="I112" s="454">
        <v>925304</v>
      </c>
      <c r="J112" s="454">
        <v>152839</v>
      </c>
      <c r="K112" s="454">
        <v>338250</v>
      </c>
      <c r="L112" s="454">
        <v>0</v>
      </c>
      <c r="M112" s="454">
        <v>6237</v>
      </c>
      <c r="N112" s="454">
        <v>0</v>
      </c>
      <c r="O112" s="454">
        <f>1800+63996</f>
        <v>65796</v>
      </c>
      <c r="P112" s="450">
        <f>IF(SUM(Q112:AB112)=SUM(AC112:AM112),SUM(Q112:AB112),"  EROARE ART/CAP")</f>
        <v>3464493</v>
      </c>
      <c r="Q112" s="454">
        <f>391978+746322+5980+107398+54896</f>
        <v>1306574</v>
      </c>
      <c r="R112" s="454">
        <f>451969+154509+29588+243089+7334+122899</f>
        <v>1009388</v>
      </c>
      <c r="S112" s="454">
        <v>0</v>
      </c>
      <c r="T112" s="454">
        <v>0</v>
      </c>
      <c r="U112" s="454">
        <v>0</v>
      </c>
      <c r="V112" s="454">
        <v>0</v>
      </c>
      <c r="W112" s="454">
        <v>19388</v>
      </c>
      <c r="X112" s="454">
        <v>32166</v>
      </c>
      <c r="Y112" s="454">
        <v>0</v>
      </c>
      <c r="Z112" s="454">
        <f>9750+135507+361558+590162+10000</f>
        <v>1106977</v>
      </c>
      <c r="AA112" s="454">
        <v>0</v>
      </c>
      <c r="AB112" s="454">
        <v>-10000</v>
      </c>
      <c r="AC112" s="454">
        <v>853697</v>
      </c>
      <c r="AD112" s="454">
        <v>0</v>
      </c>
      <c r="AE112" s="454">
        <v>1036339</v>
      </c>
      <c r="AF112" s="454">
        <v>0</v>
      </c>
      <c r="AG112" s="454">
        <v>397126</v>
      </c>
      <c r="AH112" s="454">
        <v>139564</v>
      </c>
      <c r="AI112" s="454">
        <v>823250</v>
      </c>
      <c r="AJ112" s="461">
        <v>0</v>
      </c>
      <c r="AK112" s="454">
        <v>0</v>
      </c>
      <c r="AL112" s="454">
        <v>0</v>
      </c>
      <c r="AM112" s="454">
        <f>7334+19388+187795</f>
        <v>214517</v>
      </c>
    </row>
    <row r="113" spans="1:39" s="382" customFormat="1" ht="12" hidden="1" x14ac:dyDescent="0.2">
      <c r="A113" s="383">
        <v>59</v>
      </c>
      <c r="B113" s="383"/>
      <c r="C113" s="384"/>
      <c r="D113" s="450">
        <f t="shared" si="11"/>
        <v>0</v>
      </c>
      <c r="E113" s="431"/>
      <c r="F113" s="431"/>
      <c r="G113" s="431"/>
      <c r="H113" s="431"/>
      <c r="I113" s="431"/>
      <c r="J113" s="431"/>
      <c r="K113" s="431"/>
      <c r="L113" s="431"/>
      <c r="M113" s="431"/>
      <c r="N113" s="431"/>
      <c r="O113" s="431"/>
      <c r="P113" s="450">
        <f t="shared" ref="P113:P142" si="17">IF(SUM(Q113:AB113)=SUM(AC113:AM113),SUM(Q113:AB113),"  EROARE ART/CAP")</f>
        <v>0</v>
      </c>
      <c r="Q113" s="431"/>
      <c r="R113" s="431"/>
      <c r="S113" s="431"/>
      <c r="T113" s="431"/>
      <c r="U113" s="431"/>
      <c r="V113" s="431"/>
      <c r="W113" s="431"/>
      <c r="X113" s="431"/>
      <c r="Y113" s="431"/>
      <c r="Z113" s="468"/>
      <c r="AA113" s="431"/>
      <c r="AB113" s="431"/>
      <c r="AC113" s="468"/>
      <c r="AD113" s="431"/>
      <c r="AE113" s="431"/>
      <c r="AF113" s="431"/>
      <c r="AG113" s="431"/>
      <c r="AH113" s="431"/>
      <c r="AI113" s="468"/>
      <c r="AJ113" s="468"/>
      <c r="AK113" s="431"/>
      <c r="AL113" s="431"/>
      <c r="AM113" s="431"/>
    </row>
    <row r="114" spans="1:39" s="382" customFormat="1" ht="12" hidden="1" x14ac:dyDescent="0.2">
      <c r="A114" s="383">
        <v>60</v>
      </c>
      <c r="B114" s="383"/>
      <c r="C114" s="385"/>
      <c r="D114" s="450">
        <f t="shared" si="11"/>
        <v>0</v>
      </c>
      <c r="E114" s="431"/>
      <c r="F114" s="431"/>
      <c r="G114" s="431"/>
      <c r="H114" s="431"/>
      <c r="I114" s="431"/>
      <c r="J114" s="431"/>
      <c r="K114" s="431"/>
      <c r="L114" s="431"/>
      <c r="M114" s="431"/>
      <c r="N114" s="431"/>
      <c r="O114" s="431"/>
      <c r="P114" s="450">
        <f t="shared" si="17"/>
        <v>0</v>
      </c>
      <c r="Q114" s="431"/>
      <c r="R114" s="431"/>
      <c r="S114" s="431"/>
      <c r="T114" s="431"/>
      <c r="U114" s="431"/>
      <c r="V114" s="431"/>
      <c r="W114" s="431"/>
      <c r="X114" s="431"/>
      <c r="Y114" s="431"/>
      <c r="Z114" s="468"/>
      <c r="AA114" s="431"/>
      <c r="AB114" s="431"/>
      <c r="AC114" s="468"/>
      <c r="AD114" s="431"/>
      <c r="AE114" s="431"/>
      <c r="AF114" s="431"/>
      <c r="AG114" s="431"/>
      <c r="AH114" s="431"/>
      <c r="AI114" s="468"/>
      <c r="AJ114" s="468"/>
      <c r="AK114" s="431"/>
      <c r="AL114" s="431"/>
      <c r="AM114" s="431"/>
    </row>
    <row r="115" spans="1:39" s="382" customFormat="1" ht="12" hidden="1" x14ac:dyDescent="0.2">
      <c r="A115" s="383">
        <v>61</v>
      </c>
      <c r="B115" s="383"/>
      <c r="C115" s="384"/>
      <c r="D115" s="450">
        <f t="shared" si="11"/>
        <v>0</v>
      </c>
      <c r="E115" s="431"/>
      <c r="F115" s="431"/>
      <c r="G115" s="431"/>
      <c r="H115" s="431"/>
      <c r="I115" s="431"/>
      <c r="J115" s="431"/>
      <c r="K115" s="431"/>
      <c r="L115" s="431"/>
      <c r="M115" s="431"/>
      <c r="N115" s="431"/>
      <c r="O115" s="431"/>
      <c r="P115" s="450">
        <f t="shared" si="17"/>
        <v>0</v>
      </c>
      <c r="Q115" s="431"/>
      <c r="R115" s="431"/>
      <c r="S115" s="431"/>
      <c r="T115" s="431"/>
      <c r="U115" s="431"/>
      <c r="V115" s="431"/>
      <c r="W115" s="431"/>
      <c r="X115" s="431"/>
      <c r="Y115" s="431"/>
      <c r="Z115" s="468"/>
      <c r="AA115" s="431"/>
      <c r="AB115" s="431"/>
      <c r="AC115" s="468"/>
      <c r="AD115" s="431"/>
      <c r="AE115" s="431"/>
      <c r="AF115" s="431"/>
      <c r="AG115" s="431"/>
      <c r="AH115" s="431"/>
      <c r="AI115" s="468"/>
      <c r="AJ115" s="468"/>
      <c r="AK115" s="431"/>
      <c r="AL115" s="431"/>
      <c r="AM115" s="431"/>
    </row>
    <row r="116" spans="1:39" s="382" customFormat="1" ht="12" hidden="1" x14ac:dyDescent="0.2">
      <c r="A116" s="383">
        <v>62</v>
      </c>
      <c r="B116" s="383"/>
      <c r="C116" s="384"/>
      <c r="D116" s="450">
        <f t="shared" si="11"/>
        <v>0</v>
      </c>
      <c r="E116" s="431"/>
      <c r="F116" s="431"/>
      <c r="G116" s="431"/>
      <c r="H116" s="431"/>
      <c r="I116" s="431"/>
      <c r="J116" s="431"/>
      <c r="K116" s="431"/>
      <c r="L116" s="431"/>
      <c r="M116" s="431"/>
      <c r="N116" s="431"/>
      <c r="O116" s="431"/>
      <c r="P116" s="450">
        <f t="shared" si="17"/>
        <v>0</v>
      </c>
      <c r="Q116" s="431"/>
      <c r="R116" s="431"/>
      <c r="S116" s="431"/>
      <c r="T116" s="431"/>
      <c r="U116" s="431"/>
      <c r="V116" s="431"/>
      <c r="W116" s="431"/>
      <c r="X116" s="431"/>
      <c r="Y116" s="431"/>
      <c r="Z116" s="468"/>
      <c r="AA116" s="431"/>
      <c r="AB116" s="431"/>
      <c r="AC116" s="468"/>
      <c r="AD116" s="431"/>
      <c r="AE116" s="431"/>
      <c r="AF116" s="431"/>
      <c r="AG116" s="431"/>
      <c r="AH116" s="431"/>
      <c r="AI116" s="468"/>
      <c r="AJ116" s="468"/>
      <c r="AK116" s="431"/>
      <c r="AL116" s="431"/>
      <c r="AM116" s="431"/>
    </row>
    <row r="117" spans="1:39" s="382" customFormat="1" ht="12" hidden="1" x14ac:dyDescent="0.2">
      <c r="A117" s="383">
        <v>63</v>
      </c>
      <c r="B117" s="383"/>
      <c r="C117" s="385"/>
      <c r="D117" s="450">
        <f t="shared" si="11"/>
        <v>0</v>
      </c>
      <c r="E117" s="431"/>
      <c r="F117" s="431"/>
      <c r="G117" s="431"/>
      <c r="H117" s="431"/>
      <c r="I117" s="431"/>
      <c r="J117" s="431"/>
      <c r="K117" s="431"/>
      <c r="L117" s="431"/>
      <c r="M117" s="431"/>
      <c r="N117" s="431"/>
      <c r="O117" s="431"/>
      <c r="P117" s="450">
        <f t="shared" si="17"/>
        <v>0</v>
      </c>
      <c r="Q117" s="431"/>
      <c r="R117" s="431"/>
      <c r="S117" s="431"/>
      <c r="T117" s="431"/>
      <c r="U117" s="431"/>
      <c r="V117" s="431"/>
      <c r="W117" s="431"/>
      <c r="X117" s="431"/>
      <c r="Y117" s="431"/>
      <c r="Z117" s="468"/>
      <c r="AA117" s="431"/>
      <c r="AB117" s="431"/>
      <c r="AC117" s="468"/>
      <c r="AD117" s="431"/>
      <c r="AE117" s="431"/>
      <c r="AF117" s="431"/>
      <c r="AG117" s="431"/>
      <c r="AH117" s="431"/>
      <c r="AI117" s="468"/>
      <c r="AJ117" s="468"/>
      <c r="AK117" s="431"/>
      <c r="AL117" s="431"/>
      <c r="AM117" s="431"/>
    </row>
    <row r="118" spans="1:39" s="382" customFormat="1" ht="12" hidden="1" x14ac:dyDescent="0.2">
      <c r="A118" s="383">
        <v>64</v>
      </c>
      <c r="B118" s="383"/>
      <c r="C118" s="384"/>
      <c r="D118" s="450">
        <f t="shared" ref="D118:D143" si="18">E118+SUM(H118:O118)</f>
        <v>0</v>
      </c>
      <c r="E118" s="431"/>
      <c r="F118" s="431"/>
      <c r="G118" s="431"/>
      <c r="H118" s="431"/>
      <c r="I118" s="431"/>
      <c r="J118" s="431"/>
      <c r="K118" s="431"/>
      <c r="L118" s="431"/>
      <c r="M118" s="431"/>
      <c r="N118" s="431"/>
      <c r="O118" s="431"/>
      <c r="P118" s="450">
        <f t="shared" si="17"/>
        <v>0</v>
      </c>
      <c r="Q118" s="431"/>
      <c r="R118" s="431"/>
      <c r="S118" s="431"/>
      <c r="T118" s="431"/>
      <c r="U118" s="431"/>
      <c r="V118" s="431"/>
      <c r="W118" s="431"/>
      <c r="X118" s="431"/>
      <c r="Y118" s="431"/>
      <c r="Z118" s="468"/>
      <c r="AA118" s="431"/>
      <c r="AB118" s="431"/>
      <c r="AC118" s="468"/>
      <c r="AD118" s="431"/>
      <c r="AE118" s="431"/>
      <c r="AF118" s="431"/>
      <c r="AG118" s="431"/>
      <c r="AH118" s="431"/>
      <c r="AI118" s="468"/>
      <c r="AJ118" s="468"/>
      <c r="AK118" s="431"/>
      <c r="AL118" s="431"/>
      <c r="AM118" s="431"/>
    </row>
    <row r="119" spans="1:39" s="382" customFormat="1" ht="12" hidden="1" x14ac:dyDescent="0.2">
      <c r="A119" s="383">
        <v>65</v>
      </c>
      <c r="B119" s="383"/>
      <c r="C119" s="384"/>
      <c r="D119" s="450">
        <f t="shared" si="18"/>
        <v>0</v>
      </c>
      <c r="E119" s="431"/>
      <c r="F119" s="431"/>
      <c r="G119" s="431"/>
      <c r="H119" s="431"/>
      <c r="I119" s="431"/>
      <c r="J119" s="431"/>
      <c r="K119" s="431"/>
      <c r="L119" s="431"/>
      <c r="M119" s="431"/>
      <c r="N119" s="431"/>
      <c r="O119" s="431"/>
      <c r="P119" s="450">
        <f t="shared" si="17"/>
        <v>0</v>
      </c>
      <c r="Q119" s="431"/>
      <c r="R119" s="431"/>
      <c r="S119" s="431"/>
      <c r="T119" s="431"/>
      <c r="U119" s="431"/>
      <c r="V119" s="431"/>
      <c r="W119" s="431"/>
      <c r="X119" s="431"/>
      <c r="Y119" s="431"/>
      <c r="Z119" s="468"/>
      <c r="AA119" s="431"/>
      <c r="AB119" s="431"/>
      <c r="AC119" s="468"/>
      <c r="AD119" s="431"/>
      <c r="AE119" s="431"/>
      <c r="AF119" s="431"/>
      <c r="AG119" s="431"/>
      <c r="AH119" s="431"/>
      <c r="AI119" s="468"/>
      <c r="AJ119" s="468"/>
      <c r="AK119" s="431"/>
      <c r="AL119" s="431"/>
      <c r="AM119" s="431"/>
    </row>
    <row r="120" spans="1:39" s="382" customFormat="1" ht="12" hidden="1" x14ac:dyDescent="0.2">
      <c r="A120" s="383">
        <v>66</v>
      </c>
      <c r="B120" s="383"/>
      <c r="C120" s="384"/>
      <c r="D120" s="450">
        <f t="shared" si="18"/>
        <v>0</v>
      </c>
      <c r="E120" s="431"/>
      <c r="F120" s="431"/>
      <c r="G120" s="431"/>
      <c r="H120" s="431"/>
      <c r="I120" s="431"/>
      <c r="J120" s="431"/>
      <c r="K120" s="431"/>
      <c r="L120" s="431"/>
      <c r="M120" s="431"/>
      <c r="N120" s="431"/>
      <c r="O120" s="431"/>
      <c r="P120" s="450">
        <f t="shared" si="17"/>
        <v>0</v>
      </c>
      <c r="Q120" s="431"/>
      <c r="R120" s="431"/>
      <c r="S120" s="431"/>
      <c r="T120" s="431"/>
      <c r="U120" s="431"/>
      <c r="V120" s="431"/>
      <c r="W120" s="431"/>
      <c r="X120" s="431"/>
      <c r="Y120" s="431"/>
      <c r="Z120" s="468"/>
      <c r="AA120" s="431"/>
      <c r="AB120" s="431"/>
      <c r="AC120" s="468"/>
      <c r="AD120" s="431"/>
      <c r="AE120" s="431"/>
      <c r="AF120" s="431"/>
      <c r="AG120" s="431"/>
      <c r="AH120" s="431"/>
      <c r="AI120" s="468"/>
      <c r="AJ120" s="468"/>
      <c r="AK120" s="431"/>
      <c r="AL120" s="431"/>
      <c r="AM120" s="431"/>
    </row>
    <row r="121" spans="1:39" s="382" customFormat="1" ht="12" hidden="1" x14ac:dyDescent="0.2">
      <c r="A121" s="383">
        <v>67</v>
      </c>
      <c r="B121" s="383"/>
      <c r="C121" s="384"/>
      <c r="D121" s="450">
        <f t="shared" si="18"/>
        <v>0</v>
      </c>
      <c r="E121" s="431"/>
      <c r="F121" s="431"/>
      <c r="G121" s="431"/>
      <c r="H121" s="431"/>
      <c r="I121" s="431"/>
      <c r="J121" s="431"/>
      <c r="K121" s="431"/>
      <c r="L121" s="431"/>
      <c r="M121" s="431"/>
      <c r="N121" s="431"/>
      <c r="O121" s="431"/>
      <c r="P121" s="450">
        <f t="shared" si="17"/>
        <v>0</v>
      </c>
      <c r="Q121" s="431"/>
      <c r="R121" s="431"/>
      <c r="S121" s="431"/>
      <c r="T121" s="431"/>
      <c r="U121" s="431"/>
      <c r="V121" s="431"/>
      <c r="W121" s="431"/>
      <c r="X121" s="431"/>
      <c r="Y121" s="431"/>
      <c r="Z121" s="468"/>
      <c r="AA121" s="431"/>
      <c r="AB121" s="431"/>
      <c r="AC121" s="468"/>
      <c r="AD121" s="431"/>
      <c r="AE121" s="431"/>
      <c r="AF121" s="431"/>
      <c r="AG121" s="431"/>
      <c r="AH121" s="431"/>
      <c r="AI121" s="468"/>
      <c r="AJ121" s="468"/>
      <c r="AK121" s="431"/>
      <c r="AL121" s="431"/>
      <c r="AM121" s="431"/>
    </row>
    <row r="122" spans="1:39" s="382" customFormat="1" ht="12" hidden="1" x14ac:dyDescent="0.2">
      <c r="A122" s="383">
        <v>68</v>
      </c>
      <c r="B122" s="383"/>
      <c r="C122" s="386"/>
      <c r="D122" s="450">
        <f t="shared" si="18"/>
        <v>0</v>
      </c>
      <c r="E122" s="431"/>
      <c r="F122" s="431"/>
      <c r="G122" s="431"/>
      <c r="H122" s="431"/>
      <c r="I122" s="431"/>
      <c r="J122" s="431"/>
      <c r="K122" s="431"/>
      <c r="L122" s="431"/>
      <c r="M122" s="431"/>
      <c r="N122" s="431"/>
      <c r="O122" s="431"/>
      <c r="P122" s="450">
        <f t="shared" si="17"/>
        <v>0</v>
      </c>
      <c r="Q122" s="431"/>
      <c r="R122" s="431"/>
      <c r="S122" s="431"/>
      <c r="T122" s="431"/>
      <c r="U122" s="431"/>
      <c r="V122" s="431"/>
      <c r="W122" s="431"/>
      <c r="X122" s="431"/>
      <c r="Y122" s="431"/>
      <c r="Z122" s="468"/>
      <c r="AA122" s="431"/>
      <c r="AB122" s="431"/>
      <c r="AC122" s="468"/>
      <c r="AD122" s="431"/>
      <c r="AE122" s="431"/>
      <c r="AF122" s="431"/>
      <c r="AG122" s="431"/>
      <c r="AH122" s="431"/>
      <c r="AI122" s="468"/>
      <c r="AJ122" s="468"/>
      <c r="AK122" s="431"/>
      <c r="AL122" s="431"/>
      <c r="AM122" s="431"/>
    </row>
    <row r="123" spans="1:39" s="382" customFormat="1" ht="12" hidden="1" x14ac:dyDescent="0.2">
      <c r="A123" s="383">
        <v>69</v>
      </c>
      <c r="B123" s="383"/>
      <c r="C123" s="386"/>
      <c r="D123" s="450">
        <f t="shared" si="18"/>
        <v>0</v>
      </c>
      <c r="E123" s="431"/>
      <c r="F123" s="431"/>
      <c r="G123" s="431"/>
      <c r="H123" s="431"/>
      <c r="I123" s="431"/>
      <c r="J123" s="431"/>
      <c r="K123" s="431"/>
      <c r="L123" s="431"/>
      <c r="M123" s="431"/>
      <c r="N123" s="431"/>
      <c r="O123" s="431"/>
      <c r="P123" s="450">
        <f t="shared" si="17"/>
        <v>0</v>
      </c>
      <c r="Q123" s="431"/>
      <c r="R123" s="431"/>
      <c r="S123" s="431"/>
      <c r="T123" s="431"/>
      <c r="U123" s="431"/>
      <c r="V123" s="431"/>
      <c r="W123" s="431"/>
      <c r="X123" s="431"/>
      <c r="Y123" s="431"/>
      <c r="Z123" s="468"/>
      <c r="AA123" s="431"/>
      <c r="AB123" s="431"/>
      <c r="AC123" s="468"/>
      <c r="AD123" s="431"/>
      <c r="AE123" s="431"/>
      <c r="AF123" s="431"/>
      <c r="AG123" s="431"/>
      <c r="AH123" s="431"/>
      <c r="AI123" s="468"/>
      <c r="AJ123" s="468"/>
      <c r="AK123" s="431"/>
      <c r="AL123" s="431"/>
      <c r="AM123" s="431"/>
    </row>
    <row r="124" spans="1:39" s="382" customFormat="1" ht="12" hidden="1" x14ac:dyDescent="0.2">
      <c r="A124" s="383">
        <v>70</v>
      </c>
      <c r="B124" s="383"/>
      <c r="C124" s="386"/>
      <c r="D124" s="450">
        <f t="shared" si="18"/>
        <v>0</v>
      </c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50">
        <f t="shared" si="17"/>
        <v>0</v>
      </c>
      <c r="Q124" s="431"/>
      <c r="R124" s="431"/>
      <c r="S124" s="431"/>
      <c r="T124" s="431"/>
      <c r="U124" s="431"/>
      <c r="V124" s="431"/>
      <c r="W124" s="431"/>
      <c r="X124" s="431"/>
      <c r="Y124" s="431"/>
      <c r="Z124" s="468"/>
      <c r="AA124" s="431"/>
      <c r="AB124" s="431"/>
      <c r="AC124" s="468"/>
      <c r="AD124" s="431"/>
      <c r="AE124" s="431"/>
      <c r="AF124" s="431"/>
      <c r="AG124" s="431"/>
      <c r="AH124" s="431"/>
      <c r="AI124" s="468"/>
      <c r="AJ124" s="468"/>
      <c r="AK124" s="431"/>
      <c r="AL124" s="431"/>
      <c r="AM124" s="431"/>
    </row>
    <row r="125" spans="1:39" s="382" customFormat="1" ht="12" hidden="1" x14ac:dyDescent="0.2">
      <c r="A125" s="383">
        <v>71</v>
      </c>
      <c r="B125" s="383"/>
      <c r="C125" s="386"/>
      <c r="D125" s="450">
        <f t="shared" si="18"/>
        <v>0</v>
      </c>
      <c r="E125" s="431"/>
      <c r="F125" s="431"/>
      <c r="G125" s="431"/>
      <c r="H125" s="431"/>
      <c r="I125" s="431"/>
      <c r="J125" s="431"/>
      <c r="K125" s="431"/>
      <c r="L125" s="431"/>
      <c r="M125" s="431"/>
      <c r="N125" s="431"/>
      <c r="O125" s="431"/>
      <c r="P125" s="450">
        <f t="shared" si="17"/>
        <v>0</v>
      </c>
      <c r="Q125" s="431"/>
      <c r="R125" s="431"/>
      <c r="S125" s="431"/>
      <c r="T125" s="431"/>
      <c r="U125" s="431"/>
      <c r="V125" s="431"/>
      <c r="W125" s="431"/>
      <c r="X125" s="431"/>
      <c r="Y125" s="431"/>
      <c r="Z125" s="468"/>
      <c r="AA125" s="431"/>
      <c r="AB125" s="431"/>
      <c r="AC125" s="468"/>
      <c r="AD125" s="431"/>
      <c r="AE125" s="431"/>
      <c r="AF125" s="431"/>
      <c r="AG125" s="431"/>
      <c r="AH125" s="431"/>
      <c r="AI125" s="468"/>
      <c r="AJ125" s="468"/>
      <c r="AK125" s="431"/>
      <c r="AL125" s="431"/>
      <c r="AM125" s="431"/>
    </row>
    <row r="126" spans="1:39" s="382" customFormat="1" ht="12" hidden="1" x14ac:dyDescent="0.2">
      <c r="A126" s="383">
        <v>72</v>
      </c>
      <c r="B126" s="383"/>
      <c r="C126" s="386"/>
      <c r="D126" s="450">
        <f t="shared" si="18"/>
        <v>0</v>
      </c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50">
        <f t="shared" si="17"/>
        <v>0</v>
      </c>
      <c r="Q126" s="431"/>
      <c r="R126" s="431"/>
      <c r="S126" s="431"/>
      <c r="T126" s="431"/>
      <c r="U126" s="431"/>
      <c r="V126" s="431"/>
      <c r="W126" s="431"/>
      <c r="X126" s="431"/>
      <c r="Y126" s="431"/>
      <c r="Z126" s="468"/>
      <c r="AA126" s="431"/>
      <c r="AB126" s="431"/>
      <c r="AC126" s="468"/>
      <c r="AD126" s="431"/>
      <c r="AE126" s="431"/>
      <c r="AF126" s="431"/>
      <c r="AG126" s="431"/>
      <c r="AH126" s="431"/>
      <c r="AI126" s="468"/>
      <c r="AJ126" s="468"/>
      <c r="AK126" s="431"/>
      <c r="AL126" s="431"/>
      <c r="AM126" s="431"/>
    </row>
    <row r="127" spans="1:39" s="382" customFormat="1" ht="12" hidden="1" x14ac:dyDescent="0.2">
      <c r="A127" s="383">
        <v>73</v>
      </c>
      <c r="B127" s="383"/>
      <c r="C127" s="386"/>
      <c r="D127" s="450">
        <f t="shared" si="18"/>
        <v>0</v>
      </c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50">
        <f t="shared" si="17"/>
        <v>0</v>
      </c>
      <c r="Q127" s="431"/>
      <c r="R127" s="431"/>
      <c r="S127" s="431"/>
      <c r="T127" s="431"/>
      <c r="U127" s="431"/>
      <c r="V127" s="431"/>
      <c r="W127" s="431"/>
      <c r="X127" s="431"/>
      <c r="Y127" s="431"/>
      <c r="Z127" s="468"/>
      <c r="AA127" s="431"/>
      <c r="AB127" s="431"/>
      <c r="AC127" s="468"/>
      <c r="AD127" s="431"/>
      <c r="AE127" s="431"/>
      <c r="AF127" s="431"/>
      <c r="AG127" s="431"/>
      <c r="AH127" s="431"/>
      <c r="AI127" s="468"/>
      <c r="AJ127" s="468"/>
      <c r="AK127" s="431"/>
      <c r="AL127" s="431"/>
      <c r="AM127" s="431"/>
    </row>
    <row r="128" spans="1:39" s="382" customFormat="1" ht="12" hidden="1" x14ac:dyDescent="0.2">
      <c r="A128" s="383">
        <v>74</v>
      </c>
      <c r="B128" s="383"/>
      <c r="C128" s="386"/>
      <c r="D128" s="450">
        <f t="shared" si="18"/>
        <v>0</v>
      </c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50">
        <f t="shared" si="17"/>
        <v>0</v>
      </c>
      <c r="Q128" s="431"/>
      <c r="R128" s="431"/>
      <c r="S128" s="431"/>
      <c r="T128" s="431"/>
      <c r="U128" s="431"/>
      <c r="V128" s="431"/>
      <c r="W128" s="431"/>
      <c r="X128" s="431"/>
      <c r="Y128" s="431"/>
      <c r="Z128" s="468"/>
      <c r="AA128" s="431"/>
      <c r="AB128" s="431"/>
      <c r="AC128" s="468"/>
      <c r="AD128" s="431"/>
      <c r="AE128" s="431"/>
      <c r="AF128" s="431"/>
      <c r="AG128" s="431"/>
      <c r="AH128" s="431"/>
      <c r="AI128" s="468"/>
      <c r="AJ128" s="468"/>
      <c r="AK128" s="431"/>
      <c r="AL128" s="431"/>
      <c r="AM128" s="431"/>
    </row>
    <row r="129" spans="1:39" s="382" customFormat="1" ht="12" hidden="1" x14ac:dyDescent="0.2">
      <c r="A129" s="383">
        <v>75</v>
      </c>
      <c r="B129" s="383"/>
      <c r="C129" s="386"/>
      <c r="D129" s="450">
        <f t="shared" si="18"/>
        <v>0</v>
      </c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50">
        <f t="shared" si="17"/>
        <v>0</v>
      </c>
      <c r="Q129" s="431"/>
      <c r="R129" s="431"/>
      <c r="S129" s="431"/>
      <c r="T129" s="431"/>
      <c r="U129" s="431"/>
      <c r="V129" s="431"/>
      <c r="W129" s="431"/>
      <c r="X129" s="431"/>
      <c r="Y129" s="431"/>
      <c r="Z129" s="468"/>
      <c r="AA129" s="431"/>
      <c r="AB129" s="431"/>
      <c r="AC129" s="468"/>
      <c r="AD129" s="431"/>
      <c r="AE129" s="431"/>
      <c r="AF129" s="431"/>
      <c r="AG129" s="431"/>
      <c r="AH129" s="431"/>
      <c r="AI129" s="468"/>
      <c r="AJ129" s="468"/>
      <c r="AK129" s="431"/>
      <c r="AL129" s="431"/>
      <c r="AM129" s="431"/>
    </row>
    <row r="130" spans="1:39" s="382" customFormat="1" ht="12" hidden="1" x14ac:dyDescent="0.2">
      <c r="A130" s="383">
        <v>76</v>
      </c>
      <c r="B130" s="383"/>
      <c r="C130" s="386"/>
      <c r="D130" s="450">
        <f t="shared" si="18"/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50">
        <f t="shared" si="17"/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</row>
    <row r="131" spans="1:39" s="382" customFormat="1" ht="12" hidden="1" x14ac:dyDescent="0.2">
      <c r="A131" s="383">
        <v>77</v>
      </c>
      <c r="B131" s="383"/>
      <c r="C131" s="386"/>
      <c r="D131" s="450">
        <f t="shared" si="18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50">
        <f t="shared" si="17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</row>
    <row r="132" spans="1:39" s="382" customFormat="1" ht="12" hidden="1" x14ac:dyDescent="0.2">
      <c r="A132" s="383">
        <v>78</v>
      </c>
      <c r="B132" s="383"/>
      <c r="C132" s="386"/>
      <c r="D132" s="450">
        <f t="shared" si="18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50">
        <f t="shared" si="17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</row>
    <row r="133" spans="1:39" s="382" customFormat="1" ht="12" hidden="1" x14ac:dyDescent="0.2">
      <c r="A133" s="383">
        <v>79</v>
      </c>
      <c r="B133" s="383"/>
      <c r="C133" s="386"/>
      <c r="D133" s="450">
        <f t="shared" si="18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50">
        <f t="shared" si="17"/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382" customFormat="1" ht="12" hidden="1" x14ac:dyDescent="0.2">
      <c r="A134" s="383">
        <v>80</v>
      </c>
      <c r="B134" s="383"/>
      <c r="C134" s="386"/>
      <c r="D134" s="450">
        <f t="shared" si="18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50">
        <f t="shared" si="17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382" customFormat="1" ht="12" hidden="1" x14ac:dyDescent="0.2">
      <c r="A135" s="383">
        <v>81</v>
      </c>
      <c r="B135" s="383"/>
      <c r="C135" s="386"/>
      <c r="D135" s="450">
        <f t="shared" si="18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50">
        <f t="shared" si="17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382" customFormat="1" ht="12" hidden="1" x14ac:dyDescent="0.2">
      <c r="A136" s="383">
        <v>82</v>
      </c>
      <c r="B136" s="383"/>
      <c r="C136" s="386"/>
      <c r="D136" s="450">
        <f t="shared" si="18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50">
        <f t="shared" si="17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382" customFormat="1" ht="12" hidden="1" x14ac:dyDescent="0.2">
      <c r="A137" s="383">
        <v>83</v>
      </c>
      <c r="B137" s="383"/>
      <c r="C137" s="386"/>
      <c r="D137" s="450">
        <f t="shared" si="18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50">
        <f t="shared" si="17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382" customFormat="1" ht="12" hidden="1" x14ac:dyDescent="0.2">
      <c r="A138" s="383">
        <v>84</v>
      </c>
      <c r="B138" s="383"/>
      <c r="C138" s="386"/>
      <c r="D138" s="450">
        <f t="shared" si="18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50">
        <f t="shared" si="17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382" customFormat="1" ht="12" hidden="1" x14ac:dyDescent="0.2">
      <c r="A139" s="383">
        <v>85</v>
      </c>
      <c r="B139" s="383"/>
      <c r="C139" s="386"/>
      <c r="D139" s="450">
        <f t="shared" si="18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50">
        <f t="shared" si="17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382" customFormat="1" ht="12" hidden="1" x14ac:dyDescent="0.2">
      <c r="A140" s="383">
        <v>86</v>
      </c>
      <c r="B140" s="383"/>
      <c r="C140" s="386"/>
      <c r="D140" s="450">
        <f t="shared" si="18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50">
        <f t="shared" si="17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382" customFormat="1" ht="12" hidden="1" x14ac:dyDescent="0.2">
      <c r="A141" s="383">
        <v>87</v>
      </c>
      <c r="B141" s="383"/>
      <c r="C141" s="387"/>
      <c r="D141" s="450">
        <f t="shared" si="18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50">
        <f t="shared" si="17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382" customFormat="1" ht="12" hidden="1" x14ac:dyDescent="0.2">
      <c r="A142" s="383">
        <v>88</v>
      </c>
      <c r="B142" s="383"/>
      <c r="C142" s="387"/>
      <c r="D142" s="450">
        <f t="shared" si="18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50">
        <f t="shared" si="17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382" customFormat="1" ht="12" hidden="1" x14ac:dyDescent="0.2">
      <c r="A143" s="383">
        <v>89</v>
      </c>
      <c r="B143" s="383"/>
      <c r="C143" s="387"/>
      <c r="D143" s="450">
        <f t="shared" si="18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50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382" customFormat="1" ht="11.25" x14ac:dyDescent="0.2"/>
    <row r="145" s="382" customFormat="1" ht="11.25" x14ac:dyDescent="0.2"/>
    <row r="146" s="382" customFormat="1" ht="11.25" x14ac:dyDescent="0.2"/>
    <row r="147" s="382" customFormat="1" ht="11.25" x14ac:dyDescent="0.2"/>
    <row r="148" s="382" customFormat="1" ht="11.25" x14ac:dyDescent="0.2"/>
    <row r="149" s="382" customFormat="1" ht="11.25" x14ac:dyDescent="0.2"/>
    <row r="150" s="382" customFormat="1" ht="11.25" x14ac:dyDescent="0.2"/>
    <row r="151" s="382" customFormat="1" ht="11.25" x14ac:dyDescent="0.2"/>
    <row r="152" s="382" customFormat="1" ht="11.25" x14ac:dyDescent="0.2"/>
    <row r="153" s="382" customFormat="1" ht="11.25" x14ac:dyDescent="0.2"/>
    <row r="154" s="382" customFormat="1" ht="11.25" x14ac:dyDescent="0.2"/>
    <row r="155" s="382" customFormat="1" ht="11.25" x14ac:dyDescent="0.2"/>
    <row r="156" s="382" customFormat="1" ht="11.25" x14ac:dyDescent="0.2"/>
    <row r="157" s="382" customFormat="1" ht="11.25" x14ac:dyDescent="0.2"/>
    <row r="158" s="382" customFormat="1" ht="11.25" x14ac:dyDescent="0.2"/>
    <row r="159" s="382" customFormat="1" ht="11.25" x14ac:dyDescent="0.2"/>
    <row r="160" s="382" customFormat="1" ht="11.25" x14ac:dyDescent="0.2"/>
    <row r="161" s="382" customFormat="1" ht="11.25" x14ac:dyDescent="0.2"/>
    <row r="162" s="382" customFormat="1" ht="11.25" x14ac:dyDescent="0.2"/>
    <row r="163" s="382" customFormat="1" ht="11.25" x14ac:dyDescent="0.2"/>
    <row r="164" s="382" customFormat="1" ht="11.25" x14ac:dyDescent="0.2"/>
    <row r="165" s="382" customFormat="1" ht="11.25" x14ac:dyDescent="0.2"/>
    <row r="166" s="382" customFormat="1" ht="11.25" x14ac:dyDescent="0.2"/>
    <row r="167" s="382" customFormat="1" ht="11.25" x14ac:dyDescent="0.2"/>
    <row r="168" s="382" customFormat="1" ht="11.25" x14ac:dyDescent="0.2"/>
    <row r="169" s="382" customFormat="1" ht="11.25" x14ac:dyDescent="0.2"/>
    <row r="170" s="382" customFormat="1" ht="11.25" x14ac:dyDescent="0.2"/>
    <row r="171" s="382" customFormat="1" ht="11.25" x14ac:dyDescent="0.2"/>
    <row r="172" s="382" customFormat="1" ht="11.25" x14ac:dyDescent="0.2"/>
    <row r="173" s="382" customFormat="1" ht="11.25" x14ac:dyDescent="0.2"/>
    <row r="174" s="382" customFormat="1" ht="11.25" x14ac:dyDescent="0.2"/>
    <row r="175" s="382" customFormat="1" ht="11.25" x14ac:dyDescent="0.2"/>
    <row r="176" s="382" customFormat="1" ht="11.25" x14ac:dyDescent="0.2"/>
    <row r="177" s="382" customFormat="1" ht="11.25" x14ac:dyDescent="0.2"/>
    <row r="178" s="382" customFormat="1" ht="11.25" x14ac:dyDescent="0.2"/>
    <row r="179" s="382" customFormat="1" ht="11.25" x14ac:dyDescent="0.2"/>
    <row r="180" s="382" customFormat="1" ht="11.25" x14ac:dyDescent="0.2"/>
    <row r="181" s="382" customFormat="1" ht="11.25" x14ac:dyDescent="0.2"/>
    <row r="182" s="382" customFormat="1" ht="11.25" x14ac:dyDescent="0.2"/>
    <row r="183" s="382" customFormat="1" ht="11.25" x14ac:dyDescent="0.2"/>
    <row r="184" s="382" customFormat="1" ht="11.25" x14ac:dyDescent="0.2"/>
    <row r="185" s="382" customFormat="1" ht="11.25" x14ac:dyDescent="0.2"/>
    <row r="186" s="382" customFormat="1" ht="11.25" x14ac:dyDescent="0.2"/>
    <row r="187" s="382" customFormat="1" ht="11.25" x14ac:dyDescent="0.2"/>
    <row r="188" s="382" customFormat="1" ht="11.25" x14ac:dyDescent="0.2"/>
    <row r="189" s="382" customFormat="1" ht="11.25" x14ac:dyDescent="0.2"/>
    <row r="190" s="382" customFormat="1" ht="11.25" x14ac:dyDescent="0.2"/>
    <row r="191" s="382" customFormat="1" ht="11.25" x14ac:dyDescent="0.2"/>
    <row r="192" s="382" customFormat="1" ht="11.25" x14ac:dyDescent="0.2"/>
    <row r="193" s="382" customFormat="1" ht="11.25" x14ac:dyDescent="0.2"/>
    <row r="194" s="382" customFormat="1" ht="11.25" x14ac:dyDescent="0.2"/>
    <row r="195" s="382" customFormat="1" ht="11.25" x14ac:dyDescent="0.2"/>
    <row r="196" s="382" customFormat="1" ht="11.25" x14ac:dyDescent="0.2"/>
    <row r="197" s="382" customFormat="1" ht="11.25" x14ac:dyDescent="0.2"/>
    <row r="198" s="382" customFormat="1" ht="11.25" x14ac:dyDescent="0.2"/>
    <row r="199" s="382" customFormat="1" ht="11.25" x14ac:dyDescent="0.2"/>
    <row r="200" s="382" customFormat="1" ht="11.25" x14ac:dyDescent="0.2"/>
    <row r="201" s="382" customFormat="1" ht="11.25" x14ac:dyDescent="0.2"/>
    <row r="202" s="382" customFormat="1" ht="11.25" x14ac:dyDescent="0.2"/>
    <row r="203" s="382" customFormat="1" ht="11.25" x14ac:dyDescent="0.2"/>
    <row r="204" s="382" customFormat="1" ht="11.25" x14ac:dyDescent="0.2"/>
    <row r="205" s="382" customFormat="1" ht="11.25" x14ac:dyDescent="0.2"/>
    <row r="206" s="382" customFormat="1" ht="11.25" x14ac:dyDescent="0.2"/>
    <row r="207" s="382" customFormat="1" ht="11.25" x14ac:dyDescent="0.2"/>
    <row r="208" s="382" customFormat="1" ht="11.25" x14ac:dyDescent="0.2"/>
    <row r="209" s="382" customFormat="1" ht="11.25" x14ac:dyDescent="0.2"/>
    <row r="210" s="382" customFormat="1" ht="11.25" x14ac:dyDescent="0.2"/>
    <row r="211" s="382" customFormat="1" ht="11.25" x14ac:dyDescent="0.2"/>
    <row r="212" s="382" customFormat="1" ht="11.25" x14ac:dyDescent="0.2"/>
    <row r="213" s="382" customFormat="1" ht="11.25" x14ac:dyDescent="0.2"/>
    <row r="214" s="382" customFormat="1" ht="11.25" x14ac:dyDescent="0.2"/>
    <row r="215" s="382" customFormat="1" ht="11.25" x14ac:dyDescent="0.2"/>
    <row r="216" s="382" customFormat="1" ht="11.25" x14ac:dyDescent="0.2"/>
    <row r="217" s="382" customFormat="1" ht="11.25" x14ac:dyDescent="0.2"/>
    <row r="218" s="382" customFormat="1" ht="11.25" x14ac:dyDescent="0.2"/>
    <row r="219" s="382" customFormat="1" ht="11.25" x14ac:dyDescent="0.2"/>
    <row r="220" s="382" customFormat="1" ht="11.25" x14ac:dyDescent="0.2"/>
    <row r="221" s="382" customFormat="1" ht="11.25" x14ac:dyDescent="0.2"/>
    <row r="222" s="382" customFormat="1" ht="11.25" x14ac:dyDescent="0.2"/>
    <row r="223" s="382" customFormat="1" ht="11.25" x14ac:dyDescent="0.2"/>
    <row r="224" s="382" customFormat="1" ht="11.25" x14ac:dyDescent="0.2"/>
    <row r="225" s="382" customFormat="1" ht="11.25" x14ac:dyDescent="0.2"/>
    <row r="226" s="382" customFormat="1" ht="11.25" x14ac:dyDescent="0.2"/>
    <row r="227" s="382" customFormat="1" ht="11.25" x14ac:dyDescent="0.2"/>
    <row r="228" s="382" customFormat="1" ht="11.25" x14ac:dyDescent="0.2"/>
    <row r="229" s="382" customFormat="1" ht="11.25" x14ac:dyDescent="0.2"/>
    <row r="230" s="382" customFormat="1" ht="11.25" x14ac:dyDescent="0.2"/>
    <row r="231" s="382" customFormat="1" ht="11.25" x14ac:dyDescent="0.2"/>
    <row r="232" s="382" customFormat="1" ht="11.25" x14ac:dyDescent="0.2"/>
    <row r="233" s="382" customFormat="1" ht="11.25" x14ac:dyDescent="0.2"/>
    <row r="234" s="382" customFormat="1" ht="11.25" x14ac:dyDescent="0.2"/>
    <row r="235" s="382" customFormat="1" ht="11.25" x14ac:dyDescent="0.2"/>
    <row r="236" s="382" customFormat="1" ht="11.25" x14ac:dyDescent="0.2"/>
    <row r="237" s="382" customFormat="1" ht="11.25" x14ac:dyDescent="0.2"/>
    <row r="238" s="382" customFormat="1" ht="11.25" x14ac:dyDescent="0.2"/>
    <row r="239" s="382" customFormat="1" ht="11.25" x14ac:dyDescent="0.2"/>
    <row r="240" s="382" customFormat="1" ht="11.25" x14ac:dyDescent="0.2"/>
    <row r="241" s="382" customFormat="1" ht="11.25" x14ac:dyDescent="0.2"/>
    <row r="242" s="382" customFormat="1" ht="11.25" x14ac:dyDescent="0.2"/>
    <row r="243" s="382" customFormat="1" ht="11.25" x14ac:dyDescent="0.2"/>
    <row r="244" s="382" customFormat="1" ht="11.25" x14ac:dyDescent="0.2"/>
    <row r="245" s="382" customFormat="1" ht="11.25" x14ac:dyDescent="0.2"/>
    <row r="246" s="382" customFormat="1" ht="11.25" x14ac:dyDescent="0.2"/>
    <row r="247" s="382" customFormat="1" ht="11.25" x14ac:dyDescent="0.2"/>
    <row r="248" s="382" customFormat="1" ht="11.25" x14ac:dyDescent="0.2"/>
    <row r="249" s="382" customFormat="1" ht="11.25" x14ac:dyDescent="0.2"/>
    <row r="250" s="382" customFormat="1" ht="11.25" x14ac:dyDescent="0.2"/>
    <row r="251" s="382" customFormat="1" ht="11.25" x14ac:dyDescent="0.2"/>
    <row r="252" s="382" customFormat="1" ht="11.25" x14ac:dyDescent="0.2"/>
    <row r="253" s="382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957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715996685</v>
      </c>
      <c r="E14" s="432">
        <f>SUM(E15,E16,E33,E54)</f>
        <v>202726145</v>
      </c>
      <c r="F14" s="432">
        <f t="shared" ref="F14:O14" si="0">SUM(F15,F16,F33,F54)</f>
        <v>88168886</v>
      </c>
      <c r="G14" s="432">
        <f t="shared" si="0"/>
        <v>30775937</v>
      </c>
      <c r="H14" s="432">
        <f t="shared" si="0"/>
        <v>27658722</v>
      </c>
      <c r="I14" s="432">
        <f t="shared" si="0"/>
        <v>166209690</v>
      </c>
      <c r="J14" s="432">
        <f t="shared" si="0"/>
        <v>17433426</v>
      </c>
      <c r="K14" s="432">
        <f t="shared" si="0"/>
        <v>88150000</v>
      </c>
      <c r="L14" s="432">
        <f t="shared" si="0"/>
        <v>0</v>
      </c>
      <c r="M14" s="432">
        <f t="shared" si="0"/>
        <v>94335052</v>
      </c>
      <c r="N14" s="432">
        <f t="shared" si="0"/>
        <v>113069790</v>
      </c>
      <c r="O14" s="432">
        <f t="shared" si="0"/>
        <v>6413860</v>
      </c>
      <c r="P14" s="432">
        <f>IF(SUM(Q14:AB14)=SUM(AC14:AM14),SUM(Q14:AB14),"  EROARE ART/CAP")</f>
        <v>711940442</v>
      </c>
      <c r="Q14" s="432">
        <f t="shared" ref="Q14:AM14" si="1">Q15+Q16+Q33+Q54</f>
        <v>206338536</v>
      </c>
      <c r="R14" s="432">
        <f t="shared" si="1"/>
        <v>128102330</v>
      </c>
      <c r="S14" s="432">
        <f t="shared" si="1"/>
        <v>1458803</v>
      </c>
      <c r="T14" s="432">
        <f t="shared" si="1"/>
        <v>2631191</v>
      </c>
      <c r="U14" s="432">
        <f t="shared" si="1"/>
        <v>19232281</v>
      </c>
      <c r="V14" s="432">
        <f t="shared" si="1"/>
        <v>6655997</v>
      </c>
      <c r="W14" s="432">
        <f t="shared" si="1"/>
        <v>228206403</v>
      </c>
      <c r="X14" s="432">
        <f t="shared" si="1"/>
        <v>31689470</v>
      </c>
      <c r="Y14" s="432">
        <f t="shared" si="1"/>
        <v>8835385</v>
      </c>
      <c r="Z14" s="432">
        <f t="shared" si="1"/>
        <v>76984990</v>
      </c>
      <c r="AA14" s="432">
        <f t="shared" si="1"/>
        <v>4914418</v>
      </c>
      <c r="AB14" s="432">
        <f t="shared" si="1"/>
        <v>-3109362</v>
      </c>
      <c r="AC14" s="432">
        <f t="shared" si="1"/>
        <v>66050516</v>
      </c>
      <c r="AD14" s="432">
        <f t="shared" si="1"/>
        <v>7902467</v>
      </c>
      <c r="AE14" s="432">
        <f t="shared" si="1"/>
        <v>193365144</v>
      </c>
      <c r="AF14" s="432">
        <f t="shared" si="1"/>
        <v>52140159</v>
      </c>
      <c r="AG14" s="432">
        <f t="shared" si="1"/>
        <v>50993219</v>
      </c>
      <c r="AH14" s="432">
        <f t="shared" si="1"/>
        <v>62399664</v>
      </c>
      <c r="AI14" s="432">
        <f t="shared" si="1"/>
        <v>65711560</v>
      </c>
      <c r="AJ14" s="432">
        <f t="shared" si="1"/>
        <v>81028071</v>
      </c>
      <c r="AK14" s="432">
        <f t="shared" si="1"/>
        <v>2205404</v>
      </c>
      <c r="AL14" s="432">
        <f t="shared" si="1"/>
        <v>119490706</v>
      </c>
      <c r="AM14" s="432">
        <f t="shared" si="1"/>
        <v>10653532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209007509</v>
      </c>
      <c r="E15" s="434">
        <v>39948857</v>
      </c>
      <c r="F15" s="434">
        <v>18715097</v>
      </c>
      <c r="G15" s="434">
        <v>18383940</v>
      </c>
      <c r="H15" s="434">
        <v>27658722</v>
      </c>
      <c r="I15" s="434"/>
      <c r="J15" s="434">
        <v>8202000</v>
      </c>
      <c r="K15" s="434">
        <v>45302000</v>
      </c>
      <c r="L15" s="434"/>
      <c r="M15" s="434">
        <v>49183876</v>
      </c>
      <c r="N15" s="434">
        <v>38656885</v>
      </c>
      <c r="O15" s="434">
        <v>55169</v>
      </c>
      <c r="P15" s="432">
        <f t="shared" ref="P15" si="2">IF(SUM(Q15:AB15)=SUM(AC15:AM15),SUM(Q15:AB15),"  EROARE ART/CAP")</f>
        <v>221280146</v>
      </c>
      <c r="Q15" s="431">
        <v>20983193</v>
      </c>
      <c r="R15" s="434">
        <v>32386411</v>
      </c>
      <c r="S15" s="434"/>
      <c r="T15" s="434"/>
      <c r="U15" s="434">
        <v>8997967</v>
      </c>
      <c r="V15" s="434">
        <v>4547427</v>
      </c>
      <c r="W15" s="434">
        <v>110630140</v>
      </c>
      <c r="X15" s="469">
        <v>22352403</v>
      </c>
      <c r="Y15" s="434">
        <v>4451534</v>
      </c>
      <c r="Z15" s="431">
        <v>17690018</v>
      </c>
      <c r="AA15" s="431"/>
      <c r="AB15" s="431">
        <v>-758947</v>
      </c>
      <c r="AC15" s="445">
        <v>12172117</v>
      </c>
      <c r="AD15" s="431">
        <v>614909</v>
      </c>
      <c r="AE15" s="434">
        <v>10412618</v>
      </c>
      <c r="AF15" s="434">
        <v>50131900</v>
      </c>
      <c r="AG15" s="434">
        <v>11868099</v>
      </c>
      <c r="AH15" s="434">
        <v>37484236</v>
      </c>
      <c r="AI15" s="434">
        <v>230456</v>
      </c>
      <c r="AJ15" s="434">
        <v>59379235</v>
      </c>
      <c r="AK15" s="434"/>
      <c r="AL15" s="434">
        <v>36274033</v>
      </c>
      <c r="AM15" s="434">
        <v>2712543</v>
      </c>
    </row>
    <row r="16" spans="1:39" s="155" customFormat="1" ht="12" x14ac:dyDescent="0.2">
      <c r="A16" s="156" t="s">
        <v>72</v>
      </c>
      <c r="B16" s="157"/>
      <c r="C16" s="159"/>
      <c r="D16" s="432">
        <f>E16+SUM(H16:O16)</f>
        <v>231700581</v>
      </c>
      <c r="E16" s="433">
        <f>SUM(E18:E32)</f>
        <v>89228682</v>
      </c>
      <c r="F16" s="433">
        <f t="shared" ref="F16:O16" si="3">SUM(F18:F32)</f>
        <v>49817832</v>
      </c>
      <c r="G16" s="433">
        <f t="shared" si="3"/>
        <v>661443</v>
      </c>
      <c r="H16" s="433">
        <f t="shared" si="3"/>
        <v>0</v>
      </c>
      <c r="I16" s="433">
        <f t="shared" si="3"/>
        <v>78941183</v>
      </c>
      <c r="J16" s="433">
        <f t="shared" si="3"/>
        <v>0</v>
      </c>
      <c r="K16" s="433">
        <f t="shared" si="3"/>
        <v>3697140</v>
      </c>
      <c r="L16" s="433">
        <f t="shared" si="3"/>
        <v>0</v>
      </c>
      <c r="M16" s="433">
        <f t="shared" si="3"/>
        <v>22065398</v>
      </c>
      <c r="N16" s="433">
        <f t="shared" si="3"/>
        <v>37733203</v>
      </c>
      <c r="O16" s="433">
        <f t="shared" si="3"/>
        <v>34975</v>
      </c>
      <c r="P16" s="432">
        <f t="shared" ref="P16:P54" si="4">IF(SUM(Q16:AB16)=SUM(AC16:AM16),SUM(Q16:AB16),"  EROARE ART/CAP")</f>
        <v>234494851</v>
      </c>
      <c r="Q16" s="432">
        <f>SUM(Q18:Q32)</f>
        <v>84623319</v>
      </c>
      <c r="R16" s="432">
        <f t="shared" ref="R16:AM16" si="5">SUM(R18:R32)</f>
        <v>42179801</v>
      </c>
      <c r="S16" s="432">
        <f t="shared" si="5"/>
        <v>1130781</v>
      </c>
      <c r="T16" s="432">
        <f t="shared" si="5"/>
        <v>2411532</v>
      </c>
      <c r="U16" s="432">
        <f t="shared" si="5"/>
        <v>9587454</v>
      </c>
      <c r="V16" s="432">
        <f t="shared" si="5"/>
        <v>1152752</v>
      </c>
      <c r="W16" s="432">
        <f t="shared" si="5"/>
        <v>69591749</v>
      </c>
      <c r="X16" s="432">
        <f t="shared" si="5"/>
        <v>2599852</v>
      </c>
      <c r="Y16" s="432">
        <f t="shared" si="5"/>
        <v>2406785</v>
      </c>
      <c r="Z16" s="432">
        <f t="shared" si="5"/>
        <v>19318476</v>
      </c>
      <c r="AA16" s="432">
        <f t="shared" si="5"/>
        <v>1269393</v>
      </c>
      <c r="AB16" s="432">
        <f t="shared" si="5"/>
        <v>-1777043</v>
      </c>
      <c r="AC16" s="432">
        <f t="shared" si="5"/>
        <v>13215817</v>
      </c>
      <c r="AD16" s="432">
        <f t="shared" si="5"/>
        <v>2280320</v>
      </c>
      <c r="AE16" s="432">
        <f t="shared" si="5"/>
        <v>98256933</v>
      </c>
      <c r="AF16" s="432">
        <f t="shared" si="5"/>
        <v>1471796</v>
      </c>
      <c r="AG16" s="432">
        <f t="shared" si="5"/>
        <v>26106852</v>
      </c>
      <c r="AH16" s="432">
        <f t="shared" si="5"/>
        <v>11277993</v>
      </c>
      <c r="AI16" s="432">
        <f t="shared" si="5"/>
        <v>48782327</v>
      </c>
      <c r="AJ16" s="432">
        <f t="shared" si="5"/>
        <v>8197896</v>
      </c>
      <c r="AK16" s="432">
        <f t="shared" si="5"/>
        <v>96532</v>
      </c>
      <c r="AL16" s="432">
        <f t="shared" si="5"/>
        <v>21636528</v>
      </c>
      <c r="AM16" s="432">
        <f t="shared" si="5"/>
        <v>3171857</v>
      </c>
    </row>
    <row r="17" spans="1:39" s="155" customFormat="1" ht="22.5" x14ac:dyDescent="0.2">
      <c r="A17" s="277" t="s">
        <v>2306</v>
      </c>
      <c r="B17" s="279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146">
        <v>1</v>
      </c>
      <c r="B18" s="234">
        <v>63394</v>
      </c>
      <c r="C18" s="268" t="s">
        <v>1306</v>
      </c>
      <c r="D18" s="432">
        <f t="shared" ref="D18:D19" si="6">E18+SUM(H18:O18)</f>
        <v>159889775</v>
      </c>
      <c r="E18" s="434">
        <v>67030411</v>
      </c>
      <c r="F18" s="434">
        <v>38226798</v>
      </c>
      <c r="G18" s="434">
        <v>349066</v>
      </c>
      <c r="H18" s="434"/>
      <c r="I18" s="434">
        <v>55315000</v>
      </c>
      <c r="J18" s="434"/>
      <c r="K18" s="434">
        <v>2400420</v>
      </c>
      <c r="L18" s="434"/>
      <c r="M18" s="434">
        <v>14821980</v>
      </c>
      <c r="N18" s="434">
        <v>20294860</v>
      </c>
      <c r="O18" s="434">
        <v>27104</v>
      </c>
      <c r="P18" s="432">
        <f t="shared" ref="P18:P19" si="7">IF(SUM(Q18:AB18)=SUM(AC18:AM18),SUM(Q18:AB18),"  EROARE ART/CAP")</f>
        <v>164054120</v>
      </c>
      <c r="Q18" s="435">
        <v>58297319</v>
      </c>
      <c r="R18" s="435">
        <v>28961197</v>
      </c>
      <c r="S18" s="435">
        <v>794620</v>
      </c>
      <c r="T18" s="435">
        <v>2411532</v>
      </c>
      <c r="U18" s="435">
        <v>9417454</v>
      </c>
      <c r="V18" s="431">
        <v>567752</v>
      </c>
      <c r="W18" s="431">
        <v>42930022</v>
      </c>
      <c r="X18" s="431">
        <v>2228419</v>
      </c>
      <c r="Y18" s="431">
        <v>2307237</v>
      </c>
      <c r="Z18" s="431">
        <v>17396699</v>
      </c>
      <c r="AA18" s="431">
        <v>400000</v>
      </c>
      <c r="AB18" s="431">
        <v>-1658131</v>
      </c>
      <c r="AC18" s="434">
        <v>9132203</v>
      </c>
      <c r="AD18" s="434">
        <v>1890943</v>
      </c>
      <c r="AE18" s="434">
        <v>59193960</v>
      </c>
      <c r="AF18" s="434">
        <v>971364</v>
      </c>
      <c r="AG18" s="434">
        <v>21381629</v>
      </c>
      <c r="AH18" s="434">
        <v>9468875</v>
      </c>
      <c r="AI18" s="434">
        <v>35606865</v>
      </c>
      <c r="AJ18" s="434">
        <v>7055469</v>
      </c>
      <c r="AK18" s="434">
        <v>96532</v>
      </c>
      <c r="AL18" s="434">
        <v>16722949</v>
      </c>
      <c r="AM18" s="434">
        <v>2533331</v>
      </c>
    </row>
    <row r="19" spans="1:39" s="155" customFormat="1" ht="12" x14ac:dyDescent="0.2">
      <c r="A19" s="146">
        <v>2</v>
      </c>
      <c r="B19" s="234">
        <v>63740</v>
      </c>
      <c r="C19" s="268" t="s">
        <v>1307</v>
      </c>
      <c r="D19" s="432">
        <f t="shared" si="6"/>
        <v>71810806</v>
      </c>
      <c r="E19" s="434">
        <v>22198271</v>
      </c>
      <c r="F19" s="434">
        <v>11591034</v>
      </c>
      <c r="G19" s="434">
        <v>312377</v>
      </c>
      <c r="H19" s="434"/>
      <c r="I19" s="434">
        <v>23626183</v>
      </c>
      <c r="J19" s="431"/>
      <c r="K19" s="434">
        <v>1296720</v>
      </c>
      <c r="L19" s="434"/>
      <c r="M19" s="434">
        <v>7243418</v>
      </c>
      <c r="N19" s="431">
        <v>17438343</v>
      </c>
      <c r="O19" s="434">
        <v>7871</v>
      </c>
      <c r="P19" s="432">
        <f t="shared" si="7"/>
        <v>70440731</v>
      </c>
      <c r="Q19" s="435">
        <v>26326000</v>
      </c>
      <c r="R19" s="435">
        <v>13218604</v>
      </c>
      <c r="S19" s="435">
        <v>336161</v>
      </c>
      <c r="T19" s="435"/>
      <c r="U19" s="435">
        <v>170000</v>
      </c>
      <c r="V19" s="431">
        <v>585000</v>
      </c>
      <c r="W19" s="431">
        <v>26661727</v>
      </c>
      <c r="X19" s="431">
        <v>371433</v>
      </c>
      <c r="Y19" s="431">
        <v>99548</v>
      </c>
      <c r="Z19" s="431">
        <v>1921777</v>
      </c>
      <c r="AA19" s="431">
        <v>869393</v>
      </c>
      <c r="AB19" s="431">
        <v>-118912</v>
      </c>
      <c r="AC19" s="434">
        <v>4083614</v>
      </c>
      <c r="AD19" s="434">
        <v>389377</v>
      </c>
      <c r="AE19" s="434">
        <v>39062973</v>
      </c>
      <c r="AF19" s="434">
        <v>500432</v>
      </c>
      <c r="AG19" s="434">
        <v>4725223</v>
      </c>
      <c r="AH19" s="434">
        <v>1809118</v>
      </c>
      <c r="AI19" s="434">
        <v>13175462</v>
      </c>
      <c r="AJ19" s="434">
        <v>1142427</v>
      </c>
      <c r="AK19" s="434"/>
      <c r="AL19" s="434">
        <v>4913579</v>
      </c>
      <c r="AM19" s="434">
        <v>638526</v>
      </c>
    </row>
    <row r="20" spans="1:39" s="155" customFormat="1" ht="12" hidden="1" x14ac:dyDescent="0.2">
      <c r="A20" s="146">
        <v>3</v>
      </c>
      <c r="B20" s="234"/>
      <c r="C20" s="259"/>
      <c r="D20" s="432">
        <f t="shared" ref="D20:D41" si="8">E20+SUM(H20:O20)</f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2">
        <f t="shared" si="4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</row>
    <row r="21" spans="1:39" s="155" customFormat="1" ht="12" hidden="1" x14ac:dyDescent="0.2">
      <c r="A21" s="146">
        <v>4</v>
      </c>
      <c r="B21" s="234"/>
      <c r="C21" s="259"/>
      <c r="D21" s="432">
        <f t="shared" si="8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4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146">
        <v>5</v>
      </c>
      <c r="B22" s="146"/>
      <c r="C22" s="206"/>
      <c r="D22" s="432">
        <f t="shared" si="8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4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146"/>
      <c r="C23" s="206"/>
      <c r="D23" s="432">
        <f t="shared" si="8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4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46"/>
      <c r="C24" s="206"/>
      <c r="D24" s="432">
        <f t="shared" si="8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4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46"/>
      <c r="C25" s="206"/>
      <c r="D25" s="432">
        <f t="shared" si="8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4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46"/>
      <c r="C26" s="206"/>
      <c r="D26" s="432">
        <f t="shared" si="8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4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46"/>
      <c r="C27" s="206"/>
      <c r="D27" s="432">
        <f t="shared" si="8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4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46"/>
      <c r="C28" s="206"/>
      <c r="D28" s="432">
        <f t="shared" si="8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4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46"/>
      <c r="C29" s="206"/>
      <c r="D29" s="432">
        <f t="shared" si="8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4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46"/>
      <c r="C30" s="206"/>
      <c r="D30" s="432">
        <f t="shared" si="8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4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46"/>
      <c r="C31" s="206"/>
      <c r="D31" s="432">
        <f t="shared" si="8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4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46"/>
      <c r="C32" s="207"/>
      <c r="D32" s="432">
        <f t="shared" si="8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4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4"/>
      <c r="C33" s="208"/>
      <c r="D33" s="432">
        <f t="shared" si="8"/>
        <v>67290734</v>
      </c>
      <c r="E33" s="432">
        <f>SUM(E34:E53)</f>
        <v>18985760</v>
      </c>
      <c r="F33" s="432">
        <f t="shared" ref="F33:O33" si="9">SUM(F34:F53)</f>
        <v>7532583</v>
      </c>
      <c r="G33" s="432">
        <f t="shared" si="9"/>
        <v>1072647</v>
      </c>
      <c r="H33" s="432">
        <f t="shared" si="9"/>
        <v>0</v>
      </c>
      <c r="I33" s="432">
        <f t="shared" si="9"/>
        <v>24059584</v>
      </c>
      <c r="J33" s="432">
        <f t="shared" si="9"/>
        <v>998443</v>
      </c>
      <c r="K33" s="432">
        <f t="shared" si="9"/>
        <v>4852650</v>
      </c>
      <c r="L33" s="432">
        <f t="shared" si="9"/>
        <v>0</v>
      </c>
      <c r="M33" s="432">
        <f t="shared" si="9"/>
        <v>8038955</v>
      </c>
      <c r="N33" s="432">
        <f t="shared" si="9"/>
        <v>10079955</v>
      </c>
      <c r="O33" s="432">
        <f t="shared" si="9"/>
        <v>275387</v>
      </c>
      <c r="P33" s="432">
        <f t="shared" si="4"/>
        <v>66865281</v>
      </c>
      <c r="Q33" s="432">
        <f>SUM(Q34:Q53)</f>
        <v>26495779</v>
      </c>
      <c r="R33" s="432">
        <f t="shared" ref="R33:AM33" si="10">SUM(R34:R53)</f>
        <v>12235169</v>
      </c>
      <c r="S33" s="432">
        <f t="shared" si="10"/>
        <v>257673</v>
      </c>
      <c r="T33" s="432">
        <f t="shared" si="10"/>
        <v>219659</v>
      </c>
      <c r="U33" s="432">
        <f t="shared" si="10"/>
        <v>646860</v>
      </c>
      <c r="V33" s="432">
        <f t="shared" si="10"/>
        <v>324566</v>
      </c>
      <c r="W33" s="432">
        <f t="shared" si="10"/>
        <v>16119915</v>
      </c>
      <c r="X33" s="432">
        <f t="shared" si="10"/>
        <v>1008284</v>
      </c>
      <c r="Y33" s="432">
        <f t="shared" si="10"/>
        <v>527370</v>
      </c>
      <c r="Z33" s="432">
        <f t="shared" si="10"/>
        <v>8810704</v>
      </c>
      <c r="AA33" s="432">
        <f t="shared" si="10"/>
        <v>249375</v>
      </c>
      <c r="AB33" s="432">
        <f t="shared" si="10"/>
        <v>-30073</v>
      </c>
      <c r="AC33" s="432">
        <f t="shared" si="10"/>
        <v>7080812</v>
      </c>
      <c r="AD33" s="432">
        <f t="shared" si="10"/>
        <v>416639</v>
      </c>
      <c r="AE33" s="432">
        <f t="shared" si="10"/>
        <v>23820606</v>
      </c>
      <c r="AF33" s="432">
        <f t="shared" si="10"/>
        <v>371171</v>
      </c>
      <c r="AG33" s="432">
        <f t="shared" si="10"/>
        <v>2828575</v>
      </c>
      <c r="AH33" s="432">
        <f t="shared" si="10"/>
        <v>2528401</v>
      </c>
      <c r="AI33" s="432">
        <f t="shared" si="10"/>
        <v>5866770</v>
      </c>
      <c r="AJ33" s="432">
        <f t="shared" si="10"/>
        <v>1175090</v>
      </c>
      <c r="AK33" s="432">
        <f t="shared" si="10"/>
        <v>2108872</v>
      </c>
      <c r="AL33" s="432">
        <f t="shared" si="10"/>
        <v>19923734</v>
      </c>
      <c r="AM33" s="432">
        <f t="shared" si="10"/>
        <v>744611</v>
      </c>
    </row>
    <row r="34" spans="1:39" s="155" customFormat="1" ht="12" x14ac:dyDescent="0.2">
      <c r="A34" s="146">
        <v>1</v>
      </c>
      <c r="B34" s="141">
        <v>63526</v>
      </c>
      <c r="C34" s="188" t="s">
        <v>1308</v>
      </c>
      <c r="D34" s="432">
        <f t="shared" ref="D34:D36" si="11">E34+SUM(H34:O34)</f>
        <v>32260029</v>
      </c>
      <c r="E34" s="435">
        <v>9396615</v>
      </c>
      <c r="F34" s="435">
        <v>3727909</v>
      </c>
      <c r="G34" s="435">
        <v>183801</v>
      </c>
      <c r="H34" s="435"/>
      <c r="I34" s="435">
        <v>7924583</v>
      </c>
      <c r="J34" s="435">
        <v>369443</v>
      </c>
      <c r="K34" s="435">
        <v>735130</v>
      </c>
      <c r="L34" s="435"/>
      <c r="M34" s="435">
        <v>3754303</v>
      </c>
      <c r="N34" s="435">
        <v>10079955</v>
      </c>
      <c r="O34" s="435"/>
      <c r="P34" s="432">
        <f t="shared" ref="P34:P36" si="12">IF(SUM(Q34:AB34)=SUM(AC34:AM34),SUM(Q34:AB34),"  EROARE ART/CAP")</f>
        <v>32489338</v>
      </c>
      <c r="Q34" s="435">
        <v>8831583</v>
      </c>
      <c r="R34" s="435">
        <v>4662671</v>
      </c>
      <c r="S34" s="435">
        <v>162095</v>
      </c>
      <c r="T34" s="435">
        <v>28725</v>
      </c>
      <c r="U34" s="435">
        <v>405000</v>
      </c>
      <c r="V34" s="431">
        <v>304566</v>
      </c>
      <c r="W34" s="431">
        <v>16119915</v>
      </c>
      <c r="X34" s="431">
        <v>315022</v>
      </c>
      <c r="Y34" s="431">
        <v>182667</v>
      </c>
      <c r="Z34" s="431">
        <v>1227919</v>
      </c>
      <c r="AA34" s="431">
        <v>249375</v>
      </c>
      <c r="AB34" s="431">
        <v>-200</v>
      </c>
      <c r="AC34" s="445">
        <v>2248880</v>
      </c>
      <c r="AD34" s="431">
        <v>326513</v>
      </c>
      <c r="AE34" s="435">
        <v>8052149</v>
      </c>
      <c r="AF34" s="435">
        <v>35223</v>
      </c>
      <c r="AG34" s="435">
        <v>1244386</v>
      </c>
      <c r="AH34" s="435">
        <v>657158</v>
      </c>
      <c r="AI34" s="435">
        <v>1173128</v>
      </c>
      <c r="AJ34" s="435">
        <v>926571</v>
      </c>
      <c r="AK34" s="435"/>
      <c r="AL34" s="435">
        <v>17080719</v>
      </c>
      <c r="AM34" s="435">
        <v>744611</v>
      </c>
    </row>
    <row r="35" spans="1:39" s="155" customFormat="1" ht="12" x14ac:dyDescent="0.2">
      <c r="A35" s="146">
        <v>2</v>
      </c>
      <c r="B35" s="141">
        <v>63447</v>
      </c>
      <c r="C35" s="188" t="s">
        <v>1309</v>
      </c>
      <c r="D35" s="432">
        <f t="shared" si="11"/>
        <v>15851851</v>
      </c>
      <c r="E35" s="435">
        <v>5358987</v>
      </c>
      <c r="F35" s="435">
        <v>2065511</v>
      </c>
      <c r="G35" s="435">
        <v>375444</v>
      </c>
      <c r="H35" s="435"/>
      <c r="I35" s="435">
        <v>7809300</v>
      </c>
      <c r="J35" s="435">
        <v>550000</v>
      </c>
      <c r="K35" s="435">
        <v>1803030</v>
      </c>
      <c r="L35" s="435"/>
      <c r="M35" s="435">
        <v>55147</v>
      </c>
      <c r="N35" s="435"/>
      <c r="O35" s="435">
        <v>275387</v>
      </c>
      <c r="P35" s="432">
        <f t="shared" si="12"/>
        <v>15665089</v>
      </c>
      <c r="Q35" s="435">
        <v>8742245</v>
      </c>
      <c r="R35" s="435">
        <v>4007128</v>
      </c>
      <c r="S35" s="435">
        <v>16319</v>
      </c>
      <c r="T35" s="435">
        <v>190934</v>
      </c>
      <c r="U35" s="435">
        <v>241860</v>
      </c>
      <c r="V35" s="431">
        <v>20000</v>
      </c>
      <c r="W35" s="431"/>
      <c r="X35" s="431">
        <v>361219</v>
      </c>
      <c r="Y35" s="431">
        <v>281918</v>
      </c>
      <c r="Z35" s="431">
        <v>1803466</v>
      </c>
      <c r="AA35" s="431"/>
      <c r="AB35" s="431"/>
      <c r="AC35" s="445">
        <v>2613942</v>
      </c>
      <c r="AD35" s="435">
        <v>85204</v>
      </c>
      <c r="AE35" s="435">
        <v>7933532</v>
      </c>
      <c r="AF35" s="435">
        <v>320774</v>
      </c>
      <c r="AG35" s="435">
        <v>720342</v>
      </c>
      <c r="AH35" s="435">
        <v>1077508</v>
      </c>
      <c r="AI35" s="435">
        <v>1359258</v>
      </c>
      <c r="AJ35" s="435">
        <v>166768</v>
      </c>
      <c r="AK35" s="435"/>
      <c r="AL35" s="435">
        <v>1387761</v>
      </c>
      <c r="AM35" s="435"/>
    </row>
    <row r="36" spans="1:39" s="155" customFormat="1" ht="12" x14ac:dyDescent="0.2">
      <c r="A36" s="146">
        <v>3</v>
      </c>
      <c r="B36" s="141">
        <v>63580</v>
      </c>
      <c r="C36" s="188" t="s">
        <v>1310</v>
      </c>
      <c r="D36" s="432">
        <f t="shared" si="11"/>
        <v>19178854</v>
      </c>
      <c r="E36" s="435">
        <v>4230158</v>
      </c>
      <c r="F36" s="435">
        <v>1739163</v>
      </c>
      <c r="G36" s="435">
        <v>513402</v>
      </c>
      <c r="H36" s="435"/>
      <c r="I36" s="435">
        <v>8325701</v>
      </c>
      <c r="J36" s="435">
        <v>79000</v>
      </c>
      <c r="K36" s="435">
        <v>2314490</v>
      </c>
      <c r="L36" s="435"/>
      <c r="M36" s="435">
        <v>4229505</v>
      </c>
      <c r="N36" s="435"/>
      <c r="O36" s="435"/>
      <c r="P36" s="432">
        <f t="shared" si="12"/>
        <v>18710854</v>
      </c>
      <c r="Q36" s="435">
        <v>8921951</v>
      </c>
      <c r="R36" s="435">
        <v>3565370</v>
      </c>
      <c r="S36" s="435">
        <v>79259</v>
      </c>
      <c r="T36" s="435">
        <v>0</v>
      </c>
      <c r="U36" s="435"/>
      <c r="V36" s="431"/>
      <c r="W36" s="431"/>
      <c r="X36" s="431">
        <v>332043</v>
      </c>
      <c r="Y36" s="431">
        <v>62785</v>
      </c>
      <c r="Z36" s="431">
        <v>5779319</v>
      </c>
      <c r="AA36" s="431"/>
      <c r="AB36" s="431">
        <v>-29873</v>
      </c>
      <c r="AC36" s="445">
        <v>2217990</v>
      </c>
      <c r="AD36" s="435">
        <v>4922</v>
      </c>
      <c r="AE36" s="435">
        <v>7834925</v>
      </c>
      <c r="AF36" s="435">
        <v>15174</v>
      </c>
      <c r="AG36" s="435">
        <v>863847</v>
      </c>
      <c r="AH36" s="435">
        <v>793735</v>
      </c>
      <c r="AI36" s="435">
        <v>3334384</v>
      </c>
      <c r="AJ36" s="435">
        <v>81751</v>
      </c>
      <c r="AK36" s="435">
        <v>2108872</v>
      </c>
      <c r="AL36" s="435">
        <v>1455254</v>
      </c>
      <c r="AM36" s="435"/>
    </row>
    <row r="37" spans="1:39" s="155" customFormat="1" ht="12" hidden="1" x14ac:dyDescent="0.2">
      <c r="A37" s="146">
        <v>4</v>
      </c>
      <c r="B37" s="234"/>
      <c r="C37" s="261"/>
      <c r="D37" s="432">
        <f t="shared" si="8"/>
        <v>0</v>
      </c>
      <c r="E37" s="435"/>
      <c r="F37" s="435"/>
      <c r="G37" s="435"/>
      <c r="H37" s="435"/>
      <c r="I37" s="435"/>
      <c r="J37" s="435"/>
      <c r="K37" s="435"/>
      <c r="L37" s="435"/>
      <c r="M37" s="435"/>
      <c r="N37" s="435"/>
      <c r="O37" s="435"/>
      <c r="P37" s="432">
        <f t="shared" si="4"/>
        <v>0</v>
      </c>
      <c r="Q37" s="435"/>
      <c r="R37" s="435"/>
      <c r="S37" s="435"/>
      <c r="T37" s="435"/>
      <c r="U37" s="435"/>
      <c r="V37" s="431"/>
      <c r="W37" s="431"/>
      <c r="X37" s="431"/>
      <c r="Y37" s="431"/>
      <c r="Z37" s="431"/>
      <c r="AA37" s="431"/>
      <c r="AB37" s="431"/>
      <c r="AC37" s="445"/>
      <c r="AD37" s="435"/>
      <c r="AE37" s="435"/>
      <c r="AF37" s="435"/>
      <c r="AG37" s="435"/>
      <c r="AH37" s="435"/>
      <c r="AI37" s="435"/>
      <c r="AJ37" s="435"/>
      <c r="AK37" s="435"/>
      <c r="AL37" s="435"/>
      <c r="AM37" s="435"/>
    </row>
    <row r="38" spans="1:39" s="155" customFormat="1" ht="12" hidden="1" x14ac:dyDescent="0.2">
      <c r="A38" s="146">
        <v>5</v>
      </c>
      <c r="B38" s="234"/>
      <c r="C38" s="261"/>
      <c r="D38" s="432">
        <f t="shared" si="8"/>
        <v>0</v>
      </c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2">
        <f t="shared" si="4"/>
        <v>0</v>
      </c>
      <c r="Q38" s="435"/>
      <c r="R38" s="435"/>
      <c r="S38" s="435"/>
      <c r="T38" s="435"/>
      <c r="U38" s="435"/>
      <c r="V38" s="431"/>
      <c r="W38" s="431"/>
      <c r="X38" s="431"/>
      <c r="Y38" s="431"/>
      <c r="Z38" s="435"/>
      <c r="AA38" s="431"/>
      <c r="AB38" s="431"/>
      <c r="AC38" s="445"/>
      <c r="AD38" s="435"/>
      <c r="AE38" s="435"/>
      <c r="AF38" s="435"/>
      <c r="AG38" s="435"/>
      <c r="AH38" s="435"/>
      <c r="AI38" s="435"/>
      <c r="AJ38" s="435"/>
      <c r="AK38" s="435"/>
      <c r="AL38" s="435"/>
      <c r="AM38" s="435"/>
    </row>
    <row r="39" spans="1:39" s="155" customFormat="1" ht="12" hidden="1" x14ac:dyDescent="0.2">
      <c r="A39" s="146">
        <v>6</v>
      </c>
      <c r="B39" s="146"/>
      <c r="C39" s="172"/>
      <c r="D39" s="432">
        <f t="shared" si="8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4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</row>
    <row r="40" spans="1:39" s="155" customFormat="1" ht="12" hidden="1" x14ac:dyDescent="0.2">
      <c r="A40" s="146">
        <v>7</v>
      </c>
      <c r="B40" s="146"/>
      <c r="C40" s="182"/>
      <c r="D40" s="432">
        <f t="shared" si="8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4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155" customFormat="1" ht="12" hidden="1" x14ac:dyDescent="0.2">
      <c r="A41" s="146">
        <v>8</v>
      </c>
      <c r="B41" s="146"/>
      <c r="C41" s="173"/>
      <c r="D41" s="432">
        <f t="shared" si="8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4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146">
        <v>9</v>
      </c>
      <c r="B42" s="146"/>
      <c r="C42" s="206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4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146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4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46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4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46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4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46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4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46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4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46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4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46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4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46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4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46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4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46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4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46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4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4"/>
      <c r="C54" s="208"/>
      <c r="D54" s="432">
        <f t="shared" ref="D54:D117" si="13">E54+SUM(H54:O54)</f>
        <v>207997861</v>
      </c>
      <c r="E54" s="432">
        <f>SUM(E55:E143)</f>
        <v>54562846</v>
      </c>
      <c r="F54" s="432">
        <f t="shared" ref="F54:O54" si="14">SUM(F55:F143)</f>
        <v>12103374</v>
      </c>
      <c r="G54" s="432">
        <f t="shared" si="14"/>
        <v>10657907</v>
      </c>
      <c r="H54" s="432">
        <f t="shared" si="14"/>
        <v>0</v>
      </c>
      <c r="I54" s="432">
        <f t="shared" si="14"/>
        <v>63208923</v>
      </c>
      <c r="J54" s="432">
        <f t="shared" si="14"/>
        <v>8232983</v>
      </c>
      <c r="K54" s="432">
        <f t="shared" si="14"/>
        <v>34298210</v>
      </c>
      <c r="L54" s="432">
        <f t="shared" si="14"/>
        <v>0</v>
      </c>
      <c r="M54" s="432">
        <f t="shared" si="14"/>
        <v>15046823</v>
      </c>
      <c r="N54" s="432">
        <f t="shared" si="14"/>
        <v>26599747</v>
      </c>
      <c r="O54" s="432">
        <f t="shared" si="14"/>
        <v>6048329</v>
      </c>
      <c r="P54" s="432">
        <f t="shared" si="4"/>
        <v>189300164</v>
      </c>
      <c r="Q54" s="432">
        <f>SUM(Q55:Q143)</f>
        <v>74236245</v>
      </c>
      <c r="R54" s="432">
        <f t="shared" ref="R54:AM54" si="15">SUM(R55:R143)</f>
        <v>41300949</v>
      </c>
      <c r="S54" s="432">
        <f t="shared" si="15"/>
        <v>70349</v>
      </c>
      <c r="T54" s="432">
        <f t="shared" si="15"/>
        <v>0</v>
      </c>
      <c r="U54" s="432">
        <f t="shared" si="15"/>
        <v>0</v>
      </c>
      <c r="V54" s="432">
        <f t="shared" si="15"/>
        <v>631252</v>
      </c>
      <c r="W54" s="432">
        <f t="shared" si="15"/>
        <v>31864599</v>
      </c>
      <c r="X54" s="432">
        <f t="shared" si="15"/>
        <v>5728931</v>
      </c>
      <c r="Y54" s="432">
        <f t="shared" si="15"/>
        <v>1449696</v>
      </c>
      <c r="Z54" s="432">
        <f t="shared" si="15"/>
        <v>31165792</v>
      </c>
      <c r="AA54" s="432">
        <f t="shared" si="15"/>
        <v>3395650</v>
      </c>
      <c r="AB54" s="432">
        <f t="shared" si="15"/>
        <v>-543299</v>
      </c>
      <c r="AC54" s="432">
        <f t="shared" si="15"/>
        <v>33581770</v>
      </c>
      <c r="AD54" s="432">
        <f t="shared" si="15"/>
        <v>4590599</v>
      </c>
      <c r="AE54" s="432">
        <f t="shared" si="15"/>
        <v>60874987</v>
      </c>
      <c r="AF54" s="432">
        <f t="shared" si="15"/>
        <v>165292</v>
      </c>
      <c r="AG54" s="432">
        <f t="shared" si="15"/>
        <v>10189693</v>
      </c>
      <c r="AH54" s="432">
        <f t="shared" si="15"/>
        <v>11109034</v>
      </c>
      <c r="AI54" s="432">
        <f t="shared" si="15"/>
        <v>10832007</v>
      </c>
      <c r="AJ54" s="432">
        <f t="shared" si="15"/>
        <v>12275850</v>
      </c>
      <c r="AK54" s="432">
        <f t="shared" si="15"/>
        <v>0</v>
      </c>
      <c r="AL54" s="432">
        <f>SUM(AL55:AL143)</f>
        <v>41656411</v>
      </c>
      <c r="AM54" s="432">
        <f t="shared" si="15"/>
        <v>4024521</v>
      </c>
    </row>
    <row r="55" spans="1:39" s="155" customFormat="1" ht="12" x14ac:dyDescent="0.2">
      <c r="A55" s="168">
        <v>1</v>
      </c>
      <c r="B55" s="189">
        <v>63777</v>
      </c>
      <c r="C55" s="268" t="s">
        <v>1311</v>
      </c>
      <c r="D55" s="432">
        <f t="shared" ref="D55:D94" si="16">E55+SUM(H55:O55)</f>
        <v>3610687</v>
      </c>
      <c r="E55" s="434">
        <v>898693</v>
      </c>
      <c r="F55" s="434">
        <v>178756</v>
      </c>
      <c r="G55" s="434">
        <v>207923</v>
      </c>
      <c r="H55" s="434"/>
      <c r="I55" s="434">
        <v>1370161</v>
      </c>
      <c r="J55" s="434"/>
      <c r="K55" s="434">
        <v>846080</v>
      </c>
      <c r="L55" s="434"/>
      <c r="M55" s="434">
        <v>119324</v>
      </c>
      <c r="N55" s="434">
        <v>327750</v>
      </c>
      <c r="O55" s="434">
        <v>48679</v>
      </c>
      <c r="P55" s="432">
        <f t="shared" ref="P55:P94" si="17">IF(SUM(Q55:AB55)=SUM(AC55:AM55),SUM(Q55:AB55),"  EROARE ART/CAP")</f>
        <v>3365849</v>
      </c>
      <c r="Q55" s="431">
        <v>1880442</v>
      </c>
      <c r="R55" s="431">
        <v>742113</v>
      </c>
      <c r="S55" s="431"/>
      <c r="T55" s="431"/>
      <c r="U55" s="431"/>
      <c r="V55" s="431"/>
      <c r="W55" s="431">
        <v>427800</v>
      </c>
      <c r="X55" s="431">
        <v>80083</v>
      </c>
      <c r="Y55" s="431">
        <v>50000</v>
      </c>
      <c r="Z55" s="431">
        <v>185411</v>
      </c>
      <c r="AA55" s="431"/>
      <c r="AB55" s="431"/>
      <c r="AC55" s="469">
        <v>1529308</v>
      </c>
      <c r="AD55" s="434">
        <v>66981</v>
      </c>
      <c r="AE55" s="434">
        <v>1328588</v>
      </c>
      <c r="AF55" s="434"/>
      <c r="AG55" s="434">
        <v>74152</v>
      </c>
      <c r="AH55" s="434">
        <v>231155</v>
      </c>
      <c r="AI55" s="469">
        <v>120438</v>
      </c>
      <c r="AJ55" s="469"/>
      <c r="AK55" s="434"/>
      <c r="AL55" s="434">
        <v>15227</v>
      </c>
      <c r="AM55" s="434"/>
    </row>
    <row r="56" spans="1:39" s="155" customFormat="1" ht="12" x14ac:dyDescent="0.2">
      <c r="A56" s="168">
        <v>2</v>
      </c>
      <c r="B56" s="189">
        <v>63802</v>
      </c>
      <c r="C56" s="268" t="s">
        <v>1312</v>
      </c>
      <c r="D56" s="432">
        <f t="shared" si="16"/>
        <v>12593216</v>
      </c>
      <c r="E56" s="434">
        <v>1758523</v>
      </c>
      <c r="F56" s="434">
        <v>567543</v>
      </c>
      <c r="G56" s="434">
        <v>354172</v>
      </c>
      <c r="H56" s="434"/>
      <c r="I56" s="434">
        <v>3353320</v>
      </c>
      <c r="J56" s="434">
        <v>168000</v>
      </c>
      <c r="K56" s="434">
        <v>811390</v>
      </c>
      <c r="L56" s="434"/>
      <c r="M56" s="434">
        <v>1605490</v>
      </c>
      <c r="N56" s="434">
        <v>4763509</v>
      </c>
      <c r="O56" s="434">
        <v>132984</v>
      </c>
      <c r="P56" s="432">
        <f t="shared" si="17"/>
        <v>13923954</v>
      </c>
      <c r="Q56" s="431">
        <v>3784723</v>
      </c>
      <c r="R56" s="431">
        <v>1675755</v>
      </c>
      <c r="S56" s="431">
        <v>18200</v>
      </c>
      <c r="T56" s="431"/>
      <c r="U56" s="431"/>
      <c r="V56" s="431"/>
      <c r="W56" s="431">
        <v>5322040</v>
      </c>
      <c r="X56" s="431">
        <v>254377</v>
      </c>
      <c r="Y56" s="431">
        <v>42000</v>
      </c>
      <c r="Z56" s="468">
        <v>2427093</v>
      </c>
      <c r="AA56" s="431">
        <v>400000</v>
      </c>
      <c r="AB56" s="431">
        <v>-234</v>
      </c>
      <c r="AC56" s="469">
        <v>1951772</v>
      </c>
      <c r="AD56" s="434">
        <v>117997</v>
      </c>
      <c r="AE56" s="434">
        <v>3042270</v>
      </c>
      <c r="AF56" s="434"/>
      <c r="AG56" s="434">
        <v>392711</v>
      </c>
      <c r="AH56" s="434">
        <v>661012</v>
      </c>
      <c r="AI56" s="469">
        <v>189308</v>
      </c>
      <c r="AJ56" s="469"/>
      <c r="AK56" s="434"/>
      <c r="AL56" s="434">
        <v>7568884</v>
      </c>
      <c r="AM56" s="434"/>
    </row>
    <row r="57" spans="1:39" s="155" customFormat="1" ht="12" x14ac:dyDescent="0.2">
      <c r="A57" s="168">
        <v>3</v>
      </c>
      <c r="B57" s="189">
        <v>63866</v>
      </c>
      <c r="C57" s="268" t="s">
        <v>1313</v>
      </c>
      <c r="D57" s="432">
        <f t="shared" si="16"/>
        <v>4596983</v>
      </c>
      <c r="E57" s="434">
        <v>941766</v>
      </c>
      <c r="F57" s="434">
        <v>148854</v>
      </c>
      <c r="G57" s="434">
        <v>238471</v>
      </c>
      <c r="H57" s="434"/>
      <c r="I57" s="434">
        <v>2093611</v>
      </c>
      <c r="J57" s="434">
        <v>30000</v>
      </c>
      <c r="K57" s="434">
        <v>989490</v>
      </c>
      <c r="L57" s="434"/>
      <c r="M57" s="434">
        <v>197535</v>
      </c>
      <c r="N57" s="434">
        <v>314341</v>
      </c>
      <c r="O57" s="434">
        <v>30240</v>
      </c>
      <c r="P57" s="432">
        <f t="shared" si="17"/>
        <v>4382959</v>
      </c>
      <c r="Q57" s="431">
        <v>2470465</v>
      </c>
      <c r="R57" s="431">
        <v>813057</v>
      </c>
      <c r="S57" s="431">
        <v>2815</v>
      </c>
      <c r="T57" s="431"/>
      <c r="U57" s="431"/>
      <c r="V57" s="431"/>
      <c r="W57" s="431">
        <v>619613</v>
      </c>
      <c r="X57" s="431">
        <v>201407</v>
      </c>
      <c r="Y57" s="431">
        <v>34427</v>
      </c>
      <c r="Z57" s="431">
        <v>199236</v>
      </c>
      <c r="AA57" s="431">
        <v>41939</v>
      </c>
      <c r="AB57" s="431"/>
      <c r="AC57" s="468">
        <v>938774</v>
      </c>
      <c r="AD57" s="431">
        <v>146724</v>
      </c>
      <c r="AE57" s="431">
        <v>1864164</v>
      </c>
      <c r="AF57" s="431">
        <v>47516</v>
      </c>
      <c r="AG57" s="431">
        <v>27468</v>
      </c>
      <c r="AH57" s="431">
        <v>430252</v>
      </c>
      <c r="AI57" s="468">
        <v>271558</v>
      </c>
      <c r="AJ57" s="468"/>
      <c r="AK57" s="431"/>
      <c r="AL57" s="431">
        <v>656503</v>
      </c>
      <c r="AM57" s="431"/>
    </row>
    <row r="58" spans="1:39" s="155" customFormat="1" ht="12" x14ac:dyDescent="0.2">
      <c r="A58" s="168">
        <v>4</v>
      </c>
      <c r="B58" s="189">
        <v>63893</v>
      </c>
      <c r="C58" s="268" t="s">
        <v>1314</v>
      </c>
      <c r="D58" s="432">
        <f t="shared" si="16"/>
        <v>4399724</v>
      </c>
      <c r="E58" s="434">
        <v>1061836</v>
      </c>
      <c r="F58" s="434">
        <v>347351</v>
      </c>
      <c r="G58" s="434">
        <v>167521</v>
      </c>
      <c r="H58" s="434"/>
      <c r="I58" s="434">
        <v>1247461</v>
      </c>
      <c r="J58" s="434">
        <v>400000</v>
      </c>
      <c r="K58" s="434">
        <v>776040</v>
      </c>
      <c r="L58" s="434"/>
      <c r="M58" s="434">
        <v>211542</v>
      </c>
      <c r="N58" s="434">
        <v>700845</v>
      </c>
      <c r="O58" s="434">
        <v>2000</v>
      </c>
      <c r="P58" s="432">
        <f t="shared" si="17"/>
        <v>3468357</v>
      </c>
      <c r="Q58" s="431">
        <v>1434403</v>
      </c>
      <c r="R58" s="431">
        <v>870422</v>
      </c>
      <c r="S58" s="431"/>
      <c r="T58" s="431"/>
      <c r="U58" s="431"/>
      <c r="V58" s="431">
        <v>87526</v>
      </c>
      <c r="W58" s="431">
        <v>882475</v>
      </c>
      <c r="X58" s="431">
        <v>73095</v>
      </c>
      <c r="Y58" s="431">
        <v>40125</v>
      </c>
      <c r="Z58" s="468">
        <v>80311</v>
      </c>
      <c r="AA58" s="431"/>
      <c r="AB58" s="431"/>
      <c r="AC58" s="469">
        <v>760646</v>
      </c>
      <c r="AD58" s="434">
        <v>81537</v>
      </c>
      <c r="AE58" s="434">
        <v>1231477</v>
      </c>
      <c r="AF58" s="434"/>
      <c r="AG58" s="434">
        <v>1042672</v>
      </c>
      <c r="AH58" s="434">
        <v>197924</v>
      </c>
      <c r="AI58" s="469">
        <v>54882</v>
      </c>
      <c r="AJ58" s="469"/>
      <c r="AK58" s="434"/>
      <c r="AL58" s="434">
        <v>45480</v>
      </c>
      <c r="AM58" s="434">
        <v>53739</v>
      </c>
    </row>
    <row r="59" spans="1:39" s="155" customFormat="1" ht="12" x14ac:dyDescent="0.2">
      <c r="A59" s="168">
        <v>5</v>
      </c>
      <c r="B59" s="189">
        <v>63937</v>
      </c>
      <c r="C59" s="268" t="s">
        <v>1315</v>
      </c>
      <c r="D59" s="432">
        <f t="shared" si="16"/>
        <v>3964268</v>
      </c>
      <c r="E59" s="434">
        <v>837554</v>
      </c>
      <c r="F59" s="434">
        <v>112995</v>
      </c>
      <c r="G59" s="434">
        <v>223690</v>
      </c>
      <c r="H59" s="434"/>
      <c r="I59" s="434">
        <v>1616276</v>
      </c>
      <c r="J59" s="434">
        <v>80000</v>
      </c>
      <c r="K59" s="434">
        <v>926670</v>
      </c>
      <c r="L59" s="434"/>
      <c r="M59" s="434">
        <v>95992</v>
      </c>
      <c r="N59" s="434">
        <v>402916</v>
      </c>
      <c r="O59" s="434">
        <v>4860</v>
      </c>
      <c r="P59" s="432">
        <f t="shared" si="17"/>
        <v>3460849</v>
      </c>
      <c r="Q59" s="431">
        <v>1917493</v>
      </c>
      <c r="R59" s="431">
        <v>895913</v>
      </c>
      <c r="S59" s="431"/>
      <c r="T59" s="431"/>
      <c r="U59" s="431"/>
      <c r="V59" s="431">
        <v>6626</v>
      </c>
      <c r="W59" s="431">
        <v>291387</v>
      </c>
      <c r="X59" s="431">
        <v>154310</v>
      </c>
      <c r="Y59" s="431">
        <v>67000</v>
      </c>
      <c r="Z59" s="468">
        <v>128120</v>
      </c>
      <c r="AA59" s="431"/>
      <c r="AB59" s="431"/>
      <c r="AC59" s="469">
        <v>727706</v>
      </c>
      <c r="AD59" s="434">
        <v>47678</v>
      </c>
      <c r="AE59" s="434">
        <v>1561853</v>
      </c>
      <c r="AF59" s="434">
        <v>34902</v>
      </c>
      <c r="AG59" s="434">
        <v>70531</v>
      </c>
      <c r="AH59" s="434">
        <v>287198</v>
      </c>
      <c r="AI59" s="469">
        <v>544287</v>
      </c>
      <c r="AJ59" s="469"/>
      <c r="AK59" s="434"/>
      <c r="AL59" s="434">
        <v>169798</v>
      </c>
      <c r="AM59" s="434">
        <v>16896</v>
      </c>
    </row>
    <row r="60" spans="1:39" s="155" customFormat="1" ht="12" x14ac:dyDescent="0.2">
      <c r="A60" s="168">
        <v>6</v>
      </c>
      <c r="B60" s="189">
        <v>64005</v>
      </c>
      <c r="C60" s="268" t="s">
        <v>1316</v>
      </c>
      <c r="D60" s="432">
        <f t="shared" si="16"/>
        <v>3338288</v>
      </c>
      <c r="E60" s="434">
        <v>783458</v>
      </c>
      <c r="F60" s="434">
        <v>118740</v>
      </c>
      <c r="G60" s="434">
        <v>242414</v>
      </c>
      <c r="H60" s="434"/>
      <c r="I60" s="434">
        <v>866187</v>
      </c>
      <c r="J60" s="434">
        <v>40000</v>
      </c>
      <c r="K60" s="434">
        <v>948040</v>
      </c>
      <c r="L60" s="434"/>
      <c r="M60" s="469">
        <v>106675</v>
      </c>
      <c r="N60" s="469">
        <v>344369</v>
      </c>
      <c r="O60" s="434">
        <v>249559</v>
      </c>
      <c r="P60" s="432">
        <f t="shared" si="17"/>
        <v>2373553</v>
      </c>
      <c r="Q60" s="431">
        <v>1100795</v>
      </c>
      <c r="R60" s="431">
        <v>366668</v>
      </c>
      <c r="S60" s="431"/>
      <c r="T60" s="431"/>
      <c r="U60" s="431"/>
      <c r="V60" s="431"/>
      <c r="W60" s="431">
        <v>277637</v>
      </c>
      <c r="X60" s="431">
        <v>58638</v>
      </c>
      <c r="Y60" s="431">
        <v>18957</v>
      </c>
      <c r="Z60" s="468">
        <v>550858</v>
      </c>
      <c r="AA60" s="431"/>
      <c r="AB60" s="431"/>
      <c r="AC60" s="469">
        <v>452932</v>
      </c>
      <c r="AD60" s="434">
        <v>31740</v>
      </c>
      <c r="AE60" s="434">
        <v>899605</v>
      </c>
      <c r="AF60" s="434"/>
      <c r="AG60" s="434">
        <v>201669</v>
      </c>
      <c r="AH60" s="434">
        <v>91374</v>
      </c>
      <c r="AI60" s="469">
        <v>333927</v>
      </c>
      <c r="AJ60" s="469">
        <v>281031</v>
      </c>
      <c r="AK60" s="434"/>
      <c r="AL60" s="434">
        <v>81275</v>
      </c>
      <c r="AM60" s="434"/>
    </row>
    <row r="61" spans="1:39" s="155" customFormat="1" ht="12" x14ac:dyDescent="0.2">
      <c r="A61" s="168">
        <v>7</v>
      </c>
      <c r="B61" s="189">
        <v>64041</v>
      </c>
      <c r="C61" s="268" t="s">
        <v>1317</v>
      </c>
      <c r="D61" s="432">
        <f t="shared" si="16"/>
        <v>8073210</v>
      </c>
      <c r="E61" s="434">
        <v>1728738</v>
      </c>
      <c r="F61" s="434">
        <v>412219</v>
      </c>
      <c r="G61" s="434">
        <v>519529</v>
      </c>
      <c r="H61" s="434"/>
      <c r="I61" s="434">
        <v>3536747</v>
      </c>
      <c r="J61" s="434">
        <v>151000</v>
      </c>
      <c r="K61" s="434">
        <v>1248890</v>
      </c>
      <c r="L61" s="434"/>
      <c r="M61" s="434">
        <v>199478</v>
      </c>
      <c r="N61" s="434">
        <v>490990</v>
      </c>
      <c r="O61" s="434">
        <v>717367</v>
      </c>
      <c r="P61" s="432">
        <f t="shared" si="17"/>
        <v>7815278</v>
      </c>
      <c r="Q61" s="431">
        <v>3638526</v>
      </c>
      <c r="R61" s="431">
        <v>1168933</v>
      </c>
      <c r="S61" s="431"/>
      <c r="T61" s="431"/>
      <c r="U61" s="431"/>
      <c r="V61" s="431"/>
      <c r="W61" s="431"/>
      <c r="X61" s="431">
        <v>205345</v>
      </c>
      <c r="Y61" s="431">
        <v>99240</v>
      </c>
      <c r="Z61" s="468">
        <v>2703234</v>
      </c>
      <c r="AA61" s="431"/>
      <c r="AB61" s="431"/>
      <c r="AC61" s="469">
        <v>1102991</v>
      </c>
      <c r="AD61" s="434">
        <v>86891</v>
      </c>
      <c r="AE61" s="434">
        <v>3676435</v>
      </c>
      <c r="AF61" s="434">
        <v>11514</v>
      </c>
      <c r="AG61" s="434">
        <v>264642</v>
      </c>
      <c r="AH61" s="434">
        <v>577601</v>
      </c>
      <c r="AI61" s="469">
        <v>131559</v>
      </c>
      <c r="AJ61" s="469">
        <v>1778878</v>
      </c>
      <c r="AK61" s="434"/>
      <c r="AL61" s="434">
        <v>184767</v>
      </c>
      <c r="AM61" s="434"/>
    </row>
    <row r="62" spans="1:39" s="155" customFormat="1" ht="12" x14ac:dyDescent="0.2">
      <c r="A62" s="168">
        <v>8</v>
      </c>
      <c r="B62" s="189">
        <v>64096</v>
      </c>
      <c r="C62" s="268" t="s">
        <v>1318</v>
      </c>
      <c r="D62" s="432">
        <f t="shared" si="16"/>
        <v>6037137</v>
      </c>
      <c r="E62" s="434">
        <v>1832982</v>
      </c>
      <c r="F62" s="434">
        <v>522524</v>
      </c>
      <c r="G62" s="434">
        <v>296352</v>
      </c>
      <c r="H62" s="434"/>
      <c r="I62" s="434">
        <v>2328785</v>
      </c>
      <c r="J62" s="434">
        <v>400000</v>
      </c>
      <c r="K62" s="434">
        <v>685040</v>
      </c>
      <c r="L62" s="434"/>
      <c r="M62" s="434">
        <v>382376</v>
      </c>
      <c r="N62" s="434">
        <v>368491</v>
      </c>
      <c r="O62" s="434">
        <v>39463</v>
      </c>
      <c r="P62" s="432">
        <f t="shared" si="17"/>
        <v>5573980</v>
      </c>
      <c r="Q62" s="431">
        <v>2578126</v>
      </c>
      <c r="R62" s="431">
        <v>1615864</v>
      </c>
      <c r="S62" s="431"/>
      <c r="T62" s="431"/>
      <c r="U62" s="431"/>
      <c r="V62" s="431"/>
      <c r="W62" s="431">
        <v>475664</v>
      </c>
      <c r="X62" s="431">
        <v>250872</v>
      </c>
      <c r="Y62" s="431">
        <v>6400</v>
      </c>
      <c r="Z62" s="468">
        <v>647054</v>
      </c>
      <c r="AA62" s="431"/>
      <c r="AB62" s="431"/>
      <c r="AC62" s="469">
        <v>947380</v>
      </c>
      <c r="AD62" s="434">
        <v>211178</v>
      </c>
      <c r="AE62" s="434">
        <v>2294804</v>
      </c>
      <c r="AF62" s="434"/>
      <c r="AG62" s="434">
        <v>309527</v>
      </c>
      <c r="AH62" s="434">
        <v>328075</v>
      </c>
      <c r="AI62" s="469">
        <v>279787</v>
      </c>
      <c r="AJ62" s="469">
        <v>651</v>
      </c>
      <c r="AK62" s="434"/>
      <c r="AL62" s="434">
        <v>602033</v>
      </c>
      <c r="AM62" s="434">
        <v>600545</v>
      </c>
    </row>
    <row r="63" spans="1:39" s="155" customFormat="1" ht="12" x14ac:dyDescent="0.2">
      <c r="A63" s="168">
        <v>9</v>
      </c>
      <c r="B63" s="189">
        <v>64130</v>
      </c>
      <c r="C63" s="268" t="s">
        <v>1319</v>
      </c>
      <c r="D63" s="432">
        <f t="shared" si="16"/>
        <v>5426550</v>
      </c>
      <c r="E63" s="434">
        <v>1415808</v>
      </c>
      <c r="F63" s="434">
        <v>302601</v>
      </c>
      <c r="G63" s="434">
        <v>202449</v>
      </c>
      <c r="H63" s="434"/>
      <c r="I63" s="434">
        <v>1785472</v>
      </c>
      <c r="J63" s="434">
        <v>188000</v>
      </c>
      <c r="K63" s="434">
        <v>811930</v>
      </c>
      <c r="L63" s="434"/>
      <c r="M63" s="434">
        <v>870241</v>
      </c>
      <c r="N63" s="434">
        <v>338913</v>
      </c>
      <c r="O63" s="434">
        <v>16186</v>
      </c>
      <c r="P63" s="432">
        <f t="shared" si="17"/>
        <v>4892555</v>
      </c>
      <c r="Q63" s="431">
        <v>2010479</v>
      </c>
      <c r="R63" s="431">
        <v>979564</v>
      </c>
      <c r="S63" s="431"/>
      <c r="T63" s="431"/>
      <c r="U63" s="431"/>
      <c r="V63" s="431">
        <v>128713</v>
      </c>
      <c r="W63" s="431">
        <v>442370</v>
      </c>
      <c r="X63" s="431">
        <v>181434</v>
      </c>
      <c r="Y63" s="431">
        <v>20930</v>
      </c>
      <c r="Z63" s="468">
        <v>1130086</v>
      </c>
      <c r="AA63" s="431"/>
      <c r="AB63" s="431">
        <v>-1021</v>
      </c>
      <c r="AC63" s="469">
        <v>1057969</v>
      </c>
      <c r="AD63" s="434">
        <v>31631</v>
      </c>
      <c r="AE63" s="434">
        <v>1758352</v>
      </c>
      <c r="AF63" s="434"/>
      <c r="AG63" s="434">
        <v>215013</v>
      </c>
      <c r="AH63" s="434">
        <v>197357</v>
      </c>
      <c r="AI63" s="469">
        <v>945112</v>
      </c>
      <c r="AJ63" s="469">
        <v>2158</v>
      </c>
      <c r="AK63" s="434"/>
      <c r="AL63" s="434">
        <v>679779</v>
      </c>
      <c r="AM63" s="434">
        <v>5184</v>
      </c>
    </row>
    <row r="64" spans="1:39" s="155" customFormat="1" ht="12" x14ac:dyDescent="0.2">
      <c r="A64" s="168">
        <v>10</v>
      </c>
      <c r="B64" s="189">
        <v>64194</v>
      </c>
      <c r="C64" s="268" t="s">
        <v>1320</v>
      </c>
      <c r="D64" s="432">
        <f t="shared" si="16"/>
        <v>6116167</v>
      </c>
      <c r="E64" s="434">
        <v>2279083</v>
      </c>
      <c r="F64" s="434">
        <v>376370</v>
      </c>
      <c r="G64" s="434">
        <v>467162</v>
      </c>
      <c r="H64" s="434"/>
      <c r="I64" s="434">
        <v>2012200</v>
      </c>
      <c r="J64" s="434">
        <v>39900</v>
      </c>
      <c r="K64" s="434">
        <v>907790</v>
      </c>
      <c r="L64" s="434"/>
      <c r="M64" s="434">
        <v>186069</v>
      </c>
      <c r="N64" s="434">
        <v>551239</v>
      </c>
      <c r="O64" s="434">
        <v>139886</v>
      </c>
      <c r="P64" s="432">
        <f t="shared" si="17"/>
        <v>5294445</v>
      </c>
      <c r="Q64" s="431">
        <v>2259900</v>
      </c>
      <c r="R64" s="431">
        <v>1237583</v>
      </c>
      <c r="S64" s="431"/>
      <c r="T64" s="431"/>
      <c r="U64" s="431"/>
      <c r="V64" s="431"/>
      <c r="W64" s="431">
        <v>492749</v>
      </c>
      <c r="X64" s="431">
        <v>228918</v>
      </c>
      <c r="Y64" s="431">
        <v>30960</v>
      </c>
      <c r="Z64" s="468">
        <v>1087275</v>
      </c>
      <c r="AA64" s="431"/>
      <c r="AB64" s="431">
        <v>-42940</v>
      </c>
      <c r="AC64" s="469">
        <v>515809</v>
      </c>
      <c r="AD64" s="434">
        <v>44940</v>
      </c>
      <c r="AE64" s="434">
        <v>2000056</v>
      </c>
      <c r="AF64" s="434"/>
      <c r="AG64" s="434">
        <v>104828</v>
      </c>
      <c r="AH64" s="434">
        <v>341031</v>
      </c>
      <c r="AI64" s="469">
        <v>1703228</v>
      </c>
      <c r="AJ64" s="469">
        <v>245336</v>
      </c>
      <c r="AK64" s="434"/>
      <c r="AL64" s="434">
        <v>209298</v>
      </c>
      <c r="AM64" s="434">
        <v>129919</v>
      </c>
    </row>
    <row r="65" spans="1:39" s="155" customFormat="1" ht="12" x14ac:dyDescent="0.2">
      <c r="A65" s="168">
        <v>11</v>
      </c>
      <c r="B65" s="189">
        <v>64238</v>
      </c>
      <c r="C65" s="268" t="s">
        <v>1321</v>
      </c>
      <c r="D65" s="432">
        <f t="shared" si="16"/>
        <v>4048186</v>
      </c>
      <c r="E65" s="434">
        <v>1117814</v>
      </c>
      <c r="F65" s="434">
        <v>433823</v>
      </c>
      <c r="G65" s="434">
        <v>179346</v>
      </c>
      <c r="H65" s="434"/>
      <c r="I65" s="434">
        <v>971241</v>
      </c>
      <c r="J65" s="434">
        <v>120000</v>
      </c>
      <c r="K65" s="434">
        <v>761080</v>
      </c>
      <c r="L65" s="434"/>
      <c r="M65" s="434">
        <v>640610</v>
      </c>
      <c r="N65" s="434">
        <v>428468</v>
      </c>
      <c r="O65" s="434">
        <v>8973</v>
      </c>
      <c r="P65" s="432">
        <f t="shared" si="17"/>
        <v>3956050</v>
      </c>
      <c r="Q65" s="431">
        <v>1415323</v>
      </c>
      <c r="R65" s="431">
        <v>1186888</v>
      </c>
      <c r="S65" s="431"/>
      <c r="T65" s="431"/>
      <c r="U65" s="431"/>
      <c r="V65" s="431"/>
      <c r="W65" s="431">
        <v>574258</v>
      </c>
      <c r="X65" s="431">
        <v>36039</v>
      </c>
      <c r="Y65" s="431">
        <v>9980</v>
      </c>
      <c r="Z65" s="468">
        <v>738658</v>
      </c>
      <c r="AA65" s="431"/>
      <c r="AB65" s="431">
        <v>-5096</v>
      </c>
      <c r="AC65" s="469">
        <v>1830374</v>
      </c>
      <c r="AD65" s="434">
        <v>5735</v>
      </c>
      <c r="AE65" s="434">
        <v>899031</v>
      </c>
      <c r="AF65" s="434"/>
      <c r="AG65" s="434">
        <v>13018</v>
      </c>
      <c r="AH65" s="434">
        <v>179916</v>
      </c>
      <c r="AI65" s="469">
        <v>575522</v>
      </c>
      <c r="AJ65" s="469">
        <v>64405</v>
      </c>
      <c r="AK65" s="434"/>
      <c r="AL65" s="434">
        <v>388049</v>
      </c>
      <c r="AM65" s="434"/>
    </row>
    <row r="66" spans="1:39" s="155" customFormat="1" ht="12" x14ac:dyDescent="0.2">
      <c r="A66" s="168">
        <v>12</v>
      </c>
      <c r="B66" s="189">
        <v>64265</v>
      </c>
      <c r="C66" s="268" t="s">
        <v>1322</v>
      </c>
      <c r="D66" s="432">
        <f t="shared" si="16"/>
        <v>3350917</v>
      </c>
      <c r="E66" s="434">
        <v>755659</v>
      </c>
      <c r="F66" s="434">
        <v>99990</v>
      </c>
      <c r="G66" s="434">
        <v>209894</v>
      </c>
      <c r="H66" s="434"/>
      <c r="I66" s="434">
        <v>1380048</v>
      </c>
      <c r="J66" s="434">
        <v>260000</v>
      </c>
      <c r="K66" s="434">
        <v>941980</v>
      </c>
      <c r="L66" s="434"/>
      <c r="M66" s="434">
        <v>13230</v>
      </c>
      <c r="N66" s="434"/>
      <c r="O66" s="434"/>
      <c r="P66" s="432">
        <f t="shared" si="17"/>
        <v>4268772</v>
      </c>
      <c r="Q66" s="431">
        <v>1741710</v>
      </c>
      <c r="R66" s="431">
        <v>1137584</v>
      </c>
      <c r="S66" s="431"/>
      <c r="T66" s="431"/>
      <c r="U66" s="431"/>
      <c r="V66" s="431"/>
      <c r="W66" s="431">
        <v>1294507</v>
      </c>
      <c r="X66" s="431">
        <v>38786</v>
      </c>
      <c r="Y66" s="431">
        <v>13360</v>
      </c>
      <c r="Z66" s="468">
        <v>42825</v>
      </c>
      <c r="AA66" s="431"/>
      <c r="AB66" s="431"/>
      <c r="AC66" s="469">
        <v>879971</v>
      </c>
      <c r="AD66" s="434">
        <v>72152</v>
      </c>
      <c r="AE66" s="434">
        <v>1188719</v>
      </c>
      <c r="AF66" s="434"/>
      <c r="AG66" s="434">
        <v>33728</v>
      </c>
      <c r="AH66" s="434">
        <v>353086</v>
      </c>
      <c r="AI66" s="469"/>
      <c r="AJ66" s="469">
        <v>780</v>
      </c>
      <c r="AK66" s="434"/>
      <c r="AL66" s="434">
        <v>1740336</v>
      </c>
      <c r="AM66" s="434"/>
    </row>
    <row r="67" spans="1:39" s="155" customFormat="1" ht="12" x14ac:dyDescent="0.2">
      <c r="A67" s="168">
        <v>13</v>
      </c>
      <c r="B67" s="189">
        <v>64318</v>
      </c>
      <c r="C67" s="268" t="s">
        <v>1323</v>
      </c>
      <c r="D67" s="432">
        <f t="shared" si="16"/>
        <v>6938855</v>
      </c>
      <c r="E67" s="434">
        <v>1848757</v>
      </c>
      <c r="F67" s="434">
        <v>552223</v>
      </c>
      <c r="G67" s="434">
        <v>353459</v>
      </c>
      <c r="H67" s="434"/>
      <c r="I67" s="434">
        <v>2513469</v>
      </c>
      <c r="J67" s="434">
        <v>550000</v>
      </c>
      <c r="K67" s="434">
        <v>953910</v>
      </c>
      <c r="L67" s="434"/>
      <c r="M67" s="434">
        <v>315139</v>
      </c>
      <c r="N67" s="434">
        <v>740080</v>
      </c>
      <c r="O67" s="434">
        <v>17500</v>
      </c>
      <c r="P67" s="432">
        <f>IF(SUM(Q67:AB67)=SUM(AC67:AM67),SUM(Q67:AB67),"  EROARE ART/CAP")</f>
        <v>6249549</v>
      </c>
      <c r="Q67" s="431">
        <v>2699479</v>
      </c>
      <c r="R67" s="468">
        <v>1651309</v>
      </c>
      <c r="S67" s="431">
        <v>3200</v>
      </c>
      <c r="T67" s="431"/>
      <c r="U67" s="431"/>
      <c r="V67" s="431"/>
      <c r="W67" s="431">
        <v>807196</v>
      </c>
      <c r="X67" s="431">
        <v>412147</v>
      </c>
      <c r="Y67" s="431">
        <v>76785</v>
      </c>
      <c r="Z67" s="468">
        <v>571874</v>
      </c>
      <c r="AA67" s="431">
        <v>33679</v>
      </c>
      <c r="AB67" s="431">
        <v>-6120</v>
      </c>
      <c r="AC67" s="469">
        <v>930742</v>
      </c>
      <c r="AD67" s="434">
        <v>66913</v>
      </c>
      <c r="AE67" s="434">
        <v>2299934</v>
      </c>
      <c r="AF67" s="434"/>
      <c r="AG67" s="434">
        <v>202106</v>
      </c>
      <c r="AH67" s="434">
        <v>468223</v>
      </c>
      <c r="AI67" s="469">
        <v>677700</v>
      </c>
      <c r="AJ67" s="469">
        <v>73341</v>
      </c>
      <c r="AK67" s="434"/>
      <c r="AL67" s="434">
        <v>1530590</v>
      </c>
      <c r="AM67" s="434"/>
    </row>
    <row r="68" spans="1:39" s="155" customFormat="1" ht="12" x14ac:dyDescent="0.2">
      <c r="A68" s="168">
        <v>14</v>
      </c>
      <c r="B68" s="189">
        <v>64345</v>
      </c>
      <c r="C68" s="268" t="s">
        <v>1324</v>
      </c>
      <c r="D68" s="432">
        <f t="shared" si="16"/>
        <v>3399193</v>
      </c>
      <c r="E68" s="434">
        <v>1178722</v>
      </c>
      <c r="F68" s="434">
        <v>298773</v>
      </c>
      <c r="G68" s="434">
        <v>147812</v>
      </c>
      <c r="H68" s="434"/>
      <c r="I68" s="434">
        <v>1149951</v>
      </c>
      <c r="J68" s="434">
        <v>400000</v>
      </c>
      <c r="K68" s="434">
        <v>658180</v>
      </c>
      <c r="L68" s="434"/>
      <c r="M68" s="434">
        <v>1740</v>
      </c>
      <c r="N68" s="434"/>
      <c r="O68" s="434">
        <v>10600</v>
      </c>
      <c r="P68" s="432">
        <f t="shared" si="17"/>
        <v>3071434</v>
      </c>
      <c r="Q68" s="431">
        <v>1342169</v>
      </c>
      <c r="R68" s="468">
        <v>868998</v>
      </c>
      <c r="S68" s="431"/>
      <c r="T68" s="431"/>
      <c r="U68" s="431"/>
      <c r="V68" s="431">
        <v>2600</v>
      </c>
      <c r="W68" s="431"/>
      <c r="X68" s="431">
        <v>124806</v>
      </c>
      <c r="Y68" s="431">
        <v>21000</v>
      </c>
      <c r="Z68" s="468">
        <v>711861</v>
      </c>
      <c r="AA68" s="431"/>
      <c r="AB68" s="431"/>
      <c r="AC68" s="469">
        <v>1071647</v>
      </c>
      <c r="AD68" s="434">
        <v>76282</v>
      </c>
      <c r="AE68" s="434">
        <v>1050135</v>
      </c>
      <c r="AF68" s="434"/>
      <c r="AG68" s="434">
        <v>173485</v>
      </c>
      <c r="AH68" s="434">
        <v>243270</v>
      </c>
      <c r="AI68" s="469">
        <v>114156</v>
      </c>
      <c r="AJ68" s="469">
        <v>40149</v>
      </c>
      <c r="AK68" s="434"/>
      <c r="AL68" s="434">
        <v>297360</v>
      </c>
      <c r="AM68" s="434">
        <v>4950</v>
      </c>
    </row>
    <row r="69" spans="1:39" s="155" customFormat="1" ht="12" x14ac:dyDescent="0.2">
      <c r="A69" s="168">
        <v>15</v>
      </c>
      <c r="B69" s="189">
        <v>64390</v>
      </c>
      <c r="C69" s="268" t="s">
        <v>1325</v>
      </c>
      <c r="D69" s="432">
        <f t="shared" si="16"/>
        <v>3878780</v>
      </c>
      <c r="E69" s="434">
        <v>989826</v>
      </c>
      <c r="F69" s="434">
        <v>338880</v>
      </c>
      <c r="G69" s="434">
        <v>182929</v>
      </c>
      <c r="H69" s="434"/>
      <c r="I69" s="434">
        <v>1345802</v>
      </c>
      <c r="J69" s="434">
        <v>17000</v>
      </c>
      <c r="K69" s="434">
        <v>733880</v>
      </c>
      <c r="L69" s="434"/>
      <c r="M69" s="434">
        <v>211774</v>
      </c>
      <c r="N69" s="434">
        <v>552498</v>
      </c>
      <c r="O69" s="434">
        <v>28000</v>
      </c>
      <c r="P69" s="432">
        <f t="shared" si="17"/>
        <v>3788776</v>
      </c>
      <c r="Q69" s="431">
        <v>1647599</v>
      </c>
      <c r="R69" s="431">
        <v>1021481</v>
      </c>
      <c r="S69" s="431"/>
      <c r="T69" s="431"/>
      <c r="U69" s="431"/>
      <c r="V69" s="431"/>
      <c r="W69" s="431">
        <v>783974</v>
      </c>
      <c r="X69" s="431">
        <v>202597</v>
      </c>
      <c r="Y69" s="431">
        <v>18000</v>
      </c>
      <c r="Z69" s="468">
        <v>115125</v>
      </c>
      <c r="AA69" s="431"/>
      <c r="AB69" s="431"/>
      <c r="AC69" s="469">
        <v>620772</v>
      </c>
      <c r="AD69" s="434">
        <v>135333</v>
      </c>
      <c r="AE69" s="434">
        <v>1301593</v>
      </c>
      <c r="AF69" s="434">
        <v>14653</v>
      </c>
      <c r="AG69" s="434">
        <v>396594</v>
      </c>
      <c r="AH69" s="434">
        <v>280612</v>
      </c>
      <c r="AI69" s="469">
        <v>123851</v>
      </c>
      <c r="AJ69" s="469">
        <v>56282</v>
      </c>
      <c r="AK69" s="434"/>
      <c r="AL69" s="434">
        <v>776501</v>
      </c>
      <c r="AM69" s="434">
        <v>82585</v>
      </c>
    </row>
    <row r="70" spans="1:39" s="155" customFormat="1" ht="12" x14ac:dyDescent="0.2">
      <c r="A70" s="168">
        <v>16</v>
      </c>
      <c r="B70" s="189">
        <v>64425</v>
      </c>
      <c r="C70" s="268" t="s">
        <v>1326</v>
      </c>
      <c r="D70" s="432">
        <f t="shared" si="16"/>
        <v>7842422</v>
      </c>
      <c r="E70" s="434">
        <v>1126054</v>
      </c>
      <c r="F70" s="434">
        <v>409438</v>
      </c>
      <c r="G70" s="434">
        <v>171462</v>
      </c>
      <c r="H70" s="434"/>
      <c r="I70" s="434">
        <v>987668</v>
      </c>
      <c r="J70" s="434">
        <v>59000</v>
      </c>
      <c r="K70" s="434">
        <v>733550</v>
      </c>
      <c r="L70" s="434"/>
      <c r="M70" s="434">
        <v>396081</v>
      </c>
      <c r="N70" s="434">
        <v>4512877</v>
      </c>
      <c r="O70" s="434">
        <v>27192</v>
      </c>
      <c r="P70" s="432">
        <f t="shared" si="17"/>
        <v>2799787</v>
      </c>
      <c r="Q70" s="431">
        <v>1196113</v>
      </c>
      <c r="R70" s="431">
        <v>525164</v>
      </c>
      <c r="S70" s="431"/>
      <c r="T70" s="431"/>
      <c r="U70" s="431"/>
      <c r="V70" s="431">
        <v>8746</v>
      </c>
      <c r="W70" s="431">
        <v>851893</v>
      </c>
      <c r="X70" s="431">
        <v>100659</v>
      </c>
      <c r="Y70" s="431">
        <v>51800</v>
      </c>
      <c r="Z70" s="468">
        <v>69417</v>
      </c>
      <c r="AA70" s="431"/>
      <c r="AB70" s="431">
        <v>-4005</v>
      </c>
      <c r="AC70" s="469">
        <v>465657</v>
      </c>
      <c r="AD70" s="434">
        <v>699944</v>
      </c>
      <c r="AE70" s="434">
        <v>866205</v>
      </c>
      <c r="AF70" s="434"/>
      <c r="AG70" s="434">
        <v>244323</v>
      </c>
      <c r="AH70" s="434">
        <v>250995</v>
      </c>
      <c r="AI70" s="469">
        <v>92249</v>
      </c>
      <c r="AJ70" s="469">
        <v>32510</v>
      </c>
      <c r="AK70" s="434"/>
      <c r="AL70" s="434">
        <v>147904</v>
      </c>
      <c r="AM70" s="434"/>
    </row>
    <row r="71" spans="1:39" s="155" customFormat="1" ht="12" x14ac:dyDescent="0.2">
      <c r="A71" s="168">
        <v>17</v>
      </c>
      <c r="B71" s="189">
        <v>64461</v>
      </c>
      <c r="C71" s="268" t="s">
        <v>1327</v>
      </c>
      <c r="D71" s="432">
        <f t="shared" si="16"/>
        <v>3689450</v>
      </c>
      <c r="E71" s="434">
        <v>1344585</v>
      </c>
      <c r="F71" s="434">
        <v>207097</v>
      </c>
      <c r="G71" s="434">
        <v>208908</v>
      </c>
      <c r="H71" s="434"/>
      <c r="I71" s="434">
        <v>1001605</v>
      </c>
      <c r="J71" s="434">
        <v>400000</v>
      </c>
      <c r="K71" s="434">
        <v>904570</v>
      </c>
      <c r="L71" s="434"/>
      <c r="M71" s="434">
        <v>690</v>
      </c>
      <c r="N71" s="434"/>
      <c r="O71" s="434">
        <v>38000</v>
      </c>
      <c r="P71" s="432">
        <f t="shared" si="17"/>
        <v>2738979</v>
      </c>
      <c r="Q71" s="431">
        <v>1240690</v>
      </c>
      <c r="R71" s="431">
        <v>1107984</v>
      </c>
      <c r="S71" s="431"/>
      <c r="T71" s="431"/>
      <c r="U71" s="431"/>
      <c r="V71" s="431">
        <v>162934</v>
      </c>
      <c r="W71" s="431"/>
      <c r="X71" s="431">
        <v>55740</v>
      </c>
      <c r="Y71" s="431">
        <v>2000</v>
      </c>
      <c r="Z71" s="468">
        <v>169631</v>
      </c>
      <c r="AA71" s="431"/>
      <c r="AB71" s="431"/>
      <c r="AC71" s="469">
        <v>614241</v>
      </c>
      <c r="AD71" s="434">
        <v>27652</v>
      </c>
      <c r="AE71" s="434">
        <v>988880</v>
      </c>
      <c r="AF71" s="434"/>
      <c r="AG71" s="434">
        <v>232665</v>
      </c>
      <c r="AH71" s="434">
        <v>149054</v>
      </c>
      <c r="AI71" s="469">
        <v>225189</v>
      </c>
      <c r="AJ71" s="469">
        <v>77127</v>
      </c>
      <c r="AK71" s="434"/>
      <c r="AL71" s="434">
        <v>126347</v>
      </c>
      <c r="AM71" s="434">
        <v>297824</v>
      </c>
    </row>
    <row r="72" spans="1:39" s="155" customFormat="1" ht="12" x14ac:dyDescent="0.2">
      <c r="A72" s="168">
        <v>18</v>
      </c>
      <c r="B72" s="189">
        <v>64504</v>
      </c>
      <c r="C72" s="268" t="s">
        <v>1328</v>
      </c>
      <c r="D72" s="432">
        <f t="shared" si="16"/>
        <v>2480953</v>
      </c>
      <c r="E72" s="434">
        <v>747066</v>
      </c>
      <c r="F72" s="434">
        <v>200212</v>
      </c>
      <c r="G72" s="434">
        <v>219748</v>
      </c>
      <c r="H72" s="434"/>
      <c r="I72" s="434">
        <v>868647</v>
      </c>
      <c r="J72" s="434"/>
      <c r="K72" s="434">
        <v>860050</v>
      </c>
      <c r="L72" s="434"/>
      <c r="M72" s="434">
        <v>1440</v>
      </c>
      <c r="N72" s="434"/>
      <c r="O72" s="434">
        <v>3750</v>
      </c>
      <c r="P72" s="432">
        <f t="shared" si="17"/>
        <v>1971963</v>
      </c>
      <c r="Q72" s="431">
        <v>1020770</v>
      </c>
      <c r="R72" s="431">
        <v>488567</v>
      </c>
      <c r="S72" s="431"/>
      <c r="T72" s="431"/>
      <c r="U72" s="431"/>
      <c r="V72" s="431">
        <v>81148</v>
      </c>
      <c r="W72" s="431"/>
      <c r="X72" s="431">
        <v>99442</v>
      </c>
      <c r="Y72" s="431">
        <v>56666</v>
      </c>
      <c r="Z72" s="468">
        <v>225370</v>
      </c>
      <c r="AA72" s="431"/>
      <c r="AB72" s="431"/>
      <c r="AC72" s="469">
        <v>621808</v>
      </c>
      <c r="AD72" s="434">
        <v>41408</v>
      </c>
      <c r="AE72" s="434">
        <v>872791</v>
      </c>
      <c r="AF72" s="434"/>
      <c r="AG72" s="434">
        <v>16592</v>
      </c>
      <c r="AH72" s="434">
        <v>117834</v>
      </c>
      <c r="AI72" s="469">
        <v>147793</v>
      </c>
      <c r="AJ72" s="469">
        <v>96045</v>
      </c>
      <c r="AK72" s="434"/>
      <c r="AL72" s="434">
        <v>57692</v>
      </c>
      <c r="AM72" s="434"/>
    </row>
    <row r="73" spans="1:39" s="155" customFormat="1" ht="12" x14ac:dyDescent="0.2">
      <c r="A73" s="168">
        <v>19</v>
      </c>
      <c r="B73" s="189">
        <v>64568</v>
      </c>
      <c r="C73" s="268" t="s">
        <v>1329</v>
      </c>
      <c r="D73" s="432">
        <f t="shared" si="16"/>
        <v>2385568</v>
      </c>
      <c r="E73" s="434">
        <v>669362</v>
      </c>
      <c r="F73" s="434">
        <v>112571</v>
      </c>
      <c r="G73" s="434">
        <v>236500</v>
      </c>
      <c r="H73" s="434"/>
      <c r="I73" s="434">
        <v>730425</v>
      </c>
      <c r="J73" s="434">
        <v>24000</v>
      </c>
      <c r="K73" s="434">
        <v>935440</v>
      </c>
      <c r="L73" s="434"/>
      <c r="M73" s="434">
        <v>11341</v>
      </c>
      <c r="N73" s="434"/>
      <c r="O73" s="434">
        <v>15000</v>
      </c>
      <c r="P73" s="432">
        <f t="shared" si="17"/>
        <v>1761270</v>
      </c>
      <c r="Q73" s="431">
        <v>902639</v>
      </c>
      <c r="R73" s="431">
        <v>751129</v>
      </c>
      <c r="S73" s="431"/>
      <c r="T73" s="431"/>
      <c r="U73" s="431"/>
      <c r="V73" s="431">
        <v>100</v>
      </c>
      <c r="W73" s="431"/>
      <c r="X73" s="431">
        <v>87392</v>
      </c>
      <c r="Y73" s="431">
        <v>20010</v>
      </c>
      <c r="Z73" s="468"/>
      <c r="AA73" s="431"/>
      <c r="AB73" s="431"/>
      <c r="AC73" s="469">
        <v>461672</v>
      </c>
      <c r="AD73" s="434">
        <v>57881</v>
      </c>
      <c r="AE73" s="434">
        <v>667306</v>
      </c>
      <c r="AF73" s="434"/>
      <c r="AG73" s="434">
        <v>146178</v>
      </c>
      <c r="AH73" s="434">
        <v>128959</v>
      </c>
      <c r="AI73" s="469">
        <v>62539</v>
      </c>
      <c r="AJ73" s="469">
        <v>1452</v>
      </c>
      <c r="AK73" s="434"/>
      <c r="AL73" s="434">
        <v>235283</v>
      </c>
      <c r="AM73" s="434"/>
    </row>
    <row r="74" spans="1:39" s="155" customFormat="1" ht="12" x14ac:dyDescent="0.2">
      <c r="A74" s="168">
        <v>20</v>
      </c>
      <c r="B74" s="189">
        <v>64602</v>
      </c>
      <c r="C74" s="268" t="s">
        <v>1330</v>
      </c>
      <c r="D74" s="432">
        <f t="shared" si="16"/>
        <v>5526878</v>
      </c>
      <c r="E74" s="434">
        <v>885121</v>
      </c>
      <c r="F74" s="434">
        <v>201110</v>
      </c>
      <c r="G74" s="434">
        <v>222345</v>
      </c>
      <c r="H74" s="434"/>
      <c r="I74" s="434">
        <v>1474174</v>
      </c>
      <c r="J74" s="434">
        <v>407000</v>
      </c>
      <c r="K74" s="434">
        <v>986770</v>
      </c>
      <c r="L74" s="434"/>
      <c r="M74" s="434">
        <v>898448</v>
      </c>
      <c r="N74" s="434">
        <v>830277</v>
      </c>
      <c r="O74" s="434">
        <v>45088</v>
      </c>
      <c r="P74" s="432">
        <f t="shared" si="17"/>
        <v>4478665</v>
      </c>
      <c r="Q74" s="431">
        <v>1774028</v>
      </c>
      <c r="R74" s="431">
        <v>798440</v>
      </c>
      <c r="S74" s="431"/>
      <c r="T74" s="431"/>
      <c r="U74" s="431"/>
      <c r="V74" s="431">
        <v>5000</v>
      </c>
      <c r="W74" s="431">
        <v>1077292</v>
      </c>
      <c r="X74" s="431">
        <v>122652</v>
      </c>
      <c r="Y74" s="431">
        <v>70000</v>
      </c>
      <c r="Z74" s="468">
        <v>632597</v>
      </c>
      <c r="AA74" s="431"/>
      <c r="AB74" s="431">
        <v>-1344</v>
      </c>
      <c r="AC74" s="469">
        <v>603253</v>
      </c>
      <c r="AD74" s="434">
        <v>90515</v>
      </c>
      <c r="AE74" s="434">
        <v>1354807</v>
      </c>
      <c r="AF74" s="434"/>
      <c r="AG74" s="434">
        <v>123128</v>
      </c>
      <c r="AH74" s="434">
        <v>286843</v>
      </c>
      <c r="AI74" s="469">
        <v>233864</v>
      </c>
      <c r="AJ74" s="469">
        <v>8460</v>
      </c>
      <c r="AK74" s="434"/>
      <c r="AL74" s="434">
        <v>1774111</v>
      </c>
      <c r="AM74" s="434">
        <v>3684</v>
      </c>
    </row>
    <row r="75" spans="1:39" s="155" customFormat="1" ht="12" x14ac:dyDescent="0.2">
      <c r="A75" s="168">
        <v>21</v>
      </c>
      <c r="B75" s="189">
        <v>64639</v>
      </c>
      <c r="C75" s="268" t="s">
        <v>1331</v>
      </c>
      <c r="D75" s="432">
        <f t="shared" si="16"/>
        <v>7186857</v>
      </c>
      <c r="E75" s="434">
        <v>2204646</v>
      </c>
      <c r="F75" s="434">
        <v>518027</v>
      </c>
      <c r="G75" s="434">
        <v>494490</v>
      </c>
      <c r="H75" s="434"/>
      <c r="I75" s="434">
        <v>2262664</v>
      </c>
      <c r="J75" s="434">
        <v>300000</v>
      </c>
      <c r="K75" s="434">
        <v>994500</v>
      </c>
      <c r="L75" s="434"/>
      <c r="M75" s="434">
        <v>683805</v>
      </c>
      <c r="N75" s="434">
        <v>728131</v>
      </c>
      <c r="O75" s="434">
        <v>13111</v>
      </c>
      <c r="P75" s="432">
        <f t="shared" si="17"/>
        <v>6239161</v>
      </c>
      <c r="Q75" s="431">
        <v>2663238</v>
      </c>
      <c r="R75" s="431">
        <v>1278235</v>
      </c>
      <c r="S75" s="431">
        <v>40535</v>
      </c>
      <c r="T75" s="431"/>
      <c r="U75" s="431"/>
      <c r="V75" s="431">
        <v>19207</v>
      </c>
      <c r="W75" s="431">
        <v>798997</v>
      </c>
      <c r="X75" s="431">
        <v>296419</v>
      </c>
      <c r="Y75" s="431">
        <v>31960</v>
      </c>
      <c r="Z75" s="468">
        <v>296929</v>
      </c>
      <c r="AA75" s="431">
        <v>815655</v>
      </c>
      <c r="AB75" s="431">
        <v>-2014</v>
      </c>
      <c r="AC75" s="469">
        <v>1281862</v>
      </c>
      <c r="AD75" s="434">
        <v>200619</v>
      </c>
      <c r="AE75" s="434">
        <v>2167484</v>
      </c>
      <c r="AF75" s="434"/>
      <c r="AG75" s="434">
        <v>319418</v>
      </c>
      <c r="AH75" s="434">
        <v>390382</v>
      </c>
      <c r="AI75" s="469">
        <v>294033</v>
      </c>
      <c r="AJ75" s="469">
        <v>51631</v>
      </c>
      <c r="AK75" s="434"/>
      <c r="AL75" s="434">
        <v>1415500</v>
      </c>
      <c r="AM75" s="434">
        <v>118232</v>
      </c>
    </row>
    <row r="76" spans="1:39" s="155" customFormat="1" ht="12" x14ac:dyDescent="0.2">
      <c r="A76" s="168">
        <v>22</v>
      </c>
      <c r="B76" s="189">
        <v>64719</v>
      </c>
      <c r="C76" s="268" t="s">
        <v>1332</v>
      </c>
      <c r="D76" s="432">
        <f t="shared" si="16"/>
        <v>5207369</v>
      </c>
      <c r="E76" s="434">
        <v>2882853</v>
      </c>
      <c r="F76" s="434">
        <v>109712</v>
      </c>
      <c r="G76" s="434">
        <v>172449</v>
      </c>
      <c r="H76" s="434"/>
      <c r="I76" s="434">
        <v>1053164</v>
      </c>
      <c r="J76" s="434"/>
      <c r="K76" s="434">
        <v>748760</v>
      </c>
      <c r="L76" s="434"/>
      <c r="M76" s="434">
        <v>116631</v>
      </c>
      <c r="N76" s="434">
        <v>370580</v>
      </c>
      <c r="O76" s="434">
        <v>35381</v>
      </c>
      <c r="P76" s="432">
        <f t="shared" si="17"/>
        <v>3206645</v>
      </c>
      <c r="Q76" s="431">
        <v>1252966</v>
      </c>
      <c r="R76" s="431">
        <v>752000</v>
      </c>
      <c r="S76" s="431"/>
      <c r="T76" s="431"/>
      <c r="U76" s="431"/>
      <c r="V76" s="431"/>
      <c r="W76" s="431">
        <v>483741</v>
      </c>
      <c r="X76" s="431">
        <v>37642</v>
      </c>
      <c r="Y76" s="431">
        <v>132970</v>
      </c>
      <c r="Z76" s="468">
        <v>549886</v>
      </c>
      <c r="AA76" s="431"/>
      <c r="AB76" s="431">
        <v>-2560</v>
      </c>
      <c r="AC76" s="469">
        <v>732007</v>
      </c>
      <c r="AD76" s="434">
        <v>5803</v>
      </c>
      <c r="AE76" s="434">
        <v>1267406</v>
      </c>
      <c r="AF76" s="434"/>
      <c r="AG76" s="434">
        <v>337865</v>
      </c>
      <c r="AH76" s="434">
        <v>157686</v>
      </c>
      <c r="AI76" s="469">
        <v>89181</v>
      </c>
      <c r="AJ76" s="469">
        <v>3932</v>
      </c>
      <c r="AK76" s="434"/>
      <c r="AL76" s="434">
        <v>570811</v>
      </c>
      <c r="AM76" s="434">
        <v>41954</v>
      </c>
    </row>
    <row r="77" spans="1:39" s="155" customFormat="1" ht="12" x14ac:dyDescent="0.2">
      <c r="A77" s="168">
        <v>23</v>
      </c>
      <c r="B77" s="189">
        <v>64773</v>
      </c>
      <c r="C77" s="268" t="s">
        <v>1333</v>
      </c>
      <c r="D77" s="432">
        <f t="shared" si="16"/>
        <v>4951480</v>
      </c>
      <c r="E77" s="434">
        <v>2013095</v>
      </c>
      <c r="F77" s="434">
        <v>420700</v>
      </c>
      <c r="G77" s="434">
        <v>237812</v>
      </c>
      <c r="H77" s="434"/>
      <c r="I77" s="434">
        <v>1401562</v>
      </c>
      <c r="J77" s="434">
        <v>150000</v>
      </c>
      <c r="K77" s="434">
        <v>475320</v>
      </c>
      <c r="L77" s="434"/>
      <c r="M77" s="434">
        <v>202674</v>
      </c>
      <c r="N77" s="434">
        <v>657509</v>
      </c>
      <c r="O77" s="434">
        <v>51320</v>
      </c>
      <c r="P77" s="432">
        <f t="shared" si="17"/>
        <v>4438957</v>
      </c>
      <c r="Q77" s="431">
        <v>1650732</v>
      </c>
      <c r="R77" s="431">
        <v>984660</v>
      </c>
      <c r="S77" s="431"/>
      <c r="T77" s="431"/>
      <c r="U77" s="431"/>
      <c r="V77" s="431">
        <v>28002</v>
      </c>
      <c r="W77" s="431">
        <v>1044889</v>
      </c>
      <c r="X77" s="431">
        <v>133959</v>
      </c>
      <c r="Y77" s="431">
        <v>83048</v>
      </c>
      <c r="Z77" s="468">
        <v>513667</v>
      </c>
      <c r="AA77" s="431"/>
      <c r="AB77" s="431"/>
      <c r="AC77" s="469">
        <v>458219</v>
      </c>
      <c r="AD77" s="434">
        <v>1167063</v>
      </c>
      <c r="AE77" s="434">
        <v>1426665</v>
      </c>
      <c r="AF77" s="434"/>
      <c r="AG77" s="434">
        <v>504699</v>
      </c>
      <c r="AH77" s="434">
        <v>241900</v>
      </c>
      <c r="AI77" s="469">
        <v>306063</v>
      </c>
      <c r="AJ77" s="469">
        <v>46344</v>
      </c>
      <c r="AK77" s="434"/>
      <c r="AL77" s="434">
        <v>286404</v>
      </c>
      <c r="AM77" s="434">
        <v>1600</v>
      </c>
    </row>
    <row r="78" spans="1:39" s="155" customFormat="1" ht="12" x14ac:dyDescent="0.2">
      <c r="A78" s="168">
        <v>24</v>
      </c>
      <c r="B78" s="189">
        <v>64826</v>
      </c>
      <c r="C78" s="268" t="s">
        <v>1334</v>
      </c>
      <c r="D78" s="432">
        <f t="shared" si="16"/>
        <v>5990277</v>
      </c>
      <c r="E78" s="434">
        <v>1485152</v>
      </c>
      <c r="F78" s="434">
        <v>350410</v>
      </c>
      <c r="G78" s="434">
        <v>340969</v>
      </c>
      <c r="H78" s="434"/>
      <c r="I78" s="434">
        <v>2539989</v>
      </c>
      <c r="J78" s="434">
        <v>400000</v>
      </c>
      <c r="K78" s="434">
        <v>997690</v>
      </c>
      <c r="L78" s="434"/>
      <c r="M78" s="434">
        <v>481094</v>
      </c>
      <c r="N78" s="434">
        <v>80352</v>
      </c>
      <c r="O78" s="434">
        <v>6000</v>
      </c>
      <c r="P78" s="432">
        <f t="shared" si="17"/>
        <v>5513129</v>
      </c>
      <c r="Q78" s="431">
        <v>2993813</v>
      </c>
      <c r="R78" s="431">
        <v>1425440</v>
      </c>
      <c r="S78" s="431"/>
      <c r="T78" s="431"/>
      <c r="U78" s="431"/>
      <c r="V78" s="431">
        <v>7000</v>
      </c>
      <c r="W78" s="431">
        <v>501378</v>
      </c>
      <c r="X78" s="431">
        <v>133290</v>
      </c>
      <c r="Y78" s="431">
        <v>59600</v>
      </c>
      <c r="Z78" s="468">
        <v>399297</v>
      </c>
      <c r="AA78" s="431"/>
      <c r="AB78" s="431">
        <v>-6689</v>
      </c>
      <c r="AC78" s="469">
        <v>811629</v>
      </c>
      <c r="AD78" s="434">
        <v>84948</v>
      </c>
      <c r="AE78" s="434">
        <v>2376036</v>
      </c>
      <c r="AF78" s="434"/>
      <c r="AG78" s="434">
        <v>424666</v>
      </c>
      <c r="AH78" s="434">
        <v>421159</v>
      </c>
      <c r="AI78" s="469">
        <v>308224</v>
      </c>
      <c r="AJ78" s="469">
        <v>6534</v>
      </c>
      <c r="AK78" s="434"/>
      <c r="AL78" s="434">
        <v>780919</v>
      </c>
      <c r="AM78" s="434">
        <v>299014</v>
      </c>
    </row>
    <row r="79" spans="1:39" s="155" customFormat="1" ht="12" x14ac:dyDescent="0.2">
      <c r="A79" s="168">
        <v>25</v>
      </c>
      <c r="B79" s="189">
        <v>64871</v>
      </c>
      <c r="C79" s="268" t="s">
        <v>1335</v>
      </c>
      <c r="D79" s="432">
        <f t="shared" si="16"/>
        <v>8135814</v>
      </c>
      <c r="E79" s="434">
        <v>2468219</v>
      </c>
      <c r="F79" s="434">
        <v>391290</v>
      </c>
      <c r="G79" s="434">
        <v>436935</v>
      </c>
      <c r="H79" s="434"/>
      <c r="I79" s="434">
        <v>1805914</v>
      </c>
      <c r="J79" s="434">
        <v>900000</v>
      </c>
      <c r="K79" s="434">
        <v>867120</v>
      </c>
      <c r="L79" s="434"/>
      <c r="M79" s="434">
        <v>155907</v>
      </c>
      <c r="N79" s="434">
        <v>444898</v>
      </c>
      <c r="O79" s="434">
        <v>1493756</v>
      </c>
      <c r="P79" s="432">
        <f t="shared" si="17"/>
        <v>8011170</v>
      </c>
      <c r="Q79" s="431">
        <v>2075261</v>
      </c>
      <c r="R79" s="431">
        <v>1417376</v>
      </c>
      <c r="S79" s="431"/>
      <c r="T79" s="431"/>
      <c r="U79" s="431"/>
      <c r="V79" s="431"/>
      <c r="W79" s="431">
        <v>308596</v>
      </c>
      <c r="X79" s="431">
        <v>260366</v>
      </c>
      <c r="Y79" s="431">
        <v>4000</v>
      </c>
      <c r="Z79" s="468">
        <v>3948368</v>
      </c>
      <c r="AA79" s="431"/>
      <c r="AB79" s="431">
        <v>-2797</v>
      </c>
      <c r="AC79" s="469">
        <v>1200348</v>
      </c>
      <c r="AD79" s="434">
        <v>47085</v>
      </c>
      <c r="AE79" s="434">
        <v>1565633</v>
      </c>
      <c r="AF79" s="434"/>
      <c r="AG79" s="434">
        <v>141469</v>
      </c>
      <c r="AH79" s="434">
        <v>383838</v>
      </c>
      <c r="AI79" s="469">
        <v>321394</v>
      </c>
      <c r="AJ79" s="469">
        <v>2839513</v>
      </c>
      <c r="AK79" s="434"/>
      <c r="AL79" s="434">
        <v>1511890</v>
      </c>
      <c r="AM79" s="434"/>
    </row>
    <row r="80" spans="1:39" s="155" customFormat="1" ht="12" x14ac:dyDescent="0.2">
      <c r="A80" s="168">
        <v>26</v>
      </c>
      <c r="B80" s="189">
        <v>64906</v>
      </c>
      <c r="C80" s="268" t="s">
        <v>1336</v>
      </c>
      <c r="D80" s="432">
        <f t="shared" si="16"/>
        <v>3035131</v>
      </c>
      <c r="E80" s="434">
        <v>996736</v>
      </c>
      <c r="F80" s="434">
        <v>220362</v>
      </c>
      <c r="G80" s="434">
        <v>178360</v>
      </c>
      <c r="H80" s="434"/>
      <c r="I80" s="434">
        <v>1274562</v>
      </c>
      <c r="J80" s="434"/>
      <c r="K80" s="434">
        <v>744030</v>
      </c>
      <c r="L80" s="434"/>
      <c r="M80" s="434">
        <v>3457</v>
      </c>
      <c r="N80" s="434"/>
      <c r="O80" s="434">
        <v>16346</v>
      </c>
      <c r="P80" s="432">
        <f t="shared" si="17"/>
        <v>2478434</v>
      </c>
      <c r="Q80" s="431">
        <v>1495409</v>
      </c>
      <c r="R80" s="431">
        <v>595308</v>
      </c>
      <c r="S80" s="431"/>
      <c r="T80" s="431"/>
      <c r="U80" s="431"/>
      <c r="V80" s="431">
        <v>2600</v>
      </c>
      <c r="W80" s="431"/>
      <c r="X80" s="431">
        <v>77158</v>
      </c>
      <c r="Y80" s="431">
        <v>27200</v>
      </c>
      <c r="Z80" s="468">
        <v>280759</v>
      </c>
      <c r="AA80" s="431"/>
      <c r="AB80" s="431"/>
      <c r="AC80" s="469">
        <v>749611</v>
      </c>
      <c r="AD80" s="434">
        <v>6762</v>
      </c>
      <c r="AE80" s="434">
        <v>1245052</v>
      </c>
      <c r="AF80" s="434"/>
      <c r="AG80" s="434">
        <v>132291</v>
      </c>
      <c r="AH80" s="434">
        <v>178922</v>
      </c>
      <c r="AI80" s="469">
        <v>156509</v>
      </c>
      <c r="AJ80" s="469">
        <v>5593</v>
      </c>
      <c r="AK80" s="434"/>
      <c r="AL80" s="434">
        <v>3694</v>
      </c>
      <c r="AM80" s="434"/>
    </row>
    <row r="81" spans="1:39" s="155" customFormat="1" ht="12" x14ac:dyDescent="0.2">
      <c r="A81" s="168">
        <v>27</v>
      </c>
      <c r="B81" s="189">
        <v>64942</v>
      </c>
      <c r="C81" s="268" t="s">
        <v>1337</v>
      </c>
      <c r="D81" s="432">
        <f t="shared" si="16"/>
        <v>6566282</v>
      </c>
      <c r="E81" s="434">
        <v>1225121</v>
      </c>
      <c r="F81" s="434">
        <v>442514</v>
      </c>
      <c r="G81" s="434">
        <v>248499</v>
      </c>
      <c r="H81" s="434"/>
      <c r="I81" s="434">
        <v>3346480</v>
      </c>
      <c r="J81" s="434">
        <v>130000</v>
      </c>
      <c r="K81" s="434">
        <v>964260</v>
      </c>
      <c r="L81" s="434"/>
      <c r="M81" s="434">
        <v>166129</v>
      </c>
      <c r="N81" s="434">
        <v>716910</v>
      </c>
      <c r="O81" s="434">
        <v>17382</v>
      </c>
      <c r="P81" s="432">
        <f t="shared" si="17"/>
        <v>6436537</v>
      </c>
      <c r="Q81" s="431">
        <v>3223578</v>
      </c>
      <c r="R81" s="431">
        <v>1620442</v>
      </c>
      <c r="S81" s="431">
        <v>4224</v>
      </c>
      <c r="T81" s="431"/>
      <c r="U81" s="431"/>
      <c r="V81" s="431"/>
      <c r="W81" s="431">
        <v>786705</v>
      </c>
      <c r="X81" s="431">
        <v>412381</v>
      </c>
      <c r="Y81" s="431">
        <v>17854</v>
      </c>
      <c r="Z81" s="468"/>
      <c r="AA81" s="431">
        <v>371353</v>
      </c>
      <c r="AB81" s="431"/>
      <c r="AC81" s="469">
        <v>962977</v>
      </c>
      <c r="AD81" s="434">
        <v>3797</v>
      </c>
      <c r="AE81" s="434">
        <v>3421087</v>
      </c>
      <c r="AF81" s="434">
        <v>21487</v>
      </c>
      <c r="AG81" s="434">
        <v>86270</v>
      </c>
      <c r="AH81" s="434">
        <v>471744</v>
      </c>
      <c r="AI81" s="469">
        <v>184854</v>
      </c>
      <c r="AJ81" s="469">
        <v>45537</v>
      </c>
      <c r="AK81" s="434"/>
      <c r="AL81" s="434">
        <v>619922</v>
      </c>
      <c r="AM81" s="434">
        <v>618862</v>
      </c>
    </row>
    <row r="82" spans="1:39" s="155" customFormat="1" ht="12" x14ac:dyDescent="0.2">
      <c r="A82" s="168">
        <v>28</v>
      </c>
      <c r="B82" s="189">
        <v>64997</v>
      </c>
      <c r="C82" s="268" t="s">
        <v>1338</v>
      </c>
      <c r="D82" s="432">
        <f t="shared" si="16"/>
        <v>5342299</v>
      </c>
      <c r="E82" s="434">
        <v>688413</v>
      </c>
      <c r="F82" s="434">
        <v>137581</v>
      </c>
      <c r="G82" s="434">
        <v>232558</v>
      </c>
      <c r="H82" s="434"/>
      <c r="I82" s="434">
        <v>902579</v>
      </c>
      <c r="J82" s="434">
        <v>44764</v>
      </c>
      <c r="K82" s="434">
        <v>921490</v>
      </c>
      <c r="L82" s="434"/>
      <c r="M82" s="434">
        <v>652457</v>
      </c>
      <c r="N82" s="434">
        <v>2120596</v>
      </c>
      <c r="O82" s="434">
        <v>12000</v>
      </c>
      <c r="P82" s="432">
        <f t="shared" si="17"/>
        <v>7449332</v>
      </c>
      <c r="Q82" s="431">
        <v>1040073</v>
      </c>
      <c r="R82" s="431">
        <v>502766</v>
      </c>
      <c r="S82" s="431"/>
      <c r="T82" s="431"/>
      <c r="U82" s="431"/>
      <c r="V82" s="431"/>
      <c r="W82" s="431">
        <v>5673419</v>
      </c>
      <c r="X82" s="431">
        <v>65791</v>
      </c>
      <c r="Y82" s="431">
        <v>3600</v>
      </c>
      <c r="Z82" s="468">
        <v>163683</v>
      </c>
      <c r="AA82" s="431"/>
      <c r="AB82" s="431"/>
      <c r="AC82" s="469">
        <v>472423</v>
      </c>
      <c r="AD82" s="434">
        <v>106697</v>
      </c>
      <c r="AE82" s="434">
        <v>817718</v>
      </c>
      <c r="AF82" s="434"/>
      <c r="AG82" s="434">
        <v>11835</v>
      </c>
      <c r="AH82" s="434">
        <v>159131</v>
      </c>
      <c r="AI82" s="469">
        <v>80288</v>
      </c>
      <c r="AJ82" s="469">
        <v>77314</v>
      </c>
      <c r="AK82" s="434"/>
      <c r="AL82" s="434">
        <v>5723926</v>
      </c>
      <c r="AM82" s="434"/>
    </row>
    <row r="83" spans="1:39" s="155" customFormat="1" ht="12" x14ac:dyDescent="0.2">
      <c r="A83" s="168">
        <v>29</v>
      </c>
      <c r="B83" s="189">
        <v>65011</v>
      </c>
      <c r="C83" s="268" t="s">
        <v>1339</v>
      </c>
      <c r="D83" s="432">
        <f t="shared" si="16"/>
        <v>10222438</v>
      </c>
      <c r="E83" s="434">
        <v>2098752</v>
      </c>
      <c r="F83" s="434">
        <v>430522</v>
      </c>
      <c r="G83" s="434">
        <v>641696</v>
      </c>
      <c r="H83" s="434"/>
      <c r="I83" s="434">
        <v>2802539</v>
      </c>
      <c r="J83" s="434">
        <v>300000</v>
      </c>
      <c r="K83" s="434">
        <v>1185020</v>
      </c>
      <c r="L83" s="434"/>
      <c r="M83" s="434">
        <v>2090070</v>
      </c>
      <c r="N83" s="434">
        <v>1226043</v>
      </c>
      <c r="O83" s="434">
        <v>520014</v>
      </c>
      <c r="P83" s="432">
        <f t="shared" si="17"/>
        <v>9630431</v>
      </c>
      <c r="Q83" s="431">
        <v>3149946</v>
      </c>
      <c r="R83" s="431">
        <v>2997376</v>
      </c>
      <c r="S83" s="431"/>
      <c r="T83" s="431"/>
      <c r="U83" s="431"/>
      <c r="V83" s="431"/>
      <c r="W83" s="431">
        <v>454440</v>
      </c>
      <c r="X83" s="431">
        <v>243521</v>
      </c>
      <c r="Y83" s="431"/>
      <c r="Z83" s="468">
        <v>2071899</v>
      </c>
      <c r="AA83" s="431">
        <v>981460</v>
      </c>
      <c r="AB83" s="431">
        <v>-268211</v>
      </c>
      <c r="AC83" s="469">
        <v>2240832</v>
      </c>
      <c r="AD83" s="434">
        <v>233309</v>
      </c>
      <c r="AE83" s="434">
        <v>2513278</v>
      </c>
      <c r="AF83" s="434"/>
      <c r="AG83" s="434">
        <v>598163</v>
      </c>
      <c r="AH83" s="434">
        <v>605535</v>
      </c>
      <c r="AI83" s="469">
        <v>361409</v>
      </c>
      <c r="AJ83" s="469">
        <v>1725313</v>
      </c>
      <c r="AK83" s="434"/>
      <c r="AL83" s="434">
        <v>1097934</v>
      </c>
      <c r="AM83" s="434">
        <v>254658</v>
      </c>
    </row>
    <row r="84" spans="1:39" s="155" customFormat="1" ht="12" x14ac:dyDescent="0.2">
      <c r="A84" s="168">
        <v>30</v>
      </c>
      <c r="B84" s="189">
        <v>65048</v>
      </c>
      <c r="C84" s="268" t="s">
        <v>1340</v>
      </c>
      <c r="D84" s="432">
        <f t="shared" si="16"/>
        <v>6624505</v>
      </c>
      <c r="E84" s="434">
        <v>1407171</v>
      </c>
      <c r="F84" s="434">
        <v>361533</v>
      </c>
      <c r="G84" s="434">
        <v>272902</v>
      </c>
      <c r="H84" s="434"/>
      <c r="I84" s="434">
        <v>2506805</v>
      </c>
      <c r="J84" s="434">
        <v>429363</v>
      </c>
      <c r="K84" s="434">
        <v>898500</v>
      </c>
      <c r="L84" s="434"/>
      <c r="M84" s="434">
        <v>773201</v>
      </c>
      <c r="N84" s="434">
        <v>609320</v>
      </c>
      <c r="O84" s="434">
        <v>145</v>
      </c>
      <c r="P84" s="432">
        <f t="shared" si="17"/>
        <v>5513106</v>
      </c>
      <c r="Q84" s="431">
        <v>2705584</v>
      </c>
      <c r="R84" s="431">
        <v>1240508</v>
      </c>
      <c r="S84" s="431"/>
      <c r="T84" s="431"/>
      <c r="U84" s="431"/>
      <c r="V84" s="431"/>
      <c r="W84" s="431">
        <v>531191</v>
      </c>
      <c r="X84" s="431">
        <v>217526</v>
      </c>
      <c r="Y84" s="431">
        <v>14700</v>
      </c>
      <c r="Z84" s="468">
        <v>803597</v>
      </c>
      <c r="AA84" s="431"/>
      <c r="AB84" s="431"/>
      <c r="AC84" s="469">
        <v>911940</v>
      </c>
      <c r="AD84" s="434">
        <v>57475</v>
      </c>
      <c r="AE84" s="434">
        <v>2317746</v>
      </c>
      <c r="AF84" s="434"/>
      <c r="AG84" s="434">
        <v>293278</v>
      </c>
      <c r="AH84" s="434">
        <v>381265</v>
      </c>
      <c r="AI84" s="469">
        <v>151392</v>
      </c>
      <c r="AJ84" s="469">
        <v>23805</v>
      </c>
      <c r="AK84" s="434"/>
      <c r="AL84" s="434">
        <v>1350522</v>
      </c>
      <c r="AM84" s="434">
        <v>25683</v>
      </c>
    </row>
    <row r="85" spans="1:39" s="155" customFormat="1" ht="12" x14ac:dyDescent="0.2">
      <c r="A85" s="168">
        <v>31</v>
      </c>
      <c r="B85" s="189">
        <v>63553</v>
      </c>
      <c r="C85" s="268" t="s">
        <v>1341</v>
      </c>
      <c r="D85" s="432">
        <f t="shared" si="16"/>
        <v>4365023</v>
      </c>
      <c r="E85" s="434">
        <v>985485</v>
      </c>
      <c r="F85" s="434">
        <v>87115</v>
      </c>
      <c r="G85" s="434">
        <v>254238</v>
      </c>
      <c r="H85" s="434"/>
      <c r="I85" s="434">
        <v>873890</v>
      </c>
      <c r="J85" s="434">
        <v>900000</v>
      </c>
      <c r="K85" s="434">
        <v>980320</v>
      </c>
      <c r="L85" s="434"/>
      <c r="M85" s="434">
        <v>152805</v>
      </c>
      <c r="N85" s="434">
        <v>457523</v>
      </c>
      <c r="O85" s="434">
        <v>15000</v>
      </c>
      <c r="P85" s="432">
        <f t="shared" si="17"/>
        <v>3469761</v>
      </c>
      <c r="Q85" s="431">
        <v>1094708</v>
      </c>
      <c r="R85" s="431">
        <v>912420</v>
      </c>
      <c r="S85" s="431"/>
      <c r="T85" s="431"/>
      <c r="U85" s="431"/>
      <c r="V85" s="431">
        <v>1972</v>
      </c>
      <c r="W85" s="431">
        <v>582780</v>
      </c>
      <c r="X85" s="431">
        <v>65530</v>
      </c>
      <c r="Y85" s="431"/>
      <c r="Z85" s="468">
        <v>812351</v>
      </c>
      <c r="AA85" s="431"/>
      <c r="AB85" s="431"/>
      <c r="AC85" s="469">
        <v>406930</v>
      </c>
      <c r="AD85" s="434">
        <v>309943</v>
      </c>
      <c r="AE85" s="434">
        <v>845419</v>
      </c>
      <c r="AF85" s="434"/>
      <c r="AG85" s="434">
        <v>136699</v>
      </c>
      <c r="AH85" s="434">
        <v>153968</v>
      </c>
      <c r="AI85" s="469">
        <v>40039</v>
      </c>
      <c r="AJ85" s="469"/>
      <c r="AK85" s="434"/>
      <c r="AL85" s="434">
        <v>1576763</v>
      </c>
      <c r="AM85" s="434"/>
    </row>
    <row r="86" spans="1:39" s="155" customFormat="1" ht="12" x14ac:dyDescent="0.2">
      <c r="A86" s="168">
        <v>32</v>
      </c>
      <c r="B86" s="189">
        <v>63633</v>
      </c>
      <c r="C86" s="268" t="s">
        <v>1342</v>
      </c>
      <c r="D86" s="432">
        <f t="shared" si="16"/>
        <v>9788041</v>
      </c>
      <c r="E86" s="434">
        <v>3192135</v>
      </c>
      <c r="F86" s="434">
        <v>332147</v>
      </c>
      <c r="G86" s="434">
        <v>413205</v>
      </c>
      <c r="H86" s="434"/>
      <c r="I86" s="434">
        <v>2265413</v>
      </c>
      <c r="J86" s="434">
        <v>469000</v>
      </c>
      <c r="K86" s="434">
        <v>991220</v>
      </c>
      <c r="L86" s="434"/>
      <c r="M86" s="434">
        <v>1163288</v>
      </c>
      <c r="N86" s="434">
        <v>561279</v>
      </c>
      <c r="O86" s="434">
        <v>1145706</v>
      </c>
      <c r="P86" s="432">
        <f t="shared" si="17"/>
        <v>9500066</v>
      </c>
      <c r="Q86" s="431">
        <v>2910170</v>
      </c>
      <c r="R86" s="431">
        <v>2050239</v>
      </c>
      <c r="S86" s="431"/>
      <c r="T86" s="431"/>
      <c r="U86" s="431"/>
      <c r="V86" s="431">
        <v>16644</v>
      </c>
      <c r="W86" s="431">
        <v>218178</v>
      </c>
      <c r="X86" s="431">
        <v>147849</v>
      </c>
      <c r="Y86" s="431">
        <v>95720</v>
      </c>
      <c r="Z86" s="468">
        <v>3309702</v>
      </c>
      <c r="AA86" s="431">
        <v>751564</v>
      </c>
      <c r="AB86" s="431"/>
      <c r="AC86" s="469">
        <v>912253</v>
      </c>
      <c r="AD86" s="434">
        <v>24336</v>
      </c>
      <c r="AE86" s="434">
        <v>2185089</v>
      </c>
      <c r="AF86" s="434">
        <v>23220</v>
      </c>
      <c r="AG86" s="434">
        <v>256655</v>
      </c>
      <c r="AH86" s="434">
        <v>373517</v>
      </c>
      <c r="AI86" s="469">
        <v>449080</v>
      </c>
      <c r="AJ86" s="469">
        <v>1435719</v>
      </c>
      <c r="AK86" s="434"/>
      <c r="AL86" s="434">
        <v>2736381</v>
      </c>
      <c r="AM86" s="434">
        <v>1103816</v>
      </c>
    </row>
    <row r="87" spans="1:39" s="155" customFormat="1" ht="12" x14ac:dyDescent="0.2">
      <c r="A87" s="168">
        <v>33</v>
      </c>
      <c r="B87" s="189">
        <v>63688</v>
      </c>
      <c r="C87" s="268" t="s">
        <v>1343</v>
      </c>
      <c r="D87" s="432">
        <f t="shared" si="16"/>
        <v>6995361</v>
      </c>
      <c r="E87" s="434">
        <v>2554265</v>
      </c>
      <c r="F87" s="434">
        <v>580145</v>
      </c>
      <c r="G87" s="434">
        <v>311979</v>
      </c>
      <c r="H87" s="434"/>
      <c r="I87" s="434">
        <v>2259892</v>
      </c>
      <c r="J87" s="434">
        <v>51000</v>
      </c>
      <c r="K87" s="434">
        <v>641100</v>
      </c>
      <c r="L87" s="434"/>
      <c r="M87" s="434">
        <v>1092293</v>
      </c>
      <c r="N87" s="434">
        <v>396811</v>
      </c>
      <c r="O87" s="434"/>
      <c r="P87" s="432">
        <f t="shared" si="17"/>
        <v>6662457</v>
      </c>
      <c r="Q87" s="431">
        <v>3146466</v>
      </c>
      <c r="R87" s="431">
        <v>1501681</v>
      </c>
      <c r="S87" s="431"/>
      <c r="T87" s="431"/>
      <c r="U87" s="431"/>
      <c r="V87" s="431">
        <v>20984</v>
      </c>
      <c r="W87" s="431">
        <v>215687</v>
      </c>
      <c r="X87" s="431">
        <v>101675</v>
      </c>
      <c r="Y87" s="431">
        <v>42240</v>
      </c>
      <c r="Z87" s="468">
        <v>1633724</v>
      </c>
      <c r="AA87" s="431"/>
      <c r="AB87" s="431"/>
      <c r="AC87" s="469">
        <v>850689</v>
      </c>
      <c r="AD87" s="434"/>
      <c r="AE87" s="434">
        <v>2121765</v>
      </c>
      <c r="AF87" s="434"/>
      <c r="AG87" s="434">
        <v>458039</v>
      </c>
      <c r="AH87" s="434">
        <v>354841</v>
      </c>
      <c r="AI87" s="469">
        <v>229908</v>
      </c>
      <c r="AJ87" s="469">
        <v>1031721</v>
      </c>
      <c r="AK87" s="434"/>
      <c r="AL87" s="434">
        <v>1588533</v>
      </c>
      <c r="AM87" s="434">
        <v>26961</v>
      </c>
    </row>
    <row r="88" spans="1:39" s="155" customFormat="1" ht="12" x14ac:dyDescent="0.2">
      <c r="A88" s="168">
        <v>34</v>
      </c>
      <c r="B88" s="189">
        <v>65099</v>
      </c>
      <c r="C88" s="268" t="s">
        <v>1344</v>
      </c>
      <c r="D88" s="432">
        <f t="shared" si="16"/>
        <v>2350174</v>
      </c>
      <c r="E88" s="434">
        <v>460861</v>
      </c>
      <c r="F88" s="434">
        <v>65671</v>
      </c>
      <c r="G88" s="434">
        <v>287742</v>
      </c>
      <c r="H88" s="434"/>
      <c r="I88" s="434">
        <v>739423</v>
      </c>
      <c r="J88" s="434"/>
      <c r="K88" s="434">
        <v>1123620</v>
      </c>
      <c r="L88" s="434"/>
      <c r="M88" s="434">
        <v>21770</v>
      </c>
      <c r="N88" s="434"/>
      <c r="O88" s="434">
        <v>4500</v>
      </c>
      <c r="P88" s="432">
        <f t="shared" si="17"/>
        <v>2261700</v>
      </c>
      <c r="Q88" s="431">
        <v>1030994</v>
      </c>
      <c r="R88" s="431">
        <v>579133</v>
      </c>
      <c r="S88" s="431"/>
      <c r="T88" s="431"/>
      <c r="U88" s="431"/>
      <c r="V88" s="431"/>
      <c r="W88" s="431"/>
      <c r="X88" s="431">
        <v>78115</v>
      </c>
      <c r="Y88" s="431"/>
      <c r="Z88" s="468">
        <v>573458</v>
      </c>
      <c r="AA88" s="431"/>
      <c r="AB88" s="431"/>
      <c r="AC88" s="469">
        <v>585616</v>
      </c>
      <c r="AD88" s="434"/>
      <c r="AE88" s="434">
        <v>729803</v>
      </c>
      <c r="AF88" s="434"/>
      <c r="AG88" s="434">
        <v>571038</v>
      </c>
      <c r="AH88" s="434">
        <v>182915</v>
      </c>
      <c r="AI88" s="469">
        <v>25389</v>
      </c>
      <c r="AJ88" s="469">
        <v>2979</v>
      </c>
      <c r="AK88" s="434"/>
      <c r="AL88" s="434">
        <v>163960</v>
      </c>
      <c r="AM88" s="434"/>
    </row>
    <row r="89" spans="1:39" s="155" customFormat="1" ht="12" x14ac:dyDescent="0.2">
      <c r="A89" s="168">
        <v>35</v>
      </c>
      <c r="B89" s="189">
        <v>65105</v>
      </c>
      <c r="C89" s="268" t="s">
        <v>1345</v>
      </c>
      <c r="D89" s="432">
        <f t="shared" si="16"/>
        <v>5164393</v>
      </c>
      <c r="E89" s="434">
        <v>1298309</v>
      </c>
      <c r="F89" s="434">
        <v>136123</v>
      </c>
      <c r="G89" s="434">
        <v>198069</v>
      </c>
      <c r="H89" s="434"/>
      <c r="I89" s="434">
        <v>838571</v>
      </c>
      <c r="J89" s="434"/>
      <c r="K89" s="434">
        <v>818880</v>
      </c>
      <c r="L89" s="434"/>
      <c r="M89" s="434">
        <v>518320</v>
      </c>
      <c r="N89" s="434">
        <v>1674813</v>
      </c>
      <c r="O89" s="434">
        <v>15500</v>
      </c>
      <c r="P89" s="432">
        <f t="shared" si="17"/>
        <v>6700474</v>
      </c>
      <c r="Q89" s="431">
        <v>1074916</v>
      </c>
      <c r="R89" s="431">
        <v>916056</v>
      </c>
      <c r="S89" s="431">
        <v>1375</v>
      </c>
      <c r="T89" s="431"/>
      <c r="U89" s="431"/>
      <c r="V89" s="431"/>
      <c r="W89" s="431">
        <v>4325206</v>
      </c>
      <c r="X89" s="431">
        <v>99527</v>
      </c>
      <c r="Y89" s="431">
        <v>3000</v>
      </c>
      <c r="Z89" s="468">
        <v>280394</v>
      </c>
      <c r="AA89" s="431"/>
      <c r="AB89" s="431"/>
      <c r="AC89" s="469">
        <v>554188</v>
      </c>
      <c r="AD89" s="434">
        <v>9101</v>
      </c>
      <c r="AE89" s="434">
        <v>789959</v>
      </c>
      <c r="AF89" s="434"/>
      <c r="AG89" s="434">
        <v>43033</v>
      </c>
      <c r="AH89" s="434">
        <v>126527</v>
      </c>
      <c r="AI89" s="469">
        <v>400814</v>
      </c>
      <c r="AJ89" s="469">
        <v>127839</v>
      </c>
      <c r="AK89" s="434"/>
      <c r="AL89" s="434">
        <v>4462957</v>
      </c>
      <c r="AM89" s="434">
        <v>186056</v>
      </c>
    </row>
    <row r="90" spans="1:39" s="155" customFormat="1" ht="12" x14ac:dyDescent="0.2">
      <c r="A90" s="168">
        <v>36</v>
      </c>
      <c r="B90" s="189">
        <v>65113</v>
      </c>
      <c r="C90" s="268" t="s">
        <v>1346</v>
      </c>
      <c r="D90" s="432">
        <f t="shared" si="16"/>
        <v>2552827</v>
      </c>
      <c r="E90" s="434">
        <v>1161011</v>
      </c>
      <c r="F90" s="434">
        <v>507755</v>
      </c>
      <c r="G90" s="434">
        <v>109381</v>
      </c>
      <c r="H90" s="434"/>
      <c r="I90" s="434">
        <v>651735</v>
      </c>
      <c r="J90" s="434">
        <v>279995</v>
      </c>
      <c r="K90" s="434">
        <v>440100</v>
      </c>
      <c r="L90" s="434"/>
      <c r="M90" s="434">
        <v>1086</v>
      </c>
      <c r="N90" s="434"/>
      <c r="O90" s="434">
        <v>18900</v>
      </c>
      <c r="P90" s="432">
        <f t="shared" si="17"/>
        <v>1672094</v>
      </c>
      <c r="Q90" s="431">
        <v>847594</v>
      </c>
      <c r="R90" s="431">
        <v>434396</v>
      </c>
      <c r="S90" s="431"/>
      <c r="T90" s="431"/>
      <c r="U90" s="431"/>
      <c r="V90" s="431">
        <v>30200</v>
      </c>
      <c r="W90" s="431"/>
      <c r="X90" s="431">
        <v>92309</v>
      </c>
      <c r="Y90" s="431">
        <v>54564</v>
      </c>
      <c r="Z90" s="468">
        <v>213031</v>
      </c>
      <c r="AA90" s="431"/>
      <c r="AB90" s="431"/>
      <c r="AC90" s="469">
        <v>503913</v>
      </c>
      <c r="AD90" s="434">
        <v>63989</v>
      </c>
      <c r="AE90" s="434">
        <v>601248</v>
      </c>
      <c r="AF90" s="434"/>
      <c r="AG90" s="434">
        <v>149121</v>
      </c>
      <c r="AH90" s="434">
        <v>138907</v>
      </c>
      <c r="AI90" s="469">
        <v>92524</v>
      </c>
      <c r="AJ90" s="469">
        <v>28898</v>
      </c>
      <c r="AK90" s="434"/>
      <c r="AL90" s="434">
        <v>93494</v>
      </c>
      <c r="AM90" s="434"/>
    </row>
    <row r="91" spans="1:39" s="155" customFormat="1" ht="12" x14ac:dyDescent="0.2">
      <c r="A91" s="168">
        <v>37</v>
      </c>
      <c r="B91" s="189">
        <v>65121</v>
      </c>
      <c r="C91" s="268" t="s">
        <v>142</v>
      </c>
      <c r="D91" s="432">
        <f t="shared" si="16"/>
        <v>2261326</v>
      </c>
      <c r="E91" s="434">
        <v>771718</v>
      </c>
      <c r="F91" s="434">
        <v>151943</v>
      </c>
      <c r="G91" s="434">
        <v>151754</v>
      </c>
      <c r="H91" s="434"/>
      <c r="I91" s="434">
        <v>828939</v>
      </c>
      <c r="J91" s="434"/>
      <c r="K91" s="434">
        <v>639980</v>
      </c>
      <c r="L91" s="434"/>
      <c r="M91" s="434">
        <v>12289</v>
      </c>
      <c r="N91" s="434"/>
      <c r="O91" s="434">
        <v>8400</v>
      </c>
      <c r="P91" s="432">
        <f t="shared" si="17"/>
        <v>2056238</v>
      </c>
      <c r="Q91" s="431">
        <v>1036470</v>
      </c>
      <c r="R91" s="431">
        <v>583807</v>
      </c>
      <c r="S91" s="431"/>
      <c r="T91" s="431"/>
      <c r="U91" s="431"/>
      <c r="V91" s="431">
        <v>7100</v>
      </c>
      <c r="W91" s="431"/>
      <c r="X91" s="431">
        <v>115272</v>
      </c>
      <c r="Y91" s="431">
        <v>41250</v>
      </c>
      <c r="Z91" s="468">
        <v>280197</v>
      </c>
      <c r="AA91" s="431"/>
      <c r="AB91" s="431">
        <v>-7858</v>
      </c>
      <c r="AC91" s="469">
        <v>475526</v>
      </c>
      <c r="AD91" s="434">
        <v>37570</v>
      </c>
      <c r="AE91" s="434">
        <v>768075</v>
      </c>
      <c r="AF91" s="434"/>
      <c r="AG91" s="434">
        <v>20821</v>
      </c>
      <c r="AH91" s="434">
        <v>173659</v>
      </c>
      <c r="AI91" s="469">
        <v>361810</v>
      </c>
      <c r="AJ91" s="469">
        <v>77691</v>
      </c>
      <c r="AK91" s="434"/>
      <c r="AL91" s="434">
        <v>2976</v>
      </c>
      <c r="AM91" s="434">
        <v>138110</v>
      </c>
    </row>
    <row r="92" spans="1:39" s="155" customFormat="1" ht="12" x14ac:dyDescent="0.2">
      <c r="A92" s="168">
        <v>38</v>
      </c>
      <c r="B92" s="189">
        <v>65147</v>
      </c>
      <c r="C92" s="268" t="s">
        <v>1347</v>
      </c>
      <c r="D92" s="432">
        <f t="shared" si="16"/>
        <v>2526945</v>
      </c>
      <c r="E92" s="434">
        <v>691463</v>
      </c>
      <c r="F92" s="434">
        <v>108419</v>
      </c>
      <c r="G92" s="434">
        <v>241427</v>
      </c>
      <c r="H92" s="434"/>
      <c r="I92" s="434">
        <v>535393</v>
      </c>
      <c r="J92" s="434">
        <v>14961</v>
      </c>
      <c r="K92" s="434">
        <v>940520</v>
      </c>
      <c r="L92" s="434"/>
      <c r="M92" s="434">
        <v>66195</v>
      </c>
      <c r="N92" s="434">
        <v>176378</v>
      </c>
      <c r="O92" s="434">
        <v>102035</v>
      </c>
      <c r="P92" s="432">
        <f t="shared" si="17"/>
        <v>2040411</v>
      </c>
      <c r="Q92" s="431">
        <v>758527</v>
      </c>
      <c r="R92" s="431">
        <v>464686</v>
      </c>
      <c r="S92" s="431"/>
      <c r="T92" s="431"/>
      <c r="U92" s="431"/>
      <c r="V92" s="431"/>
      <c r="W92" s="431">
        <v>285023</v>
      </c>
      <c r="X92" s="431">
        <v>46974</v>
      </c>
      <c r="Y92" s="431">
        <v>2460</v>
      </c>
      <c r="Z92" s="468">
        <v>553841</v>
      </c>
      <c r="AA92" s="431"/>
      <c r="AB92" s="431">
        <v>-71100</v>
      </c>
      <c r="AC92" s="469">
        <v>498995</v>
      </c>
      <c r="AD92" s="434">
        <v>17233</v>
      </c>
      <c r="AE92" s="434">
        <v>947803</v>
      </c>
      <c r="AF92" s="434"/>
      <c r="AG92" s="434">
        <v>322719</v>
      </c>
      <c r="AH92" s="434">
        <v>86649</v>
      </c>
      <c r="AI92" s="469">
        <v>-18730</v>
      </c>
      <c r="AJ92" s="469">
        <v>1596</v>
      </c>
      <c r="AK92" s="434"/>
      <c r="AL92" s="434">
        <v>184146</v>
      </c>
      <c r="AM92" s="434"/>
    </row>
    <row r="93" spans="1:39" s="155" customFormat="1" ht="12" x14ac:dyDescent="0.2">
      <c r="A93" s="168">
        <v>39</v>
      </c>
      <c r="B93" s="189">
        <v>65139</v>
      </c>
      <c r="C93" s="268" t="s">
        <v>1348</v>
      </c>
      <c r="D93" s="432">
        <f t="shared" si="16"/>
        <v>2492814</v>
      </c>
      <c r="E93" s="434">
        <v>652629</v>
      </c>
      <c r="F93" s="434">
        <v>109641</v>
      </c>
      <c r="G93" s="434">
        <v>246354</v>
      </c>
      <c r="H93" s="434"/>
      <c r="I93" s="434">
        <v>818797</v>
      </c>
      <c r="J93" s="434"/>
      <c r="K93" s="434">
        <v>975310</v>
      </c>
      <c r="L93" s="434"/>
      <c r="M93" s="434">
        <v>12628</v>
      </c>
      <c r="N93" s="434"/>
      <c r="O93" s="434">
        <v>33450</v>
      </c>
      <c r="P93" s="432">
        <f t="shared" si="17"/>
        <v>2020424</v>
      </c>
      <c r="Q93" s="431">
        <v>1000176</v>
      </c>
      <c r="R93" s="431">
        <v>675726</v>
      </c>
      <c r="S93" s="431"/>
      <c r="T93" s="431"/>
      <c r="U93" s="431"/>
      <c r="V93" s="431"/>
      <c r="W93" s="431"/>
      <c r="X93" s="431">
        <v>58910</v>
      </c>
      <c r="Y93" s="431">
        <v>49890</v>
      </c>
      <c r="Z93" s="468">
        <v>235722</v>
      </c>
      <c r="AA93" s="431"/>
      <c r="AB93" s="431"/>
      <c r="AC93" s="469">
        <v>482168</v>
      </c>
      <c r="AD93" s="434">
        <v>70481</v>
      </c>
      <c r="AE93" s="434">
        <v>837990</v>
      </c>
      <c r="AF93" s="434">
        <v>12000</v>
      </c>
      <c r="AG93" s="434">
        <v>132585</v>
      </c>
      <c r="AH93" s="434">
        <v>117820</v>
      </c>
      <c r="AI93" s="469">
        <v>71186</v>
      </c>
      <c r="AJ93" s="469">
        <v>191885</v>
      </c>
      <c r="AK93" s="434"/>
      <c r="AL93" s="434">
        <v>104309</v>
      </c>
      <c r="AM93" s="434"/>
    </row>
    <row r="94" spans="1:39" s="155" customFormat="1" ht="12" x14ac:dyDescent="0.2">
      <c r="A94" s="168">
        <v>40</v>
      </c>
      <c r="B94" s="191">
        <v>65154</v>
      </c>
      <c r="C94" s="268" t="s">
        <v>1349</v>
      </c>
      <c r="D94" s="432">
        <f t="shared" si="16"/>
        <v>4541073</v>
      </c>
      <c r="E94" s="434">
        <v>1123405</v>
      </c>
      <c r="F94" s="434">
        <v>699694</v>
      </c>
      <c r="G94" s="434">
        <v>135002</v>
      </c>
      <c r="H94" s="434"/>
      <c r="I94" s="434">
        <v>867362</v>
      </c>
      <c r="J94" s="434">
        <v>130000</v>
      </c>
      <c r="K94" s="434">
        <v>529700</v>
      </c>
      <c r="L94" s="434"/>
      <c r="M94" s="434">
        <v>215509</v>
      </c>
      <c r="N94" s="434">
        <v>711041</v>
      </c>
      <c r="O94" s="434">
        <v>964056</v>
      </c>
      <c r="P94" s="432">
        <f t="shared" si="17"/>
        <v>4362613</v>
      </c>
      <c r="Q94" s="431">
        <v>1029752</v>
      </c>
      <c r="R94" s="431">
        <v>465278</v>
      </c>
      <c r="S94" s="431"/>
      <c r="T94" s="431"/>
      <c r="U94" s="431"/>
      <c r="V94" s="431">
        <v>14150</v>
      </c>
      <c r="W94" s="431">
        <v>1033514</v>
      </c>
      <c r="X94" s="431">
        <v>75978</v>
      </c>
      <c r="Y94" s="431">
        <v>36000</v>
      </c>
      <c r="Z94" s="468">
        <v>1829251</v>
      </c>
      <c r="AA94" s="431"/>
      <c r="AB94" s="431">
        <v>-121310</v>
      </c>
      <c r="AC94" s="469">
        <v>404220</v>
      </c>
      <c r="AD94" s="434">
        <v>3276</v>
      </c>
      <c r="AE94" s="434">
        <v>782726</v>
      </c>
      <c r="AF94" s="434"/>
      <c r="AG94" s="434">
        <v>963999</v>
      </c>
      <c r="AH94" s="434">
        <v>206898</v>
      </c>
      <c r="AI94" s="469">
        <v>99691</v>
      </c>
      <c r="AJ94" s="469">
        <v>1793401</v>
      </c>
      <c r="AK94" s="434"/>
      <c r="AL94" s="434">
        <v>94153</v>
      </c>
      <c r="AM94" s="434">
        <v>14249</v>
      </c>
    </row>
    <row r="95" spans="1:39" s="155" customFormat="1" ht="12" hidden="1" x14ac:dyDescent="0.2">
      <c r="A95" s="168">
        <v>41</v>
      </c>
      <c r="B95" s="168"/>
      <c r="C95" s="261"/>
      <c r="D95" s="432">
        <f t="shared" si="13"/>
        <v>0</v>
      </c>
      <c r="E95" s="431"/>
      <c r="F95" s="431"/>
      <c r="G95" s="431"/>
      <c r="H95" s="431"/>
      <c r="I95" s="431"/>
      <c r="J95" s="431"/>
      <c r="K95" s="431"/>
      <c r="L95" s="431"/>
      <c r="M95" s="431"/>
      <c r="N95" s="431"/>
      <c r="O95" s="431"/>
      <c r="P95" s="432">
        <f t="shared" ref="P95:P142" si="18">IF(SUM(Q95:AB95)=SUM(AC95:AM95),SUM(Q95:AB95),"  EROARE ART/CAP")</f>
        <v>0</v>
      </c>
      <c r="Q95" s="431"/>
      <c r="R95" s="431"/>
      <c r="S95" s="431"/>
      <c r="T95" s="431"/>
      <c r="U95" s="431"/>
      <c r="V95" s="431"/>
      <c r="W95" s="431"/>
      <c r="X95" s="431"/>
      <c r="Y95" s="431"/>
      <c r="Z95" s="468"/>
      <c r="AA95" s="431"/>
      <c r="AB95" s="431"/>
      <c r="AC95" s="468"/>
      <c r="AD95" s="431"/>
      <c r="AE95" s="431"/>
      <c r="AF95" s="431"/>
      <c r="AG95" s="431"/>
      <c r="AH95" s="431"/>
      <c r="AI95" s="468"/>
      <c r="AJ95" s="468"/>
      <c r="AK95" s="431"/>
      <c r="AL95" s="431"/>
      <c r="AM95" s="431"/>
    </row>
    <row r="96" spans="1:39" s="155" customFormat="1" ht="12" hidden="1" x14ac:dyDescent="0.2">
      <c r="A96" s="168">
        <v>42</v>
      </c>
      <c r="B96" s="168"/>
      <c r="C96" s="261"/>
      <c r="D96" s="432">
        <f t="shared" si="13"/>
        <v>0</v>
      </c>
      <c r="E96" s="431"/>
      <c r="F96" s="431"/>
      <c r="G96" s="431"/>
      <c r="H96" s="431"/>
      <c r="I96" s="431"/>
      <c r="J96" s="431"/>
      <c r="K96" s="431"/>
      <c r="L96" s="431"/>
      <c r="M96" s="431"/>
      <c r="N96" s="431"/>
      <c r="O96" s="431"/>
      <c r="P96" s="432">
        <f t="shared" si="18"/>
        <v>0</v>
      </c>
      <c r="Q96" s="431"/>
      <c r="R96" s="431"/>
      <c r="S96" s="431"/>
      <c r="T96" s="431"/>
      <c r="U96" s="431"/>
      <c r="V96" s="431"/>
      <c r="W96" s="431"/>
      <c r="X96" s="431"/>
      <c r="Y96" s="431"/>
      <c r="Z96" s="468"/>
      <c r="AA96" s="431"/>
      <c r="AB96" s="431"/>
      <c r="AC96" s="468"/>
      <c r="AD96" s="431"/>
      <c r="AE96" s="431"/>
      <c r="AF96" s="431"/>
      <c r="AG96" s="431"/>
      <c r="AH96" s="431"/>
      <c r="AI96" s="468"/>
      <c r="AJ96" s="468"/>
      <c r="AK96" s="431"/>
      <c r="AL96" s="431"/>
      <c r="AM96" s="431"/>
    </row>
    <row r="97" spans="1:39" s="155" customFormat="1" ht="12" hidden="1" x14ac:dyDescent="0.2">
      <c r="A97" s="168">
        <v>43</v>
      </c>
      <c r="B97" s="168"/>
      <c r="C97" s="261"/>
      <c r="D97" s="432">
        <f t="shared" si="13"/>
        <v>0</v>
      </c>
      <c r="E97" s="431"/>
      <c r="F97" s="431"/>
      <c r="G97" s="431"/>
      <c r="H97" s="431"/>
      <c r="I97" s="431"/>
      <c r="J97" s="431"/>
      <c r="K97" s="431"/>
      <c r="L97" s="431"/>
      <c r="M97" s="431"/>
      <c r="N97" s="431"/>
      <c r="O97" s="431"/>
      <c r="P97" s="432">
        <f t="shared" si="18"/>
        <v>0</v>
      </c>
      <c r="Q97" s="431"/>
      <c r="R97" s="431"/>
      <c r="S97" s="431"/>
      <c r="T97" s="431"/>
      <c r="U97" s="431"/>
      <c r="V97" s="431"/>
      <c r="W97" s="431"/>
      <c r="X97" s="431"/>
      <c r="Y97" s="431"/>
      <c r="Z97" s="468"/>
      <c r="AA97" s="431"/>
      <c r="AB97" s="431"/>
      <c r="AC97" s="468"/>
      <c r="AD97" s="431"/>
      <c r="AE97" s="431"/>
      <c r="AF97" s="431"/>
      <c r="AG97" s="431"/>
      <c r="AH97" s="431"/>
      <c r="AI97" s="468"/>
      <c r="AJ97" s="468"/>
      <c r="AK97" s="431"/>
      <c r="AL97" s="431"/>
      <c r="AM97" s="431"/>
    </row>
    <row r="98" spans="1:39" s="155" customFormat="1" ht="12" hidden="1" x14ac:dyDescent="0.2">
      <c r="A98" s="168">
        <v>44</v>
      </c>
      <c r="B98" s="168"/>
      <c r="C98" s="261"/>
      <c r="D98" s="432">
        <f t="shared" si="13"/>
        <v>0</v>
      </c>
      <c r="E98" s="431"/>
      <c r="F98" s="431"/>
      <c r="G98" s="431"/>
      <c r="H98" s="431"/>
      <c r="I98" s="431"/>
      <c r="J98" s="431"/>
      <c r="K98" s="431"/>
      <c r="L98" s="431"/>
      <c r="M98" s="431"/>
      <c r="N98" s="431"/>
      <c r="O98" s="431"/>
      <c r="P98" s="432">
        <f t="shared" si="18"/>
        <v>0</v>
      </c>
      <c r="Q98" s="431"/>
      <c r="R98" s="431"/>
      <c r="S98" s="431"/>
      <c r="T98" s="431"/>
      <c r="U98" s="431"/>
      <c r="V98" s="431"/>
      <c r="W98" s="431"/>
      <c r="X98" s="431"/>
      <c r="Y98" s="431"/>
      <c r="Z98" s="468"/>
      <c r="AA98" s="431"/>
      <c r="AB98" s="431"/>
      <c r="AC98" s="468"/>
      <c r="AD98" s="431"/>
      <c r="AE98" s="431"/>
      <c r="AF98" s="431"/>
      <c r="AG98" s="431"/>
      <c r="AH98" s="431"/>
      <c r="AI98" s="468"/>
      <c r="AJ98" s="468"/>
      <c r="AK98" s="431"/>
      <c r="AL98" s="431"/>
      <c r="AM98" s="431"/>
    </row>
    <row r="99" spans="1:39" s="155" customFormat="1" ht="12" hidden="1" x14ac:dyDescent="0.2">
      <c r="A99" s="168">
        <v>45</v>
      </c>
      <c r="B99" s="168"/>
      <c r="C99" s="261"/>
      <c r="D99" s="432">
        <f t="shared" si="13"/>
        <v>0</v>
      </c>
      <c r="E99" s="431"/>
      <c r="F99" s="431"/>
      <c r="G99" s="431"/>
      <c r="H99" s="431"/>
      <c r="I99" s="431"/>
      <c r="J99" s="431"/>
      <c r="K99" s="431"/>
      <c r="L99" s="431"/>
      <c r="M99" s="431"/>
      <c r="N99" s="431"/>
      <c r="O99" s="431"/>
      <c r="P99" s="432">
        <f t="shared" si="18"/>
        <v>0</v>
      </c>
      <c r="Q99" s="431"/>
      <c r="R99" s="431"/>
      <c r="S99" s="431"/>
      <c r="T99" s="431"/>
      <c r="U99" s="431"/>
      <c r="V99" s="431"/>
      <c r="W99" s="431"/>
      <c r="X99" s="431"/>
      <c r="Y99" s="431"/>
      <c r="Z99" s="468"/>
      <c r="AA99" s="431"/>
      <c r="AB99" s="431"/>
      <c r="AC99" s="468"/>
      <c r="AD99" s="431"/>
      <c r="AE99" s="431"/>
      <c r="AF99" s="431"/>
      <c r="AG99" s="431"/>
      <c r="AH99" s="431"/>
      <c r="AI99" s="468"/>
      <c r="AJ99" s="468"/>
      <c r="AK99" s="431"/>
      <c r="AL99" s="431"/>
      <c r="AM99" s="431"/>
    </row>
    <row r="100" spans="1:39" s="155" customFormat="1" ht="12" hidden="1" x14ac:dyDescent="0.2">
      <c r="A100" s="168">
        <v>46</v>
      </c>
      <c r="B100" s="168"/>
      <c r="C100" s="261"/>
      <c r="D100" s="432">
        <f t="shared" si="13"/>
        <v>0</v>
      </c>
      <c r="E100" s="431"/>
      <c r="F100" s="431"/>
      <c r="G100" s="431"/>
      <c r="H100" s="431"/>
      <c r="I100" s="431"/>
      <c r="J100" s="431"/>
      <c r="K100" s="431"/>
      <c r="L100" s="431"/>
      <c r="M100" s="431"/>
      <c r="N100" s="431"/>
      <c r="O100" s="431"/>
      <c r="P100" s="432">
        <f t="shared" si="18"/>
        <v>0</v>
      </c>
      <c r="Q100" s="431"/>
      <c r="R100" s="431"/>
      <c r="S100" s="431"/>
      <c r="T100" s="431"/>
      <c r="U100" s="431"/>
      <c r="V100" s="431"/>
      <c r="W100" s="431"/>
      <c r="X100" s="431"/>
      <c r="Y100" s="431"/>
      <c r="Z100" s="468"/>
      <c r="AA100" s="431"/>
      <c r="AB100" s="431"/>
      <c r="AC100" s="468"/>
      <c r="AD100" s="431"/>
      <c r="AE100" s="431"/>
      <c r="AF100" s="431"/>
      <c r="AG100" s="431"/>
      <c r="AH100" s="431"/>
      <c r="AI100" s="468"/>
      <c r="AJ100" s="468"/>
      <c r="AK100" s="431"/>
      <c r="AL100" s="431"/>
      <c r="AM100" s="431"/>
    </row>
    <row r="101" spans="1:39" s="155" customFormat="1" ht="12" hidden="1" x14ac:dyDescent="0.2">
      <c r="A101" s="168">
        <v>47</v>
      </c>
      <c r="B101" s="168"/>
      <c r="C101" s="261"/>
      <c r="D101" s="432">
        <f t="shared" si="13"/>
        <v>0</v>
      </c>
      <c r="E101" s="431"/>
      <c r="F101" s="431"/>
      <c r="G101" s="431"/>
      <c r="H101" s="431"/>
      <c r="I101" s="431"/>
      <c r="J101" s="431"/>
      <c r="K101" s="431"/>
      <c r="L101" s="431"/>
      <c r="M101" s="431"/>
      <c r="N101" s="431"/>
      <c r="O101" s="431"/>
      <c r="P101" s="432">
        <f t="shared" si="18"/>
        <v>0</v>
      </c>
      <c r="Q101" s="431"/>
      <c r="R101" s="468"/>
      <c r="S101" s="431"/>
      <c r="T101" s="431"/>
      <c r="U101" s="431"/>
      <c r="V101" s="431"/>
      <c r="W101" s="431"/>
      <c r="X101" s="431"/>
      <c r="Y101" s="431"/>
      <c r="Z101" s="468"/>
      <c r="AA101" s="431"/>
      <c r="AB101" s="431"/>
      <c r="AC101" s="468"/>
      <c r="AD101" s="431"/>
      <c r="AE101" s="431"/>
      <c r="AF101" s="431"/>
      <c r="AG101" s="431"/>
      <c r="AH101" s="431"/>
      <c r="AI101" s="468"/>
      <c r="AJ101" s="468"/>
      <c r="AK101" s="431"/>
      <c r="AL101" s="431"/>
      <c r="AM101" s="431"/>
    </row>
    <row r="102" spans="1:39" s="155" customFormat="1" ht="12" hidden="1" x14ac:dyDescent="0.2">
      <c r="A102" s="168">
        <v>48</v>
      </c>
      <c r="B102" s="168"/>
      <c r="C102" s="261"/>
      <c r="D102" s="432">
        <f t="shared" si="13"/>
        <v>0</v>
      </c>
      <c r="E102" s="431"/>
      <c r="F102" s="431"/>
      <c r="G102" s="431"/>
      <c r="H102" s="431"/>
      <c r="I102" s="431"/>
      <c r="J102" s="431"/>
      <c r="K102" s="468"/>
      <c r="L102" s="431"/>
      <c r="M102" s="431"/>
      <c r="N102" s="431"/>
      <c r="O102" s="431"/>
      <c r="P102" s="432">
        <f t="shared" si="18"/>
        <v>0</v>
      </c>
      <c r="Q102" s="431"/>
      <c r="R102" s="431"/>
      <c r="S102" s="431"/>
      <c r="T102" s="431"/>
      <c r="U102" s="431"/>
      <c r="V102" s="431"/>
      <c r="W102" s="431"/>
      <c r="X102" s="431"/>
      <c r="Y102" s="431"/>
      <c r="Z102" s="468"/>
      <c r="AA102" s="431"/>
      <c r="AB102" s="431"/>
      <c r="AC102" s="468"/>
      <c r="AD102" s="431"/>
      <c r="AE102" s="431"/>
      <c r="AF102" s="431"/>
      <c r="AG102" s="431"/>
      <c r="AH102" s="431"/>
      <c r="AI102" s="468"/>
      <c r="AJ102" s="468"/>
      <c r="AK102" s="431"/>
      <c r="AL102" s="431"/>
      <c r="AM102" s="431"/>
    </row>
    <row r="103" spans="1:39" s="155" customFormat="1" ht="12" hidden="1" x14ac:dyDescent="0.2">
      <c r="A103" s="168">
        <v>49</v>
      </c>
      <c r="B103" s="168"/>
      <c r="C103" s="261"/>
      <c r="D103" s="432">
        <f t="shared" si="13"/>
        <v>0</v>
      </c>
      <c r="E103" s="431"/>
      <c r="F103" s="431"/>
      <c r="G103" s="431"/>
      <c r="H103" s="431"/>
      <c r="I103" s="431"/>
      <c r="J103" s="431"/>
      <c r="K103" s="431"/>
      <c r="L103" s="431"/>
      <c r="M103" s="431"/>
      <c r="N103" s="431"/>
      <c r="O103" s="431"/>
      <c r="P103" s="432">
        <f t="shared" si="18"/>
        <v>0</v>
      </c>
      <c r="Q103" s="431"/>
      <c r="R103" s="431"/>
      <c r="S103" s="431"/>
      <c r="T103" s="431"/>
      <c r="U103" s="431"/>
      <c r="V103" s="431"/>
      <c r="W103" s="431"/>
      <c r="X103" s="431"/>
      <c r="Y103" s="431"/>
      <c r="Z103" s="468"/>
      <c r="AA103" s="431"/>
      <c r="AB103" s="431"/>
      <c r="AC103" s="468"/>
      <c r="AD103" s="431"/>
      <c r="AE103" s="431"/>
      <c r="AF103" s="431"/>
      <c r="AG103" s="431"/>
      <c r="AH103" s="431"/>
      <c r="AI103" s="468"/>
      <c r="AJ103" s="468"/>
      <c r="AK103" s="431"/>
      <c r="AL103" s="431"/>
      <c r="AM103" s="431"/>
    </row>
    <row r="104" spans="1:39" s="155" customFormat="1" ht="12" hidden="1" x14ac:dyDescent="0.2">
      <c r="A104" s="168">
        <v>50</v>
      </c>
      <c r="B104" s="168"/>
      <c r="C104" s="261"/>
      <c r="D104" s="432">
        <f t="shared" si="13"/>
        <v>0</v>
      </c>
      <c r="E104" s="431"/>
      <c r="F104" s="431"/>
      <c r="G104" s="431"/>
      <c r="H104" s="431"/>
      <c r="I104" s="431"/>
      <c r="J104" s="431"/>
      <c r="K104" s="431"/>
      <c r="L104" s="431"/>
      <c r="M104" s="431"/>
      <c r="N104" s="431"/>
      <c r="O104" s="431"/>
      <c r="P104" s="432">
        <f t="shared" si="18"/>
        <v>0</v>
      </c>
      <c r="Q104" s="431"/>
      <c r="R104" s="431"/>
      <c r="S104" s="431"/>
      <c r="T104" s="431"/>
      <c r="U104" s="431"/>
      <c r="V104" s="431"/>
      <c r="W104" s="431"/>
      <c r="X104" s="431"/>
      <c r="Y104" s="431"/>
      <c r="Z104" s="468"/>
      <c r="AA104" s="431"/>
      <c r="AB104" s="431"/>
      <c r="AC104" s="468"/>
      <c r="AD104" s="431"/>
      <c r="AE104" s="431"/>
      <c r="AF104" s="431"/>
      <c r="AG104" s="431"/>
      <c r="AH104" s="431"/>
      <c r="AI104" s="468"/>
      <c r="AJ104" s="468"/>
      <c r="AK104" s="431"/>
      <c r="AL104" s="431"/>
      <c r="AM104" s="431"/>
    </row>
    <row r="105" spans="1:39" s="155" customFormat="1" ht="12" hidden="1" x14ac:dyDescent="0.2">
      <c r="A105" s="168">
        <v>51</v>
      </c>
      <c r="B105" s="168"/>
      <c r="C105" s="261"/>
      <c r="D105" s="432">
        <f t="shared" si="13"/>
        <v>0</v>
      </c>
      <c r="E105" s="431"/>
      <c r="F105" s="431"/>
      <c r="G105" s="431"/>
      <c r="H105" s="431"/>
      <c r="I105" s="431"/>
      <c r="J105" s="431"/>
      <c r="K105" s="431"/>
      <c r="L105" s="431"/>
      <c r="M105" s="431"/>
      <c r="N105" s="431"/>
      <c r="O105" s="431"/>
      <c r="P105" s="432">
        <f t="shared" si="18"/>
        <v>0</v>
      </c>
      <c r="Q105" s="431"/>
      <c r="R105" s="431"/>
      <c r="S105" s="431"/>
      <c r="T105" s="431"/>
      <c r="U105" s="431"/>
      <c r="V105" s="431"/>
      <c r="W105" s="431"/>
      <c r="X105" s="431"/>
      <c r="Y105" s="431"/>
      <c r="Z105" s="468"/>
      <c r="AA105" s="431"/>
      <c r="AB105" s="431"/>
      <c r="AC105" s="468"/>
      <c r="AD105" s="431"/>
      <c r="AE105" s="431"/>
      <c r="AF105" s="431"/>
      <c r="AG105" s="431"/>
      <c r="AH105" s="431"/>
      <c r="AI105" s="468"/>
      <c r="AJ105" s="468"/>
      <c r="AK105" s="431"/>
      <c r="AL105" s="431"/>
      <c r="AM105" s="431"/>
    </row>
    <row r="106" spans="1:39" s="155" customFormat="1" ht="12" hidden="1" x14ac:dyDescent="0.2">
      <c r="A106" s="168">
        <v>52</v>
      </c>
      <c r="B106" s="168"/>
      <c r="C106" s="261"/>
      <c r="D106" s="432">
        <f t="shared" si="13"/>
        <v>0</v>
      </c>
      <c r="E106" s="431"/>
      <c r="F106" s="431"/>
      <c r="G106" s="431"/>
      <c r="H106" s="431"/>
      <c r="I106" s="431"/>
      <c r="J106" s="431"/>
      <c r="K106" s="431"/>
      <c r="L106" s="431"/>
      <c r="M106" s="431"/>
      <c r="N106" s="431"/>
      <c r="O106" s="431"/>
      <c r="P106" s="432">
        <f t="shared" si="18"/>
        <v>0</v>
      </c>
      <c r="Q106" s="431"/>
      <c r="R106" s="431"/>
      <c r="S106" s="431"/>
      <c r="T106" s="431"/>
      <c r="U106" s="431"/>
      <c r="V106" s="431"/>
      <c r="W106" s="431"/>
      <c r="X106" s="431"/>
      <c r="Y106" s="431"/>
      <c r="Z106" s="468"/>
      <c r="AA106" s="431"/>
      <c r="AB106" s="431"/>
      <c r="AC106" s="468"/>
      <c r="AD106" s="431"/>
      <c r="AE106" s="431"/>
      <c r="AF106" s="431"/>
      <c r="AG106" s="431"/>
      <c r="AH106" s="431"/>
      <c r="AI106" s="468"/>
      <c r="AJ106" s="468"/>
      <c r="AK106" s="431"/>
      <c r="AL106" s="431"/>
      <c r="AM106" s="431"/>
    </row>
    <row r="107" spans="1:39" s="155" customFormat="1" ht="12" hidden="1" x14ac:dyDescent="0.2">
      <c r="A107" s="168">
        <v>53</v>
      </c>
      <c r="B107" s="168"/>
      <c r="C107" s="261"/>
      <c r="D107" s="432">
        <f t="shared" si="13"/>
        <v>0</v>
      </c>
      <c r="E107" s="431"/>
      <c r="F107" s="431"/>
      <c r="G107" s="431"/>
      <c r="H107" s="431"/>
      <c r="I107" s="431"/>
      <c r="J107" s="431"/>
      <c r="K107" s="431"/>
      <c r="L107" s="431"/>
      <c r="M107" s="431"/>
      <c r="N107" s="431"/>
      <c r="O107" s="431"/>
      <c r="P107" s="432">
        <f t="shared" si="18"/>
        <v>0</v>
      </c>
      <c r="Q107" s="431"/>
      <c r="R107" s="431"/>
      <c r="S107" s="431"/>
      <c r="T107" s="431"/>
      <c r="U107" s="431"/>
      <c r="V107" s="431"/>
      <c r="W107" s="431"/>
      <c r="X107" s="431"/>
      <c r="Y107" s="431"/>
      <c r="Z107" s="468"/>
      <c r="AA107" s="431"/>
      <c r="AB107" s="431"/>
      <c r="AC107" s="468"/>
      <c r="AD107" s="431"/>
      <c r="AE107" s="431"/>
      <c r="AF107" s="431"/>
      <c r="AG107" s="431"/>
      <c r="AH107" s="431"/>
      <c r="AI107" s="468"/>
      <c r="AJ107" s="468"/>
      <c r="AK107" s="431"/>
      <c r="AL107" s="431"/>
      <c r="AM107" s="431"/>
    </row>
    <row r="108" spans="1:39" s="155" customFormat="1" ht="12" hidden="1" x14ac:dyDescent="0.2">
      <c r="A108" s="168">
        <v>54</v>
      </c>
      <c r="B108" s="168"/>
      <c r="C108" s="262"/>
      <c r="D108" s="432">
        <f t="shared" si="13"/>
        <v>0</v>
      </c>
      <c r="E108" s="431"/>
      <c r="F108" s="431"/>
      <c r="G108" s="431"/>
      <c r="H108" s="431"/>
      <c r="I108" s="431"/>
      <c r="J108" s="431"/>
      <c r="K108" s="431"/>
      <c r="L108" s="431"/>
      <c r="M108" s="431"/>
      <c r="N108" s="431"/>
      <c r="O108" s="431"/>
      <c r="P108" s="432">
        <f t="shared" si="18"/>
        <v>0</v>
      </c>
      <c r="Q108" s="431"/>
      <c r="R108" s="431"/>
      <c r="S108" s="431"/>
      <c r="T108" s="431"/>
      <c r="U108" s="431"/>
      <c r="V108" s="431"/>
      <c r="W108" s="431"/>
      <c r="X108" s="431"/>
      <c r="Y108" s="431"/>
      <c r="Z108" s="468"/>
      <c r="AA108" s="431"/>
      <c r="AB108" s="431"/>
      <c r="AC108" s="468"/>
      <c r="AD108" s="431"/>
      <c r="AE108" s="431"/>
      <c r="AF108" s="431"/>
      <c r="AG108" s="431"/>
      <c r="AH108" s="431"/>
      <c r="AI108" s="468"/>
      <c r="AJ108" s="468"/>
      <c r="AK108" s="431"/>
      <c r="AL108" s="431"/>
      <c r="AM108" s="431"/>
    </row>
    <row r="109" spans="1:39" s="155" customFormat="1" ht="12" hidden="1" x14ac:dyDescent="0.2">
      <c r="A109" s="168">
        <v>55</v>
      </c>
      <c r="B109" s="168"/>
      <c r="C109" s="261"/>
      <c r="D109" s="432">
        <f t="shared" si="13"/>
        <v>0</v>
      </c>
      <c r="E109" s="431"/>
      <c r="F109" s="431"/>
      <c r="G109" s="431"/>
      <c r="H109" s="431"/>
      <c r="I109" s="431"/>
      <c r="J109" s="431"/>
      <c r="K109" s="431"/>
      <c r="L109" s="431"/>
      <c r="M109" s="431"/>
      <c r="N109" s="431"/>
      <c r="O109" s="431"/>
      <c r="P109" s="432">
        <f t="shared" si="18"/>
        <v>0</v>
      </c>
      <c r="Q109" s="431"/>
      <c r="R109" s="431"/>
      <c r="S109" s="431"/>
      <c r="T109" s="431"/>
      <c r="U109" s="431"/>
      <c r="V109" s="431"/>
      <c r="W109" s="431"/>
      <c r="X109" s="431"/>
      <c r="Y109" s="431"/>
      <c r="Z109" s="468"/>
      <c r="AA109" s="431"/>
      <c r="AB109" s="431"/>
      <c r="AC109" s="468"/>
      <c r="AD109" s="431"/>
      <c r="AE109" s="431"/>
      <c r="AF109" s="431"/>
      <c r="AG109" s="431"/>
      <c r="AH109" s="431"/>
      <c r="AI109" s="468"/>
      <c r="AJ109" s="468"/>
      <c r="AK109" s="431"/>
      <c r="AL109" s="431"/>
      <c r="AM109" s="431"/>
    </row>
    <row r="110" spans="1:39" s="155" customFormat="1" ht="12" hidden="1" x14ac:dyDescent="0.2">
      <c r="A110" s="168">
        <v>56</v>
      </c>
      <c r="B110" s="168"/>
      <c r="C110" s="261"/>
      <c r="D110" s="432">
        <f t="shared" si="13"/>
        <v>0</v>
      </c>
      <c r="E110" s="431"/>
      <c r="F110" s="431"/>
      <c r="G110" s="431"/>
      <c r="H110" s="431"/>
      <c r="I110" s="431"/>
      <c r="J110" s="431"/>
      <c r="K110" s="431"/>
      <c r="L110" s="431"/>
      <c r="M110" s="431"/>
      <c r="N110" s="431"/>
      <c r="O110" s="431"/>
      <c r="P110" s="432">
        <f t="shared" si="18"/>
        <v>0</v>
      </c>
      <c r="Q110" s="431"/>
      <c r="R110" s="431"/>
      <c r="S110" s="431"/>
      <c r="T110" s="431"/>
      <c r="U110" s="431"/>
      <c r="V110" s="431"/>
      <c r="W110" s="431"/>
      <c r="X110" s="431"/>
      <c r="Y110" s="431"/>
      <c r="Z110" s="468"/>
      <c r="AA110" s="431"/>
      <c r="AB110" s="431"/>
      <c r="AC110" s="468"/>
      <c r="AD110" s="431"/>
      <c r="AE110" s="431"/>
      <c r="AF110" s="431"/>
      <c r="AG110" s="431"/>
      <c r="AH110" s="431"/>
      <c r="AI110" s="468"/>
      <c r="AJ110" s="468"/>
      <c r="AK110" s="431"/>
      <c r="AL110" s="431"/>
      <c r="AM110" s="431"/>
    </row>
    <row r="111" spans="1:39" s="155" customFormat="1" ht="12" hidden="1" x14ac:dyDescent="0.2">
      <c r="A111" s="168">
        <v>57</v>
      </c>
      <c r="B111" s="168"/>
      <c r="C111" s="261"/>
      <c r="D111" s="432">
        <f t="shared" si="13"/>
        <v>0</v>
      </c>
      <c r="E111" s="431"/>
      <c r="F111" s="431"/>
      <c r="G111" s="431"/>
      <c r="H111" s="431"/>
      <c r="I111" s="431"/>
      <c r="J111" s="431"/>
      <c r="K111" s="431"/>
      <c r="L111" s="431"/>
      <c r="M111" s="431"/>
      <c r="N111" s="431"/>
      <c r="O111" s="431"/>
      <c r="P111" s="432">
        <f t="shared" si="18"/>
        <v>0</v>
      </c>
      <c r="Q111" s="431"/>
      <c r="R111" s="431"/>
      <c r="S111" s="431"/>
      <c r="T111" s="431"/>
      <c r="U111" s="431"/>
      <c r="V111" s="431"/>
      <c r="W111" s="431"/>
      <c r="X111" s="431"/>
      <c r="Y111" s="431"/>
      <c r="Z111" s="468"/>
      <c r="AA111" s="431"/>
      <c r="AB111" s="431"/>
      <c r="AC111" s="468"/>
      <c r="AD111" s="431"/>
      <c r="AE111" s="431"/>
      <c r="AF111" s="431"/>
      <c r="AG111" s="431"/>
      <c r="AH111" s="431"/>
      <c r="AI111" s="468"/>
      <c r="AJ111" s="468"/>
      <c r="AK111" s="431"/>
      <c r="AL111" s="431"/>
      <c r="AM111" s="431"/>
    </row>
    <row r="112" spans="1:39" s="155" customFormat="1" ht="12" hidden="1" x14ac:dyDescent="0.2">
      <c r="A112" s="168">
        <v>58</v>
      </c>
      <c r="B112" s="168"/>
      <c r="C112" s="261"/>
      <c r="D112" s="432">
        <f t="shared" si="13"/>
        <v>0</v>
      </c>
      <c r="E112" s="431"/>
      <c r="F112" s="431"/>
      <c r="G112" s="431"/>
      <c r="H112" s="431"/>
      <c r="I112" s="431"/>
      <c r="J112" s="431"/>
      <c r="K112" s="431"/>
      <c r="L112" s="431"/>
      <c r="M112" s="431"/>
      <c r="N112" s="431"/>
      <c r="O112" s="431"/>
      <c r="P112" s="432">
        <f t="shared" si="18"/>
        <v>0</v>
      </c>
      <c r="Q112" s="431"/>
      <c r="R112" s="468"/>
      <c r="S112" s="431"/>
      <c r="T112" s="431"/>
      <c r="U112" s="431"/>
      <c r="V112" s="431"/>
      <c r="W112" s="431"/>
      <c r="X112" s="431"/>
      <c r="Y112" s="431"/>
      <c r="Z112" s="468"/>
      <c r="AA112" s="431"/>
      <c r="AB112" s="431"/>
      <c r="AC112" s="468"/>
      <c r="AD112" s="431"/>
      <c r="AE112" s="431"/>
      <c r="AF112" s="431"/>
      <c r="AG112" s="431"/>
      <c r="AH112" s="431"/>
      <c r="AI112" s="468"/>
      <c r="AJ112" s="468"/>
      <c r="AK112" s="431"/>
      <c r="AL112" s="431"/>
      <c r="AM112" s="431"/>
    </row>
    <row r="113" spans="1:39" s="155" customFormat="1" ht="12" hidden="1" x14ac:dyDescent="0.2">
      <c r="A113" s="168">
        <v>59</v>
      </c>
      <c r="B113" s="168"/>
      <c r="C113" s="261"/>
      <c r="D113" s="432">
        <f t="shared" si="13"/>
        <v>0</v>
      </c>
      <c r="E113" s="431"/>
      <c r="F113" s="431"/>
      <c r="G113" s="431"/>
      <c r="H113" s="431"/>
      <c r="I113" s="431"/>
      <c r="J113" s="431"/>
      <c r="K113" s="431"/>
      <c r="L113" s="431"/>
      <c r="M113" s="431"/>
      <c r="N113" s="431"/>
      <c r="O113" s="431"/>
      <c r="P113" s="432">
        <f t="shared" si="18"/>
        <v>0</v>
      </c>
      <c r="Q113" s="431"/>
      <c r="R113" s="431"/>
      <c r="S113" s="431"/>
      <c r="T113" s="431"/>
      <c r="U113" s="431"/>
      <c r="V113" s="431"/>
      <c r="W113" s="431"/>
      <c r="X113" s="431"/>
      <c r="Y113" s="431"/>
      <c r="Z113" s="468"/>
      <c r="AA113" s="431"/>
      <c r="AB113" s="431"/>
      <c r="AC113" s="468"/>
      <c r="AD113" s="431"/>
      <c r="AE113" s="431"/>
      <c r="AF113" s="431"/>
      <c r="AG113" s="431"/>
      <c r="AH113" s="431"/>
      <c r="AI113" s="468"/>
      <c r="AJ113" s="468"/>
      <c r="AK113" s="431"/>
      <c r="AL113" s="431"/>
      <c r="AM113" s="431"/>
    </row>
    <row r="114" spans="1:39" s="155" customFormat="1" ht="12" hidden="1" x14ac:dyDescent="0.2">
      <c r="A114" s="168">
        <v>60</v>
      </c>
      <c r="B114" s="168"/>
      <c r="C114" s="262"/>
      <c r="D114" s="432">
        <f t="shared" si="13"/>
        <v>0</v>
      </c>
      <c r="E114" s="431"/>
      <c r="F114" s="431"/>
      <c r="G114" s="431"/>
      <c r="H114" s="431"/>
      <c r="I114" s="431"/>
      <c r="J114" s="431"/>
      <c r="K114" s="431"/>
      <c r="L114" s="431"/>
      <c r="M114" s="431"/>
      <c r="N114" s="431"/>
      <c r="O114" s="431"/>
      <c r="P114" s="432">
        <f t="shared" si="18"/>
        <v>0</v>
      </c>
      <c r="Q114" s="431"/>
      <c r="R114" s="431"/>
      <c r="S114" s="431"/>
      <c r="T114" s="431"/>
      <c r="U114" s="431"/>
      <c r="V114" s="431"/>
      <c r="W114" s="431"/>
      <c r="X114" s="431"/>
      <c r="Y114" s="431"/>
      <c r="Z114" s="468"/>
      <c r="AA114" s="431"/>
      <c r="AB114" s="431"/>
      <c r="AC114" s="468"/>
      <c r="AD114" s="431"/>
      <c r="AE114" s="431"/>
      <c r="AF114" s="431"/>
      <c r="AG114" s="431"/>
      <c r="AH114" s="431"/>
      <c r="AI114" s="468"/>
      <c r="AJ114" s="468"/>
      <c r="AK114" s="431"/>
      <c r="AL114" s="431"/>
      <c r="AM114" s="431"/>
    </row>
    <row r="115" spans="1:39" s="155" customFormat="1" ht="12" hidden="1" x14ac:dyDescent="0.2">
      <c r="A115" s="168">
        <v>61</v>
      </c>
      <c r="B115" s="168"/>
      <c r="C115" s="261"/>
      <c r="D115" s="432">
        <f t="shared" si="13"/>
        <v>0</v>
      </c>
      <c r="E115" s="431"/>
      <c r="F115" s="431"/>
      <c r="G115" s="431"/>
      <c r="H115" s="431"/>
      <c r="I115" s="431"/>
      <c r="J115" s="431"/>
      <c r="K115" s="431"/>
      <c r="L115" s="431"/>
      <c r="M115" s="431"/>
      <c r="N115" s="431"/>
      <c r="O115" s="431"/>
      <c r="P115" s="432">
        <f t="shared" si="18"/>
        <v>0</v>
      </c>
      <c r="Q115" s="431"/>
      <c r="R115" s="431"/>
      <c r="S115" s="431"/>
      <c r="T115" s="431"/>
      <c r="U115" s="431"/>
      <c r="V115" s="431"/>
      <c r="W115" s="431"/>
      <c r="X115" s="431"/>
      <c r="Y115" s="431"/>
      <c r="Z115" s="468"/>
      <c r="AA115" s="431"/>
      <c r="AB115" s="431"/>
      <c r="AC115" s="468"/>
      <c r="AD115" s="431"/>
      <c r="AE115" s="431"/>
      <c r="AF115" s="431"/>
      <c r="AG115" s="431"/>
      <c r="AH115" s="431"/>
      <c r="AI115" s="468"/>
      <c r="AJ115" s="468"/>
      <c r="AK115" s="431"/>
      <c r="AL115" s="431"/>
      <c r="AM115" s="431"/>
    </row>
    <row r="116" spans="1:39" s="155" customFormat="1" ht="12" hidden="1" x14ac:dyDescent="0.2">
      <c r="A116" s="168">
        <v>62</v>
      </c>
      <c r="B116" s="168"/>
      <c r="C116" s="261"/>
      <c r="D116" s="432">
        <f t="shared" si="13"/>
        <v>0</v>
      </c>
      <c r="E116" s="431"/>
      <c r="F116" s="431"/>
      <c r="G116" s="431"/>
      <c r="H116" s="431"/>
      <c r="I116" s="431"/>
      <c r="J116" s="431"/>
      <c r="K116" s="431"/>
      <c r="L116" s="431"/>
      <c r="M116" s="431"/>
      <c r="N116" s="431"/>
      <c r="O116" s="431"/>
      <c r="P116" s="432">
        <f t="shared" si="18"/>
        <v>0</v>
      </c>
      <c r="Q116" s="431"/>
      <c r="R116" s="431"/>
      <c r="S116" s="431"/>
      <c r="T116" s="431"/>
      <c r="U116" s="431"/>
      <c r="V116" s="431"/>
      <c r="W116" s="431"/>
      <c r="X116" s="431"/>
      <c r="Y116" s="431"/>
      <c r="Z116" s="468"/>
      <c r="AA116" s="431"/>
      <c r="AB116" s="431"/>
      <c r="AC116" s="468"/>
      <c r="AD116" s="431"/>
      <c r="AE116" s="431"/>
      <c r="AF116" s="431"/>
      <c r="AG116" s="431"/>
      <c r="AH116" s="431"/>
      <c r="AI116" s="468"/>
      <c r="AJ116" s="468"/>
      <c r="AK116" s="431"/>
      <c r="AL116" s="431"/>
      <c r="AM116" s="431"/>
    </row>
    <row r="117" spans="1:39" s="155" customFormat="1" ht="12" hidden="1" x14ac:dyDescent="0.2">
      <c r="A117" s="168">
        <v>63</v>
      </c>
      <c r="B117" s="168"/>
      <c r="C117" s="262"/>
      <c r="D117" s="432">
        <f t="shared" si="13"/>
        <v>0</v>
      </c>
      <c r="E117" s="431"/>
      <c r="F117" s="431"/>
      <c r="G117" s="431"/>
      <c r="H117" s="431"/>
      <c r="I117" s="431"/>
      <c r="J117" s="431"/>
      <c r="K117" s="431"/>
      <c r="L117" s="431"/>
      <c r="M117" s="431"/>
      <c r="N117" s="431"/>
      <c r="O117" s="431"/>
      <c r="P117" s="432">
        <f t="shared" si="18"/>
        <v>0</v>
      </c>
      <c r="Q117" s="431"/>
      <c r="R117" s="431"/>
      <c r="S117" s="431"/>
      <c r="T117" s="431"/>
      <c r="U117" s="431"/>
      <c r="V117" s="431"/>
      <c r="W117" s="431"/>
      <c r="X117" s="431"/>
      <c r="Y117" s="431"/>
      <c r="Z117" s="468"/>
      <c r="AA117" s="431"/>
      <c r="AB117" s="431"/>
      <c r="AC117" s="468"/>
      <c r="AD117" s="431"/>
      <c r="AE117" s="431"/>
      <c r="AF117" s="431"/>
      <c r="AG117" s="431"/>
      <c r="AH117" s="431"/>
      <c r="AI117" s="468"/>
      <c r="AJ117" s="468"/>
      <c r="AK117" s="431"/>
      <c r="AL117" s="431"/>
      <c r="AM117" s="431"/>
    </row>
    <row r="118" spans="1:39" s="155" customFormat="1" ht="12" hidden="1" x14ac:dyDescent="0.2">
      <c r="A118" s="168">
        <v>64</v>
      </c>
      <c r="B118" s="168"/>
      <c r="C118" s="261"/>
      <c r="D118" s="432">
        <f t="shared" ref="D118:D143" si="19">E118+SUM(H118:O118)</f>
        <v>0</v>
      </c>
      <c r="E118" s="431"/>
      <c r="F118" s="431"/>
      <c r="G118" s="431"/>
      <c r="H118" s="431"/>
      <c r="I118" s="431"/>
      <c r="J118" s="431"/>
      <c r="K118" s="431"/>
      <c r="L118" s="431"/>
      <c r="M118" s="431"/>
      <c r="N118" s="431"/>
      <c r="O118" s="431"/>
      <c r="P118" s="432">
        <f t="shared" si="18"/>
        <v>0</v>
      </c>
      <c r="Q118" s="431"/>
      <c r="R118" s="431"/>
      <c r="S118" s="431"/>
      <c r="T118" s="431"/>
      <c r="U118" s="431"/>
      <c r="V118" s="431"/>
      <c r="W118" s="431"/>
      <c r="X118" s="431"/>
      <c r="Y118" s="431"/>
      <c r="Z118" s="468"/>
      <c r="AA118" s="431"/>
      <c r="AB118" s="431"/>
      <c r="AC118" s="468"/>
      <c r="AD118" s="431"/>
      <c r="AE118" s="431"/>
      <c r="AF118" s="431"/>
      <c r="AG118" s="431"/>
      <c r="AH118" s="431"/>
      <c r="AI118" s="468"/>
      <c r="AJ118" s="468"/>
      <c r="AK118" s="431"/>
      <c r="AL118" s="431"/>
      <c r="AM118" s="431"/>
    </row>
    <row r="119" spans="1:39" s="155" customFormat="1" ht="12" hidden="1" x14ac:dyDescent="0.2">
      <c r="A119" s="168">
        <v>65</v>
      </c>
      <c r="B119" s="168"/>
      <c r="C119" s="261"/>
      <c r="D119" s="432">
        <f t="shared" si="19"/>
        <v>0</v>
      </c>
      <c r="E119" s="431"/>
      <c r="F119" s="431"/>
      <c r="G119" s="431"/>
      <c r="H119" s="431"/>
      <c r="I119" s="431"/>
      <c r="J119" s="431"/>
      <c r="K119" s="431"/>
      <c r="L119" s="431"/>
      <c r="M119" s="431"/>
      <c r="N119" s="431"/>
      <c r="O119" s="431"/>
      <c r="P119" s="432">
        <f t="shared" si="18"/>
        <v>0</v>
      </c>
      <c r="Q119" s="431"/>
      <c r="R119" s="431"/>
      <c r="S119" s="431"/>
      <c r="T119" s="431"/>
      <c r="U119" s="431"/>
      <c r="V119" s="431"/>
      <c r="W119" s="431"/>
      <c r="X119" s="431"/>
      <c r="Y119" s="431"/>
      <c r="Z119" s="468"/>
      <c r="AA119" s="431"/>
      <c r="AB119" s="431"/>
      <c r="AC119" s="468"/>
      <c r="AD119" s="431"/>
      <c r="AE119" s="431"/>
      <c r="AF119" s="431"/>
      <c r="AG119" s="431"/>
      <c r="AH119" s="431"/>
      <c r="AI119" s="468"/>
      <c r="AJ119" s="468"/>
      <c r="AK119" s="431"/>
      <c r="AL119" s="431"/>
      <c r="AM119" s="431"/>
    </row>
    <row r="120" spans="1:39" s="155" customFormat="1" ht="12" hidden="1" x14ac:dyDescent="0.2">
      <c r="A120" s="168">
        <v>66</v>
      </c>
      <c r="B120" s="168"/>
      <c r="C120" s="261"/>
      <c r="D120" s="432">
        <f t="shared" si="19"/>
        <v>0</v>
      </c>
      <c r="E120" s="431"/>
      <c r="F120" s="431"/>
      <c r="G120" s="431"/>
      <c r="H120" s="431"/>
      <c r="I120" s="431"/>
      <c r="J120" s="431"/>
      <c r="K120" s="431"/>
      <c r="L120" s="431"/>
      <c r="M120" s="431"/>
      <c r="N120" s="431"/>
      <c r="O120" s="431"/>
      <c r="P120" s="432">
        <f t="shared" si="18"/>
        <v>0</v>
      </c>
      <c r="Q120" s="431"/>
      <c r="R120" s="431"/>
      <c r="S120" s="431"/>
      <c r="T120" s="431"/>
      <c r="U120" s="431"/>
      <c r="V120" s="431"/>
      <c r="W120" s="431"/>
      <c r="X120" s="431"/>
      <c r="Y120" s="431"/>
      <c r="Z120" s="468"/>
      <c r="AA120" s="431"/>
      <c r="AB120" s="431"/>
      <c r="AC120" s="468"/>
      <c r="AD120" s="431"/>
      <c r="AE120" s="431"/>
      <c r="AF120" s="431"/>
      <c r="AG120" s="431"/>
      <c r="AH120" s="431"/>
      <c r="AI120" s="468"/>
      <c r="AJ120" s="468"/>
      <c r="AK120" s="431"/>
      <c r="AL120" s="431"/>
      <c r="AM120" s="431"/>
    </row>
    <row r="121" spans="1:39" s="155" customFormat="1" ht="12" hidden="1" x14ac:dyDescent="0.2">
      <c r="A121" s="168">
        <v>67</v>
      </c>
      <c r="B121" s="168"/>
      <c r="C121" s="261"/>
      <c r="D121" s="432">
        <f t="shared" si="19"/>
        <v>0</v>
      </c>
      <c r="E121" s="431"/>
      <c r="F121" s="431"/>
      <c r="G121" s="431"/>
      <c r="H121" s="431"/>
      <c r="I121" s="431"/>
      <c r="J121" s="431"/>
      <c r="K121" s="431"/>
      <c r="L121" s="431"/>
      <c r="M121" s="431"/>
      <c r="N121" s="431"/>
      <c r="O121" s="431"/>
      <c r="P121" s="432">
        <f t="shared" si="18"/>
        <v>0</v>
      </c>
      <c r="Q121" s="431"/>
      <c r="R121" s="431"/>
      <c r="S121" s="431"/>
      <c r="T121" s="431"/>
      <c r="U121" s="431"/>
      <c r="V121" s="431"/>
      <c r="W121" s="431"/>
      <c r="X121" s="431"/>
      <c r="Y121" s="431"/>
      <c r="Z121" s="468"/>
      <c r="AA121" s="431"/>
      <c r="AB121" s="431"/>
      <c r="AC121" s="468"/>
      <c r="AD121" s="431"/>
      <c r="AE121" s="431"/>
      <c r="AF121" s="431"/>
      <c r="AG121" s="431"/>
      <c r="AH121" s="431"/>
      <c r="AI121" s="468"/>
      <c r="AJ121" s="468"/>
      <c r="AK121" s="431"/>
      <c r="AL121" s="431"/>
      <c r="AM121" s="431"/>
    </row>
    <row r="122" spans="1:39" s="155" customFormat="1" ht="12" hidden="1" x14ac:dyDescent="0.2">
      <c r="A122" s="168">
        <v>68</v>
      </c>
      <c r="B122" s="168"/>
      <c r="C122" s="261"/>
      <c r="D122" s="432">
        <f t="shared" si="19"/>
        <v>0</v>
      </c>
      <c r="E122" s="431"/>
      <c r="F122" s="431"/>
      <c r="G122" s="431"/>
      <c r="H122" s="431"/>
      <c r="I122" s="431"/>
      <c r="J122" s="431"/>
      <c r="K122" s="431"/>
      <c r="L122" s="431"/>
      <c r="M122" s="431"/>
      <c r="N122" s="431"/>
      <c r="O122" s="431"/>
      <c r="P122" s="432">
        <f t="shared" si="18"/>
        <v>0</v>
      </c>
      <c r="Q122" s="431"/>
      <c r="R122" s="431"/>
      <c r="S122" s="431"/>
      <c r="T122" s="431"/>
      <c r="U122" s="431"/>
      <c r="V122" s="431"/>
      <c r="W122" s="431"/>
      <c r="X122" s="431"/>
      <c r="Y122" s="431"/>
      <c r="Z122" s="468"/>
      <c r="AA122" s="431"/>
      <c r="AB122" s="431"/>
      <c r="AC122" s="468"/>
      <c r="AD122" s="431"/>
      <c r="AE122" s="431"/>
      <c r="AF122" s="431"/>
      <c r="AG122" s="431"/>
      <c r="AH122" s="431"/>
      <c r="AI122" s="468"/>
      <c r="AJ122" s="468"/>
      <c r="AK122" s="431"/>
      <c r="AL122" s="431"/>
      <c r="AM122" s="431"/>
    </row>
    <row r="123" spans="1:39" s="155" customFormat="1" ht="12" hidden="1" x14ac:dyDescent="0.2">
      <c r="A123" s="168">
        <v>69</v>
      </c>
      <c r="B123" s="286"/>
      <c r="C123" s="172"/>
      <c r="D123" s="432">
        <f t="shared" si="19"/>
        <v>0</v>
      </c>
      <c r="E123" s="431"/>
      <c r="F123" s="431"/>
      <c r="G123" s="431"/>
      <c r="H123" s="431"/>
      <c r="I123" s="431"/>
      <c r="J123" s="431"/>
      <c r="K123" s="431"/>
      <c r="L123" s="431"/>
      <c r="M123" s="431"/>
      <c r="N123" s="431"/>
      <c r="O123" s="431"/>
      <c r="P123" s="432">
        <f t="shared" si="18"/>
        <v>0</v>
      </c>
      <c r="Q123" s="431"/>
      <c r="R123" s="431"/>
      <c r="S123" s="431"/>
      <c r="T123" s="431"/>
      <c r="U123" s="431"/>
      <c r="V123" s="431"/>
      <c r="W123" s="431"/>
      <c r="X123" s="431"/>
      <c r="Y123" s="431"/>
      <c r="Z123" s="468"/>
      <c r="AA123" s="431"/>
      <c r="AB123" s="431"/>
      <c r="AC123" s="468"/>
      <c r="AD123" s="431"/>
      <c r="AE123" s="431"/>
      <c r="AF123" s="431"/>
      <c r="AG123" s="431"/>
      <c r="AH123" s="431"/>
      <c r="AI123" s="468"/>
      <c r="AJ123" s="468"/>
      <c r="AK123" s="431"/>
      <c r="AL123" s="431"/>
      <c r="AM123" s="431"/>
    </row>
    <row r="124" spans="1:39" s="155" customFormat="1" ht="12" hidden="1" x14ac:dyDescent="0.2">
      <c r="A124" s="168">
        <v>70</v>
      </c>
      <c r="B124" s="286"/>
      <c r="C124" s="172"/>
      <c r="D124" s="432">
        <f t="shared" si="19"/>
        <v>0</v>
      </c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32">
        <f t="shared" si="18"/>
        <v>0</v>
      </c>
      <c r="Q124" s="431"/>
      <c r="R124" s="431"/>
      <c r="S124" s="431"/>
      <c r="T124" s="431"/>
      <c r="U124" s="431"/>
      <c r="V124" s="431"/>
      <c r="W124" s="431"/>
      <c r="X124" s="431"/>
      <c r="Y124" s="431"/>
      <c r="Z124" s="468"/>
      <c r="AA124" s="431"/>
      <c r="AB124" s="431"/>
      <c r="AC124" s="468"/>
      <c r="AD124" s="431"/>
      <c r="AE124" s="431"/>
      <c r="AF124" s="431"/>
      <c r="AG124" s="431"/>
      <c r="AH124" s="431"/>
      <c r="AI124" s="468"/>
      <c r="AJ124" s="468"/>
      <c r="AK124" s="431"/>
      <c r="AL124" s="431"/>
      <c r="AM124" s="431"/>
    </row>
    <row r="125" spans="1:39" s="155" customFormat="1" ht="12" hidden="1" x14ac:dyDescent="0.2">
      <c r="A125" s="168">
        <v>71</v>
      </c>
      <c r="B125" s="286"/>
      <c r="C125" s="172"/>
      <c r="D125" s="432">
        <f t="shared" si="19"/>
        <v>0</v>
      </c>
      <c r="E125" s="431"/>
      <c r="F125" s="431"/>
      <c r="G125" s="431"/>
      <c r="H125" s="431"/>
      <c r="I125" s="431"/>
      <c r="J125" s="431"/>
      <c r="K125" s="431"/>
      <c r="L125" s="431"/>
      <c r="M125" s="431"/>
      <c r="N125" s="431"/>
      <c r="O125" s="431"/>
      <c r="P125" s="432">
        <f t="shared" si="18"/>
        <v>0</v>
      </c>
      <c r="Q125" s="431"/>
      <c r="R125" s="431"/>
      <c r="S125" s="431"/>
      <c r="T125" s="431"/>
      <c r="U125" s="431"/>
      <c r="V125" s="431"/>
      <c r="W125" s="431"/>
      <c r="X125" s="431"/>
      <c r="Y125" s="431"/>
      <c r="Z125" s="468"/>
      <c r="AA125" s="431"/>
      <c r="AB125" s="431"/>
      <c r="AC125" s="468"/>
      <c r="AD125" s="431"/>
      <c r="AE125" s="431"/>
      <c r="AF125" s="431"/>
      <c r="AG125" s="431"/>
      <c r="AH125" s="431"/>
      <c r="AI125" s="468"/>
      <c r="AJ125" s="468"/>
      <c r="AK125" s="431"/>
      <c r="AL125" s="431"/>
      <c r="AM125" s="431"/>
    </row>
    <row r="126" spans="1:39" s="155" customFormat="1" ht="12" hidden="1" x14ac:dyDescent="0.2">
      <c r="A126" s="168">
        <v>72</v>
      </c>
      <c r="B126" s="286"/>
      <c r="C126" s="172"/>
      <c r="D126" s="432">
        <f t="shared" si="19"/>
        <v>0</v>
      </c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32">
        <f t="shared" si="18"/>
        <v>0</v>
      </c>
      <c r="Q126" s="431"/>
      <c r="R126" s="431"/>
      <c r="S126" s="431"/>
      <c r="T126" s="431"/>
      <c r="U126" s="431"/>
      <c r="V126" s="431"/>
      <c r="W126" s="431"/>
      <c r="X126" s="431"/>
      <c r="Y126" s="431"/>
      <c r="Z126" s="468"/>
      <c r="AA126" s="431"/>
      <c r="AB126" s="431"/>
      <c r="AC126" s="468"/>
      <c r="AD126" s="431"/>
      <c r="AE126" s="431"/>
      <c r="AF126" s="431"/>
      <c r="AG126" s="431"/>
      <c r="AH126" s="431"/>
      <c r="AI126" s="468"/>
      <c r="AJ126" s="468"/>
      <c r="AK126" s="431"/>
      <c r="AL126" s="431"/>
      <c r="AM126" s="431"/>
    </row>
    <row r="127" spans="1:39" s="155" customFormat="1" ht="12" hidden="1" x14ac:dyDescent="0.2">
      <c r="A127" s="168">
        <v>73</v>
      </c>
      <c r="B127" s="286"/>
      <c r="C127" s="172"/>
      <c r="D127" s="432">
        <f t="shared" si="19"/>
        <v>0</v>
      </c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32">
        <f t="shared" si="18"/>
        <v>0</v>
      </c>
      <c r="Q127" s="431"/>
      <c r="R127" s="431"/>
      <c r="S127" s="431"/>
      <c r="T127" s="431"/>
      <c r="U127" s="431"/>
      <c r="V127" s="431"/>
      <c r="W127" s="431"/>
      <c r="X127" s="431"/>
      <c r="Y127" s="431"/>
      <c r="Z127" s="468"/>
      <c r="AA127" s="431"/>
      <c r="AB127" s="431"/>
      <c r="AC127" s="468"/>
      <c r="AD127" s="431"/>
      <c r="AE127" s="431"/>
      <c r="AF127" s="431"/>
      <c r="AG127" s="431"/>
      <c r="AH127" s="431"/>
      <c r="AI127" s="468"/>
      <c r="AJ127" s="468"/>
      <c r="AK127" s="431"/>
      <c r="AL127" s="431"/>
      <c r="AM127" s="431"/>
    </row>
    <row r="128" spans="1:39" s="155" customFormat="1" ht="12" hidden="1" x14ac:dyDescent="0.2">
      <c r="A128" s="168">
        <v>74</v>
      </c>
      <c r="B128" s="286"/>
      <c r="C128" s="172"/>
      <c r="D128" s="432">
        <f t="shared" si="19"/>
        <v>0</v>
      </c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32">
        <f t="shared" si="18"/>
        <v>0</v>
      </c>
      <c r="Q128" s="431"/>
      <c r="R128" s="431"/>
      <c r="S128" s="431"/>
      <c r="T128" s="431"/>
      <c r="U128" s="431"/>
      <c r="V128" s="431"/>
      <c r="W128" s="431"/>
      <c r="X128" s="431"/>
      <c r="Y128" s="431"/>
      <c r="Z128" s="468"/>
      <c r="AA128" s="431"/>
      <c r="AB128" s="431"/>
      <c r="AC128" s="468"/>
      <c r="AD128" s="431"/>
      <c r="AE128" s="431"/>
      <c r="AF128" s="431"/>
      <c r="AG128" s="431"/>
      <c r="AH128" s="431"/>
      <c r="AI128" s="468"/>
      <c r="AJ128" s="468"/>
      <c r="AK128" s="431"/>
      <c r="AL128" s="431"/>
      <c r="AM128" s="431"/>
    </row>
    <row r="129" spans="1:39" s="155" customFormat="1" ht="12" hidden="1" x14ac:dyDescent="0.2">
      <c r="A129" s="168">
        <v>75</v>
      </c>
      <c r="B129" s="286"/>
      <c r="C129" s="172"/>
      <c r="D129" s="432">
        <f t="shared" si="19"/>
        <v>0</v>
      </c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32">
        <f t="shared" si="18"/>
        <v>0</v>
      </c>
      <c r="Q129" s="431"/>
      <c r="R129" s="431"/>
      <c r="S129" s="431"/>
      <c r="T129" s="431"/>
      <c r="U129" s="431"/>
      <c r="V129" s="431"/>
      <c r="W129" s="431"/>
      <c r="X129" s="431"/>
      <c r="Y129" s="431"/>
      <c r="Z129" s="468"/>
      <c r="AA129" s="431"/>
      <c r="AB129" s="431"/>
      <c r="AC129" s="468"/>
      <c r="AD129" s="431"/>
      <c r="AE129" s="431"/>
      <c r="AF129" s="431"/>
      <c r="AG129" s="431"/>
      <c r="AH129" s="431"/>
      <c r="AI129" s="468"/>
      <c r="AJ129" s="468"/>
      <c r="AK129" s="431"/>
      <c r="AL129" s="431"/>
      <c r="AM129" s="431"/>
    </row>
    <row r="130" spans="1:39" s="155" customFormat="1" ht="12" hidden="1" x14ac:dyDescent="0.2">
      <c r="A130" s="168">
        <v>76</v>
      </c>
      <c r="B130" s="286"/>
      <c r="C130" s="172"/>
      <c r="D130" s="432">
        <f t="shared" si="19"/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32">
        <f t="shared" si="18"/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</row>
    <row r="131" spans="1:39" s="155" customFormat="1" ht="12" hidden="1" x14ac:dyDescent="0.2">
      <c r="A131" s="168">
        <v>77</v>
      </c>
      <c r="B131" s="286"/>
      <c r="C131" s="172"/>
      <c r="D131" s="432">
        <f t="shared" si="19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2">
        <f t="shared" si="18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</row>
    <row r="132" spans="1:39" s="155" customFormat="1" ht="12" hidden="1" x14ac:dyDescent="0.2">
      <c r="A132" s="168">
        <v>78</v>
      </c>
      <c r="B132" s="286"/>
      <c r="C132" s="172"/>
      <c r="D132" s="432">
        <f t="shared" si="19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2">
        <f t="shared" si="18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</row>
    <row r="133" spans="1:39" s="155" customFormat="1" ht="12" hidden="1" x14ac:dyDescent="0.2">
      <c r="A133" s="168">
        <v>79</v>
      </c>
      <c r="B133" s="286"/>
      <c r="C133" s="172"/>
      <c r="D133" s="432">
        <f t="shared" si="19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si="18"/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155" customFormat="1" ht="12" hidden="1" x14ac:dyDescent="0.2">
      <c r="A134" s="168">
        <v>80</v>
      </c>
      <c r="B134" s="286"/>
      <c r="C134" s="172"/>
      <c r="D134" s="432">
        <f t="shared" si="19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si="18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155" customFormat="1" ht="12" hidden="1" x14ac:dyDescent="0.2">
      <c r="A135" s="168">
        <v>81</v>
      </c>
      <c r="B135" s="286"/>
      <c r="C135" s="172"/>
      <c r="D135" s="432">
        <f t="shared" si="19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18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155" customFormat="1" ht="12" hidden="1" x14ac:dyDescent="0.2">
      <c r="A136" s="168">
        <v>82</v>
      </c>
      <c r="B136" s="168"/>
      <c r="C136" s="172"/>
      <c r="D136" s="432">
        <f t="shared" si="19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18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155" customFormat="1" ht="12" hidden="1" x14ac:dyDescent="0.2">
      <c r="A137" s="168">
        <v>83</v>
      </c>
      <c r="B137" s="168"/>
      <c r="C137" s="172"/>
      <c r="D137" s="432">
        <f t="shared" si="19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18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68"/>
      <c r="C138" s="172"/>
      <c r="D138" s="432">
        <f t="shared" si="19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8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68"/>
      <c r="C139" s="172"/>
      <c r="D139" s="432">
        <f t="shared" si="19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8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68"/>
      <c r="C140" s="172"/>
      <c r="D140" s="432">
        <f t="shared" si="19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8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173"/>
      <c r="D141" s="432">
        <f t="shared" si="19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8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9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8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9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topLeftCell="A4" zoomScaleNormal="100" workbookViewId="0">
      <selection activeCell="W62" sqref="W62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958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1253325315</v>
      </c>
      <c r="E14" s="432">
        <f>SUM(E15,E16,E33,E54)</f>
        <v>383634462</v>
      </c>
      <c r="F14" s="432">
        <f t="shared" ref="F14:O14" si="0">SUM(F15,F16,F33,F54)</f>
        <v>164214823</v>
      </c>
      <c r="G14" s="432">
        <f t="shared" si="0"/>
        <v>57317741</v>
      </c>
      <c r="H14" s="432">
        <f t="shared" si="0"/>
        <v>45049000</v>
      </c>
      <c r="I14" s="432">
        <f t="shared" si="0"/>
        <v>321557007</v>
      </c>
      <c r="J14" s="432">
        <f t="shared" si="0"/>
        <v>19408872</v>
      </c>
      <c r="K14" s="432">
        <f t="shared" si="0"/>
        <v>114521076</v>
      </c>
      <c r="L14" s="432">
        <f t="shared" si="0"/>
        <v>0</v>
      </c>
      <c r="M14" s="432">
        <f t="shared" si="0"/>
        <v>213389466</v>
      </c>
      <c r="N14" s="432">
        <f t="shared" si="0"/>
        <v>134973914</v>
      </c>
      <c r="O14" s="432">
        <f t="shared" si="0"/>
        <v>20791518</v>
      </c>
      <c r="P14" s="432">
        <f>IF(SUM(Q14:AB14)=SUM(AC14:AM14),SUM(Q14:AB14),"  EROARE ART/CAP")</f>
        <v>1227286170</v>
      </c>
      <c r="Q14" s="432">
        <f t="shared" ref="Q14:AM14" si="1">Q15+Q16+Q33+Q54</f>
        <v>386377273</v>
      </c>
      <c r="R14" s="432">
        <f t="shared" si="1"/>
        <v>214469450</v>
      </c>
      <c r="S14" s="432">
        <f t="shared" si="1"/>
        <v>7544291</v>
      </c>
      <c r="T14" s="432">
        <f t="shared" si="1"/>
        <v>532765</v>
      </c>
      <c r="U14" s="432">
        <f t="shared" si="1"/>
        <v>17941483</v>
      </c>
      <c r="V14" s="432">
        <f t="shared" si="1"/>
        <v>3094458</v>
      </c>
      <c r="W14" s="432">
        <f t="shared" si="1"/>
        <v>226950155</v>
      </c>
      <c r="X14" s="432">
        <f t="shared" si="1"/>
        <v>119754732</v>
      </c>
      <c r="Y14" s="432">
        <f t="shared" si="1"/>
        <v>23716135</v>
      </c>
      <c r="Z14" s="432">
        <f t="shared" si="1"/>
        <v>201371031</v>
      </c>
      <c r="AA14" s="432">
        <f t="shared" si="1"/>
        <v>28031369</v>
      </c>
      <c r="AB14" s="432">
        <f t="shared" si="1"/>
        <v>-2496972</v>
      </c>
      <c r="AC14" s="432">
        <f t="shared" si="1"/>
        <v>151786561</v>
      </c>
      <c r="AD14" s="432">
        <f t="shared" si="1"/>
        <v>15310968</v>
      </c>
      <c r="AE14" s="432">
        <f t="shared" si="1"/>
        <v>339369138</v>
      </c>
      <c r="AF14" s="432">
        <f t="shared" si="1"/>
        <v>9961508</v>
      </c>
      <c r="AG14" s="432">
        <f t="shared" si="1"/>
        <v>94685435</v>
      </c>
      <c r="AH14" s="432">
        <f t="shared" si="1"/>
        <v>188026538</v>
      </c>
      <c r="AI14" s="432">
        <f t="shared" si="1"/>
        <v>147000997</v>
      </c>
      <c r="AJ14" s="432">
        <f t="shared" si="1"/>
        <v>50029553</v>
      </c>
      <c r="AK14" s="432">
        <f t="shared" si="1"/>
        <v>0</v>
      </c>
      <c r="AL14" s="432">
        <f t="shared" si="1"/>
        <v>219007328</v>
      </c>
      <c r="AM14" s="432">
        <f t="shared" si="1"/>
        <v>12108144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260221042</v>
      </c>
      <c r="E15" s="431">
        <v>67190896</v>
      </c>
      <c r="F15" s="431">
        <v>34865213</v>
      </c>
      <c r="G15" s="431">
        <v>24283004</v>
      </c>
      <c r="H15" s="431">
        <v>45049000</v>
      </c>
      <c r="I15" s="431">
        <v>0</v>
      </c>
      <c r="J15" s="431">
        <v>17509000</v>
      </c>
      <c r="K15" s="431">
        <v>27638000</v>
      </c>
      <c r="L15" s="431">
        <v>0</v>
      </c>
      <c r="M15" s="431">
        <v>83403725</v>
      </c>
      <c r="N15" s="431">
        <v>19407321</v>
      </c>
      <c r="O15" s="431">
        <v>23100</v>
      </c>
      <c r="P15" s="453">
        <f t="shared" ref="P15" si="2">IF(SUM(Q15:AB15)=SUM(AC15:AM15),SUM(Q15:AB15),"  EROARE ART/CAP")</f>
        <v>250752538</v>
      </c>
      <c r="Q15" s="431">
        <v>31163224</v>
      </c>
      <c r="R15" s="431">
        <v>29339450</v>
      </c>
      <c r="S15" s="431">
        <v>4487788</v>
      </c>
      <c r="T15" s="431">
        <v>0</v>
      </c>
      <c r="U15" s="431">
        <v>14610855</v>
      </c>
      <c r="V15" s="431">
        <v>2793315</v>
      </c>
      <c r="W15" s="431">
        <v>38753764</v>
      </c>
      <c r="X15" s="431">
        <v>68901954</v>
      </c>
      <c r="Y15" s="431">
        <v>13164494</v>
      </c>
      <c r="Z15" s="431">
        <v>36682933</v>
      </c>
      <c r="AA15" s="431">
        <v>11502356</v>
      </c>
      <c r="AB15" s="431">
        <v>-647595</v>
      </c>
      <c r="AC15" s="431">
        <v>21446759</v>
      </c>
      <c r="AD15" s="431">
        <v>2392605</v>
      </c>
      <c r="AE15" s="431">
        <v>16355621</v>
      </c>
      <c r="AF15" s="431">
        <v>1787671</v>
      </c>
      <c r="AG15" s="431">
        <v>39627497</v>
      </c>
      <c r="AH15" s="431">
        <v>92304269</v>
      </c>
      <c r="AI15" s="431">
        <v>13306871</v>
      </c>
      <c r="AJ15" s="431">
        <v>4653701</v>
      </c>
      <c r="AK15" s="431">
        <v>0</v>
      </c>
      <c r="AL15" s="431">
        <v>52999442</v>
      </c>
      <c r="AM15" s="431">
        <v>5878102</v>
      </c>
    </row>
    <row r="16" spans="1:39" s="155" customFormat="1" ht="12" x14ac:dyDescent="0.2">
      <c r="A16" s="156" t="s">
        <v>72</v>
      </c>
      <c r="B16" s="159"/>
      <c r="C16" s="159"/>
      <c r="D16" s="432">
        <f>E16+SUM(H16:O16)</f>
        <v>302640826</v>
      </c>
      <c r="E16" s="433">
        <f>SUM(E18:E32)</f>
        <v>127559970</v>
      </c>
      <c r="F16" s="433">
        <f t="shared" ref="F16:O16" si="3">SUM(F18:F32)</f>
        <v>64512914</v>
      </c>
      <c r="G16" s="433">
        <f t="shared" si="3"/>
        <v>3689068</v>
      </c>
      <c r="H16" s="433">
        <f t="shared" si="3"/>
        <v>0</v>
      </c>
      <c r="I16" s="433">
        <f t="shared" si="3"/>
        <v>99115134</v>
      </c>
      <c r="J16" s="433">
        <f t="shared" si="3"/>
        <v>0</v>
      </c>
      <c r="K16" s="433">
        <f t="shared" si="3"/>
        <v>7343750</v>
      </c>
      <c r="L16" s="433">
        <f t="shared" si="3"/>
        <v>0</v>
      </c>
      <c r="M16" s="433">
        <f t="shared" si="3"/>
        <v>26670256</v>
      </c>
      <c r="N16" s="433">
        <f t="shared" si="3"/>
        <v>39108037</v>
      </c>
      <c r="O16" s="433">
        <f t="shared" si="3"/>
        <v>2843679</v>
      </c>
      <c r="P16" s="432">
        <f t="shared" ref="P16:P54" si="4">IF(SUM(Q16:AB16)=SUM(AC16:AM16),SUM(Q16:AB16),"  EROARE ART/CAP")</f>
        <v>302994584</v>
      </c>
      <c r="Q16" s="432">
        <f>SUM(Q18:Q32)</f>
        <v>113560629</v>
      </c>
      <c r="R16" s="432">
        <f t="shared" ref="R16:AM16" si="5">SUM(R18:R32)</f>
        <v>74694678</v>
      </c>
      <c r="S16" s="432">
        <f t="shared" si="5"/>
        <v>1490585</v>
      </c>
      <c r="T16" s="432">
        <f t="shared" si="5"/>
        <v>532765</v>
      </c>
      <c r="U16" s="432">
        <f t="shared" si="5"/>
        <v>763000</v>
      </c>
      <c r="V16" s="432">
        <f t="shared" si="5"/>
        <v>301143</v>
      </c>
      <c r="W16" s="432">
        <f t="shared" si="5"/>
        <v>80419497</v>
      </c>
      <c r="X16" s="432">
        <f t="shared" si="5"/>
        <v>8743017</v>
      </c>
      <c r="Y16" s="432">
        <f t="shared" si="5"/>
        <v>3998781</v>
      </c>
      <c r="Z16" s="432">
        <f t="shared" si="5"/>
        <v>14100632</v>
      </c>
      <c r="AA16" s="432">
        <f t="shared" si="5"/>
        <v>5019347</v>
      </c>
      <c r="AB16" s="432">
        <f t="shared" si="5"/>
        <v>-629490</v>
      </c>
      <c r="AC16" s="432">
        <f t="shared" si="5"/>
        <v>19319596</v>
      </c>
      <c r="AD16" s="432">
        <f t="shared" si="5"/>
        <v>5141230</v>
      </c>
      <c r="AE16" s="432">
        <f t="shared" si="5"/>
        <v>102189132</v>
      </c>
      <c r="AF16" s="432">
        <f t="shared" si="5"/>
        <v>3443105</v>
      </c>
      <c r="AG16" s="432">
        <f t="shared" si="5"/>
        <v>23430860</v>
      </c>
      <c r="AH16" s="432">
        <f t="shared" si="5"/>
        <v>33562478</v>
      </c>
      <c r="AI16" s="432">
        <f t="shared" si="5"/>
        <v>80147597</v>
      </c>
      <c r="AJ16" s="432">
        <f t="shared" si="5"/>
        <v>19675564</v>
      </c>
      <c r="AK16" s="432">
        <f t="shared" si="5"/>
        <v>0</v>
      </c>
      <c r="AL16" s="432">
        <f t="shared" si="5"/>
        <v>16085022</v>
      </c>
      <c r="AM16" s="432">
        <f t="shared" si="5"/>
        <v>0</v>
      </c>
    </row>
    <row r="17" spans="1:39" s="155" customFormat="1" ht="22.5" x14ac:dyDescent="0.2">
      <c r="A17" s="277" t="s">
        <v>2306</v>
      </c>
      <c r="B17" s="281" t="s">
        <v>74</v>
      </c>
      <c r="C17" s="260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146">
        <v>1</v>
      </c>
      <c r="B18" s="230">
        <v>65342</v>
      </c>
      <c r="C18" s="257" t="s">
        <v>2032</v>
      </c>
      <c r="D18" s="453">
        <f t="shared" ref="D18:D19" si="6">E18+SUM(H18:O18)</f>
        <v>258952734</v>
      </c>
      <c r="E18" s="431">
        <v>112221992</v>
      </c>
      <c r="F18" s="431">
        <v>57549688</v>
      </c>
      <c r="G18" s="431">
        <v>110720</v>
      </c>
      <c r="H18" s="431">
        <v>0</v>
      </c>
      <c r="I18" s="431">
        <v>84676000</v>
      </c>
      <c r="J18" s="431">
        <v>0</v>
      </c>
      <c r="K18" s="431">
        <v>1114360</v>
      </c>
      <c r="L18" s="431">
        <v>0</v>
      </c>
      <c r="M18" s="431">
        <v>23942297</v>
      </c>
      <c r="N18" s="431">
        <v>36836589</v>
      </c>
      <c r="O18" s="431">
        <v>161496</v>
      </c>
      <c r="P18" s="453">
        <f t="shared" ref="P18:P19" si="7">IF(SUM(Q18:AB18)=SUM(AC18:AM18),SUM(Q18:AB18),"  EROARE ART/CAP")</f>
        <v>258952734</v>
      </c>
      <c r="Q18" s="431">
        <v>94803371</v>
      </c>
      <c r="R18" s="431">
        <v>67838819</v>
      </c>
      <c r="S18" s="431">
        <v>1403306</v>
      </c>
      <c r="T18" s="431">
        <v>532765</v>
      </c>
      <c r="U18" s="431">
        <v>0</v>
      </c>
      <c r="V18" s="431">
        <v>200000</v>
      </c>
      <c r="W18" s="431">
        <v>75702172</v>
      </c>
      <c r="X18" s="431">
        <v>6879788</v>
      </c>
      <c r="Y18" s="431">
        <v>3775183</v>
      </c>
      <c r="Z18" s="431">
        <v>3899343</v>
      </c>
      <c r="AA18" s="431">
        <v>4541097</v>
      </c>
      <c r="AB18" s="431">
        <v>-623110</v>
      </c>
      <c r="AC18" s="431">
        <v>15577283</v>
      </c>
      <c r="AD18" s="431">
        <v>4602289</v>
      </c>
      <c r="AE18" s="431">
        <v>86590896</v>
      </c>
      <c r="AF18" s="431">
        <v>2265164</v>
      </c>
      <c r="AG18" s="431">
        <v>21651412</v>
      </c>
      <c r="AH18" s="431">
        <v>27178053</v>
      </c>
      <c r="AI18" s="431">
        <v>74752096</v>
      </c>
      <c r="AJ18" s="431">
        <v>18576866</v>
      </c>
      <c r="AK18" s="431">
        <v>0</v>
      </c>
      <c r="AL18" s="431">
        <v>7758675</v>
      </c>
      <c r="AM18" s="431">
        <v>0</v>
      </c>
    </row>
    <row r="19" spans="1:39" s="155" customFormat="1" ht="12" x14ac:dyDescent="0.2">
      <c r="A19" s="146">
        <v>2</v>
      </c>
      <c r="B19" s="230">
        <v>65841</v>
      </c>
      <c r="C19" s="257" t="s">
        <v>2033</v>
      </c>
      <c r="D19" s="453">
        <f t="shared" si="6"/>
        <v>43688092</v>
      </c>
      <c r="E19" s="431">
        <v>15337978</v>
      </c>
      <c r="F19" s="431">
        <v>6963226</v>
      </c>
      <c r="G19" s="431">
        <v>3578348</v>
      </c>
      <c r="H19" s="431">
        <v>0</v>
      </c>
      <c r="I19" s="431">
        <v>14439134</v>
      </c>
      <c r="J19" s="431">
        <v>0</v>
      </c>
      <c r="K19" s="431">
        <v>6229390</v>
      </c>
      <c r="L19" s="431">
        <v>0</v>
      </c>
      <c r="M19" s="431">
        <v>2727959</v>
      </c>
      <c r="N19" s="431">
        <v>2271448</v>
      </c>
      <c r="O19" s="431">
        <v>2682183</v>
      </c>
      <c r="P19" s="453">
        <f t="shared" si="7"/>
        <v>44041850</v>
      </c>
      <c r="Q19" s="431">
        <v>18757258</v>
      </c>
      <c r="R19" s="431">
        <v>6855859</v>
      </c>
      <c r="S19" s="431">
        <v>87279</v>
      </c>
      <c r="T19" s="431">
        <v>0</v>
      </c>
      <c r="U19" s="431">
        <v>763000</v>
      </c>
      <c r="V19" s="431">
        <v>101143</v>
      </c>
      <c r="W19" s="431">
        <v>4717325</v>
      </c>
      <c r="X19" s="431">
        <v>1863229</v>
      </c>
      <c r="Y19" s="431">
        <v>223598</v>
      </c>
      <c r="Z19" s="431">
        <v>10201289</v>
      </c>
      <c r="AA19" s="431">
        <v>478250</v>
      </c>
      <c r="AB19" s="431">
        <v>-6380</v>
      </c>
      <c r="AC19" s="431">
        <v>3742313</v>
      </c>
      <c r="AD19" s="431">
        <v>538941</v>
      </c>
      <c r="AE19" s="431">
        <v>15598236</v>
      </c>
      <c r="AF19" s="431">
        <v>1177941</v>
      </c>
      <c r="AG19" s="431">
        <v>1779448</v>
      </c>
      <c r="AH19" s="431">
        <v>6384425</v>
      </c>
      <c r="AI19" s="431">
        <v>5395501</v>
      </c>
      <c r="AJ19" s="431">
        <v>1098698</v>
      </c>
      <c r="AK19" s="431">
        <v>0</v>
      </c>
      <c r="AL19" s="431">
        <v>8326347</v>
      </c>
      <c r="AM19" s="431">
        <v>0</v>
      </c>
    </row>
    <row r="20" spans="1:39" s="155" customFormat="1" ht="12" hidden="1" x14ac:dyDescent="0.2">
      <c r="A20" s="146">
        <v>3</v>
      </c>
      <c r="B20" s="231"/>
      <c r="C20" s="206"/>
      <c r="D20" s="432">
        <f t="shared" ref="D20:D41" si="8">E20+SUM(H20:O20)</f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2">
        <f t="shared" si="4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</row>
    <row r="21" spans="1:39" s="155" customFormat="1" ht="12" hidden="1" x14ac:dyDescent="0.2">
      <c r="A21" s="146">
        <v>4</v>
      </c>
      <c r="B21" s="146"/>
      <c r="C21" s="206"/>
      <c r="D21" s="432">
        <f t="shared" si="8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4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146">
        <v>5</v>
      </c>
      <c r="B22" s="146"/>
      <c r="C22" s="206"/>
      <c r="D22" s="432">
        <f t="shared" si="8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4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146"/>
      <c r="C23" s="206"/>
      <c r="D23" s="432">
        <f t="shared" si="8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4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46"/>
      <c r="C24" s="206"/>
      <c r="D24" s="432">
        <f t="shared" si="8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4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46"/>
      <c r="C25" s="206"/>
      <c r="D25" s="432">
        <f t="shared" si="8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4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46"/>
      <c r="C26" s="206"/>
      <c r="D26" s="432">
        <f t="shared" si="8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4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46"/>
      <c r="C27" s="206"/>
      <c r="D27" s="432">
        <f t="shared" si="8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4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46"/>
      <c r="C28" s="206"/>
      <c r="D28" s="432">
        <f t="shared" si="8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4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46"/>
      <c r="C29" s="206"/>
      <c r="D29" s="432">
        <f t="shared" si="8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4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46"/>
      <c r="C30" s="206"/>
      <c r="D30" s="432">
        <f t="shared" si="8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4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46"/>
      <c r="C31" s="206"/>
      <c r="D31" s="432">
        <f t="shared" si="8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4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46"/>
      <c r="C32" s="207"/>
      <c r="D32" s="432">
        <f t="shared" si="8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4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4"/>
      <c r="C33" s="208"/>
      <c r="D33" s="432">
        <f t="shared" si="8"/>
        <v>137898555</v>
      </c>
      <c r="E33" s="432">
        <f>SUM(E34:E53)</f>
        <v>55446979</v>
      </c>
      <c r="F33" s="432">
        <f t="shared" ref="F33:O33" si="9">SUM(F34:F53)</f>
        <v>25332483</v>
      </c>
      <c r="G33" s="432">
        <f t="shared" si="9"/>
        <v>1943878</v>
      </c>
      <c r="H33" s="432">
        <f t="shared" si="9"/>
        <v>0</v>
      </c>
      <c r="I33" s="432">
        <f t="shared" si="9"/>
        <v>48230550</v>
      </c>
      <c r="J33" s="432">
        <f t="shared" si="9"/>
        <v>0</v>
      </c>
      <c r="K33" s="432">
        <f t="shared" si="9"/>
        <v>5249150</v>
      </c>
      <c r="L33" s="432">
        <f t="shared" si="9"/>
        <v>0</v>
      </c>
      <c r="M33" s="432">
        <f t="shared" si="9"/>
        <v>9941464</v>
      </c>
      <c r="N33" s="432">
        <f t="shared" si="9"/>
        <v>17673502</v>
      </c>
      <c r="O33" s="432">
        <f t="shared" si="9"/>
        <v>1356910</v>
      </c>
      <c r="P33" s="432">
        <f t="shared" si="4"/>
        <v>137805534</v>
      </c>
      <c r="Q33" s="432">
        <f>SUM(Q34:Q53)</f>
        <v>52944684</v>
      </c>
      <c r="R33" s="432">
        <f t="shared" ref="R33:AM33" si="10">SUM(R34:R53)</f>
        <v>29836948</v>
      </c>
      <c r="S33" s="432">
        <f t="shared" si="10"/>
        <v>652960</v>
      </c>
      <c r="T33" s="432">
        <f t="shared" si="10"/>
        <v>0</v>
      </c>
      <c r="U33" s="432">
        <f t="shared" si="10"/>
        <v>293992</v>
      </c>
      <c r="V33" s="432">
        <f t="shared" si="10"/>
        <v>0</v>
      </c>
      <c r="W33" s="432">
        <f t="shared" si="10"/>
        <v>29338931</v>
      </c>
      <c r="X33" s="432">
        <f t="shared" si="10"/>
        <v>4913904</v>
      </c>
      <c r="Y33" s="432">
        <f t="shared" si="10"/>
        <v>1354356</v>
      </c>
      <c r="Z33" s="432">
        <f t="shared" si="10"/>
        <v>17048436</v>
      </c>
      <c r="AA33" s="432">
        <f t="shared" si="10"/>
        <v>1614888</v>
      </c>
      <c r="AB33" s="432">
        <f t="shared" si="10"/>
        <v>-193565</v>
      </c>
      <c r="AC33" s="432">
        <f t="shared" si="10"/>
        <v>15721630</v>
      </c>
      <c r="AD33" s="432">
        <f t="shared" si="10"/>
        <v>1882269</v>
      </c>
      <c r="AE33" s="432">
        <f t="shared" si="10"/>
        <v>54640506</v>
      </c>
      <c r="AF33" s="432">
        <f t="shared" si="10"/>
        <v>2625949</v>
      </c>
      <c r="AG33" s="432">
        <f t="shared" si="10"/>
        <v>7610388</v>
      </c>
      <c r="AH33" s="432">
        <f t="shared" si="10"/>
        <v>9633798</v>
      </c>
      <c r="AI33" s="432">
        <f t="shared" si="10"/>
        <v>13830288</v>
      </c>
      <c r="AJ33" s="432">
        <f t="shared" si="10"/>
        <v>2453771</v>
      </c>
      <c r="AK33" s="432">
        <f t="shared" si="10"/>
        <v>0</v>
      </c>
      <c r="AL33" s="432">
        <f t="shared" si="10"/>
        <v>28903577</v>
      </c>
      <c r="AM33" s="432">
        <f t="shared" si="10"/>
        <v>503358</v>
      </c>
    </row>
    <row r="34" spans="1:39" s="155" customFormat="1" ht="12" x14ac:dyDescent="0.2">
      <c r="A34" s="146">
        <v>1</v>
      </c>
      <c r="B34" s="230">
        <v>65609</v>
      </c>
      <c r="C34" s="207" t="s">
        <v>2034</v>
      </c>
      <c r="D34" s="453">
        <f>E34+SUM(H34:O34)</f>
        <v>12751038</v>
      </c>
      <c r="E34" s="431">
        <v>6163503</v>
      </c>
      <c r="F34" s="431">
        <v>2244115</v>
      </c>
      <c r="G34" s="431">
        <v>145998</v>
      </c>
      <c r="H34" s="431">
        <v>0</v>
      </c>
      <c r="I34" s="431">
        <v>5788667</v>
      </c>
      <c r="J34" s="431">
        <v>0</v>
      </c>
      <c r="K34" s="431">
        <v>469280</v>
      </c>
      <c r="L34" s="431">
        <v>0</v>
      </c>
      <c r="M34" s="431">
        <v>94885</v>
      </c>
      <c r="N34" s="431">
        <v>77793</v>
      </c>
      <c r="O34" s="431">
        <v>156910</v>
      </c>
      <c r="P34" s="453">
        <f t="shared" ref="P34:P38" si="11">IF(SUM(Q34:AB34)=SUM(AC34:AM34),SUM(Q34:AB34),"  EROARE ART/CAP")</f>
        <v>12238277</v>
      </c>
      <c r="Q34" s="431">
        <v>6505742</v>
      </c>
      <c r="R34" s="431">
        <v>3262457</v>
      </c>
      <c r="S34" s="431">
        <v>68490</v>
      </c>
      <c r="T34" s="431">
        <v>0</v>
      </c>
      <c r="U34" s="431">
        <v>0</v>
      </c>
      <c r="V34" s="431">
        <v>0</v>
      </c>
      <c r="W34" s="431">
        <v>329268</v>
      </c>
      <c r="X34" s="431">
        <v>612384</v>
      </c>
      <c r="Y34" s="431">
        <v>144078</v>
      </c>
      <c r="Z34" s="431">
        <v>1127012</v>
      </c>
      <c r="AA34" s="431">
        <v>235298</v>
      </c>
      <c r="AB34" s="431">
        <v>-46452</v>
      </c>
      <c r="AC34" s="431">
        <v>3692717</v>
      </c>
      <c r="AD34" s="431">
        <v>171767</v>
      </c>
      <c r="AE34" s="431">
        <v>5394923</v>
      </c>
      <c r="AF34" s="431">
        <v>88859</v>
      </c>
      <c r="AG34" s="431">
        <v>118633</v>
      </c>
      <c r="AH34" s="431">
        <v>820838</v>
      </c>
      <c r="AI34" s="431">
        <v>1186718</v>
      </c>
      <c r="AJ34" s="431">
        <v>510212</v>
      </c>
      <c r="AK34" s="431">
        <v>0</v>
      </c>
      <c r="AL34" s="431">
        <v>253610</v>
      </c>
      <c r="AM34" s="431">
        <v>0</v>
      </c>
    </row>
    <row r="35" spans="1:39" s="155" customFormat="1" ht="12" x14ac:dyDescent="0.2">
      <c r="A35" s="146">
        <v>2</v>
      </c>
      <c r="B35" s="230">
        <v>65681</v>
      </c>
      <c r="C35" s="207" t="s">
        <v>2035</v>
      </c>
      <c r="D35" s="453">
        <f>E35+SUM(H35:O35)</f>
        <v>37984727</v>
      </c>
      <c r="E35" s="431">
        <v>16974129</v>
      </c>
      <c r="F35" s="431">
        <v>10938419</v>
      </c>
      <c r="G35" s="431">
        <v>311870</v>
      </c>
      <c r="H35" s="431">
        <v>0</v>
      </c>
      <c r="I35" s="431">
        <v>16635830</v>
      </c>
      <c r="J35" s="431">
        <v>0</v>
      </c>
      <c r="K35" s="431">
        <v>936240</v>
      </c>
      <c r="L35" s="431">
        <v>0</v>
      </c>
      <c r="M35" s="431">
        <v>1789446</v>
      </c>
      <c r="N35" s="431">
        <v>1617082</v>
      </c>
      <c r="O35" s="431">
        <v>32000</v>
      </c>
      <c r="P35" s="453">
        <f t="shared" si="11"/>
        <v>37358320</v>
      </c>
      <c r="Q35" s="431">
        <v>17826796</v>
      </c>
      <c r="R35" s="431">
        <v>11279413</v>
      </c>
      <c r="S35" s="431">
        <v>244562</v>
      </c>
      <c r="T35" s="431">
        <v>0</v>
      </c>
      <c r="U35" s="431">
        <v>250000</v>
      </c>
      <c r="V35" s="431">
        <v>0</v>
      </c>
      <c r="W35" s="431">
        <v>2434585</v>
      </c>
      <c r="X35" s="431">
        <v>1318183</v>
      </c>
      <c r="Y35" s="431">
        <v>263639</v>
      </c>
      <c r="Z35" s="431">
        <v>3173338</v>
      </c>
      <c r="AA35" s="431">
        <v>572064</v>
      </c>
      <c r="AB35" s="431">
        <v>-4260</v>
      </c>
      <c r="AC35" s="431">
        <v>3935471</v>
      </c>
      <c r="AD35" s="431">
        <v>497824</v>
      </c>
      <c r="AE35" s="431">
        <v>18472633</v>
      </c>
      <c r="AF35" s="431">
        <v>1580870</v>
      </c>
      <c r="AG35" s="431">
        <v>2798832</v>
      </c>
      <c r="AH35" s="431">
        <v>2656875</v>
      </c>
      <c r="AI35" s="431">
        <v>876228</v>
      </c>
      <c r="AJ35" s="431">
        <v>695413</v>
      </c>
      <c r="AK35" s="431">
        <v>0</v>
      </c>
      <c r="AL35" s="431">
        <v>5438864</v>
      </c>
      <c r="AM35" s="431">
        <v>405310</v>
      </c>
    </row>
    <row r="36" spans="1:39" s="155" customFormat="1" ht="12" x14ac:dyDescent="0.2">
      <c r="A36" s="146">
        <v>3</v>
      </c>
      <c r="B36" s="230">
        <v>65921</v>
      </c>
      <c r="C36" s="207" t="s">
        <v>2036</v>
      </c>
      <c r="D36" s="453">
        <f>E36+SUM(H36:O36)</f>
        <v>40450574</v>
      </c>
      <c r="E36" s="431">
        <v>10663169</v>
      </c>
      <c r="F36" s="431">
        <v>4642766</v>
      </c>
      <c r="G36" s="431">
        <v>291400</v>
      </c>
      <c r="H36" s="431">
        <v>0</v>
      </c>
      <c r="I36" s="431">
        <v>11254912</v>
      </c>
      <c r="J36" s="431">
        <v>0</v>
      </c>
      <c r="K36" s="431">
        <v>894610</v>
      </c>
      <c r="L36" s="431">
        <v>0</v>
      </c>
      <c r="M36" s="431">
        <v>4018262</v>
      </c>
      <c r="N36" s="431">
        <v>13615121</v>
      </c>
      <c r="O36" s="431">
        <v>4500</v>
      </c>
      <c r="P36" s="453">
        <f t="shared" si="11"/>
        <v>43248302</v>
      </c>
      <c r="Q36" s="431">
        <v>11166203</v>
      </c>
      <c r="R36" s="431">
        <v>6007762</v>
      </c>
      <c r="S36" s="431">
        <v>79000</v>
      </c>
      <c r="T36" s="431">
        <v>0</v>
      </c>
      <c r="U36" s="431">
        <v>43992</v>
      </c>
      <c r="V36" s="431">
        <v>0</v>
      </c>
      <c r="W36" s="431">
        <v>21505226</v>
      </c>
      <c r="X36" s="431">
        <v>1317596</v>
      </c>
      <c r="Y36" s="431">
        <v>185288</v>
      </c>
      <c r="Z36" s="431">
        <v>2618696</v>
      </c>
      <c r="AA36" s="431">
        <v>432000</v>
      </c>
      <c r="AB36" s="431">
        <v>-107461</v>
      </c>
      <c r="AC36" s="431">
        <v>3126208</v>
      </c>
      <c r="AD36" s="431">
        <v>522758</v>
      </c>
      <c r="AE36" s="431">
        <v>13458504</v>
      </c>
      <c r="AF36" s="431">
        <v>591487</v>
      </c>
      <c r="AG36" s="431">
        <v>1582336</v>
      </c>
      <c r="AH36" s="431">
        <v>1749856</v>
      </c>
      <c r="AI36" s="431">
        <v>2033325</v>
      </c>
      <c r="AJ36" s="431">
        <v>349208</v>
      </c>
      <c r="AK36" s="431">
        <v>0</v>
      </c>
      <c r="AL36" s="431">
        <v>19834620</v>
      </c>
      <c r="AM36" s="431">
        <v>0</v>
      </c>
    </row>
    <row r="37" spans="1:39" s="155" customFormat="1" ht="12" x14ac:dyDescent="0.2">
      <c r="A37" s="146">
        <v>4</v>
      </c>
      <c r="B37" s="230">
        <v>66081</v>
      </c>
      <c r="C37" s="207" t="s">
        <v>2037</v>
      </c>
      <c r="D37" s="453">
        <f>E37+SUM(H37:O37)</f>
        <v>30013052</v>
      </c>
      <c r="E37" s="431">
        <v>16728266</v>
      </c>
      <c r="F37" s="431">
        <v>6114362</v>
      </c>
      <c r="G37" s="431">
        <v>235580</v>
      </c>
      <c r="H37" s="431">
        <v>0</v>
      </c>
      <c r="I37" s="431">
        <v>10447702</v>
      </c>
      <c r="J37" s="431">
        <v>0</v>
      </c>
      <c r="K37" s="431">
        <v>781930</v>
      </c>
      <c r="L37" s="431">
        <v>0</v>
      </c>
      <c r="M37" s="431">
        <v>1423302</v>
      </c>
      <c r="N37" s="431">
        <v>615352</v>
      </c>
      <c r="O37" s="431">
        <v>16500</v>
      </c>
      <c r="P37" s="453">
        <f t="shared" si="11"/>
        <v>28291737</v>
      </c>
      <c r="Q37" s="431">
        <v>11414459</v>
      </c>
      <c r="R37" s="431">
        <v>6265104</v>
      </c>
      <c r="S37" s="431">
        <v>251908</v>
      </c>
      <c r="T37" s="431">
        <v>0</v>
      </c>
      <c r="U37" s="431">
        <v>0</v>
      </c>
      <c r="V37" s="431">
        <v>0</v>
      </c>
      <c r="W37" s="431">
        <v>1726367</v>
      </c>
      <c r="X37" s="431">
        <v>949586</v>
      </c>
      <c r="Y37" s="431">
        <v>761351</v>
      </c>
      <c r="Z37" s="431">
        <v>6598512</v>
      </c>
      <c r="AA37" s="431">
        <v>334380</v>
      </c>
      <c r="AB37" s="431">
        <v>-9930</v>
      </c>
      <c r="AC37" s="431">
        <v>2723484</v>
      </c>
      <c r="AD37" s="431">
        <v>395187</v>
      </c>
      <c r="AE37" s="431">
        <v>10411922</v>
      </c>
      <c r="AF37" s="431">
        <v>303308</v>
      </c>
      <c r="AG37" s="431">
        <v>2753837</v>
      </c>
      <c r="AH37" s="431">
        <v>1876132</v>
      </c>
      <c r="AI37" s="431">
        <v>7134655</v>
      </c>
      <c r="AJ37" s="431">
        <v>545587</v>
      </c>
      <c r="AK37" s="431">
        <v>0</v>
      </c>
      <c r="AL37" s="431">
        <v>2147625</v>
      </c>
      <c r="AM37" s="431">
        <v>0</v>
      </c>
    </row>
    <row r="38" spans="1:39" s="155" customFormat="1" ht="12" x14ac:dyDescent="0.2">
      <c r="A38" s="146">
        <v>5</v>
      </c>
      <c r="B38" s="230">
        <v>68627</v>
      </c>
      <c r="C38" s="207" t="s">
        <v>2038</v>
      </c>
      <c r="D38" s="453">
        <f>E38+SUM(H38:O38)</f>
        <v>16699164</v>
      </c>
      <c r="E38" s="431">
        <v>4917912</v>
      </c>
      <c r="F38" s="431">
        <v>1392821</v>
      </c>
      <c r="G38" s="431">
        <v>959030</v>
      </c>
      <c r="H38" s="431">
        <v>0</v>
      </c>
      <c r="I38" s="431">
        <v>4103439</v>
      </c>
      <c r="J38" s="431">
        <v>0</v>
      </c>
      <c r="K38" s="431">
        <v>2167090</v>
      </c>
      <c r="L38" s="431">
        <v>0</v>
      </c>
      <c r="M38" s="431">
        <v>2615569</v>
      </c>
      <c r="N38" s="431">
        <v>1748154</v>
      </c>
      <c r="O38" s="431">
        <v>1147000</v>
      </c>
      <c r="P38" s="453">
        <f t="shared" si="11"/>
        <v>16668898</v>
      </c>
      <c r="Q38" s="431">
        <v>6031484</v>
      </c>
      <c r="R38" s="431">
        <v>3022212</v>
      </c>
      <c r="S38" s="431">
        <v>9000</v>
      </c>
      <c r="T38" s="431">
        <v>0</v>
      </c>
      <c r="U38" s="431">
        <v>0</v>
      </c>
      <c r="V38" s="431">
        <v>0</v>
      </c>
      <c r="W38" s="431">
        <v>3343485</v>
      </c>
      <c r="X38" s="431">
        <v>716155</v>
      </c>
      <c r="Y38" s="431">
        <v>0</v>
      </c>
      <c r="Z38" s="431">
        <v>3530878</v>
      </c>
      <c r="AA38" s="431">
        <v>41146</v>
      </c>
      <c r="AB38" s="431">
        <v>-25462</v>
      </c>
      <c r="AC38" s="431">
        <v>2243750</v>
      </c>
      <c r="AD38" s="431">
        <v>294733</v>
      </c>
      <c r="AE38" s="431">
        <v>6902524</v>
      </c>
      <c r="AF38" s="431">
        <v>61425</v>
      </c>
      <c r="AG38" s="431">
        <v>356750</v>
      </c>
      <c r="AH38" s="431">
        <v>2530097</v>
      </c>
      <c r="AI38" s="431">
        <v>2599362</v>
      </c>
      <c r="AJ38" s="431">
        <v>353351</v>
      </c>
      <c r="AK38" s="431">
        <v>0</v>
      </c>
      <c r="AL38" s="431">
        <v>1228858</v>
      </c>
      <c r="AM38" s="431">
        <v>98048</v>
      </c>
    </row>
    <row r="39" spans="1:39" s="155" customFormat="1" ht="12" hidden="1" x14ac:dyDescent="0.2">
      <c r="A39" s="146">
        <v>6</v>
      </c>
      <c r="B39" s="146"/>
      <c r="C39" s="172"/>
      <c r="D39" s="432">
        <f t="shared" si="8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4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</row>
    <row r="40" spans="1:39" s="155" customFormat="1" ht="12" hidden="1" x14ac:dyDescent="0.2">
      <c r="A40" s="146">
        <v>7</v>
      </c>
      <c r="B40" s="146"/>
      <c r="C40" s="182"/>
      <c r="D40" s="432">
        <f t="shared" si="8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4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155" customFormat="1" ht="12" hidden="1" x14ac:dyDescent="0.2">
      <c r="A41" s="146">
        <v>8</v>
      </c>
      <c r="B41" s="146"/>
      <c r="C41" s="173"/>
      <c r="D41" s="432">
        <f t="shared" si="8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4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146">
        <v>9</v>
      </c>
      <c r="B42" s="146"/>
      <c r="C42" s="206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4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146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4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46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4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46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4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46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4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46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4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46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4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46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4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46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4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46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4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46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4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46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4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4"/>
      <c r="C54" s="208"/>
      <c r="D54" s="432">
        <f t="shared" ref="D54" si="12">E54+SUM(H54:O54)</f>
        <v>552564892</v>
      </c>
      <c r="E54" s="432">
        <f>SUM(E55:E143)</f>
        <v>133436617</v>
      </c>
      <c r="F54" s="432">
        <f t="shared" ref="F54:O54" si="13">SUM(F55:F143)</f>
        <v>39504213</v>
      </c>
      <c r="G54" s="432">
        <f t="shared" si="13"/>
        <v>27401791</v>
      </c>
      <c r="H54" s="432">
        <f t="shared" si="13"/>
        <v>0</v>
      </c>
      <c r="I54" s="432">
        <f t="shared" si="13"/>
        <v>174211323</v>
      </c>
      <c r="J54" s="432">
        <f t="shared" si="13"/>
        <v>1899872</v>
      </c>
      <c r="K54" s="432">
        <f t="shared" si="13"/>
        <v>74290176</v>
      </c>
      <c r="L54" s="432">
        <f t="shared" si="13"/>
        <v>0</v>
      </c>
      <c r="M54" s="432">
        <f t="shared" si="13"/>
        <v>93374021</v>
      </c>
      <c r="N54" s="432">
        <f t="shared" si="13"/>
        <v>58785054</v>
      </c>
      <c r="O54" s="432">
        <f t="shared" si="13"/>
        <v>16567829</v>
      </c>
      <c r="P54" s="432">
        <f t="shared" si="4"/>
        <v>535733514</v>
      </c>
      <c r="Q54" s="432">
        <f>SUM(Q55:Q143)</f>
        <v>188708736</v>
      </c>
      <c r="R54" s="432">
        <f t="shared" ref="R54:AM54" si="14">SUM(R55:R143)</f>
        <v>80598374</v>
      </c>
      <c r="S54" s="432">
        <f t="shared" si="14"/>
        <v>912958</v>
      </c>
      <c r="T54" s="432">
        <f t="shared" si="14"/>
        <v>0</v>
      </c>
      <c r="U54" s="432">
        <f t="shared" si="14"/>
        <v>2273636</v>
      </c>
      <c r="V54" s="432">
        <f t="shared" si="14"/>
        <v>0</v>
      </c>
      <c r="W54" s="432">
        <f t="shared" si="14"/>
        <v>78437963</v>
      </c>
      <c r="X54" s="432">
        <f t="shared" si="14"/>
        <v>37195857</v>
      </c>
      <c r="Y54" s="432">
        <f t="shared" si="14"/>
        <v>5198504</v>
      </c>
      <c r="Z54" s="432">
        <f t="shared" si="14"/>
        <v>133539030</v>
      </c>
      <c r="AA54" s="432">
        <f t="shared" si="14"/>
        <v>9894778</v>
      </c>
      <c r="AB54" s="432">
        <f t="shared" si="14"/>
        <v>-1026322</v>
      </c>
      <c r="AC54" s="432">
        <f t="shared" si="14"/>
        <v>95298576</v>
      </c>
      <c r="AD54" s="432">
        <f t="shared" si="14"/>
        <v>5894864</v>
      </c>
      <c r="AE54" s="432">
        <f t="shared" si="14"/>
        <v>166183879</v>
      </c>
      <c r="AF54" s="432">
        <f t="shared" si="14"/>
        <v>2104783</v>
      </c>
      <c r="AG54" s="432">
        <f t="shared" si="14"/>
        <v>24016690</v>
      </c>
      <c r="AH54" s="432">
        <f t="shared" si="14"/>
        <v>52525993</v>
      </c>
      <c r="AI54" s="432">
        <f t="shared" si="14"/>
        <v>39716241</v>
      </c>
      <c r="AJ54" s="432">
        <f t="shared" si="14"/>
        <v>23246517</v>
      </c>
      <c r="AK54" s="432">
        <f t="shared" si="14"/>
        <v>0</v>
      </c>
      <c r="AL54" s="432">
        <f>SUM(AL55:AL143)</f>
        <v>121019287</v>
      </c>
      <c r="AM54" s="432">
        <f t="shared" si="14"/>
        <v>5726684</v>
      </c>
    </row>
    <row r="55" spans="1:39" s="233" customFormat="1" ht="12" x14ac:dyDescent="0.2">
      <c r="A55" s="168">
        <v>1</v>
      </c>
      <c r="B55" s="232">
        <v>65379</v>
      </c>
      <c r="C55" s="258" t="s">
        <v>2039</v>
      </c>
      <c r="D55" s="453">
        <f t="shared" ref="D55:D118" si="15">E55+SUM(H55:O55)</f>
        <v>9483546</v>
      </c>
      <c r="E55" s="431">
        <v>6433942</v>
      </c>
      <c r="F55" s="431">
        <v>4414866</v>
      </c>
      <c r="G55" s="431">
        <v>77990</v>
      </c>
      <c r="H55" s="431">
        <v>0</v>
      </c>
      <c r="I55" s="431">
        <v>2052504</v>
      </c>
      <c r="J55" s="431">
        <v>0</v>
      </c>
      <c r="K55" s="431">
        <v>283620</v>
      </c>
      <c r="L55" s="431">
        <v>0</v>
      </c>
      <c r="M55" s="431">
        <v>156953</v>
      </c>
      <c r="N55" s="431">
        <v>508677</v>
      </c>
      <c r="O55" s="431">
        <v>47850</v>
      </c>
      <c r="P55" s="453">
        <f t="shared" ref="P55:P66" si="16">IF(SUM(Q55:AB55)=SUM(AC55:AM55),SUM(Q55:AB55),"  EROARE ART/CAP")</f>
        <v>8953689</v>
      </c>
      <c r="Q55" s="431">
        <v>2495413</v>
      </c>
      <c r="R55" s="431">
        <v>2653524</v>
      </c>
      <c r="S55" s="431">
        <v>40800</v>
      </c>
      <c r="T55" s="431">
        <v>0</v>
      </c>
      <c r="U55" s="431">
        <v>0</v>
      </c>
      <c r="V55" s="431">
        <v>0</v>
      </c>
      <c r="W55" s="431">
        <v>880994</v>
      </c>
      <c r="X55" s="431">
        <v>597800</v>
      </c>
      <c r="Y55" s="431">
        <v>276848</v>
      </c>
      <c r="Z55" s="431">
        <v>1796365</v>
      </c>
      <c r="AA55" s="431">
        <v>240000</v>
      </c>
      <c r="AB55" s="431">
        <v>-28055</v>
      </c>
      <c r="AC55" s="431">
        <v>1588640</v>
      </c>
      <c r="AD55" s="431">
        <v>27084</v>
      </c>
      <c r="AE55" s="431">
        <v>1943125</v>
      </c>
      <c r="AF55" s="431">
        <v>0</v>
      </c>
      <c r="AG55" s="431">
        <v>1337034</v>
      </c>
      <c r="AH55" s="431">
        <v>612485</v>
      </c>
      <c r="AI55" s="431">
        <v>1457893</v>
      </c>
      <c r="AJ55" s="431">
        <v>107220</v>
      </c>
      <c r="AK55" s="431">
        <v>0</v>
      </c>
      <c r="AL55" s="431">
        <v>1319181</v>
      </c>
      <c r="AM55" s="431">
        <v>561027</v>
      </c>
    </row>
    <row r="56" spans="1:39" s="233" customFormat="1" ht="12" x14ac:dyDescent="0.2">
      <c r="A56" s="168">
        <v>2</v>
      </c>
      <c r="B56" s="232">
        <v>66198</v>
      </c>
      <c r="C56" s="258" t="s">
        <v>651</v>
      </c>
      <c r="D56" s="453">
        <f t="shared" si="15"/>
        <v>10238736</v>
      </c>
      <c r="E56" s="431">
        <v>2474572</v>
      </c>
      <c r="F56" s="431">
        <v>616144</v>
      </c>
      <c r="G56" s="431">
        <v>477700</v>
      </c>
      <c r="H56" s="431">
        <v>0</v>
      </c>
      <c r="I56" s="431">
        <v>5629008</v>
      </c>
      <c r="J56" s="431">
        <v>0</v>
      </c>
      <c r="K56" s="431">
        <v>1351240</v>
      </c>
      <c r="L56" s="431">
        <v>0</v>
      </c>
      <c r="M56" s="431">
        <v>307359</v>
      </c>
      <c r="N56" s="431">
        <v>476557</v>
      </c>
      <c r="O56" s="431">
        <v>0</v>
      </c>
      <c r="P56" s="453">
        <f t="shared" si="16"/>
        <v>10203305</v>
      </c>
      <c r="Q56" s="431">
        <v>5707691</v>
      </c>
      <c r="R56" s="431">
        <v>1459910</v>
      </c>
      <c r="S56" s="431">
        <v>14850</v>
      </c>
      <c r="T56" s="431">
        <v>0</v>
      </c>
      <c r="U56" s="431">
        <v>0</v>
      </c>
      <c r="V56" s="431">
        <v>0</v>
      </c>
      <c r="W56" s="431">
        <v>1089928</v>
      </c>
      <c r="X56" s="431">
        <v>762473</v>
      </c>
      <c r="Y56" s="431">
        <v>52104</v>
      </c>
      <c r="Z56" s="431">
        <v>991213</v>
      </c>
      <c r="AA56" s="431">
        <v>126480</v>
      </c>
      <c r="AB56" s="431">
        <v>-1344</v>
      </c>
      <c r="AC56" s="431">
        <v>2612262</v>
      </c>
      <c r="AD56" s="431">
        <v>2940</v>
      </c>
      <c r="AE56" s="431">
        <v>4852773</v>
      </c>
      <c r="AF56" s="431">
        <v>27162</v>
      </c>
      <c r="AG56" s="431">
        <v>76692</v>
      </c>
      <c r="AH56" s="431">
        <v>1100579</v>
      </c>
      <c r="AI56" s="431">
        <v>233235</v>
      </c>
      <c r="AJ56" s="431">
        <v>15171</v>
      </c>
      <c r="AK56" s="431">
        <v>0</v>
      </c>
      <c r="AL56" s="431">
        <v>1282491</v>
      </c>
      <c r="AM56" s="431">
        <v>0</v>
      </c>
    </row>
    <row r="57" spans="1:39" s="233" customFormat="1" ht="12" x14ac:dyDescent="0.2">
      <c r="A57" s="168">
        <v>3</v>
      </c>
      <c r="B57" s="232">
        <v>66223</v>
      </c>
      <c r="C57" s="258" t="s">
        <v>2040</v>
      </c>
      <c r="D57" s="453">
        <f t="shared" si="15"/>
        <v>6087935</v>
      </c>
      <c r="E57" s="431">
        <v>765747</v>
      </c>
      <c r="F57" s="431">
        <v>157699</v>
      </c>
      <c r="G57" s="431">
        <v>280070</v>
      </c>
      <c r="H57" s="431">
        <v>0</v>
      </c>
      <c r="I57" s="431">
        <v>1360192</v>
      </c>
      <c r="J57" s="431">
        <v>0</v>
      </c>
      <c r="K57" s="431">
        <v>650210</v>
      </c>
      <c r="L57" s="431">
        <v>0</v>
      </c>
      <c r="M57" s="431">
        <v>3311786</v>
      </c>
      <c r="N57" s="431">
        <v>0</v>
      </c>
      <c r="O57" s="431">
        <v>0</v>
      </c>
      <c r="P57" s="453">
        <f t="shared" si="16"/>
        <v>6077704</v>
      </c>
      <c r="Q57" s="431">
        <v>1987665</v>
      </c>
      <c r="R57" s="431">
        <v>584845</v>
      </c>
      <c r="S57" s="431">
        <v>0</v>
      </c>
      <c r="T57" s="431">
        <v>0</v>
      </c>
      <c r="U57" s="431">
        <v>0</v>
      </c>
      <c r="V57" s="431">
        <v>0</v>
      </c>
      <c r="W57" s="431">
        <v>0</v>
      </c>
      <c r="X57" s="431">
        <v>155940</v>
      </c>
      <c r="Y57" s="431">
        <v>0</v>
      </c>
      <c r="Z57" s="431">
        <v>3349254</v>
      </c>
      <c r="AA57" s="431">
        <v>0</v>
      </c>
      <c r="AB57" s="431">
        <v>0</v>
      </c>
      <c r="AC57" s="431">
        <v>1426668</v>
      </c>
      <c r="AD57" s="431">
        <v>0</v>
      </c>
      <c r="AE57" s="431">
        <v>1056702</v>
      </c>
      <c r="AF57" s="431">
        <v>21351</v>
      </c>
      <c r="AG57" s="431">
        <v>23325</v>
      </c>
      <c r="AH57" s="431">
        <v>409174</v>
      </c>
      <c r="AI57" s="431">
        <v>2189756</v>
      </c>
      <c r="AJ57" s="431">
        <v>0</v>
      </c>
      <c r="AK57" s="431">
        <v>0</v>
      </c>
      <c r="AL57" s="431">
        <v>950728</v>
      </c>
      <c r="AM57" s="431">
        <v>0</v>
      </c>
    </row>
    <row r="58" spans="1:39" s="233" customFormat="1" ht="12" x14ac:dyDescent="0.2">
      <c r="A58" s="168">
        <v>4</v>
      </c>
      <c r="B58" s="232">
        <v>66330</v>
      </c>
      <c r="C58" s="258" t="s">
        <v>2041</v>
      </c>
      <c r="D58" s="453">
        <f t="shared" si="15"/>
        <v>5230019</v>
      </c>
      <c r="E58" s="431">
        <v>1254221</v>
      </c>
      <c r="F58" s="431">
        <v>246293</v>
      </c>
      <c r="G58" s="431">
        <v>356370</v>
      </c>
      <c r="H58" s="431">
        <v>0</v>
      </c>
      <c r="I58" s="431">
        <v>2081122</v>
      </c>
      <c r="J58" s="431">
        <v>200000</v>
      </c>
      <c r="K58" s="431">
        <v>910400</v>
      </c>
      <c r="L58" s="431">
        <v>0</v>
      </c>
      <c r="M58" s="431">
        <v>678080</v>
      </c>
      <c r="N58" s="431">
        <v>105196</v>
      </c>
      <c r="O58" s="431">
        <v>1000</v>
      </c>
      <c r="P58" s="453">
        <f t="shared" si="16"/>
        <v>5384125</v>
      </c>
      <c r="Q58" s="431">
        <v>2517047</v>
      </c>
      <c r="R58" s="431">
        <v>1008043</v>
      </c>
      <c r="S58" s="431">
        <v>0</v>
      </c>
      <c r="T58" s="431">
        <v>0</v>
      </c>
      <c r="U58" s="431">
        <v>0</v>
      </c>
      <c r="V58" s="431">
        <v>0</v>
      </c>
      <c r="W58" s="431">
        <v>317570</v>
      </c>
      <c r="X58" s="431">
        <v>418166</v>
      </c>
      <c r="Y58" s="431">
        <v>129000</v>
      </c>
      <c r="Z58" s="431">
        <v>994299</v>
      </c>
      <c r="AA58" s="431">
        <v>0</v>
      </c>
      <c r="AB58" s="431">
        <v>0</v>
      </c>
      <c r="AC58" s="431">
        <v>1440786</v>
      </c>
      <c r="AD58" s="431">
        <v>235001</v>
      </c>
      <c r="AE58" s="431">
        <v>2025802</v>
      </c>
      <c r="AF58" s="431">
        <v>0</v>
      </c>
      <c r="AG58" s="431">
        <v>226346</v>
      </c>
      <c r="AH58" s="431">
        <v>619048</v>
      </c>
      <c r="AI58" s="431">
        <v>140092</v>
      </c>
      <c r="AJ58" s="431">
        <v>0</v>
      </c>
      <c r="AK58" s="431">
        <v>0</v>
      </c>
      <c r="AL58" s="431">
        <v>435118</v>
      </c>
      <c r="AM58" s="431">
        <v>261932</v>
      </c>
    </row>
    <row r="59" spans="1:39" s="233" customFormat="1" ht="12" x14ac:dyDescent="0.2">
      <c r="A59" s="168">
        <v>5</v>
      </c>
      <c r="B59" s="232">
        <v>66401</v>
      </c>
      <c r="C59" s="258" t="s">
        <v>2042</v>
      </c>
      <c r="D59" s="453">
        <f t="shared" si="15"/>
        <v>3252259</v>
      </c>
      <c r="E59" s="431">
        <v>936424</v>
      </c>
      <c r="F59" s="431">
        <v>143459</v>
      </c>
      <c r="G59" s="431">
        <v>370960</v>
      </c>
      <c r="H59" s="431">
        <v>0</v>
      </c>
      <c r="I59" s="431">
        <v>894582</v>
      </c>
      <c r="J59" s="431">
        <v>0</v>
      </c>
      <c r="K59" s="431">
        <v>739080</v>
      </c>
      <c r="L59" s="431">
        <v>0</v>
      </c>
      <c r="M59" s="431">
        <v>149325</v>
      </c>
      <c r="N59" s="431">
        <v>532848</v>
      </c>
      <c r="O59" s="431">
        <v>0</v>
      </c>
      <c r="P59" s="453">
        <f t="shared" si="16"/>
        <v>2660669</v>
      </c>
      <c r="Q59" s="431">
        <v>1158053</v>
      </c>
      <c r="R59" s="431">
        <v>554228</v>
      </c>
      <c r="S59" s="431">
        <v>0</v>
      </c>
      <c r="T59" s="431">
        <v>0</v>
      </c>
      <c r="U59" s="431">
        <v>0</v>
      </c>
      <c r="V59" s="431">
        <v>0</v>
      </c>
      <c r="W59" s="431">
        <v>676044</v>
      </c>
      <c r="X59" s="431">
        <v>152997</v>
      </c>
      <c r="Y59" s="431">
        <v>70526</v>
      </c>
      <c r="Z59" s="431">
        <v>115480</v>
      </c>
      <c r="AA59" s="431">
        <v>0</v>
      </c>
      <c r="AB59" s="431">
        <v>-66659</v>
      </c>
      <c r="AC59" s="431">
        <v>1351466</v>
      </c>
      <c r="AD59" s="431">
        <v>1549</v>
      </c>
      <c r="AE59" s="431">
        <v>734582</v>
      </c>
      <c r="AF59" s="431">
        <v>0</v>
      </c>
      <c r="AG59" s="431">
        <v>23910</v>
      </c>
      <c r="AH59" s="431">
        <v>254348</v>
      </c>
      <c r="AI59" s="431">
        <v>108808</v>
      </c>
      <c r="AJ59" s="431">
        <v>70526</v>
      </c>
      <c r="AK59" s="431">
        <v>0</v>
      </c>
      <c r="AL59" s="431">
        <v>115480</v>
      </c>
      <c r="AM59" s="431">
        <v>0</v>
      </c>
    </row>
    <row r="60" spans="1:39" s="233" customFormat="1" ht="12" x14ac:dyDescent="0.2">
      <c r="A60" s="168">
        <v>6</v>
      </c>
      <c r="B60" s="232">
        <v>66009</v>
      </c>
      <c r="C60" s="258" t="s">
        <v>2043</v>
      </c>
      <c r="D60" s="453">
        <f t="shared" si="15"/>
        <v>3616971</v>
      </c>
      <c r="E60" s="431">
        <v>1098685</v>
      </c>
      <c r="F60" s="431">
        <v>418887</v>
      </c>
      <c r="G60" s="431">
        <v>237630</v>
      </c>
      <c r="H60" s="431">
        <v>0</v>
      </c>
      <c r="I60" s="431">
        <v>1329361</v>
      </c>
      <c r="J60" s="431">
        <v>400000</v>
      </c>
      <c r="K60" s="431">
        <v>602810</v>
      </c>
      <c r="L60" s="431">
        <v>0</v>
      </c>
      <c r="M60" s="431">
        <v>186115</v>
      </c>
      <c r="N60" s="431">
        <v>0</v>
      </c>
      <c r="O60" s="431">
        <v>0</v>
      </c>
      <c r="P60" s="453">
        <f t="shared" si="16"/>
        <v>3402382</v>
      </c>
      <c r="Q60" s="431">
        <v>1547233</v>
      </c>
      <c r="R60" s="431">
        <v>417504</v>
      </c>
      <c r="S60" s="431">
        <v>10840</v>
      </c>
      <c r="T60" s="431">
        <v>0</v>
      </c>
      <c r="U60" s="431">
        <v>0</v>
      </c>
      <c r="V60" s="431">
        <v>0</v>
      </c>
      <c r="W60" s="431">
        <v>0</v>
      </c>
      <c r="X60" s="431">
        <v>444220</v>
      </c>
      <c r="Y60" s="431">
        <v>109589</v>
      </c>
      <c r="Z60" s="431">
        <v>821780</v>
      </c>
      <c r="AA60" s="431">
        <v>51216</v>
      </c>
      <c r="AB60" s="431">
        <v>0</v>
      </c>
      <c r="AC60" s="431">
        <v>1016700</v>
      </c>
      <c r="AD60" s="431">
        <v>2594</v>
      </c>
      <c r="AE60" s="431">
        <v>1018032</v>
      </c>
      <c r="AF60" s="431">
        <v>0</v>
      </c>
      <c r="AG60" s="431">
        <v>82376</v>
      </c>
      <c r="AH60" s="431">
        <v>601089</v>
      </c>
      <c r="AI60" s="431">
        <v>63932</v>
      </c>
      <c r="AJ60" s="431">
        <v>57507</v>
      </c>
      <c r="AK60" s="431">
        <v>0</v>
      </c>
      <c r="AL60" s="431">
        <v>560152</v>
      </c>
      <c r="AM60" s="431">
        <v>0</v>
      </c>
    </row>
    <row r="61" spans="1:39" s="233" customFormat="1" ht="12" x14ac:dyDescent="0.2">
      <c r="A61" s="168">
        <v>7</v>
      </c>
      <c r="B61" s="232">
        <v>66152</v>
      </c>
      <c r="C61" s="258" t="s">
        <v>2044</v>
      </c>
      <c r="D61" s="453">
        <f t="shared" si="15"/>
        <v>5654224</v>
      </c>
      <c r="E61" s="431">
        <v>1009110</v>
      </c>
      <c r="F61" s="431">
        <v>180250</v>
      </c>
      <c r="G61" s="431">
        <v>354370</v>
      </c>
      <c r="H61" s="431">
        <v>0</v>
      </c>
      <c r="I61" s="431">
        <v>1829356</v>
      </c>
      <c r="J61" s="431">
        <v>0</v>
      </c>
      <c r="K61" s="431">
        <v>739160</v>
      </c>
      <c r="L61" s="431">
        <v>0</v>
      </c>
      <c r="M61" s="431">
        <v>832462</v>
      </c>
      <c r="N61" s="431">
        <v>1244136</v>
      </c>
      <c r="O61" s="431">
        <v>0</v>
      </c>
      <c r="P61" s="453">
        <f t="shared" si="16"/>
        <v>5176876</v>
      </c>
      <c r="Q61" s="431">
        <v>1931006</v>
      </c>
      <c r="R61" s="431">
        <v>424341</v>
      </c>
      <c r="S61" s="431">
        <v>10923</v>
      </c>
      <c r="T61" s="431">
        <v>0</v>
      </c>
      <c r="U61" s="431">
        <v>0</v>
      </c>
      <c r="V61" s="431">
        <v>0</v>
      </c>
      <c r="W61" s="431">
        <v>1026119</v>
      </c>
      <c r="X61" s="431">
        <v>347312</v>
      </c>
      <c r="Y61" s="431">
        <v>58784</v>
      </c>
      <c r="Z61" s="431">
        <v>755269</v>
      </c>
      <c r="AA61" s="431">
        <v>623122</v>
      </c>
      <c r="AB61" s="431">
        <v>0</v>
      </c>
      <c r="AC61" s="431">
        <v>1280800</v>
      </c>
      <c r="AD61" s="431">
        <v>0</v>
      </c>
      <c r="AE61" s="431">
        <v>1892269</v>
      </c>
      <c r="AF61" s="431">
        <v>0</v>
      </c>
      <c r="AG61" s="431">
        <v>113253</v>
      </c>
      <c r="AH61" s="431">
        <v>532927</v>
      </c>
      <c r="AI61" s="431">
        <v>82818</v>
      </c>
      <c r="AJ61" s="431">
        <v>7673</v>
      </c>
      <c r="AK61" s="431">
        <v>0</v>
      </c>
      <c r="AL61" s="431">
        <v>1227762</v>
      </c>
      <c r="AM61" s="431">
        <v>39374</v>
      </c>
    </row>
    <row r="62" spans="1:39" s="233" customFormat="1" ht="12" x14ac:dyDescent="0.2">
      <c r="A62" s="168">
        <v>8</v>
      </c>
      <c r="B62" s="232">
        <v>101341</v>
      </c>
      <c r="C62" s="258" t="s">
        <v>2045</v>
      </c>
      <c r="D62" s="453">
        <f t="shared" si="15"/>
        <v>4785276</v>
      </c>
      <c r="E62" s="431">
        <v>1167540</v>
      </c>
      <c r="F62" s="431">
        <v>108363</v>
      </c>
      <c r="G62" s="431">
        <v>305210</v>
      </c>
      <c r="H62" s="431">
        <v>0</v>
      </c>
      <c r="I62" s="431">
        <v>1839119</v>
      </c>
      <c r="J62" s="431">
        <v>0</v>
      </c>
      <c r="K62" s="431">
        <v>733837</v>
      </c>
      <c r="L62" s="431">
        <v>0</v>
      </c>
      <c r="M62" s="431">
        <v>1043280</v>
      </c>
      <c r="N62" s="431">
        <v>0</v>
      </c>
      <c r="O62" s="431">
        <v>1500</v>
      </c>
      <c r="P62" s="453">
        <f t="shared" si="16"/>
        <v>4573675</v>
      </c>
      <c r="Q62" s="431">
        <v>2160565</v>
      </c>
      <c r="R62" s="431">
        <v>924564</v>
      </c>
      <c r="S62" s="431">
        <v>0</v>
      </c>
      <c r="T62" s="431">
        <v>0</v>
      </c>
      <c r="U62" s="431">
        <v>0</v>
      </c>
      <c r="V62" s="431">
        <v>0</v>
      </c>
      <c r="W62" s="431">
        <v>38000</v>
      </c>
      <c r="X62" s="431">
        <f>203710</f>
        <v>203710</v>
      </c>
      <c r="Y62" s="431">
        <v>7000</v>
      </c>
      <c r="Z62" s="431">
        <v>1242959</v>
      </c>
      <c r="AA62" s="431">
        <v>0</v>
      </c>
      <c r="AB62" s="431">
        <v>-3123</v>
      </c>
      <c r="AC62" s="431">
        <v>1660283</v>
      </c>
      <c r="AD62" s="431">
        <v>34919</v>
      </c>
      <c r="AE62" s="431">
        <v>1453149</v>
      </c>
      <c r="AF62" s="431">
        <v>0</v>
      </c>
      <c r="AG62" s="431">
        <v>172719</v>
      </c>
      <c r="AH62" s="431">
        <v>593697</v>
      </c>
      <c r="AI62" s="431">
        <v>507949</v>
      </c>
      <c r="AJ62" s="431">
        <v>41864</v>
      </c>
      <c r="AK62" s="431">
        <v>0</v>
      </c>
      <c r="AL62" s="431">
        <v>109095</v>
      </c>
      <c r="AM62" s="431">
        <v>0</v>
      </c>
    </row>
    <row r="63" spans="1:39" s="233" customFormat="1" ht="12" x14ac:dyDescent="0.2">
      <c r="A63" s="168">
        <v>9</v>
      </c>
      <c r="B63" s="232">
        <v>66438</v>
      </c>
      <c r="C63" s="258" t="s">
        <v>656</v>
      </c>
      <c r="D63" s="453">
        <f t="shared" si="15"/>
        <v>5606090</v>
      </c>
      <c r="E63" s="431">
        <v>1185185</v>
      </c>
      <c r="F63" s="431">
        <v>288563</v>
      </c>
      <c r="G63" s="431">
        <v>367190</v>
      </c>
      <c r="H63" s="431">
        <v>0</v>
      </c>
      <c r="I63" s="431">
        <v>1608054</v>
      </c>
      <c r="J63" s="431">
        <v>0</v>
      </c>
      <c r="K63" s="431">
        <v>937530</v>
      </c>
      <c r="L63" s="431">
        <v>0</v>
      </c>
      <c r="M63" s="431">
        <v>766410</v>
      </c>
      <c r="N63" s="431">
        <v>1108911</v>
      </c>
      <c r="O63" s="431">
        <v>0</v>
      </c>
      <c r="P63" s="453">
        <f t="shared" si="16"/>
        <v>5518301</v>
      </c>
      <c r="Q63" s="431">
        <v>1800637</v>
      </c>
      <c r="R63" s="431">
        <v>466334</v>
      </c>
      <c r="S63" s="431">
        <v>4223</v>
      </c>
      <c r="T63" s="431">
        <v>0</v>
      </c>
      <c r="U63" s="431">
        <v>0</v>
      </c>
      <c r="V63" s="431">
        <v>0</v>
      </c>
      <c r="W63" s="431">
        <v>1755170</v>
      </c>
      <c r="X63" s="431">
        <v>467530</v>
      </c>
      <c r="Y63" s="431">
        <v>133280</v>
      </c>
      <c r="Z63" s="431">
        <v>871999</v>
      </c>
      <c r="AA63" s="431">
        <v>19128</v>
      </c>
      <c r="AB63" s="431">
        <v>0</v>
      </c>
      <c r="AC63" s="431">
        <v>1157383</v>
      </c>
      <c r="AD63" s="431">
        <v>34606</v>
      </c>
      <c r="AE63" s="431">
        <v>1158461</v>
      </c>
      <c r="AF63" s="431">
        <v>0</v>
      </c>
      <c r="AG63" s="431">
        <v>687937</v>
      </c>
      <c r="AH63" s="431">
        <v>555797</v>
      </c>
      <c r="AI63" s="431">
        <v>177613</v>
      </c>
      <c r="AJ63" s="431">
        <v>0</v>
      </c>
      <c r="AK63" s="431">
        <v>0</v>
      </c>
      <c r="AL63" s="431">
        <v>1724260</v>
      </c>
      <c r="AM63" s="431">
        <v>22244</v>
      </c>
    </row>
    <row r="64" spans="1:39" s="233" customFormat="1" ht="12" x14ac:dyDescent="0.2">
      <c r="A64" s="168">
        <v>10</v>
      </c>
      <c r="B64" s="232">
        <v>66474</v>
      </c>
      <c r="C64" s="258" t="s">
        <v>1352</v>
      </c>
      <c r="D64" s="453">
        <f t="shared" si="15"/>
        <v>10818241</v>
      </c>
      <c r="E64" s="431">
        <v>2184468</v>
      </c>
      <c r="F64" s="431">
        <v>596145</v>
      </c>
      <c r="G64" s="431">
        <v>412760</v>
      </c>
      <c r="H64" s="431">
        <v>0</v>
      </c>
      <c r="I64" s="431">
        <v>3232601</v>
      </c>
      <c r="J64" s="431">
        <v>0</v>
      </c>
      <c r="K64" s="431">
        <v>1179180</v>
      </c>
      <c r="L64" s="431">
        <v>0</v>
      </c>
      <c r="M64" s="431">
        <v>2900433</v>
      </c>
      <c r="N64" s="431">
        <v>357559</v>
      </c>
      <c r="O64" s="431">
        <v>964000</v>
      </c>
      <c r="P64" s="453">
        <f t="shared" si="16"/>
        <v>10422085</v>
      </c>
      <c r="Q64" s="431">
        <v>3611016</v>
      </c>
      <c r="R64" s="431">
        <v>992233</v>
      </c>
      <c r="S64" s="431">
        <v>3824</v>
      </c>
      <c r="T64" s="431">
        <v>0</v>
      </c>
      <c r="U64" s="431">
        <v>1399000</v>
      </c>
      <c r="V64" s="431">
        <v>0</v>
      </c>
      <c r="W64" s="431">
        <v>1077803</v>
      </c>
      <c r="X64" s="431">
        <v>555396</v>
      </c>
      <c r="Y64" s="431">
        <v>106805</v>
      </c>
      <c r="Z64" s="431">
        <v>2658247</v>
      </c>
      <c r="AA64" s="431">
        <v>17761</v>
      </c>
      <c r="AB64" s="431">
        <v>0</v>
      </c>
      <c r="AC64" s="431">
        <v>1788903</v>
      </c>
      <c r="AD64" s="431">
        <v>84057</v>
      </c>
      <c r="AE64" s="431">
        <v>2610256</v>
      </c>
      <c r="AF64" s="431">
        <v>435000</v>
      </c>
      <c r="AG64" s="431">
        <v>965704</v>
      </c>
      <c r="AH64" s="431">
        <v>1819613</v>
      </c>
      <c r="AI64" s="431">
        <v>236278</v>
      </c>
      <c r="AJ64" s="431">
        <v>0</v>
      </c>
      <c r="AK64" s="431">
        <v>0</v>
      </c>
      <c r="AL64" s="431">
        <v>2482274</v>
      </c>
      <c r="AM64" s="431">
        <v>0</v>
      </c>
    </row>
    <row r="65" spans="1:39" s="233" customFormat="1" ht="12" x14ac:dyDescent="0.2">
      <c r="A65" s="168">
        <v>11</v>
      </c>
      <c r="B65" s="232">
        <v>101564</v>
      </c>
      <c r="C65" s="258" t="s">
        <v>2046</v>
      </c>
      <c r="D65" s="453">
        <f t="shared" si="15"/>
        <v>3060524</v>
      </c>
      <c r="E65" s="431">
        <v>1783585</v>
      </c>
      <c r="F65" s="431">
        <v>404462</v>
      </c>
      <c r="G65" s="431">
        <v>143867</v>
      </c>
      <c r="H65" s="431">
        <v>0</v>
      </c>
      <c r="I65" s="431">
        <v>943686</v>
      </c>
      <c r="J65" s="431">
        <v>0</v>
      </c>
      <c r="K65" s="431">
        <v>264000</v>
      </c>
      <c r="L65" s="431">
        <v>0</v>
      </c>
      <c r="M65" s="431">
        <v>65753</v>
      </c>
      <c r="N65" s="431">
        <v>0</v>
      </c>
      <c r="O65" s="431">
        <v>3500</v>
      </c>
      <c r="P65" s="453">
        <f t="shared" si="16"/>
        <v>2780316</v>
      </c>
      <c r="Q65" s="431">
        <v>1050939</v>
      </c>
      <c r="R65" s="431">
        <v>1071435</v>
      </c>
      <c r="S65" s="431">
        <v>0</v>
      </c>
      <c r="T65" s="431">
        <v>0</v>
      </c>
      <c r="U65" s="431">
        <v>0</v>
      </c>
      <c r="V65" s="431">
        <v>0</v>
      </c>
      <c r="W65" s="431">
        <v>0</v>
      </c>
      <c r="X65" s="431">
        <v>308495</v>
      </c>
      <c r="Y65" s="431">
        <v>30994</v>
      </c>
      <c r="Z65" s="431">
        <v>318675</v>
      </c>
      <c r="AA65" s="431">
        <v>0</v>
      </c>
      <c r="AB65" s="431">
        <v>-222</v>
      </c>
      <c r="AC65" s="431">
        <v>959309</v>
      </c>
      <c r="AD65" s="431">
        <v>86827</v>
      </c>
      <c r="AE65" s="431">
        <v>874675</v>
      </c>
      <c r="AF65" s="431">
        <v>26266</v>
      </c>
      <c r="AG65" s="431">
        <v>37345</v>
      </c>
      <c r="AH65" s="431">
        <v>308495</v>
      </c>
      <c r="AI65" s="431">
        <v>375779</v>
      </c>
      <c r="AJ65" s="431">
        <v>30994</v>
      </c>
      <c r="AK65" s="431">
        <v>0</v>
      </c>
      <c r="AL65" s="431">
        <v>80626</v>
      </c>
      <c r="AM65" s="431">
        <v>0</v>
      </c>
    </row>
    <row r="66" spans="1:39" s="233" customFormat="1" ht="12" x14ac:dyDescent="0.2">
      <c r="A66" s="168">
        <v>12</v>
      </c>
      <c r="B66" s="232">
        <v>66526</v>
      </c>
      <c r="C66" s="258" t="s">
        <v>2047</v>
      </c>
      <c r="D66" s="453">
        <f t="shared" si="15"/>
        <v>6264912</v>
      </c>
      <c r="E66" s="431">
        <v>1103202</v>
      </c>
      <c r="F66" s="431">
        <v>230024</v>
      </c>
      <c r="G66" s="431">
        <v>328410</v>
      </c>
      <c r="H66" s="431">
        <v>0</v>
      </c>
      <c r="I66" s="431">
        <v>1168000</v>
      </c>
      <c r="J66" s="431">
        <v>0</v>
      </c>
      <c r="K66" s="431">
        <v>730000</v>
      </c>
      <c r="L66" s="431">
        <v>0</v>
      </c>
      <c r="M66" s="431">
        <v>271506</v>
      </c>
      <c r="N66" s="431">
        <v>2992204</v>
      </c>
      <c r="O66" s="431">
        <v>0</v>
      </c>
      <c r="P66" s="453">
        <f t="shared" si="16"/>
        <v>9283707</v>
      </c>
      <c r="Q66" s="431">
        <v>1722885</v>
      </c>
      <c r="R66" s="431">
        <v>631926</v>
      </c>
      <c r="S66" s="431">
        <v>0</v>
      </c>
      <c r="T66" s="431">
        <v>0</v>
      </c>
      <c r="U66" s="431">
        <v>0</v>
      </c>
      <c r="V66" s="431">
        <v>0</v>
      </c>
      <c r="W66" s="431">
        <v>6122743</v>
      </c>
      <c r="X66" s="431">
        <v>241386</v>
      </c>
      <c r="Y66" s="431">
        <v>51998</v>
      </c>
      <c r="Z66" s="431">
        <v>514078</v>
      </c>
      <c r="AA66" s="431">
        <v>0</v>
      </c>
      <c r="AB66" s="431">
        <v>-1309</v>
      </c>
      <c r="AC66" s="431">
        <v>895170</v>
      </c>
      <c r="AD66" s="431">
        <v>67260</v>
      </c>
      <c r="AE66" s="431">
        <v>753522</v>
      </c>
      <c r="AF66" s="431">
        <v>0</v>
      </c>
      <c r="AG66" s="431">
        <v>29597</v>
      </c>
      <c r="AH66" s="431">
        <v>548209</v>
      </c>
      <c r="AI66" s="431">
        <v>637078</v>
      </c>
      <c r="AJ66" s="431">
        <v>64474</v>
      </c>
      <c r="AK66" s="431">
        <v>0</v>
      </c>
      <c r="AL66" s="431">
        <v>6288397</v>
      </c>
      <c r="AM66" s="431">
        <v>0</v>
      </c>
    </row>
    <row r="67" spans="1:39" s="233" customFormat="1" ht="12" x14ac:dyDescent="0.2">
      <c r="A67" s="168">
        <v>13</v>
      </c>
      <c r="B67" s="232">
        <v>101840</v>
      </c>
      <c r="C67" s="258" t="s">
        <v>270</v>
      </c>
      <c r="D67" s="453">
        <f t="shared" si="15"/>
        <v>16007125</v>
      </c>
      <c r="E67" s="431">
        <v>1681078</v>
      </c>
      <c r="F67" s="431">
        <v>183983</v>
      </c>
      <c r="G67" s="431">
        <v>339784</v>
      </c>
      <c r="H67" s="431">
        <v>0</v>
      </c>
      <c r="I67" s="431">
        <v>2558428</v>
      </c>
      <c r="J67" s="431">
        <v>0</v>
      </c>
      <c r="K67" s="431">
        <v>928280</v>
      </c>
      <c r="L67" s="431">
        <v>0</v>
      </c>
      <c r="M67" s="431">
        <v>10839339</v>
      </c>
      <c r="N67" s="431">
        <v>0</v>
      </c>
      <c r="O67" s="431">
        <v>0</v>
      </c>
      <c r="P67" s="453">
        <v>15417031</v>
      </c>
      <c r="Q67" s="431">
        <v>2584237</v>
      </c>
      <c r="R67" s="431">
        <v>865521</v>
      </c>
      <c r="S67" s="431">
        <v>0</v>
      </c>
      <c r="T67" s="431">
        <v>0</v>
      </c>
      <c r="U67" s="431">
        <v>0</v>
      </c>
      <c r="V67" s="431">
        <v>0</v>
      </c>
      <c r="W67" s="431">
        <v>0</v>
      </c>
      <c r="X67" s="431">
        <v>379340</v>
      </c>
      <c r="Y67" s="431">
        <v>0</v>
      </c>
      <c r="Z67" s="431">
        <v>11588701</v>
      </c>
      <c r="AA67" s="431">
        <v>0</v>
      </c>
      <c r="AB67" s="431">
        <v>-768</v>
      </c>
      <c r="AC67" s="431">
        <v>679242</v>
      </c>
      <c r="AD67" s="431">
        <v>0</v>
      </c>
      <c r="AE67" s="431">
        <v>2290019</v>
      </c>
      <c r="AF67" s="431">
        <v>0</v>
      </c>
      <c r="AG67" s="431">
        <v>28904</v>
      </c>
      <c r="AH67" s="431">
        <v>463334</v>
      </c>
      <c r="AI67" s="431">
        <v>90593</v>
      </c>
      <c r="AJ67" s="431">
        <v>100000</v>
      </c>
      <c r="AK67" s="431">
        <v>0</v>
      </c>
      <c r="AL67" s="431">
        <v>11764939</v>
      </c>
      <c r="AM67" s="431">
        <v>0</v>
      </c>
    </row>
    <row r="68" spans="1:39" s="233" customFormat="1" ht="12" x14ac:dyDescent="0.2">
      <c r="A68" s="168">
        <v>14</v>
      </c>
      <c r="B68" s="232">
        <v>66580</v>
      </c>
      <c r="C68" s="258" t="s">
        <v>2048</v>
      </c>
      <c r="D68" s="453">
        <f t="shared" si="15"/>
        <v>7379564</v>
      </c>
      <c r="E68" s="431">
        <v>937096</v>
      </c>
      <c r="F68" s="431">
        <v>245167</v>
      </c>
      <c r="G68" s="431">
        <v>268970</v>
      </c>
      <c r="H68" s="431">
        <v>0</v>
      </c>
      <c r="I68" s="431">
        <v>1385426</v>
      </c>
      <c r="J68" s="431">
        <v>0</v>
      </c>
      <c r="K68" s="431">
        <v>660420</v>
      </c>
      <c r="L68" s="431">
        <v>0</v>
      </c>
      <c r="M68" s="431">
        <v>2087654</v>
      </c>
      <c r="N68" s="431">
        <v>2277378</v>
      </c>
      <c r="O68" s="431">
        <v>31590</v>
      </c>
      <c r="P68" s="453">
        <v>6327348</v>
      </c>
      <c r="Q68" s="431">
        <v>1514687</v>
      </c>
      <c r="R68" s="431">
        <v>684352</v>
      </c>
      <c r="S68" s="431">
        <v>15761</v>
      </c>
      <c r="T68" s="431">
        <v>0</v>
      </c>
      <c r="U68" s="431">
        <v>0</v>
      </c>
      <c r="V68" s="431">
        <v>0</v>
      </c>
      <c r="W68" s="431">
        <v>1784611</v>
      </c>
      <c r="X68" s="431">
        <v>412169</v>
      </c>
      <c r="Y68" s="431">
        <v>6944</v>
      </c>
      <c r="Z68" s="431">
        <v>1777130</v>
      </c>
      <c r="AA68" s="431">
        <v>136520</v>
      </c>
      <c r="AB68" s="431">
        <v>-4826</v>
      </c>
      <c r="AC68" s="431">
        <v>929939</v>
      </c>
      <c r="AD68" s="431">
        <v>358895</v>
      </c>
      <c r="AE68" s="431">
        <v>1504410</v>
      </c>
      <c r="AF68" s="431">
        <v>275227</v>
      </c>
      <c r="AG68" s="431">
        <v>48039</v>
      </c>
      <c r="AH68" s="431">
        <v>412169</v>
      </c>
      <c r="AI68" s="431">
        <v>69869</v>
      </c>
      <c r="AJ68" s="431">
        <v>50617</v>
      </c>
      <c r="AK68" s="431">
        <v>0</v>
      </c>
      <c r="AL68" s="431">
        <v>2597608</v>
      </c>
      <c r="AM68" s="431">
        <v>80575</v>
      </c>
    </row>
    <row r="69" spans="1:39" s="233" customFormat="1" ht="12" x14ac:dyDescent="0.2">
      <c r="A69" s="168">
        <v>15</v>
      </c>
      <c r="B69" s="232">
        <v>66697</v>
      </c>
      <c r="C69" s="258" t="s">
        <v>2049</v>
      </c>
      <c r="D69" s="453">
        <f t="shared" si="15"/>
        <v>7821172</v>
      </c>
      <c r="E69" s="431">
        <v>1309500</v>
      </c>
      <c r="F69" s="431">
        <v>249546</v>
      </c>
      <c r="G69" s="431">
        <v>442420</v>
      </c>
      <c r="H69" s="431">
        <v>0</v>
      </c>
      <c r="I69" s="431">
        <v>4437640</v>
      </c>
      <c r="J69" s="431">
        <v>0</v>
      </c>
      <c r="K69" s="431">
        <v>1113350</v>
      </c>
      <c r="L69" s="431">
        <v>0</v>
      </c>
      <c r="M69" s="431">
        <v>693096</v>
      </c>
      <c r="N69" s="431">
        <v>252015</v>
      </c>
      <c r="O69" s="431">
        <v>15571</v>
      </c>
      <c r="P69" s="453">
        <v>7527793</v>
      </c>
      <c r="Q69" s="431">
        <v>3964685</v>
      </c>
      <c r="R69" s="431">
        <v>1546093</v>
      </c>
      <c r="S69" s="431">
        <v>43000</v>
      </c>
      <c r="T69" s="431">
        <v>0</v>
      </c>
      <c r="U69" s="431">
        <v>0</v>
      </c>
      <c r="V69" s="431">
        <v>0</v>
      </c>
      <c r="W69" s="431">
        <v>0</v>
      </c>
      <c r="X69" s="431">
        <v>923984</v>
      </c>
      <c r="Y69" s="431">
        <v>0</v>
      </c>
      <c r="Z69" s="431">
        <v>583107</v>
      </c>
      <c r="AA69" s="431">
        <v>476038</v>
      </c>
      <c r="AB69" s="431">
        <v>-9114</v>
      </c>
      <c r="AC69" s="431">
        <v>1338667</v>
      </c>
      <c r="AD69" s="431">
        <v>7000</v>
      </c>
      <c r="AE69" s="431">
        <v>4079285</v>
      </c>
      <c r="AF69" s="431">
        <v>15458</v>
      </c>
      <c r="AG69" s="431">
        <v>96535</v>
      </c>
      <c r="AH69" s="431">
        <v>1144750</v>
      </c>
      <c r="AI69" s="431">
        <v>203000</v>
      </c>
      <c r="AJ69" s="431">
        <v>115880</v>
      </c>
      <c r="AK69" s="431">
        <v>0</v>
      </c>
      <c r="AL69" s="431">
        <v>527218</v>
      </c>
      <c r="AM69" s="431">
        <v>0</v>
      </c>
    </row>
    <row r="70" spans="1:39" s="233" customFormat="1" ht="12" x14ac:dyDescent="0.2">
      <c r="A70" s="168">
        <v>16</v>
      </c>
      <c r="B70" s="232">
        <v>66731</v>
      </c>
      <c r="C70" s="258" t="s">
        <v>2050</v>
      </c>
      <c r="D70" s="453">
        <f t="shared" si="15"/>
        <v>9106053</v>
      </c>
      <c r="E70" s="431">
        <v>2597601</v>
      </c>
      <c r="F70" s="431">
        <v>1274883</v>
      </c>
      <c r="G70" s="431">
        <v>104320</v>
      </c>
      <c r="H70" s="431">
        <v>0</v>
      </c>
      <c r="I70" s="431">
        <v>2326920</v>
      </c>
      <c r="J70" s="431">
        <v>0</v>
      </c>
      <c r="K70" s="431">
        <v>489510</v>
      </c>
      <c r="L70" s="431">
        <v>0</v>
      </c>
      <c r="M70" s="431">
        <v>3692022</v>
      </c>
      <c r="N70" s="431">
        <v>0</v>
      </c>
      <c r="O70" s="431">
        <v>0</v>
      </c>
      <c r="P70" s="453">
        <v>8146923</v>
      </c>
      <c r="Q70" s="431">
        <v>2293745</v>
      </c>
      <c r="R70" s="431">
        <v>693092</v>
      </c>
      <c r="S70" s="431">
        <v>0</v>
      </c>
      <c r="T70" s="431">
        <v>0</v>
      </c>
      <c r="U70" s="431">
        <v>0</v>
      </c>
      <c r="V70" s="431">
        <v>0</v>
      </c>
      <c r="W70" s="431">
        <v>0</v>
      </c>
      <c r="X70" s="431">
        <v>611123</v>
      </c>
      <c r="Y70" s="431">
        <v>55368</v>
      </c>
      <c r="Z70" s="431">
        <v>4495389</v>
      </c>
      <c r="AA70" s="431">
        <v>0</v>
      </c>
      <c r="AB70" s="431">
        <v>-1794</v>
      </c>
      <c r="AC70" s="431">
        <v>1877854</v>
      </c>
      <c r="AD70" s="431">
        <v>0</v>
      </c>
      <c r="AE70" s="431">
        <v>2015358</v>
      </c>
      <c r="AF70" s="431">
        <v>0</v>
      </c>
      <c r="AG70" s="431">
        <v>143451</v>
      </c>
      <c r="AH70" s="431">
        <v>669926</v>
      </c>
      <c r="AI70" s="431">
        <v>143247</v>
      </c>
      <c r="AJ70" s="431">
        <v>1563361</v>
      </c>
      <c r="AK70" s="431">
        <v>0</v>
      </c>
      <c r="AL70" s="431">
        <v>1679842</v>
      </c>
      <c r="AM70" s="431">
        <v>53884</v>
      </c>
    </row>
    <row r="71" spans="1:39" s="233" customFormat="1" ht="12" x14ac:dyDescent="0.2">
      <c r="A71" s="168">
        <v>17</v>
      </c>
      <c r="B71" s="232">
        <v>66768</v>
      </c>
      <c r="C71" s="258" t="s">
        <v>2051</v>
      </c>
      <c r="D71" s="453">
        <f t="shared" si="15"/>
        <v>11828828</v>
      </c>
      <c r="E71" s="431">
        <v>2700519</v>
      </c>
      <c r="F71" s="431">
        <v>1059681</v>
      </c>
      <c r="G71" s="431">
        <v>230520</v>
      </c>
      <c r="H71" s="431">
        <v>0</v>
      </c>
      <c r="I71" s="431">
        <v>1998145</v>
      </c>
      <c r="J71" s="431">
        <v>0</v>
      </c>
      <c r="K71" s="431">
        <v>1232870</v>
      </c>
      <c r="L71" s="431">
        <v>0</v>
      </c>
      <c r="M71" s="431">
        <v>1222319</v>
      </c>
      <c r="N71" s="431">
        <v>4641950</v>
      </c>
      <c r="O71" s="431">
        <v>33025</v>
      </c>
      <c r="P71" s="453">
        <v>12002095</v>
      </c>
      <c r="Q71" s="431">
        <v>2472530</v>
      </c>
      <c r="R71" s="431">
        <v>1317905</v>
      </c>
      <c r="S71" s="431">
        <v>12955</v>
      </c>
      <c r="T71" s="431">
        <v>0</v>
      </c>
      <c r="U71" s="431">
        <v>0</v>
      </c>
      <c r="V71" s="431">
        <v>0</v>
      </c>
      <c r="W71" s="431">
        <v>6370319</v>
      </c>
      <c r="X71" s="431">
        <v>389569</v>
      </c>
      <c r="Y71" s="431">
        <v>15500</v>
      </c>
      <c r="Z71" s="431">
        <v>1246047</v>
      </c>
      <c r="AA71" s="431">
        <v>185470</v>
      </c>
      <c r="AB71" s="431">
        <v>-8200</v>
      </c>
      <c r="AC71" s="431">
        <v>1204608</v>
      </c>
      <c r="AD71" s="431">
        <v>352596</v>
      </c>
      <c r="AE71" s="431">
        <v>3035237</v>
      </c>
      <c r="AF71" s="431">
        <v>0</v>
      </c>
      <c r="AG71" s="431">
        <v>1248070</v>
      </c>
      <c r="AH71" s="431">
        <v>2869020</v>
      </c>
      <c r="AI71" s="431">
        <v>1381404</v>
      </c>
      <c r="AJ71" s="431">
        <v>233579</v>
      </c>
      <c r="AK71" s="431">
        <v>0</v>
      </c>
      <c r="AL71" s="431">
        <v>1660305</v>
      </c>
      <c r="AM71" s="431">
        <v>17276</v>
      </c>
    </row>
    <row r="72" spans="1:39" s="233" customFormat="1" ht="12" x14ac:dyDescent="0.2">
      <c r="A72" s="168">
        <v>18</v>
      </c>
      <c r="B72" s="232">
        <v>66857</v>
      </c>
      <c r="C72" s="258" t="s">
        <v>2052</v>
      </c>
      <c r="D72" s="453">
        <f t="shared" si="15"/>
        <v>10557825</v>
      </c>
      <c r="E72" s="431">
        <v>2888254</v>
      </c>
      <c r="F72" s="431">
        <v>607724</v>
      </c>
      <c r="G72" s="431">
        <v>320960</v>
      </c>
      <c r="H72" s="431">
        <v>0</v>
      </c>
      <c r="I72" s="431">
        <v>4632478</v>
      </c>
      <c r="J72" s="431">
        <v>50000</v>
      </c>
      <c r="K72" s="431">
        <v>1032070</v>
      </c>
      <c r="L72" s="431">
        <v>0</v>
      </c>
      <c r="M72" s="431">
        <v>801728</v>
      </c>
      <c r="N72" s="431">
        <v>1153295</v>
      </c>
      <c r="O72" s="431">
        <v>0</v>
      </c>
      <c r="P72" s="453">
        <v>9256412</v>
      </c>
      <c r="Q72" s="431">
        <v>4503353</v>
      </c>
      <c r="R72" s="431">
        <v>1459850</v>
      </c>
      <c r="S72" s="431">
        <v>0</v>
      </c>
      <c r="T72" s="431">
        <v>0</v>
      </c>
      <c r="U72" s="431">
        <v>0</v>
      </c>
      <c r="V72" s="431">
        <v>0</v>
      </c>
      <c r="W72" s="431">
        <v>2303534</v>
      </c>
      <c r="X72" s="431">
        <v>568890</v>
      </c>
      <c r="Y72" s="431">
        <v>92654</v>
      </c>
      <c r="Z72" s="431">
        <v>328131</v>
      </c>
      <c r="AA72" s="431">
        <v>0</v>
      </c>
      <c r="AB72" s="431">
        <v>0</v>
      </c>
      <c r="AC72" s="431">
        <v>1087052</v>
      </c>
      <c r="AD72" s="431">
        <v>0</v>
      </c>
      <c r="AE72" s="431">
        <v>4386647</v>
      </c>
      <c r="AF72" s="431">
        <v>0</v>
      </c>
      <c r="AG72" s="431">
        <v>494579</v>
      </c>
      <c r="AH72" s="431">
        <v>568890</v>
      </c>
      <c r="AI72" s="431">
        <v>671999</v>
      </c>
      <c r="AJ72" s="431">
        <v>87654</v>
      </c>
      <c r="AK72" s="431">
        <v>0</v>
      </c>
      <c r="AL72" s="431">
        <v>1959591</v>
      </c>
      <c r="AM72" s="431">
        <v>0</v>
      </c>
    </row>
    <row r="73" spans="1:39" s="233" customFormat="1" ht="12" x14ac:dyDescent="0.2">
      <c r="A73" s="168">
        <v>19</v>
      </c>
      <c r="B73" s="232">
        <v>66955</v>
      </c>
      <c r="C73" s="258" t="s">
        <v>2053</v>
      </c>
      <c r="D73" s="453">
        <f t="shared" si="15"/>
        <v>3766939</v>
      </c>
      <c r="E73" s="431">
        <v>1295422</v>
      </c>
      <c r="F73" s="431">
        <v>354953</v>
      </c>
      <c r="G73" s="431">
        <v>314970</v>
      </c>
      <c r="H73" s="431">
        <v>0</v>
      </c>
      <c r="I73" s="431">
        <v>965103</v>
      </c>
      <c r="J73" s="431">
        <v>0</v>
      </c>
      <c r="K73" s="431">
        <v>671050</v>
      </c>
      <c r="L73" s="431">
        <v>0</v>
      </c>
      <c r="M73" s="431">
        <v>232729</v>
      </c>
      <c r="N73" s="431">
        <v>598921</v>
      </c>
      <c r="O73" s="431">
        <v>3714</v>
      </c>
      <c r="P73" s="453">
        <v>3593018</v>
      </c>
      <c r="Q73" s="431">
        <v>1331766</v>
      </c>
      <c r="R73" s="431">
        <v>721899</v>
      </c>
      <c r="S73" s="431">
        <v>0</v>
      </c>
      <c r="T73" s="431">
        <v>0</v>
      </c>
      <c r="U73" s="431">
        <v>0</v>
      </c>
      <c r="V73" s="431">
        <v>0</v>
      </c>
      <c r="W73" s="431">
        <v>563066</v>
      </c>
      <c r="X73" s="431">
        <v>204687</v>
      </c>
      <c r="Y73" s="431">
        <v>0</v>
      </c>
      <c r="Z73" s="431">
        <v>780796</v>
      </c>
      <c r="AA73" s="431">
        <v>0</v>
      </c>
      <c r="AB73" s="431">
        <v>-9196</v>
      </c>
      <c r="AC73" s="431">
        <v>911468</v>
      </c>
      <c r="AD73" s="431">
        <v>6507</v>
      </c>
      <c r="AE73" s="431">
        <v>1082164</v>
      </c>
      <c r="AF73" s="431">
        <v>0</v>
      </c>
      <c r="AG73" s="431">
        <v>374028</v>
      </c>
      <c r="AH73" s="431">
        <v>278177</v>
      </c>
      <c r="AI73" s="431">
        <v>126513</v>
      </c>
      <c r="AJ73" s="431">
        <v>62299</v>
      </c>
      <c r="AK73" s="431">
        <v>0</v>
      </c>
      <c r="AL73" s="431">
        <v>751862</v>
      </c>
      <c r="AM73" s="431">
        <v>0</v>
      </c>
    </row>
    <row r="74" spans="1:39" s="233" customFormat="1" ht="12" x14ac:dyDescent="0.2">
      <c r="A74" s="168">
        <v>20</v>
      </c>
      <c r="B74" s="232">
        <v>67014</v>
      </c>
      <c r="C74" s="258" t="s">
        <v>1258</v>
      </c>
      <c r="D74" s="453">
        <f t="shared" si="15"/>
        <v>16809134</v>
      </c>
      <c r="E74" s="431">
        <v>1887396</v>
      </c>
      <c r="F74" s="431">
        <v>341234</v>
      </c>
      <c r="G74" s="431">
        <v>452980</v>
      </c>
      <c r="H74" s="431">
        <v>0</v>
      </c>
      <c r="I74" s="431">
        <v>3161988</v>
      </c>
      <c r="J74" s="431">
        <v>0</v>
      </c>
      <c r="K74" s="431">
        <v>1420290</v>
      </c>
      <c r="L74" s="431">
        <v>0</v>
      </c>
      <c r="M74" s="431">
        <v>5459667</v>
      </c>
      <c r="N74" s="431">
        <v>695333</v>
      </c>
      <c r="O74" s="431">
        <v>4184460</v>
      </c>
      <c r="P74" s="453">
        <v>15807382</v>
      </c>
      <c r="Q74" s="431">
        <v>3077721</v>
      </c>
      <c r="R74" s="431">
        <v>1878749</v>
      </c>
      <c r="S74" s="431">
        <v>60000</v>
      </c>
      <c r="T74" s="431">
        <v>0</v>
      </c>
      <c r="U74" s="431">
        <v>0</v>
      </c>
      <c r="V74" s="431">
        <v>0</v>
      </c>
      <c r="W74" s="431">
        <v>307470</v>
      </c>
      <c r="X74" s="431">
        <v>767053</v>
      </c>
      <c r="Y74" s="431">
        <v>24000</v>
      </c>
      <c r="Z74" s="431">
        <v>9698673</v>
      </c>
      <c r="AA74" s="431">
        <v>0</v>
      </c>
      <c r="AB74" s="431">
        <v>-6284</v>
      </c>
      <c r="AC74" s="431">
        <v>1702252</v>
      </c>
      <c r="AD74" s="431">
        <v>0</v>
      </c>
      <c r="AE74" s="431">
        <v>2332292</v>
      </c>
      <c r="AF74" s="431">
        <v>0</v>
      </c>
      <c r="AG74" s="431">
        <v>402926</v>
      </c>
      <c r="AH74" s="431">
        <v>948868</v>
      </c>
      <c r="AI74" s="431">
        <v>218915</v>
      </c>
      <c r="AJ74" s="431">
        <v>4228120</v>
      </c>
      <c r="AK74" s="431">
        <v>0</v>
      </c>
      <c r="AL74" s="431">
        <v>5931009</v>
      </c>
      <c r="AM74" s="431">
        <v>43000</v>
      </c>
    </row>
    <row r="75" spans="1:39" s="233" customFormat="1" ht="12" x14ac:dyDescent="0.2">
      <c r="A75" s="168">
        <v>21</v>
      </c>
      <c r="B75" s="232">
        <v>67121</v>
      </c>
      <c r="C75" s="258" t="s">
        <v>2054</v>
      </c>
      <c r="D75" s="453">
        <f t="shared" si="15"/>
        <v>7073199</v>
      </c>
      <c r="E75" s="431">
        <v>1130635</v>
      </c>
      <c r="F75" s="431">
        <v>283481</v>
      </c>
      <c r="G75" s="431">
        <v>249530</v>
      </c>
      <c r="H75" s="431">
        <v>0</v>
      </c>
      <c r="I75" s="431">
        <v>1828929</v>
      </c>
      <c r="J75" s="431">
        <v>0</v>
      </c>
      <c r="K75" s="431">
        <v>615970</v>
      </c>
      <c r="L75" s="431">
        <v>0</v>
      </c>
      <c r="M75" s="431">
        <v>2595884</v>
      </c>
      <c r="N75" s="431">
        <v>881781</v>
      </c>
      <c r="O75" s="431">
        <v>20000</v>
      </c>
      <c r="P75" s="453">
        <v>7045294</v>
      </c>
      <c r="Q75" s="431">
        <v>1822188</v>
      </c>
      <c r="R75" s="431">
        <v>756084</v>
      </c>
      <c r="S75" s="431">
        <v>11767</v>
      </c>
      <c r="T75" s="431">
        <v>0</v>
      </c>
      <c r="U75" s="431">
        <v>0</v>
      </c>
      <c r="V75" s="431">
        <v>0</v>
      </c>
      <c r="W75" s="431">
        <v>1101660</v>
      </c>
      <c r="X75" s="431">
        <v>418923</v>
      </c>
      <c r="Y75" s="431">
        <v>34604</v>
      </c>
      <c r="Z75" s="431">
        <v>2589384</v>
      </c>
      <c r="AA75" s="431">
        <v>438000</v>
      </c>
      <c r="AB75" s="431">
        <v>-127316</v>
      </c>
      <c r="AC75" s="431">
        <v>739912</v>
      </c>
      <c r="AD75" s="431">
        <v>18177</v>
      </c>
      <c r="AE75" s="431">
        <v>1643749</v>
      </c>
      <c r="AF75" s="431">
        <v>0</v>
      </c>
      <c r="AG75" s="431">
        <v>293056</v>
      </c>
      <c r="AH75" s="431">
        <v>418923</v>
      </c>
      <c r="AI75" s="431">
        <v>2168150</v>
      </c>
      <c r="AJ75" s="431">
        <v>45466</v>
      </c>
      <c r="AK75" s="431">
        <v>0</v>
      </c>
      <c r="AL75" s="431">
        <v>1717861</v>
      </c>
      <c r="AM75" s="431">
        <v>0</v>
      </c>
    </row>
    <row r="76" spans="1:39" s="233" customFormat="1" ht="12" x14ac:dyDescent="0.2">
      <c r="A76" s="168">
        <v>22</v>
      </c>
      <c r="B76" s="232">
        <v>67167</v>
      </c>
      <c r="C76" s="258" t="s">
        <v>2055</v>
      </c>
      <c r="D76" s="453">
        <f t="shared" si="15"/>
        <v>4934812</v>
      </c>
      <c r="E76" s="431">
        <v>1128145</v>
      </c>
      <c r="F76" s="431">
        <v>386655</v>
      </c>
      <c r="G76" s="431">
        <v>212190</v>
      </c>
      <c r="H76" s="431">
        <v>0</v>
      </c>
      <c r="I76" s="431">
        <v>1782856</v>
      </c>
      <c r="J76" s="431">
        <v>0</v>
      </c>
      <c r="K76" s="431">
        <v>574740</v>
      </c>
      <c r="L76" s="431">
        <v>0</v>
      </c>
      <c r="M76" s="431">
        <v>1422071</v>
      </c>
      <c r="N76" s="431">
        <v>0</v>
      </c>
      <c r="O76" s="431">
        <v>27000</v>
      </c>
      <c r="P76" s="453">
        <v>5244130</v>
      </c>
      <c r="Q76" s="431">
        <v>2030042</v>
      </c>
      <c r="R76" s="431">
        <v>1070503</v>
      </c>
      <c r="S76" s="431">
        <v>0</v>
      </c>
      <c r="T76" s="431">
        <v>0</v>
      </c>
      <c r="U76" s="431">
        <v>0</v>
      </c>
      <c r="V76" s="431">
        <v>0</v>
      </c>
      <c r="W76" s="431">
        <v>3148</v>
      </c>
      <c r="X76" s="431">
        <v>498024</v>
      </c>
      <c r="Y76" s="431">
        <v>55240</v>
      </c>
      <c r="Z76" s="431">
        <v>1587173</v>
      </c>
      <c r="AA76" s="431">
        <v>0</v>
      </c>
      <c r="AB76" s="431">
        <v>0</v>
      </c>
      <c r="AC76" s="431">
        <v>1020339</v>
      </c>
      <c r="AD76" s="431">
        <v>0</v>
      </c>
      <c r="AE76" s="431">
        <v>1459576</v>
      </c>
      <c r="AF76" s="431">
        <v>0</v>
      </c>
      <c r="AG76" s="431">
        <v>105689</v>
      </c>
      <c r="AH76" s="431">
        <v>585696</v>
      </c>
      <c r="AI76" s="431">
        <v>114856</v>
      </c>
      <c r="AJ76" s="431">
        <v>1479194</v>
      </c>
      <c r="AK76" s="431">
        <v>0</v>
      </c>
      <c r="AL76" s="431">
        <v>231605</v>
      </c>
      <c r="AM76" s="431">
        <v>247175</v>
      </c>
    </row>
    <row r="77" spans="1:39" s="233" customFormat="1" ht="12" x14ac:dyDescent="0.2">
      <c r="A77" s="168">
        <v>23</v>
      </c>
      <c r="B77" s="232">
        <v>102286</v>
      </c>
      <c r="C77" s="258" t="s">
        <v>2056</v>
      </c>
      <c r="D77" s="453">
        <f t="shared" si="15"/>
        <v>6591726</v>
      </c>
      <c r="E77" s="431">
        <v>4718296</v>
      </c>
      <c r="F77" s="431">
        <v>1738307</v>
      </c>
      <c r="G77" s="431">
        <v>59830</v>
      </c>
      <c r="H77" s="431">
        <v>0</v>
      </c>
      <c r="I77" s="431">
        <v>1794746</v>
      </c>
      <c r="J77" s="431">
        <v>0</v>
      </c>
      <c r="K77" s="431">
        <v>70000</v>
      </c>
      <c r="L77" s="431">
        <v>0</v>
      </c>
      <c r="M77" s="431">
        <v>8684</v>
      </c>
      <c r="N77" s="431">
        <v>0</v>
      </c>
      <c r="O77" s="431">
        <v>0</v>
      </c>
      <c r="P77" s="453">
        <v>7686497</v>
      </c>
      <c r="Q77" s="431">
        <v>2615964</v>
      </c>
      <c r="R77" s="431">
        <v>1132667</v>
      </c>
      <c r="S77" s="431">
        <v>0</v>
      </c>
      <c r="T77" s="431">
        <v>0</v>
      </c>
      <c r="U77" s="431">
        <v>0</v>
      </c>
      <c r="V77" s="431">
        <v>0</v>
      </c>
      <c r="W77" s="431">
        <v>0</v>
      </c>
      <c r="X77" s="431">
        <v>328596</v>
      </c>
      <c r="Y77" s="431">
        <v>130896</v>
      </c>
      <c r="Z77" s="431">
        <v>3478374</v>
      </c>
      <c r="AA77" s="431">
        <v>0</v>
      </c>
      <c r="AB77" s="431">
        <v>0</v>
      </c>
      <c r="AC77" s="431">
        <v>1076938</v>
      </c>
      <c r="AD77" s="431">
        <v>0</v>
      </c>
      <c r="AE77" s="431">
        <v>2385453</v>
      </c>
      <c r="AF77" s="431">
        <v>0</v>
      </c>
      <c r="AG77" s="431">
        <v>250787</v>
      </c>
      <c r="AH77" s="431">
        <v>436251</v>
      </c>
      <c r="AI77" s="431">
        <v>334370</v>
      </c>
      <c r="AJ77" s="431">
        <v>0</v>
      </c>
      <c r="AK77" s="431">
        <v>0</v>
      </c>
      <c r="AL77" s="431">
        <v>3198668</v>
      </c>
      <c r="AM77" s="431">
        <v>4030</v>
      </c>
    </row>
    <row r="78" spans="1:39" s="233" customFormat="1" ht="12" x14ac:dyDescent="0.2">
      <c r="A78" s="168">
        <v>24</v>
      </c>
      <c r="B78" s="232">
        <v>67256</v>
      </c>
      <c r="C78" s="258" t="s">
        <v>284</v>
      </c>
      <c r="D78" s="453">
        <f t="shared" si="15"/>
        <v>7258962</v>
      </c>
      <c r="E78" s="431">
        <v>1720226</v>
      </c>
      <c r="F78" s="431">
        <v>595132</v>
      </c>
      <c r="G78" s="431">
        <v>279440</v>
      </c>
      <c r="H78" s="431">
        <v>0</v>
      </c>
      <c r="I78" s="431">
        <v>2386218</v>
      </c>
      <c r="J78" s="431">
        <v>0</v>
      </c>
      <c r="K78" s="431">
        <v>764510</v>
      </c>
      <c r="L78" s="431">
        <v>0</v>
      </c>
      <c r="M78" s="431">
        <v>488580</v>
      </c>
      <c r="N78" s="431">
        <v>1899428</v>
      </c>
      <c r="O78" s="431">
        <v>0</v>
      </c>
      <c r="P78" s="453">
        <v>5571340</v>
      </c>
      <c r="Q78" s="431">
        <v>2526295</v>
      </c>
      <c r="R78" s="431">
        <v>807026</v>
      </c>
      <c r="S78" s="431">
        <v>0</v>
      </c>
      <c r="T78" s="431">
        <v>0</v>
      </c>
      <c r="U78" s="431">
        <v>0</v>
      </c>
      <c r="V78" s="431">
        <v>0</v>
      </c>
      <c r="W78" s="431">
        <v>680871</v>
      </c>
      <c r="X78" s="431">
        <v>518345</v>
      </c>
      <c r="Y78" s="431">
        <v>76118</v>
      </c>
      <c r="Z78" s="431">
        <v>778860</v>
      </c>
      <c r="AA78" s="431">
        <v>187316</v>
      </c>
      <c r="AB78" s="431">
        <v>-3491</v>
      </c>
      <c r="AC78" s="431">
        <v>1266665</v>
      </c>
      <c r="AD78" s="431">
        <v>276212</v>
      </c>
      <c r="AE78" s="431">
        <v>1948183</v>
      </c>
      <c r="AF78" s="431">
        <v>0</v>
      </c>
      <c r="AG78" s="431">
        <v>216067</v>
      </c>
      <c r="AH78" s="431">
        <v>550706</v>
      </c>
      <c r="AI78" s="431">
        <v>140274</v>
      </c>
      <c r="AJ78" s="431">
        <v>585766</v>
      </c>
      <c r="AK78" s="431">
        <v>0</v>
      </c>
      <c r="AL78" s="431">
        <v>534643</v>
      </c>
      <c r="AM78" s="431">
        <v>52824</v>
      </c>
    </row>
    <row r="79" spans="1:39" s="233" customFormat="1" ht="12" x14ac:dyDescent="0.2">
      <c r="A79" s="168">
        <v>25</v>
      </c>
      <c r="B79" s="232">
        <v>67292</v>
      </c>
      <c r="C79" s="258" t="s">
        <v>2057</v>
      </c>
      <c r="D79" s="453">
        <f t="shared" si="15"/>
        <v>6296800</v>
      </c>
      <c r="E79" s="431">
        <v>1047045</v>
      </c>
      <c r="F79" s="431">
        <v>174044</v>
      </c>
      <c r="G79" s="431">
        <v>294100</v>
      </c>
      <c r="H79" s="431">
        <v>0</v>
      </c>
      <c r="I79" s="431">
        <v>1830850</v>
      </c>
      <c r="J79" s="431">
        <v>0</v>
      </c>
      <c r="K79" s="431">
        <v>715920</v>
      </c>
      <c r="L79" s="431">
        <v>0</v>
      </c>
      <c r="M79" s="431">
        <v>718557</v>
      </c>
      <c r="N79" s="431">
        <v>1972674</v>
      </c>
      <c r="O79" s="431">
        <v>11754</v>
      </c>
      <c r="P79" s="453">
        <v>5614493</v>
      </c>
      <c r="Q79" s="431">
        <v>1871708</v>
      </c>
      <c r="R79" s="431">
        <v>665539</v>
      </c>
      <c r="S79" s="431">
        <v>16072</v>
      </c>
      <c r="T79" s="431">
        <v>0</v>
      </c>
      <c r="U79" s="431">
        <v>0</v>
      </c>
      <c r="V79" s="431">
        <v>0</v>
      </c>
      <c r="W79" s="431">
        <v>1390388</v>
      </c>
      <c r="X79" s="431">
        <v>527724</v>
      </c>
      <c r="Y79" s="431">
        <v>33376</v>
      </c>
      <c r="Z79" s="431">
        <v>55840</v>
      </c>
      <c r="AA79" s="431">
        <v>1065999</v>
      </c>
      <c r="AB79" s="431">
        <v>-12153</v>
      </c>
      <c r="AC79" s="431">
        <v>1483472</v>
      </c>
      <c r="AD79" s="431">
        <v>20402</v>
      </c>
      <c r="AE79" s="431">
        <v>1437998</v>
      </c>
      <c r="AF79" s="431">
        <v>0</v>
      </c>
      <c r="AG79" s="431">
        <v>1543992</v>
      </c>
      <c r="AH79" s="431">
        <v>527724</v>
      </c>
      <c r="AI79" s="431">
        <v>117508</v>
      </c>
      <c r="AJ79" s="431">
        <v>47254</v>
      </c>
      <c r="AK79" s="431">
        <v>0</v>
      </c>
      <c r="AL79" s="431">
        <v>407877</v>
      </c>
      <c r="AM79" s="431">
        <v>28266</v>
      </c>
    </row>
    <row r="80" spans="1:39" s="233" customFormat="1" ht="12" x14ac:dyDescent="0.2">
      <c r="A80" s="168">
        <v>26</v>
      </c>
      <c r="B80" s="232">
        <v>65413</v>
      </c>
      <c r="C80" s="258" t="s">
        <v>2058</v>
      </c>
      <c r="D80" s="453">
        <f t="shared" si="15"/>
        <v>8168353</v>
      </c>
      <c r="E80" s="431">
        <v>2179367</v>
      </c>
      <c r="F80" s="431">
        <v>876347</v>
      </c>
      <c r="G80" s="431">
        <v>170990</v>
      </c>
      <c r="H80" s="431">
        <v>0</v>
      </c>
      <c r="I80" s="431">
        <v>2130000</v>
      </c>
      <c r="J80" s="431">
        <v>0</v>
      </c>
      <c r="K80" s="431">
        <v>667910</v>
      </c>
      <c r="L80" s="431">
        <v>0</v>
      </c>
      <c r="M80" s="431">
        <v>999973</v>
      </c>
      <c r="N80" s="431">
        <v>731864</v>
      </c>
      <c r="O80" s="431">
        <v>1459239</v>
      </c>
      <c r="P80" s="453">
        <v>7406788</v>
      </c>
      <c r="Q80" s="431">
        <v>2099616</v>
      </c>
      <c r="R80" s="431">
        <v>1196834</v>
      </c>
      <c r="S80" s="431">
        <v>70619</v>
      </c>
      <c r="T80" s="431">
        <v>0</v>
      </c>
      <c r="U80" s="431">
        <v>0</v>
      </c>
      <c r="V80" s="431">
        <v>0</v>
      </c>
      <c r="W80" s="431">
        <v>790246</v>
      </c>
      <c r="X80" s="431">
        <v>522340</v>
      </c>
      <c r="Y80" s="431">
        <v>30000</v>
      </c>
      <c r="Z80" s="431">
        <v>2577463</v>
      </c>
      <c r="AA80" s="431">
        <v>119670</v>
      </c>
      <c r="AB80" s="431">
        <v>0</v>
      </c>
      <c r="AC80" s="431">
        <v>836866</v>
      </c>
      <c r="AD80" s="431">
        <v>92804</v>
      </c>
      <c r="AE80" s="431">
        <v>2865139</v>
      </c>
      <c r="AF80" s="431">
        <v>0</v>
      </c>
      <c r="AG80" s="431">
        <v>605493</v>
      </c>
      <c r="AH80" s="431">
        <v>522340</v>
      </c>
      <c r="AI80" s="431">
        <v>1791991</v>
      </c>
      <c r="AJ80" s="431">
        <v>147644</v>
      </c>
      <c r="AK80" s="431">
        <v>0</v>
      </c>
      <c r="AL80" s="431">
        <v>387816</v>
      </c>
      <c r="AM80" s="431">
        <v>156695</v>
      </c>
    </row>
    <row r="81" spans="1:39" s="233" customFormat="1" ht="12" x14ac:dyDescent="0.2">
      <c r="A81" s="168">
        <v>27</v>
      </c>
      <c r="B81" s="232">
        <v>67327</v>
      </c>
      <c r="C81" s="258" t="s">
        <v>2059</v>
      </c>
      <c r="D81" s="453">
        <f t="shared" si="15"/>
        <v>6156440</v>
      </c>
      <c r="E81" s="431">
        <v>1931242</v>
      </c>
      <c r="F81" s="431">
        <v>455970</v>
      </c>
      <c r="G81" s="431">
        <v>367810</v>
      </c>
      <c r="H81" s="431">
        <v>0</v>
      </c>
      <c r="I81" s="431">
        <v>3012941</v>
      </c>
      <c r="J81" s="431">
        <v>0</v>
      </c>
      <c r="K81" s="431">
        <v>1083010</v>
      </c>
      <c r="L81" s="431">
        <v>0</v>
      </c>
      <c r="M81" s="431">
        <v>129247</v>
      </c>
      <c r="N81" s="431">
        <v>0</v>
      </c>
      <c r="O81" s="431">
        <v>0</v>
      </c>
      <c r="P81" s="453">
        <v>5524001</v>
      </c>
      <c r="Q81" s="431">
        <v>3067594</v>
      </c>
      <c r="R81" s="431">
        <v>1375841</v>
      </c>
      <c r="S81" s="431">
        <v>0</v>
      </c>
      <c r="T81" s="431">
        <v>0</v>
      </c>
      <c r="U81" s="431">
        <v>0</v>
      </c>
      <c r="V81" s="431">
        <v>0</v>
      </c>
      <c r="W81" s="431">
        <v>0</v>
      </c>
      <c r="X81" s="431">
        <v>639941</v>
      </c>
      <c r="Y81" s="431">
        <v>0</v>
      </c>
      <c r="Z81" s="431">
        <v>452929</v>
      </c>
      <c r="AA81" s="431">
        <v>0</v>
      </c>
      <c r="AB81" s="431">
        <v>-12304</v>
      </c>
      <c r="AC81" s="431">
        <v>785383</v>
      </c>
      <c r="AD81" s="431">
        <v>95653</v>
      </c>
      <c r="AE81" s="431">
        <v>2482790</v>
      </c>
      <c r="AF81" s="431">
        <v>26274</v>
      </c>
      <c r="AG81" s="431">
        <v>61201</v>
      </c>
      <c r="AH81" s="431">
        <v>1183559</v>
      </c>
      <c r="AI81" s="431">
        <v>223820</v>
      </c>
      <c r="AJ81" s="431">
        <v>123006</v>
      </c>
      <c r="AK81" s="431">
        <v>0</v>
      </c>
      <c r="AL81" s="431">
        <v>448291</v>
      </c>
      <c r="AM81" s="431">
        <v>94024</v>
      </c>
    </row>
    <row r="82" spans="1:39" s="233" customFormat="1" ht="12" x14ac:dyDescent="0.2">
      <c r="A82" s="168">
        <v>28</v>
      </c>
      <c r="B82" s="232">
        <v>67407</v>
      </c>
      <c r="C82" s="258" t="s">
        <v>2060</v>
      </c>
      <c r="D82" s="453">
        <f t="shared" si="15"/>
        <v>9084994</v>
      </c>
      <c r="E82" s="431">
        <v>2553367</v>
      </c>
      <c r="F82" s="431">
        <v>605856</v>
      </c>
      <c r="G82" s="431">
        <v>578070</v>
      </c>
      <c r="H82" s="431">
        <v>0</v>
      </c>
      <c r="I82" s="431">
        <v>3755564</v>
      </c>
      <c r="J82" s="431">
        <v>0</v>
      </c>
      <c r="K82" s="431">
        <v>1664960</v>
      </c>
      <c r="L82" s="431">
        <v>0</v>
      </c>
      <c r="M82" s="431">
        <v>845796</v>
      </c>
      <c r="N82" s="431">
        <v>265307</v>
      </c>
      <c r="O82" s="431">
        <v>0</v>
      </c>
      <c r="P82" s="453">
        <v>8631011</v>
      </c>
      <c r="Q82" s="431">
        <v>3815875</v>
      </c>
      <c r="R82" s="431">
        <v>1165565</v>
      </c>
      <c r="S82" s="431">
        <v>0</v>
      </c>
      <c r="T82" s="431">
        <v>0</v>
      </c>
      <c r="U82" s="431">
        <v>0</v>
      </c>
      <c r="V82" s="431">
        <v>0</v>
      </c>
      <c r="W82" s="431">
        <v>346295</v>
      </c>
      <c r="X82" s="431">
        <v>669218</v>
      </c>
      <c r="Y82" s="431">
        <v>201972</v>
      </c>
      <c r="Z82" s="431">
        <v>2432086</v>
      </c>
      <c r="AA82" s="431">
        <v>0</v>
      </c>
      <c r="AB82" s="431">
        <v>0</v>
      </c>
      <c r="AC82" s="431">
        <v>1421672</v>
      </c>
      <c r="AD82" s="431">
        <v>21009</v>
      </c>
      <c r="AE82" s="431">
        <v>3740780</v>
      </c>
      <c r="AF82" s="431">
        <v>0</v>
      </c>
      <c r="AG82" s="431">
        <v>190030</v>
      </c>
      <c r="AH82" s="431">
        <v>1013748</v>
      </c>
      <c r="AI82" s="431">
        <v>1171040</v>
      </c>
      <c r="AJ82" s="431">
        <v>0</v>
      </c>
      <c r="AK82" s="431">
        <v>0</v>
      </c>
      <c r="AL82" s="431">
        <v>1072732</v>
      </c>
      <c r="AM82" s="431">
        <v>0</v>
      </c>
    </row>
    <row r="83" spans="1:39" s="233" customFormat="1" ht="12" x14ac:dyDescent="0.2">
      <c r="A83" s="168">
        <v>29</v>
      </c>
      <c r="B83" s="232">
        <v>67470</v>
      </c>
      <c r="C83" s="258" t="s">
        <v>2061</v>
      </c>
      <c r="D83" s="453">
        <f t="shared" si="15"/>
        <v>4650700</v>
      </c>
      <c r="E83" s="431">
        <v>1290916</v>
      </c>
      <c r="F83" s="431">
        <v>292355</v>
      </c>
      <c r="G83" s="431">
        <v>309360</v>
      </c>
      <c r="H83" s="431">
        <v>0</v>
      </c>
      <c r="I83" s="431">
        <v>2213653</v>
      </c>
      <c r="J83" s="431">
        <v>0</v>
      </c>
      <c r="K83" s="431">
        <v>616990</v>
      </c>
      <c r="L83" s="431">
        <v>0</v>
      </c>
      <c r="M83" s="431">
        <v>83377</v>
      </c>
      <c r="N83" s="431">
        <v>402836</v>
      </c>
      <c r="O83" s="431">
        <v>42928</v>
      </c>
      <c r="P83" s="453">
        <v>4767451</v>
      </c>
      <c r="Q83" s="431">
        <v>2376938</v>
      </c>
      <c r="R83" s="431">
        <v>893483</v>
      </c>
      <c r="S83" s="431">
        <v>0</v>
      </c>
      <c r="T83" s="431">
        <v>0</v>
      </c>
      <c r="U83" s="431">
        <v>0</v>
      </c>
      <c r="V83" s="431">
        <v>0</v>
      </c>
      <c r="W83" s="431">
        <v>508113</v>
      </c>
      <c r="X83" s="431">
        <v>493952</v>
      </c>
      <c r="Y83" s="431">
        <v>41600</v>
      </c>
      <c r="Z83" s="431">
        <v>453365</v>
      </c>
      <c r="AA83" s="431">
        <v>0</v>
      </c>
      <c r="AB83" s="431">
        <v>0</v>
      </c>
      <c r="AC83" s="431">
        <v>1101868</v>
      </c>
      <c r="AD83" s="431">
        <v>118894</v>
      </c>
      <c r="AE83" s="431">
        <v>1543642</v>
      </c>
      <c r="AF83" s="431">
        <v>0</v>
      </c>
      <c r="AG83" s="431">
        <v>492517</v>
      </c>
      <c r="AH83" s="431">
        <v>794019</v>
      </c>
      <c r="AI83" s="431">
        <v>253791</v>
      </c>
      <c r="AJ83" s="431">
        <v>0</v>
      </c>
      <c r="AK83" s="431">
        <v>0</v>
      </c>
      <c r="AL83" s="431">
        <v>462720</v>
      </c>
      <c r="AM83" s="431">
        <v>0</v>
      </c>
    </row>
    <row r="84" spans="1:39" s="233" customFormat="1" ht="12" x14ac:dyDescent="0.2">
      <c r="A84" s="168">
        <v>30</v>
      </c>
      <c r="B84" s="232">
        <v>67522</v>
      </c>
      <c r="C84" s="258" t="s">
        <v>2062</v>
      </c>
      <c r="D84" s="453">
        <f t="shared" si="15"/>
        <v>4466220</v>
      </c>
      <c r="E84" s="431">
        <v>998671</v>
      </c>
      <c r="F84" s="431">
        <v>157723</v>
      </c>
      <c r="G84" s="431">
        <v>393020</v>
      </c>
      <c r="H84" s="431">
        <v>0</v>
      </c>
      <c r="I84" s="431">
        <v>2026723</v>
      </c>
      <c r="J84" s="431">
        <v>0</v>
      </c>
      <c r="K84" s="431">
        <v>894330</v>
      </c>
      <c r="L84" s="431">
        <v>0</v>
      </c>
      <c r="M84" s="431">
        <v>191124</v>
      </c>
      <c r="N84" s="431">
        <v>353372</v>
      </c>
      <c r="O84" s="431">
        <v>2000</v>
      </c>
      <c r="P84" s="453">
        <v>4003830</v>
      </c>
      <c r="Q84" s="431">
        <v>2095347</v>
      </c>
      <c r="R84" s="431">
        <v>654058</v>
      </c>
      <c r="S84" s="431">
        <v>0</v>
      </c>
      <c r="T84" s="431">
        <v>0</v>
      </c>
      <c r="U84" s="431">
        <v>0</v>
      </c>
      <c r="V84" s="431">
        <v>0</v>
      </c>
      <c r="W84" s="431">
        <v>597080</v>
      </c>
      <c r="X84" s="431">
        <v>489119</v>
      </c>
      <c r="Y84" s="431">
        <v>66824</v>
      </c>
      <c r="Z84" s="431">
        <v>101402</v>
      </c>
      <c r="AA84" s="431">
        <v>0</v>
      </c>
      <c r="AB84" s="431">
        <v>0</v>
      </c>
      <c r="AC84" s="431">
        <v>974957</v>
      </c>
      <c r="AD84" s="431">
        <v>5318</v>
      </c>
      <c r="AE84" s="431">
        <v>1808141</v>
      </c>
      <c r="AF84" s="431">
        <v>0</v>
      </c>
      <c r="AG84" s="431">
        <v>101997</v>
      </c>
      <c r="AH84" s="431">
        <v>489119</v>
      </c>
      <c r="AI84" s="431">
        <v>104065</v>
      </c>
      <c r="AJ84" s="431">
        <v>36710</v>
      </c>
      <c r="AK84" s="431">
        <v>0</v>
      </c>
      <c r="AL84" s="431">
        <v>437525</v>
      </c>
      <c r="AM84" s="431">
        <v>45998</v>
      </c>
    </row>
    <row r="85" spans="1:39" s="233" customFormat="1" ht="12" x14ac:dyDescent="0.2">
      <c r="A85" s="168">
        <v>31</v>
      </c>
      <c r="B85" s="232">
        <v>65707</v>
      </c>
      <c r="C85" s="258" t="s">
        <v>2063</v>
      </c>
      <c r="D85" s="453">
        <f t="shared" si="15"/>
        <v>4272074</v>
      </c>
      <c r="E85" s="431">
        <v>934746</v>
      </c>
      <c r="F85" s="431">
        <v>142460</v>
      </c>
      <c r="G85" s="431">
        <v>412930</v>
      </c>
      <c r="H85" s="431">
        <v>0</v>
      </c>
      <c r="I85" s="431">
        <v>836636</v>
      </c>
      <c r="J85" s="431">
        <v>0</v>
      </c>
      <c r="K85" s="431">
        <v>817660</v>
      </c>
      <c r="L85" s="431">
        <v>0</v>
      </c>
      <c r="M85" s="431">
        <v>678146</v>
      </c>
      <c r="N85" s="431">
        <v>990397</v>
      </c>
      <c r="O85" s="431">
        <v>14489</v>
      </c>
      <c r="P85" s="453">
        <v>3953784</v>
      </c>
      <c r="Q85" s="431">
        <v>986588</v>
      </c>
      <c r="R85" s="431">
        <v>622161</v>
      </c>
      <c r="S85" s="431">
        <v>0</v>
      </c>
      <c r="T85" s="431">
        <v>0</v>
      </c>
      <c r="U85" s="431">
        <v>0</v>
      </c>
      <c r="V85" s="431">
        <v>0</v>
      </c>
      <c r="W85" s="431">
        <v>1380311</v>
      </c>
      <c r="X85" s="431">
        <v>216139</v>
      </c>
      <c r="Y85" s="431">
        <v>49206</v>
      </c>
      <c r="Z85" s="431">
        <v>699379</v>
      </c>
      <c r="AA85" s="431">
        <v>0</v>
      </c>
      <c r="AB85" s="431">
        <v>0</v>
      </c>
      <c r="AC85" s="431">
        <v>596045</v>
      </c>
      <c r="AD85" s="431">
        <v>0</v>
      </c>
      <c r="AE85" s="431">
        <v>696735</v>
      </c>
      <c r="AF85" s="431">
        <v>563758</v>
      </c>
      <c r="AG85" s="431">
        <v>49137</v>
      </c>
      <c r="AH85" s="431">
        <v>216139</v>
      </c>
      <c r="AI85" s="431">
        <v>71399</v>
      </c>
      <c r="AJ85" s="431">
        <v>49206</v>
      </c>
      <c r="AK85" s="431">
        <v>0</v>
      </c>
      <c r="AL85" s="431">
        <v>1711365</v>
      </c>
      <c r="AM85" s="431">
        <v>0</v>
      </c>
    </row>
    <row r="86" spans="1:39" s="233" customFormat="1" ht="12" x14ac:dyDescent="0.2">
      <c r="A86" s="168">
        <v>32</v>
      </c>
      <c r="B86" s="232">
        <v>67595</v>
      </c>
      <c r="C86" s="258" t="s">
        <v>2064</v>
      </c>
      <c r="D86" s="453">
        <f t="shared" si="15"/>
        <v>7877850</v>
      </c>
      <c r="E86" s="431">
        <v>3356503</v>
      </c>
      <c r="F86" s="431">
        <v>1087710</v>
      </c>
      <c r="G86" s="431">
        <v>350500</v>
      </c>
      <c r="H86" s="431">
        <v>0</v>
      </c>
      <c r="I86" s="431">
        <v>2942000</v>
      </c>
      <c r="J86" s="431">
        <v>0</v>
      </c>
      <c r="K86" s="431">
        <v>1103220</v>
      </c>
      <c r="L86" s="431">
        <v>0</v>
      </c>
      <c r="M86" s="431">
        <v>106105</v>
      </c>
      <c r="N86" s="431">
        <v>325422</v>
      </c>
      <c r="O86" s="431">
        <v>44600</v>
      </c>
      <c r="P86" s="453">
        <v>8137966</v>
      </c>
      <c r="Q86" s="431">
        <v>2917126</v>
      </c>
      <c r="R86" s="431">
        <v>1694820</v>
      </c>
      <c r="S86" s="431">
        <v>0</v>
      </c>
      <c r="T86" s="431">
        <v>0</v>
      </c>
      <c r="U86" s="431">
        <v>0</v>
      </c>
      <c r="V86" s="431">
        <v>0</v>
      </c>
      <c r="W86" s="431">
        <v>311305</v>
      </c>
      <c r="X86" s="431">
        <v>998587</v>
      </c>
      <c r="Y86" s="431">
        <v>89669</v>
      </c>
      <c r="Z86" s="431">
        <v>2066467</v>
      </c>
      <c r="AA86" s="431">
        <v>60773</v>
      </c>
      <c r="AB86" s="431">
        <v>-781</v>
      </c>
      <c r="AC86" s="431">
        <v>1790943</v>
      </c>
      <c r="AD86" s="431">
        <v>737219</v>
      </c>
      <c r="AE86" s="431">
        <v>2583364</v>
      </c>
      <c r="AF86" s="431">
        <v>0</v>
      </c>
      <c r="AG86" s="431">
        <v>1059350</v>
      </c>
      <c r="AH86" s="431">
        <v>998587</v>
      </c>
      <c r="AI86" s="431">
        <v>165592</v>
      </c>
      <c r="AJ86" s="431">
        <v>250541</v>
      </c>
      <c r="AK86" s="431">
        <v>0</v>
      </c>
      <c r="AL86" s="431">
        <v>552370</v>
      </c>
      <c r="AM86" s="431">
        <v>0</v>
      </c>
    </row>
    <row r="87" spans="1:39" s="233" customFormat="1" ht="12" x14ac:dyDescent="0.2">
      <c r="A87" s="168">
        <v>33</v>
      </c>
      <c r="B87" s="232">
        <v>67648</v>
      </c>
      <c r="C87" s="258" t="s">
        <v>2065</v>
      </c>
      <c r="D87" s="453">
        <f t="shared" si="15"/>
        <v>6910701</v>
      </c>
      <c r="E87" s="431">
        <v>1615873</v>
      </c>
      <c r="F87" s="431">
        <v>381814</v>
      </c>
      <c r="G87" s="431">
        <v>412340</v>
      </c>
      <c r="H87" s="431">
        <v>0</v>
      </c>
      <c r="I87" s="431">
        <v>2387615</v>
      </c>
      <c r="J87" s="431">
        <v>0</v>
      </c>
      <c r="K87" s="431">
        <v>1114830</v>
      </c>
      <c r="L87" s="431">
        <v>0</v>
      </c>
      <c r="M87" s="431">
        <v>1041871</v>
      </c>
      <c r="N87" s="431">
        <v>514512</v>
      </c>
      <c r="O87" s="431">
        <v>236000</v>
      </c>
      <c r="P87" s="453">
        <v>6870804</v>
      </c>
      <c r="Q87" s="431">
        <v>2677699</v>
      </c>
      <c r="R87" s="431">
        <v>1272280</v>
      </c>
      <c r="S87" s="431">
        <v>0</v>
      </c>
      <c r="T87" s="431">
        <v>0</v>
      </c>
      <c r="U87" s="431">
        <v>0</v>
      </c>
      <c r="V87" s="431">
        <v>0</v>
      </c>
      <c r="W87" s="431">
        <v>560191</v>
      </c>
      <c r="X87" s="431">
        <v>649931</v>
      </c>
      <c r="Y87" s="431">
        <v>0</v>
      </c>
      <c r="Z87" s="431">
        <v>1738474</v>
      </c>
      <c r="AA87" s="431">
        <v>0</v>
      </c>
      <c r="AB87" s="431">
        <v>-27771</v>
      </c>
      <c r="AC87" s="431">
        <v>1492050</v>
      </c>
      <c r="AD87" s="431">
        <v>15531</v>
      </c>
      <c r="AE87" s="431">
        <v>2408691</v>
      </c>
      <c r="AF87" s="431">
        <v>27657</v>
      </c>
      <c r="AG87" s="431">
        <v>172379</v>
      </c>
      <c r="AH87" s="431">
        <v>649931</v>
      </c>
      <c r="AI87" s="431">
        <v>369073</v>
      </c>
      <c r="AJ87" s="431">
        <v>119399</v>
      </c>
      <c r="AK87" s="431">
        <v>0</v>
      </c>
      <c r="AL87" s="431">
        <v>1465828</v>
      </c>
      <c r="AM87" s="431">
        <v>150265</v>
      </c>
    </row>
    <row r="88" spans="1:39" s="233" customFormat="1" ht="12" x14ac:dyDescent="0.2">
      <c r="A88" s="168">
        <v>34</v>
      </c>
      <c r="B88" s="232">
        <v>67675</v>
      </c>
      <c r="C88" s="258" t="s">
        <v>2066</v>
      </c>
      <c r="D88" s="453">
        <f t="shared" si="15"/>
        <v>3646743</v>
      </c>
      <c r="E88" s="431">
        <v>844511</v>
      </c>
      <c r="F88" s="431">
        <v>133935</v>
      </c>
      <c r="G88" s="431">
        <v>343460</v>
      </c>
      <c r="H88" s="431">
        <v>0</v>
      </c>
      <c r="I88" s="431">
        <v>1791335</v>
      </c>
      <c r="J88" s="431">
        <v>0</v>
      </c>
      <c r="K88" s="431">
        <v>884520</v>
      </c>
      <c r="L88" s="431">
        <v>0</v>
      </c>
      <c r="M88" s="431">
        <v>65553</v>
      </c>
      <c r="N88" s="431">
        <v>0</v>
      </c>
      <c r="O88" s="431">
        <v>60824</v>
      </c>
      <c r="P88" s="453">
        <v>3971348</v>
      </c>
      <c r="Q88" s="431">
        <v>1881938</v>
      </c>
      <c r="R88" s="431">
        <v>918478</v>
      </c>
      <c r="S88" s="431">
        <v>0</v>
      </c>
      <c r="T88" s="431">
        <v>0</v>
      </c>
      <c r="U88" s="431">
        <v>0</v>
      </c>
      <c r="V88" s="431">
        <v>0</v>
      </c>
      <c r="W88" s="431">
        <v>0</v>
      </c>
      <c r="X88" s="431">
        <v>430295</v>
      </c>
      <c r="Y88" s="431">
        <v>50000</v>
      </c>
      <c r="Z88" s="431">
        <v>690637</v>
      </c>
      <c r="AA88" s="431">
        <v>0</v>
      </c>
      <c r="AB88" s="431">
        <v>0</v>
      </c>
      <c r="AC88" s="431">
        <v>712788</v>
      </c>
      <c r="AD88" s="431">
        <v>0</v>
      </c>
      <c r="AE88" s="431">
        <v>1509464</v>
      </c>
      <c r="AF88" s="431">
        <v>19251</v>
      </c>
      <c r="AG88" s="431">
        <v>73099</v>
      </c>
      <c r="AH88" s="431">
        <v>478187</v>
      </c>
      <c r="AI88" s="431">
        <v>847379</v>
      </c>
      <c r="AJ88" s="431">
        <v>172180</v>
      </c>
      <c r="AK88" s="431">
        <v>0</v>
      </c>
      <c r="AL88" s="431">
        <v>149000</v>
      </c>
      <c r="AM88" s="431">
        <v>10000</v>
      </c>
    </row>
    <row r="89" spans="1:39" s="233" customFormat="1" ht="12" x14ac:dyDescent="0.2">
      <c r="A89" s="168">
        <v>35</v>
      </c>
      <c r="B89" s="232">
        <v>67737</v>
      </c>
      <c r="C89" s="258" t="s">
        <v>2067</v>
      </c>
      <c r="D89" s="453">
        <f t="shared" si="15"/>
        <v>8627847</v>
      </c>
      <c r="E89" s="431">
        <v>3830223</v>
      </c>
      <c r="F89" s="431">
        <v>2622906</v>
      </c>
      <c r="G89" s="431">
        <v>95920</v>
      </c>
      <c r="H89" s="431">
        <v>0</v>
      </c>
      <c r="I89" s="431">
        <v>2888745</v>
      </c>
      <c r="J89" s="431">
        <v>0</v>
      </c>
      <c r="K89" s="431">
        <v>341780</v>
      </c>
      <c r="L89" s="431">
        <v>0</v>
      </c>
      <c r="M89" s="431">
        <v>384895</v>
      </c>
      <c r="N89" s="431">
        <v>1182204</v>
      </c>
      <c r="O89" s="431">
        <v>0</v>
      </c>
      <c r="P89" s="453">
        <v>6880185</v>
      </c>
      <c r="Q89" s="431">
        <v>2905573</v>
      </c>
      <c r="R89" s="431">
        <v>1383420</v>
      </c>
      <c r="S89" s="431">
        <v>0</v>
      </c>
      <c r="T89" s="431">
        <v>0</v>
      </c>
      <c r="U89" s="431">
        <v>0</v>
      </c>
      <c r="V89" s="431">
        <v>0</v>
      </c>
      <c r="W89" s="431">
        <v>837326</v>
      </c>
      <c r="X89" s="431">
        <v>663756</v>
      </c>
      <c r="Y89" s="431">
        <v>75300</v>
      </c>
      <c r="Z89" s="431">
        <v>1033310</v>
      </c>
      <c r="AA89" s="431">
        <v>0</v>
      </c>
      <c r="AB89" s="431">
        <v>-18500</v>
      </c>
      <c r="AC89" s="431">
        <v>1570280</v>
      </c>
      <c r="AD89" s="431">
        <v>975</v>
      </c>
      <c r="AE89" s="431">
        <v>3240747</v>
      </c>
      <c r="AF89" s="431">
        <v>0</v>
      </c>
      <c r="AG89" s="431">
        <v>68956</v>
      </c>
      <c r="AH89" s="431">
        <v>663756</v>
      </c>
      <c r="AI89" s="431">
        <v>222010</v>
      </c>
      <c r="AJ89" s="431">
        <v>579286</v>
      </c>
      <c r="AK89" s="431">
        <v>0</v>
      </c>
      <c r="AL89" s="431">
        <v>527135</v>
      </c>
      <c r="AM89" s="431">
        <v>7040</v>
      </c>
    </row>
    <row r="90" spans="1:39" s="233" customFormat="1" ht="12" x14ac:dyDescent="0.2">
      <c r="A90" s="168">
        <v>36</v>
      </c>
      <c r="B90" s="232">
        <v>65869</v>
      </c>
      <c r="C90" s="258" t="s">
        <v>2068</v>
      </c>
      <c r="D90" s="453">
        <f t="shared" si="15"/>
        <v>5808868</v>
      </c>
      <c r="E90" s="431">
        <v>993852</v>
      </c>
      <c r="F90" s="431">
        <v>226890</v>
      </c>
      <c r="G90" s="431">
        <v>341250</v>
      </c>
      <c r="H90" s="431">
        <v>0</v>
      </c>
      <c r="I90" s="431">
        <v>1610844</v>
      </c>
      <c r="J90" s="431">
        <v>200000</v>
      </c>
      <c r="K90" s="431">
        <v>813300</v>
      </c>
      <c r="L90" s="431">
        <v>0</v>
      </c>
      <c r="M90" s="431">
        <v>757746</v>
      </c>
      <c r="N90" s="431">
        <v>1386926</v>
      </c>
      <c r="O90" s="431">
        <v>46200</v>
      </c>
      <c r="P90" s="453">
        <v>4628208</v>
      </c>
      <c r="Q90" s="431">
        <v>1808068</v>
      </c>
      <c r="R90" s="431">
        <v>554590</v>
      </c>
      <c r="S90" s="431">
        <v>5165</v>
      </c>
      <c r="T90" s="431">
        <v>0</v>
      </c>
      <c r="U90" s="431">
        <v>0</v>
      </c>
      <c r="V90" s="431">
        <v>0</v>
      </c>
      <c r="W90" s="431">
        <v>815296</v>
      </c>
      <c r="X90" s="431">
        <v>461636</v>
      </c>
      <c r="Y90" s="431">
        <v>28997</v>
      </c>
      <c r="Z90" s="431">
        <v>958505</v>
      </c>
      <c r="AA90" s="431">
        <v>0</v>
      </c>
      <c r="AB90" s="431">
        <v>-4049</v>
      </c>
      <c r="AC90" s="431">
        <v>1189679</v>
      </c>
      <c r="AD90" s="431">
        <v>49556</v>
      </c>
      <c r="AE90" s="431">
        <v>1506385</v>
      </c>
      <c r="AF90" s="431">
        <v>0</v>
      </c>
      <c r="AG90" s="431">
        <v>15871</v>
      </c>
      <c r="AH90" s="431">
        <v>535015</v>
      </c>
      <c r="AI90" s="431">
        <v>80768</v>
      </c>
      <c r="AJ90" s="431">
        <v>0</v>
      </c>
      <c r="AK90" s="431">
        <v>0</v>
      </c>
      <c r="AL90" s="431">
        <v>1248958</v>
      </c>
      <c r="AM90" s="431">
        <v>1976</v>
      </c>
    </row>
    <row r="91" spans="1:39" s="233" customFormat="1" ht="12" x14ac:dyDescent="0.2">
      <c r="A91" s="168">
        <v>37</v>
      </c>
      <c r="B91" s="232">
        <v>67773</v>
      </c>
      <c r="C91" s="258" t="s">
        <v>2069</v>
      </c>
      <c r="D91" s="453">
        <f t="shared" si="15"/>
        <v>4037503</v>
      </c>
      <c r="E91" s="431">
        <v>1025096</v>
      </c>
      <c r="F91" s="431">
        <v>204262</v>
      </c>
      <c r="G91" s="431">
        <v>315480</v>
      </c>
      <c r="H91" s="431">
        <v>0</v>
      </c>
      <c r="I91" s="431">
        <v>1429103</v>
      </c>
      <c r="J91" s="431">
        <v>0</v>
      </c>
      <c r="K91" s="431">
        <v>710090</v>
      </c>
      <c r="L91" s="431">
        <v>0</v>
      </c>
      <c r="M91" s="431">
        <v>768464</v>
      </c>
      <c r="N91" s="431">
        <v>104750</v>
      </c>
      <c r="O91" s="431">
        <v>0</v>
      </c>
      <c r="P91" s="453">
        <v>4272124</v>
      </c>
      <c r="Q91" s="431">
        <v>1630855</v>
      </c>
      <c r="R91" s="431">
        <v>664631</v>
      </c>
      <c r="S91" s="431">
        <v>0</v>
      </c>
      <c r="T91" s="431">
        <v>0</v>
      </c>
      <c r="U91" s="431">
        <v>0</v>
      </c>
      <c r="V91" s="431">
        <v>0</v>
      </c>
      <c r="W91" s="431">
        <v>145941</v>
      </c>
      <c r="X91" s="431">
        <v>296909</v>
      </c>
      <c r="Y91" s="431">
        <v>1640</v>
      </c>
      <c r="Z91" s="431">
        <v>1535465</v>
      </c>
      <c r="AA91" s="431">
        <v>0</v>
      </c>
      <c r="AB91" s="431">
        <v>-3317</v>
      </c>
      <c r="AC91" s="431">
        <v>817975</v>
      </c>
      <c r="AD91" s="431">
        <v>3120</v>
      </c>
      <c r="AE91" s="431">
        <v>1171842</v>
      </c>
      <c r="AF91" s="431">
        <v>0</v>
      </c>
      <c r="AG91" s="431">
        <v>101629</v>
      </c>
      <c r="AH91" s="431">
        <v>370165</v>
      </c>
      <c r="AI91" s="431">
        <v>124593</v>
      </c>
      <c r="AJ91" s="431">
        <v>32597</v>
      </c>
      <c r="AK91" s="431">
        <v>0</v>
      </c>
      <c r="AL91" s="431">
        <v>1642973</v>
      </c>
      <c r="AM91" s="431">
        <v>7230</v>
      </c>
    </row>
    <row r="92" spans="1:39" s="233" customFormat="1" ht="12" x14ac:dyDescent="0.2">
      <c r="A92" s="168">
        <v>38</v>
      </c>
      <c r="B92" s="232">
        <v>67835</v>
      </c>
      <c r="C92" s="258" t="s">
        <v>2070</v>
      </c>
      <c r="D92" s="453">
        <f t="shared" si="15"/>
        <v>8118537</v>
      </c>
      <c r="E92" s="431">
        <v>1158170</v>
      </c>
      <c r="F92" s="431">
        <v>196939</v>
      </c>
      <c r="G92" s="431">
        <v>406310</v>
      </c>
      <c r="H92" s="431">
        <v>0</v>
      </c>
      <c r="I92" s="431">
        <v>2997276</v>
      </c>
      <c r="J92" s="431">
        <v>0</v>
      </c>
      <c r="K92" s="431">
        <v>975100</v>
      </c>
      <c r="L92" s="431">
        <v>0</v>
      </c>
      <c r="M92" s="431">
        <v>2521399</v>
      </c>
      <c r="N92" s="431">
        <v>466592</v>
      </c>
      <c r="O92" s="431">
        <v>0</v>
      </c>
      <c r="P92" s="453">
        <v>7416905</v>
      </c>
      <c r="Q92" s="431">
        <v>3141279</v>
      </c>
      <c r="R92" s="431">
        <v>723283</v>
      </c>
      <c r="S92" s="431">
        <v>0</v>
      </c>
      <c r="T92" s="431">
        <v>0</v>
      </c>
      <c r="U92" s="431">
        <v>0</v>
      </c>
      <c r="V92" s="431">
        <v>0</v>
      </c>
      <c r="W92" s="431">
        <v>613178</v>
      </c>
      <c r="X92" s="431">
        <v>600424</v>
      </c>
      <c r="Y92" s="431">
        <v>10000</v>
      </c>
      <c r="Z92" s="431">
        <v>2463294</v>
      </c>
      <c r="AA92" s="431">
        <v>0</v>
      </c>
      <c r="AB92" s="431">
        <v>-134553</v>
      </c>
      <c r="AC92" s="431">
        <v>870120</v>
      </c>
      <c r="AD92" s="431">
        <v>391543</v>
      </c>
      <c r="AE92" s="431">
        <v>4444641</v>
      </c>
      <c r="AF92" s="431">
        <v>69416</v>
      </c>
      <c r="AG92" s="431">
        <v>178341</v>
      </c>
      <c r="AH92" s="431">
        <v>842815</v>
      </c>
      <c r="AI92" s="431">
        <v>89473</v>
      </c>
      <c r="AJ92" s="431">
        <v>101999</v>
      </c>
      <c r="AK92" s="431">
        <v>0</v>
      </c>
      <c r="AL92" s="431">
        <v>388319</v>
      </c>
      <c r="AM92" s="431">
        <v>40238</v>
      </c>
    </row>
    <row r="93" spans="1:39" s="233" customFormat="1" ht="12" x14ac:dyDescent="0.2">
      <c r="A93" s="168">
        <v>39</v>
      </c>
      <c r="B93" s="232">
        <v>67906</v>
      </c>
      <c r="C93" s="258" t="s">
        <v>2071</v>
      </c>
      <c r="D93" s="453">
        <f t="shared" si="15"/>
        <v>5479869</v>
      </c>
      <c r="E93" s="431">
        <v>1898265</v>
      </c>
      <c r="F93" s="431">
        <v>594287</v>
      </c>
      <c r="G93" s="431">
        <v>338820</v>
      </c>
      <c r="H93" s="431">
        <v>0</v>
      </c>
      <c r="I93" s="431">
        <v>2413546</v>
      </c>
      <c r="J93" s="431">
        <v>0</v>
      </c>
      <c r="K93" s="431">
        <v>849250</v>
      </c>
      <c r="L93" s="431">
        <v>0</v>
      </c>
      <c r="M93" s="431">
        <v>318808</v>
      </c>
      <c r="N93" s="431">
        <v>0</v>
      </c>
      <c r="O93" s="431">
        <v>0</v>
      </c>
      <c r="P93" s="453">
        <v>5127503</v>
      </c>
      <c r="Q93" s="431">
        <v>2253919</v>
      </c>
      <c r="R93" s="431">
        <v>718722</v>
      </c>
      <c r="S93" s="431">
        <v>0</v>
      </c>
      <c r="T93" s="431">
        <v>0</v>
      </c>
      <c r="U93" s="431">
        <v>0</v>
      </c>
      <c r="V93" s="431">
        <v>0</v>
      </c>
      <c r="W93" s="431">
        <v>0</v>
      </c>
      <c r="X93" s="431">
        <v>526196</v>
      </c>
      <c r="Y93" s="431">
        <v>104118</v>
      </c>
      <c r="Z93" s="431">
        <v>1524548</v>
      </c>
      <c r="AA93" s="431">
        <v>0</v>
      </c>
      <c r="AB93" s="431">
        <v>0</v>
      </c>
      <c r="AC93" s="431">
        <v>799750</v>
      </c>
      <c r="AD93" s="431">
        <v>0</v>
      </c>
      <c r="AE93" s="431">
        <v>2231868</v>
      </c>
      <c r="AF93" s="431">
        <v>0</v>
      </c>
      <c r="AG93" s="431">
        <v>437572</v>
      </c>
      <c r="AH93" s="431">
        <v>526196</v>
      </c>
      <c r="AI93" s="431">
        <v>71219</v>
      </c>
      <c r="AJ93" s="431">
        <v>44436</v>
      </c>
      <c r="AK93" s="431">
        <v>0</v>
      </c>
      <c r="AL93" s="431">
        <v>1016462</v>
      </c>
      <c r="AM93" s="431">
        <v>0</v>
      </c>
    </row>
    <row r="94" spans="1:39" s="233" customFormat="1" ht="12" x14ac:dyDescent="0.2">
      <c r="A94" s="168">
        <v>40</v>
      </c>
      <c r="B94" s="232">
        <v>67942</v>
      </c>
      <c r="C94" s="258" t="s">
        <v>2072</v>
      </c>
      <c r="D94" s="453">
        <f t="shared" si="15"/>
        <v>3633051</v>
      </c>
      <c r="E94" s="431">
        <v>902009</v>
      </c>
      <c r="F94" s="431">
        <v>86475</v>
      </c>
      <c r="G94" s="431">
        <v>419250</v>
      </c>
      <c r="H94" s="431">
        <v>0</v>
      </c>
      <c r="I94" s="431">
        <v>949756</v>
      </c>
      <c r="J94" s="431">
        <v>300000</v>
      </c>
      <c r="K94" s="431">
        <v>897820</v>
      </c>
      <c r="L94" s="431">
        <v>0</v>
      </c>
      <c r="M94" s="431">
        <v>315150</v>
      </c>
      <c r="N94" s="431">
        <v>10149</v>
      </c>
      <c r="O94" s="431">
        <v>258167</v>
      </c>
      <c r="P94" s="453">
        <v>4983520</v>
      </c>
      <c r="Q94" s="431">
        <v>1382391</v>
      </c>
      <c r="R94" s="431">
        <v>783810</v>
      </c>
      <c r="S94" s="431">
        <v>13340</v>
      </c>
      <c r="T94" s="431">
        <v>0</v>
      </c>
      <c r="U94" s="431">
        <v>0</v>
      </c>
      <c r="V94" s="431">
        <v>0</v>
      </c>
      <c r="W94" s="431">
        <v>1374711</v>
      </c>
      <c r="X94" s="431">
        <v>268902</v>
      </c>
      <c r="Y94" s="431">
        <v>0</v>
      </c>
      <c r="Z94" s="431">
        <v>1160556</v>
      </c>
      <c r="AA94" s="431">
        <v>30000</v>
      </c>
      <c r="AB94" s="431">
        <v>-30190</v>
      </c>
      <c r="AC94" s="431">
        <v>962828</v>
      </c>
      <c r="AD94" s="431">
        <v>0</v>
      </c>
      <c r="AE94" s="431">
        <v>844252</v>
      </c>
      <c r="AF94" s="431">
        <v>0</v>
      </c>
      <c r="AG94" s="431">
        <v>104839</v>
      </c>
      <c r="AH94" s="431">
        <v>268902</v>
      </c>
      <c r="AI94" s="431">
        <v>137787</v>
      </c>
      <c r="AJ94" s="431">
        <v>714084</v>
      </c>
      <c r="AK94" s="431">
        <v>0</v>
      </c>
      <c r="AL94" s="431">
        <v>1950828</v>
      </c>
      <c r="AM94" s="431">
        <v>0</v>
      </c>
    </row>
    <row r="95" spans="1:39" s="233" customFormat="1" ht="12" x14ac:dyDescent="0.2">
      <c r="A95" s="168">
        <v>41</v>
      </c>
      <c r="B95" s="232">
        <v>68002</v>
      </c>
      <c r="C95" s="258" t="s">
        <v>2073</v>
      </c>
      <c r="D95" s="453">
        <f t="shared" si="15"/>
        <v>5528252</v>
      </c>
      <c r="E95" s="431">
        <v>1271223</v>
      </c>
      <c r="F95" s="431">
        <v>326191</v>
      </c>
      <c r="G95" s="431">
        <v>327250</v>
      </c>
      <c r="H95" s="431">
        <v>0</v>
      </c>
      <c r="I95" s="431">
        <v>3118771</v>
      </c>
      <c r="J95" s="431">
        <v>0</v>
      </c>
      <c r="K95" s="431">
        <v>899090</v>
      </c>
      <c r="L95" s="431">
        <v>0</v>
      </c>
      <c r="M95" s="431">
        <v>234168</v>
      </c>
      <c r="N95" s="431">
        <v>0</v>
      </c>
      <c r="O95" s="431">
        <v>5000</v>
      </c>
      <c r="P95" s="453">
        <v>5929709</v>
      </c>
      <c r="Q95" s="431">
        <v>3124694</v>
      </c>
      <c r="R95" s="431">
        <v>707456</v>
      </c>
      <c r="S95" s="431">
        <v>0</v>
      </c>
      <c r="T95" s="431">
        <v>0</v>
      </c>
      <c r="U95" s="431">
        <v>0</v>
      </c>
      <c r="V95" s="431">
        <v>0</v>
      </c>
      <c r="W95" s="431">
        <v>0</v>
      </c>
      <c r="X95" s="431">
        <v>619297</v>
      </c>
      <c r="Y95" s="431">
        <v>42974</v>
      </c>
      <c r="Z95" s="431">
        <v>1441175</v>
      </c>
      <c r="AA95" s="431">
        <v>0</v>
      </c>
      <c r="AB95" s="431">
        <v>-5887</v>
      </c>
      <c r="AC95" s="431">
        <v>986419</v>
      </c>
      <c r="AD95" s="431">
        <v>22854</v>
      </c>
      <c r="AE95" s="431">
        <v>2641747</v>
      </c>
      <c r="AF95" s="431">
        <v>28401</v>
      </c>
      <c r="AG95" s="431">
        <v>229886</v>
      </c>
      <c r="AH95" s="431">
        <v>619297</v>
      </c>
      <c r="AI95" s="431">
        <v>124473</v>
      </c>
      <c r="AJ95" s="431">
        <v>53293</v>
      </c>
      <c r="AK95" s="431">
        <v>0</v>
      </c>
      <c r="AL95" s="431">
        <v>1222134</v>
      </c>
      <c r="AM95" s="431">
        <v>1205</v>
      </c>
    </row>
    <row r="96" spans="1:39" s="233" customFormat="1" ht="12" x14ac:dyDescent="0.2">
      <c r="A96" s="168">
        <v>42</v>
      </c>
      <c r="B96" s="232">
        <v>68048</v>
      </c>
      <c r="C96" s="258" t="s">
        <v>2074</v>
      </c>
      <c r="D96" s="453">
        <f t="shared" si="15"/>
        <v>8569502</v>
      </c>
      <c r="E96" s="431">
        <v>1172578</v>
      </c>
      <c r="F96" s="431">
        <v>262632</v>
      </c>
      <c r="G96" s="431">
        <v>413600</v>
      </c>
      <c r="H96" s="431">
        <v>0</v>
      </c>
      <c r="I96" s="431">
        <v>2281954</v>
      </c>
      <c r="J96" s="431">
        <v>0</v>
      </c>
      <c r="K96" s="431">
        <v>2270300</v>
      </c>
      <c r="L96" s="431">
        <v>0</v>
      </c>
      <c r="M96" s="431">
        <v>936654</v>
      </c>
      <c r="N96" s="431">
        <v>0</v>
      </c>
      <c r="O96" s="431">
        <v>1908016</v>
      </c>
      <c r="P96" s="453">
        <v>7548646</v>
      </c>
      <c r="Q96" s="431">
        <v>2041823</v>
      </c>
      <c r="R96" s="431">
        <v>1408144</v>
      </c>
      <c r="S96" s="431">
        <v>0</v>
      </c>
      <c r="T96" s="431">
        <v>0</v>
      </c>
      <c r="U96" s="431">
        <v>0</v>
      </c>
      <c r="V96" s="431">
        <v>0</v>
      </c>
      <c r="W96" s="431">
        <v>0</v>
      </c>
      <c r="X96" s="431">
        <v>630250</v>
      </c>
      <c r="Y96" s="431">
        <v>54478</v>
      </c>
      <c r="Z96" s="431">
        <v>3414780</v>
      </c>
      <c r="AA96" s="431">
        <v>0</v>
      </c>
      <c r="AB96" s="431">
        <v>-829</v>
      </c>
      <c r="AC96" s="431">
        <v>1074129</v>
      </c>
      <c r="AD96" s="431">
        <v>6131</v>
      </c>
      <c r="AE96" s="431">
        <v>2024711</v>
      </c>
      <c r="AF96" s="431">
        <v>0</v>
      </c>
      <c r="AG96" s="431">
        <v>189709</v>
      </c>
      <c r="AH96" s="431">
        <v>630250</v>
      </c>
      <c r="AI96" s="431">
        <v>2550159</v>
      </c>
      <c r="AJ96" s="431">
        <v>53183</v>
      </c>
      <c r="AK96" s="431">
        <v>0</v>
      </c>
      <c r="AL96" s="431">
        <v>937453</v>
      </c>
      <c r="AM96" s="431">
        <v>82921</v>
      </c>
    </row>
    <row r="97" spans="1:39" s="233" customFormat="1" ht="12" x14ac:dyDescent="0.2">
      <c r="A97" s="168">
        <v>43</v>
      </c>
      <c r="B97" s="232">
        <v>68128</v>
      </c>
      <c r="C97" s="258" t="s">
        <v>2075</v>
      </c>
      <c r="D97" s="453">
        <f t="shared" si="15"/>
        <v>5088944</v>
      </c>
      <c r="E97" s="431">
        <v>935346</v>
      </c>
      <c r="F97" s="431">
        <v>137275</v>
      </c>
      <c r="G97" s="431">
        <v>394800</v>
      </c>
      <c r="H97" s="431">
        <v>0</v>
      </c>
      <c r="I97" s="431">
        <v>1709027</v>
      </c>
      <c r="J97" s="431">
        <v>0</v>
      </c>
      <c r="K97" s="431">
        <v>911750</v>
      </c>
      <c r="L97" s="431">
        <v>0</v>
      </c>
      <c r="M97" s="431">
        <v>1240623</v>
      </c>
      <c r="N97" s="431">
        <v>292198</v>
      </c>
      <c r="O97" s="431">
        <v>0</v>
      </c>
      <c r="P97" s="453">
        <v>4885598</v>
      </c>
      <c r="Q97" s="431">
        <v>1899339</v>
      </c>
      <c r="R97" s="431">
        <v>622861</v>
      </c>
      <c r="S97" s="431">
        <v>0</v>
      </c>
      <c r="T97" s="431">
        <v>0</v>
      </c>
      <c r="U97" s="431">
        <v>0</v>
      </c>
      <c r="V97" s="431">
        <v>0</v>
      </c>
      <c r="W97" s="431">
        <v>383277</v>
      </c>
      <c r="X97" s="431">
        <v>467331</v>
      </c>
      <c r="Y97" s="431">
        <v>57985</v>
      </c>
      <c r="Z97" s="431">
        <v>1454805</v>
      </c>
      <c r="AA97" s="431">
        <v>0</v>
      </c>
      <c r="AB97" s="431">
        <v>0</v>
      </c>
      <c r="AC97" s="431">
        <v>899275</v>
      </c>
      <c r="AD97" s="431">
        <v>2284</v>
      </c>
      <c r="AE97" s="431">
        <v>2078418</v>
      </c>
      <c r="AF97" s="431">
        <v>0</v>
      </c>
      <c r="AG97" s="431">
        <v>88357</v>
      </c>
      <c r="AH97" s="431">
        <v>467331</v>
      </c>
      <c r="AI97" s="431">
        <v>69001</v>
      </c>
      <c r="AJ97" s="431">
        <v>42000</v>
      </c>
      <c r="AK97" s="431">
        <v>0</v>
      </c>
      <c r="AL97" s="431">
        <v>1209599</v>
      </c>
      <c r="AM97" s="431">
        <v>29333</v>
      </c>
    </row>
    <row r="98" spans="1:39" s="233" customFormat="1" ht="12" x14ac:dyDescent="0.2">
      <c r="A98" s="168">
        <v>44</v>
      </c>
      <c r="B98" s="232">
        <v>68182</v>
      </c>
      <c r="C98" s="258" t="s">
        <v>2076</v>
      </c>
      <c r="D98" s="453">
        <f t="shared" si="15"/>
        <v>7334074</v>
      </c>
      <c r="E98" s="431">
        <v>2841470</v>
      </c>
      <c r="F98" s="431">
        <v>739263</v>
      </c>
      <c r="G98" s="431">
        <v>210320</v>
      </c>
      <c r="H98" s="431">
        <v>0</v>
      </c>
      <c r="I98" s="431">
        <v>2261322</v>
      </c>
      <c r="J98" s="431">
        <v>0</v>
      </c>
      <c r="K98" s="431">
        <v>750900</v>
      </c>
      <c r="L98" s="431">
        <v>0</v>
      </c>
      <c r="M98" s="431">
        <v>1305206</v>
      </c>
      <c r="N98" s="431">
        <v>159576</v>
      </c>
      <c r="O98" s="431">
        <v>15600</v>
      </c>
      <c r="P98" s="453">
        <v>5990750</v>
      </c>
      <c r="Q98" s="431">
        <v>2539462</v>
      </c>
      <c r="R98" s="431">
        <v>1610939</v>
      </c>
      <c r="S98" s="431">
        <v>0</v>
      </c>
      <c r="T98" s="431">
        <v>0</v>
      </c>
      <c r="U98" s="431">
        <v>0</v>
      </c>
      <c r="V98" s="431">
        <v>0</v>
      </c>
      <c r="W98" s="431">
        <v>469460</v>
      </c>
      <c r="X98" s="431">
        <v>655018</v>
      </c>
      <c r="Y98" s="431">
        <v>94000</v>
      </c>
      <c r="Z98" s="431">
        <v>621871</v>
      </c>
      <c r="AA98" s="431">
        <v>0</v>
      </c>
      <c r="AB98" s="431">
        <v>0</v>
      </c>
      <c r="AC98" s="431">
        <v>1234374</v>
      </c>
      <c r="AD98" s="431">
        <v>10650</v>
      </c>
      <c r="AE98" s="431">
        <v>1856158</v>
      </c>
      <c r="AF98" s="431">
        <v>20358</v>
      </c>
      <c r="AG98" s="431">
        <v>480644</v>
      </c>
      <c r="AH98" s="431">
        <v>991887</v>
      </c>
      <c r="AI98" s="431">
        <v>925764</v>
      </c>
      <c r="AJ98" s="431">
        <v>55291</v>
      </c>
      <c r="AK98" s="431">
        <v>0</v>
      </c>
      <c r="AL98" s="431">
        <v>139089</v>
      </c>
      <c r="AM98" s="431">
        <v>276535</v>
      </c>
    </row>
    <row r="99" spans="1:39" s="233" customFormat="1" ht="12" x14ac:dyDescent="0.2">
      <c r="A99" s="168">
        <v>45</v>
      </c>
      <c r="B99" s="232">
        <v>68253</v>
      </c>
      <c r="C99" s="258" t="s">
        <v>2077</v>
      </c>
      <c r="D99" s="453">
        <f t="shared" si="15"/>
        <v>3945912</v>
      </c>
      <c r="E99" s="431">
        <v>953696</v>
      </c>
      <c r="F99" s="431">
        <v>175511</v>
      </c>
      <c r="G99" s="431">
        <v>267190</v>
      </c>
      <c r="H99" s="431">
        <v>0</v>
      </c>
      <c r="I99" s="431">
        <v>1343367</v>
      </c>
      <c r="J99" s="431">
        <v>0</v>
      </c>
      <c r="K99" s="431">
        <v>600500</v>
      </c>
      <c r="L99" s="431">
        <v>0</v>
      </c>
      <c r="M99" s="431">
        <v>1048349</v>
      </c>
      <c r="N99" s="431">
        <v>0</v>
      </c>
      <c r="O99" s="431">
        <v>0</v>
      </c>
      <c r="P99" s="453">
        <v>3306166</v>
      </c>
      <c r="Q99" s="431">
        <v>1658299</v>
      </c>
      <c r="R99" s="431">
        <v>602676</v>
      </c>
      <c r="S99" s="431">
        <v>6640</v>
      </c>
      <c r="T99" s="431">
        <v>0</v>
      </c>
      <c r="U99" s="431">
        <v>0</v>
      </c>
      <c r="V99" s="431">
        <v>0</v>
      </c>
      <c r="W99" s="431">
        <v>324068</v>
      </c>
      <c r="X99" s="431">
        <v>212099</v>
      </c>
      <c r="Y99" s="431">
        <v>45276</v>
      </c>
      <c r="Z99" s="431">
        <v>457108</v>
      </c>
      <c r="AA99" s="431">
        <v>0</v>
      </c>
      <c r="AB99" s="431">
        <v>0</v>
      </c>
      <c r="AC99" s="431">
        <v>619861</v>
      </c>
      <c r="AD99" s="431">
        <v>7083</v>
      </c>
      <c r="AE99" s="431">
        <v>1057727</v>
      </c>
      <c r="AF99" s="431">
        <v>42234</v>
      </c>
      <c r="AG99" s="431">
        <v>109760</v>
      </c>
      <c r="AH99" s="431">
        <v>465734</v>
      </c>
      <c r="AI99" s="431">
        <v>48846</v>
      </c>
      <c r="AJ99" s="431">
        <v>207566</v>
      </c>
      <c r="AK99" s="431">
        <v>0</v>
      </c>
      <c r="AL99" s="431">
        <v>651335</v>
      </c>
      <c r="AM99" s="431">
        <v>96020</v>
      </c>
    </row>
    <row r="100" spans="1:39" s="233" customFormat="1" ht="12" x14ac:dyDescent="0.2">
      <c r="A100" s="168">
        <v>46</v>
      </c>
      <c r="B100" s="232">
        <v>65645</v>
      </c>
      <c r="C100" s="258" t="s">
        <v>2078</v>
      </c>
      <c r="D100" s="453">
        <f t="shared" si="15"/>
        <v>3095116</v>
      </c>
      <c r="E100" s="431">
        <v>945826</v>
      </c>
      <c r="F100" s="431">
        <v>247856</v>
      </c>
      <c r="G100" s="431">
        <v>439114</v>
      </c>
      <c r="H100" s="431">
        <v>0</v>
      </c>
      <c r="I100" s="431">
        <v>535874</v>
      </c>
      <c r="J100" s="431">
        <v>0</v>
      </c>
      <c r="K100" s="431">
        <v>847480</v>
      </c>
      <c r="L100" s="431">
        <v>0</v>
      </c>
      <c r="M100" s="431">
        <v>184697</v>
      </c>
      <c r="N100" s="431">
        <v>581239</v>
      </c>
      <c r="O100" s="431">
        <v>0</v>
      </c>
      <c r="P100" s="453">
        <v>2720594</v>
      </c>
      <c r="Q100" s="431">
        <v>818442</v>
      </c>
      <c r="R100" s="431">
        <v>264614</v>
      </c>
      <c r="S100" s="431">
        <v>0</v>
      </c>
      <c r="T100" s="431">
        <v>0</v>
      </c>
      <c r="U100" s="431">
        <v>0</v>
      </c>
      <c r="V100" s="431">
        <v>0</v>
      </c>
      <c r="W100" s="431">
        <v>800176</v>
      </c>
      <c r="X100" s="431">
        <v>223110</v>
      </c>
      <c r="Y100" s="431">
        <v>61855</v>
      </c>
      <c r="Z100" s="431">
        <v>552851</v>
      </c>
      <c r="AA100" s="431">
        <v>0</v>
      </c>
      <c r="AB100" s="431">
        <v>-454</v>
      </c>
      <c r="AC100" s="431">
        <v>614209</v>
      </c>
      <c r="AD100" s="431">
        <v>201349</v>
      </c>
      <c r="AE100" s="431">
        <v>248910</v>
      </c>
      <c r="AF100" s="431">
        <v>0</v>
      </c>
      <c r="AG100" s="431">
        <v>50564</v>
      </c>
      <c r="AH100" s="431">
        <v>339963</v>
      </c>
      <c r="AI100" s="431">
        <v>54618</v>
      </c>
      <c r="AJ100" s="431">
        <v>0</v>
      </c>
      <c r="AK100" s="431">
        <v>0</v>
      </c>
      <c r="AL100" s="431">
        <v>1210981</v>
      </c>
      <c r="AM100" s="431">
        <v>0</v>
      </c>
    </row>
    <row r="101" spans="1:39" s="233" customFormat="1" ht="12" x14ac:dyDescent="0.2">
      <c r="A101" s="168">
        <v>47</v>
      </c>
      <c r="B101" s="232">
        <v>104387</v>
      </c>
      <c r="C101" s="258" t="s">
        <v>2079</v>
      </c>
      <c r="D101" s="453">
        <f t="shared" si="15"/>
        <v>9211524</v>
      </c>
      <c r="E101" s="431">
        <v>1558138</v>
      </c>
      <c r="F101" s="431">
        <v>233477</v>
      </c>
      <c r="G101" s="431">
        <v>446720</v>
      </c>
      <c r="H101" s="431">
        <v>0</v>
      </c>
      <c r="I101" s="431">
        <v>2018379</v>
      </c>
      <c r="J101" s="431">
        <v>0</v>
      </c>
      <c r="K101" s="431">
        <v>1068440</v>
      </c>
      <c r="L101" s="431">
        <v>0</v>
      </c>
      <c r="M101" s="431">
        <v>1890604</v>
      </c>
      <c r="N101" s="431">
        <v>2024501</v>
      </c>
      <c r="O101" s="431">
        <v>651462</v>
      </c>
      <c r="P101" s="453">
        <v>6439412</v>
      </c>
      <c r="Q101" s="431">
        <v>2043258</v>
      </c>
      <c r="R101" s="431">
        <v>879409</v>
      </c>
      <c r="S101" s="431">
        <v>3000</v>
      </c>
      <c r="T101" s="431">
        <v>0</v>
      </c>
      <c r="U101" s="431">
        <v>874636</v>
      </c>
      <c r="V101" s="431">
        <v>0</v>
      </c>
      <c r="W101" s="431">
        <v>0</v>
      </c>
      <c r="X101" s="431">
        <v>366781</v>
      </c>
      <c r="Y101" s="431">
        <v>63305</v>
      </c>
      <c r="Z101" s="431">
        <v>2333482</v>
      </c>
      <c r="AA101" s="431">
        <v>63000</v>
      </c>
      <c r="AB101" s="431">
        <v>-187459</v>
      </c>
      <c r="AC101" s="431">
        <v>1079490</v>
      </c>
      <c r="AD101" s="431">
        <v>0</v>
      </c>
      <c r="AE101" s="431">
        <v>1837104</v>
      </c>
      <c r="AF101" s="431">
        <v>200174</v>
      </c>
      <c r="AG101" s="431">
        <v>419314</v>
      </c>
      <c r="AH101" s="431">
        <v>1282702</v>
      </c>
      <c r="AI101" s="431">
        <v>-69923</v>
      </c>
      <c r="AJ101" s="431">
        <v>30672</v>
      </c>
      <c r="AK101" s="431">
        <v>0</v>
      </c>
      <c r="AL101" s="431">
        <v>1659879</v>
      </c>
      <c r="AM101" s="431">
        <v>0</v>
      </c>
    </row>
    <row r="102" spans="1:39" s="233" customFormat="1" ht="12" x14ac:dyDescent="0.2">
      <c r="A102" s="168">
        <v>48</v>
      </c>
      <c r="B102" s="232">
        <v>68280</v>
      </c>
      <c r="C102" s="258" t="s">
        <v>2080</v>
      </c>
      <c r="D102" s="453">
        <f t="shared" si="15"/>
        <v>6814791</v>
      </c>
      <c r="E102" s="431">
        <v>1230766</v>
      </c>
      <c r="F102" s="431">
        <v>346858</v>
      </c>
      <c r="G102" s="431">
        <v>271880</v>
      </c>
      <c r="H102" s="431">
        <v>0</v>
      </c>
      <c r="I102" s="431">
        <v>4013041</v>
      </c>
      <c r="J102" s="431">
        <v>0</v>
      </c>
      <c r="K102" s="431">
        <v>702480</v>
      </c>
      <c r="L102" s="431">
        <v>0</v>
      </c>
      <c r="M102" s="431">
        <v>293677</v>
      </c>
      <c r="N102" s="431">
        <v>574827</v>
      </c>
      <c r="O102" s="431">
        <v>0</v>
      </c>
      <c r="P102" s="453">
        <v>6444236</v>
      </c>
      <c r="Q102" s="431">
        <v>3969068</v>
      </c>
      <c r="R102" s="431">
        <v>977158</v>
      </c>
      <c r="S102" s="431">
        <v>2402</v>
      </c>
      <c r="T102" s="431">
        <v>0</v>
      </c>
      <c r="U102" s="431">
        <v>0</v>
      </c>
      <c r="V102" s="431">
        <v>0</v>
      </c>
      <c r="W102" s="431">
        <v>838959</v>
      </c>
      <c r="X102" s="431">
        <v>423870</v>
      </c>
      <c r="Y102" s="431">
        <v>90000</v>
      </c>
      <c r="Z102" s="431">
        <v>142779</v>
      </c>
      <c r="AA102" s="431">
        <v>0</v>
      </c>
      <c r="AB102" s="431">
        <v>0</v>
      </c>
      <c r="AC102" s="431">
        <v>1017513</v>
      </c>
      <c r="AD102" s="431">
        <v>19262</v>
      </c>
      <c r="AE102" s="431">
        <v>4381056</v>
      </c>
      <c r="AF102" s="431">
        <v>0</v>
      </c>
      <c r="AG102" s="431">
        <v>132291</v>
      </c>
      <c r="AH102" s="431">
        <v>699548</v>
      </c>
      <c r="AI102" s="431">
        <v>81314</v>
      </c>
      <c r="AJ102" s="431">
        <v>0</v>
      </c>
      <c r="AK102" s="431">
        <v>0</v>
      </c>
      <c r="AL102" s="431">
        <v>113252</v>
      </c>
      <c r="AM102" s="431">
        <v>0</v>
      </c>
    </row>
    <row r="103" spans="1:39" s="233" customFormat="1" ht="12" x14ac:dyDescent="0.2">
      <c r="A103" s="168">
        <v>49</v>
      </c>
      <c r="B103" s="232">
        <v>68324</v>
      </c>
      <c r="C103" s="258" t="s">
        <v>2081</v>
      </c>
      <c r="D103" s="453">
        <f t="shared" si="15"/>
        <v>5246594</v>
      </c>
      <c r="E103" s="431">
        <v>1155019</v>
      </c>
      <c r="F103" s="431">
        <v>217475</v>
      </c>
      <c r="G103" s="431">
        <v>449640</v>
      </c>
      <c r="H103" s="431">
        <v>0</v>
      </c>
      <c r="I103" s="431">
        <v>2015137</v>
      </c>
      <c r="J103" s="431">
        <v>0</v>
      </c>
      <c r="K103" s="431">
        <v>1030240</v>
      </c>
      <c r="L103" s="431">
        <v>0</v>
      </c>
      <c r="M103" s="431">
        <v>310179</v>
      </c>
      <c r="N103" s="431">
        <v>736019</v>
      </c>
      <c r="O103" s="431">
        <v>0</v>
      </c>
      <c r="P103" s="453">
        <v>5313589</v>
      </c>
      <c r="Q103" s="431">
        <v>2096308</v>
      </c>
      <c r="R103" s="431">
        <v>901528</v>
      </c>
      <c r="S103" s="431">
        <v>0</v>
      </c>
      <c r="T103" s="431">
        <v>0</v>
      </c>
      <c r="U103" s="431">
        <v>0</v>
      </c>
      <c r="V103" s="431">
        <v>0</v>
      </c>
      <c r="W103" s="431">
        <v>713348</v>
      </c>
      <c r="X103" s="431">
        <v>646292</v>
      </c>
      <c r="Y103" s="431">
        <v>70000</v>
      </c>
      <c r="Z103" s="431">
        <v>897827</v>
      </c>
      <c r="AA103" s="431">
        <v>0</v>
      </c>
      <c r="AB103" s="431">
        <v>-11714</v>
      </c>
      <c r="AC103" s="431">
        <v>924241</v>
      </c>
      <c r="AD103" s="431">
        <v>25870</v>
      </c>
      <c r="AE103" s="431">
        <v>1511534</v>
      </c>
      <c r="AF103" s="431">
        <v>15000</v>
      </c>
      <c r="AG103" s="431">
        <v>408244</v>
      </c>
      <c r="AH103" s="431">
        <v>698584</v>
      </c>
      <c r="AI103" s="431">
        <v>292920</v>
      </c>
      <c r="AJ103" s="431">
        <v>70000</v>
      </c>
      <c r="AK103" s="431">
        <v>0</v>
      </c>
      <c r="AL103" s="431">
        <v>658577</v>
      </c>
      <c r="AM103" s="431">
        <v>708619</v>
      </c>
    </row>
    <row r="104" spans="1:39" s="233" customFormat="1" ht="12" x14ac:dyDescent="0.2">
      <c r="A104" s="168">
        <v>50</v>
      </c>
      <c r="B104" s="232">
        <v>68342</v>
      </c>
      <c r="C104" s="258" t="s">
        <v>2082</v>
      </c>
      <c r="D104" s="453">
        <f t="shared" si="15"/>
        <v>6526400</v>
      </c>
      <c r="E104" s="431">
        <v>1376030</v>
      </c>
      <c r="F104" s="431">
        <v>264874</v>
      </c>
      <c r="G104" s="431">
        <v>360670</v>
      </c>
      <c r="H104" s="431">
        <v>0</v>
      </c>
      <c r="I104" s="431">
        <v>3084133</v>
      </c>
      <c r="J104" s="431">
        <v>0</v>
      </c>
      <c r="K104" s="431">
        <v>876360</v>
      </c>
      <c r="L104" s="431">
        <v>0</v>
      </c>
      <c r="M104" s="431">
        <v>410600</v>
      </c>
      <c r="N104" s="431">
        <v>778277</v>
      </c>
      <c r="O104" s="431">
        <v>1000</v>
      </c>
      <c r="P104" s="453">
        <v>6856323</v>
      </c>
      <c r="Q104" s="431">
        <v>2967391</v>
      </c>
      <c r="R104" s="431">
        <v>946564</v>
      </c>
      <c r="S104" s="431">
        <v>23000</v>
      </c>
      <c r="T104" s="431">
        <v>0</v>
      </c>
      <c r="U104" s="431">
        <v>0</v>
      </c>
      <c r="V104" s="431">
        <v>0</v>
      </c>
      <c r="W104" s="431">
        <v>850529</v>
      </c>
      <c r="X104" s="431">
        <v>589066</v>
      </c>
      <c r="Y104" s="431">
        <v>265415</v>
      </c>
      <c r="Z104" s="431">
        <v>834936</v>
      </c>
      <c r="AA104" s="431">
        <v>386846</v>
      </c>
      <c r="AB104" s="431">
        <v>-7424</v>
      </c>
      <c r="AC104" s="431">
        <v>1030918</v>
      </c>
      <c r="AD104" s="431">
        <v>0</v>
      </c>
      <c r="AE104" s="431">
        <v>2648154</v>
      </c>
      <c r="AF104" s="431">
        <v>0</v>
      </c>
      <c r="AG104" s="431">
        <v>299921</v>
      </c>
      <c r="AH104" s="431">
        <v>588964</v>
      </c>
      <c r="AI104" s="431">
        <v>330094</v>
      </c>
      <c r="AJ104" s="431">
        <v>53778</v>
      </c>
      <c r="AK104" s="431">
        <v>0</v>
      </c>
      <c r="AL104" s="431">
        <v>1888724</v>
      </c>
      <c r="AM104" s="431">
        <v>15770</v>
      </c>
    </row>
    <row r="105" spans="1:39" s="233" customFormat="1" ht="12" x14ac:dyDescent="0.2">
      <c r="A105" s="168">
        <v>51</v>
      </c>
      <c r="B105" s="232">
        <v>179935</v>
      </c>
      <c r="C105" s="258" t="s">
        <v>2083</v>
      </c>
      <c r="D105" s="453">
        <f t="shared" si="15"/>
        <v>3287004</v>
      </c>
      <c r="E105" s="431">
        <v>965780</v>
      </c>
      <c r="F105" s="431">
        <v>97239</v>
      </c>
      <c r="G105" s="431">
        <v>342030</v>
      </c>
      <c r="H105" s="431">
        <v>0</v>
      </c>
      <c r="I105" s="431">
        <v>1196093</v>
      </c>
      <c r="J105" s="431">
        <v>0</v>
      </c>
      <c r="K105" s="431">
        <v>724010</v>
      </c>
      <c r="L105" s="431">
        <v>0</v>
      </c>
      <c r="M105" s="431">
        <v>94615</v>
      </c>
      <c r="N105" s="431">
        <v>306506</v>
      </c>
      <c r="O105" s="431">
        <v>0</v>
      </c>
      <c r="P105" s="453">
        <v>2873571</v>
      </c>
      <c r="Q105" s="431">
        <v>1258069</v>
      </c>
      <c r="R105" s="431">
        <v>619043</v>
      </c>
      <c r="S105" s="431">
        <v>0</v>
      </c>
      <c r="T105" s="431">
        <v>0</v>
      </c>
      <c r="U105" s="431">
        <v>0</v>
      </c>
      <c r="V105" s="431">
        <v>0</v>
      </c>
      <c r="W105" s="431">
        <v>400153</v>
      </c>
      <c r="X105" s="431">
        <v>353691</v>
      </c>
      <c r="Y105" s="431">
        <v>9990</v>
      </c>
      <c r="Z105" s="431">
        <v>244288</v>
      </c>
      <c r="AA105" s="431">
        <v>0</v>
      </c>
      <c r="AB105" s="431">
        <v>-11663</v>
      </c>
      <c r="AC105" s="431">
        <v>1016500</v>
      </c>
      <c r="AD105" s="431">
        <v>251</v>
      </c>
      <c r="AE105" s="431">
        <v>897677</v>
      </c>
      <c r="AF105" s="431">
        <v>0</v>
      </c>
      <c r="AG105" s="431">
        <v>93705</v>
      </c>
      <c r="AH105" s="431">
        <v>353691</v>
      </c>
      <c r="AI105" s="431">
        <v>161330</v>
      </c>
      <c r="AJ105" s="431">
        <v>131909</v>
      </c>
      <c r="AK105" s="431">
        <v>0</v>
      </c>
      <c r="AL105" s="431">
        <v>218508</v>
      </c>
      <c r="AM105" s="431">
        <v>0</v>
      </c>
    </row>
    <row r="106" spans="1:39" s="233" customFormat="1" ht="12" x14ac:dyDescent="0.2">
      <c r="A106" s="168">
        <v>52</v>
      </c>
      <c r="B106" s="232">
        <v>65752</v>
      </c>
      <c r="C106" s="258" t="s">
        <v>2084</v>
      </c>
      <c r="D106" s="453">
        <f t="shared" si="15"/>
        <v>10100633</v>
      </c>
      <c r="E106" s="431">
        <v>4148704</v>
      </c>
      <c r="F106" s="431">
        <v>2201427</v>
      </c>
      <c r="G106" s="431">
        <v>214560</v>
      </c>
      <c r="H106" s="431">
        <v>0</v>
      </c>
      <c r="I106" s="431">
        <v>2730974</v>
      </c>
      <c r="J106" s="431">
        <v>0</v>
      </c>
      <c r="K106" s="431">
        <v>788610</v>
      </c>
      <c r="L106" s="431">
        <v>0</v>
      </c>
      <c r="M106" s="431">
        <v>1949404</v>
      </c>
      <c r="N106" s="431">
        <v>440822</v>
      </c>
      <c r="O106" s="431">
        <v>42119</v>
      </c>
      <c r="P106" s="453">
        <v>9639982</v>
      </c>
      <c r="Q106" s="431">
        <v>3030784</v>
      </c>
      <c r="R106" s="431">
        <v>1935348</v>
      </c>
      <c r="S106" s="431">
        <v>0</v>
      </c>
      <c r="T106" s="431">
        <v>0</v>
      </c>
      <c r="U106" s="431">
        <v>0</v>
      </c>
      <c r="V106" s="431">
        <v>0</v>
      </c>
      <c r="W106" s="431">
        <v>2125258</v>
      </c>
      <c r="X106" s="431">
        <v>406660</v>
      </c>
      <c r="Y106" s="431">
        <v>77156</v>
      </c>
      <c r="Z106" s="431">
        <v>2084659</v>
      </c>
      <c r="AA106" s="431">
        <v>0</v>
      </c>
      <c r="AB106" s="431">
        <v>-19883</v>
      </c>
      <c r="AC106" s="431">
        <v>1261196</v>
      </c>
      <c r="AD106" s="431">
        <v>0</v>
      </c>
      <c r="AE106" s="431">
        <v>2778627</v>
      </c>
      <c r="AF106" s="431">
        <v>72476</v>
      </c>
      <c r="AG106" s="431">
        <v>1285453</v>
      </c>
      <c r="AH106" s="431">
        <v>661989</v>
      </c>
      <c r="AI106" s="431">
        <v>277332</v>
      </c>
      <c r="AJ106" s="431">
        <v>116086</v>
      </c>
      <c r="AK106" s="431">
        <v>0</v>
      </c>
      <c r="AL106" s="431">
        <v>2955911</v>
      </c>
      <c r="AM106" s="431">
        <v>230912</v>
      </c>
    </row>
    <row r="107" spans="1:39" s="233" customFormat="1" ht="12" x14ac:dyDescent="0.2">
      <c r="A107" s="168">
        <v>53</v>
      </c>
      <c r="B107" s="232">
        <v>179908</v>
      </c>
      <c r="C107" s="258" t="s">
        <v>2085</v>
      </c>
      <c r="D107" s="453">
        <f t="shared" si="15"/>
        <v>10605354</v>
      </c>
      <c r="E107" s="431">
        <v>1214966</v>
      </c>
      <c r="F107" s="431">
        <v>415700</v>
      </c>
      <c r="G107" s="431">
        <v>428130</v>
      </c>
      <c r="H107" s="431">
        <v>0</v>
      </c>
      <c r="I107" s="431">
        <v>1469947</v>
      </c>
      <c r="J107" s="431">
        <v>0</v>
      </c>
      <c r="K107" s="431">
        <v>929260</v>
      </c>
      <c r="L107" s="431">
        <v>0</v>
      </c>
      <c r="M107" s="431">
        <v>4394044</v>
      </c>
      <c r="N107" s="431">
        <v>2597137</v>
      </c>
      <c r="O107" s="431">
        <v>0</v>
      </c>
      <c r="P107" s="453">
        <v>11056800</v>
      </c>
      <c r="Q107" s="431">
        <v>1878376</v>
      </c>
      <c r="R107" s="431">
        <v>1565914</v>
      </c>
      <c r="S107" s="431">
        <v>0</v>
      </c>
      <c r="T107" s="431">
        <v>0</v>
      </c>
      <c r="U107" s="431">
        <v>0</v>
      </c>
      <c r="V107" s="431">
        <v>0</v>
      </c>
      <c r="W107" s="431">
        <v>743516</v>
      </c>
      <c r="X107" s="431">
        <v>302484</v>
      </c>
      <c r="Y107" s="431">
        <v>0</v>
      </c>
      <c r="Z107" s="431">
        <v>6117510</v>
      </c>
      <c r="AA107" s="431">
        <v>449000</v>
      </c>
      <c r="AB107" s="431">
        <v>0</v>
      </c>
      <c r="AC107" s="431">
        <v>2470079</v>
      </c>
      <c r="AD107" s="431">
        <v>43601</v>
      </c>
      <c r="AE107" s="431">
        <v>1137541</v>
      </c>
      <c r="AF107" s="431">
        <v>0</v>
      </c>
      <c r="AG107" s="431">
        <v>50479</v>
      </c>
      <c r="AH107" s="431">
        <v>509650</v>
      </c>
      <c r="AI107" s="431">
        <v>3518775</v>
      </c>
      <c r="AJ107" s="431">
        <v>0</v>
      </c>
      <c r="AK107" s="431">
        <v>0</v>
      </c>
      <c r="AL107" s="431">
        <v>3326675</v>
      </c>
      <c r="AM107" s="431">
        <v>0</v>
      </c>
    </row>
    <row r="108" spans="1:39" s="233" customFormat="1" ht="12" x14ac:dyDescent="0.2">
      <c r="A108" s="168">
        <v>54</v>
      </c>
      <c r="B108" s="232">
        <v>68404</v>
      </c>
      <c r="C108" s="258" t="s">
        <v>2086</v>
      </c>
      <c r="D108" s="453">
        <f t="shared" si="15"/>
        <v>4071365</v>
      </c>
      <c r="E108" s="431">
        <v>997463</v>
      </c>
      <c r="F108" s="431">
        <v>151008</v>
      </c>
      <c r="G108" s="431">
        <v>357300</v>
      </c>
      <c r="H108" s="431">
        <v>0</v>
      </c>
      <c r="I108" s="431">
        <v>1217612</v>
      </c>
      <c r="J108" s="431">
        <v>0</v>
      </c>
      <c r="K108" s="431">
        <v>790360</v>
      </c>
      <c r="L108" s="431">
        <v>0</v>
      </c>
      <c r="M108" s="431">
        <v>641169</v>
      </c>
      <c r="N108" s="431">
        <v>423761</v>
      </c>
      <c r="O108" s="431">
        <v>1000</v>
      </c>
      <c r="P108" s="453">
        <v>4005995</v>
      </c>
      <c r="Q108" s="431">
        <v>1373489</v>
      </c>
      <c r="R108" s="431">
        <v>673766</v>
      </c>
      <c r="S108" s="431">
        <v>0</v>
      </c>
      <c r="T108" s="431">
        <v>0</v>
      </c>
      <c r="U108" s="431">
        <v>0</v>
      </c>
      <c r="V108" s="431">
        <v>0</v>
      </c>
      <c r="W108" s="431">
        <v>775833</v>
      </c>
      <c r="X108" s="431">
        <v>343883</v>
      </c>
      <c r="Y108" s="431">
        <v>110927</v>
      </c>
      <c r="Z108" s="431">
        <v>728097</v>
      </c>
      <c r="AA108" s="431">
        <v>0</v>
      </c>
      <c r="AB108" s="431">
        <v>0</v>
      </c>
      <c r="AC108" s="431">
        <v>878199</v>
      </c>
      <c r="AD108" s="431">
        <v>344565</v>
      </c>
      <c r="AE108" s="431">
        <v>895115</v>
      </c>
      <c r="AF108" s="431">
        <v>0</v>
      </c>
      <c r="AG108" s="431">
        <v>359027</v>
      </c>
      <c r="AH108" s="431">
        <v>404388</v>
      </c>
      <c r="AI108" s="431">
        <v>584196</v>
      </c>
      <c r="AJ108" s="431">
        <v>89596</v>
      </c>
      <c r="AK108" s="431">
        <v>0</v>
      </c>
      <c r="AL108" s="431">
        <v>429267</v>
      </c>
      <c r="AM108" s="431">
        <v>21642</v>
      </c>
    </row>
    <row r="109" spans="1:39" s="233" customFormat="1" ht="12" x14ac:dyDescent="0.2">
      <c r="A109" s="168">
        <v>55</v>
      </c>
      <c r="B109" s="232">
        <v>68431</v>
      </c>
      <c r="C109" s="258" t="s">
        <v>688</v>
      </c>
      <c r="D109" s="453">
        <f t="shared" si="15"/>
        <v>10854303</v>
      </c>
      <c r="E109" s="431">
        <v>945228</v>
      </c>
      <c r="F109" s="431">
        <v>123074</v>
      </c>
      <c r="G109" s="431">
        <v>278026</v>
      </c>
      <c r="H109" s="431">
        <v>0</v>
      </c>
      <c r="I109" s="431">
        <v>1856701</v>
      </c>
      <c r="J109" s="431">
        <v>0</v>
      </c>
      <c r="K109" s="431">
        <v>3257870</v>
      </c>
      <c r="L109" s="431">
        <v>0</v>
      </c>
      <c r="M109" s="431">
        <v>939924</v>
      </c>
      <c r="N109" s="431">
        <v>419021</v>
      </c>
      <c r="O109" s="431">
        <v>3435559</v>
      </c>
      <c r="P109" s="453">
        <v>8972946</v>
      </c>
      <c r="Q109" s="431">
        <v>2229891</v>
      </c>
      <c r="R109" s="431">
        <v>739344</v>
      </c>
      <c r="S109" s="431">
        <v>13050</v>
      </c>
      <c r="T109" s="431">
        <v>0</v>
      </c>
      <c r="U109" s="431">
        <v>0</v>
      </c>
      <c r="V109" s="431">
        <v>0</v>
      </c>
      <c r="W109" s="431">
        <v>355506</v>
      </c>
      <c r="X109" s="431">
        <v>215232</v>
      </c>
      <c r="Y109" s="431">
        <v>0</v>
      </c>
      <c r="Z109" s="431">
        <v>5395990</v>
      </c>
      <c r="AA109" s="431">
        <v>23933</v>
      </c>
      <c r="AB109" s="431">
        <v>0</v>
      </c>
      <c r="AC109" s="431">
        <v>971887</v>
      </c>
      <c r="AD109" s="431">
        <v>15171</v>
      </c>
      <c r="AE109" s="431">
        <v>1530764</v>
      </c>
      <c r="AF109" s="431">
        <v>0</v>
      </c>
      <c r="AG109" s="431">
        <v>799028</v>
      </c>
      <c r="AH109" s="431">
        <v>484993</v>
      </c>
      <c r="AI109" s="431">
        <v>133599</v>
      </c>
      <c r="AJ109" s="431">
        <v>3792897</v>
      </c>
      <c r="AK109" s="431">
        <v>0</v>
      </c>
      <c r="AL109" s="431">
        <v>1244607</v>
      </c>
      <c r="AM109" s="431">
        <v>0</v>
      </c>
    </row>
    <row r="110" spans="1:39" s="233" customFormat="1" ht="12" x14ac:dyDescent="0.2">
      <c r="A110" s="168">
        <v>56</v>
      </c>
      <c r="B110" s="232">
        <v>68468</v>
      </c>
      <c r="C110" s="258" t="s">
        <v>2087</v>
      </c>
      <c r="D110" s="453">
        <f t="shared" si="15"/>
        <v>9495358</v>
      </c>
      <c r="E110" s="431">
        <v>2532779</v>
      </c>
      <c r="F110" s="431">
        <v>651898</v>
      </c>
      <c r="G110" s="431">
        <v>464170</v>
      </c>
      <c r="H110" s="431">
        <v>0</v>
      </c>
      <c r="I110" s="431">
        <v>4547522</v>
      </c>
      <c r="J110" s="431">
        <v>0</v>
      </c>
      <c r="K110" s="431">
        <v>1467070</v>
      </c>
      <c r="L110" s="431">
        <v>0</v>
      </c>
      <c r="M110" s="431">
        <v>321696</v>
      </c>
      <c r="N110" s="431">
        <v>575791</v>
      </c>
      <c r="O110" s="431">
        <v>50500</v>
      </c>
      <c r="P110" s="453">
        <v>9811572</v>
      </c>
      <c r="Q110" s="431">
        <v>4451792</v>
      </c>
      <c r="R110" s="431">
        <v>1691442</v>
      </c>
      <c r="S110" s="431">
        <v>172907</v>
      </c>
      <c r="T110" s="431">
        <v>0</v>
      </c>
      <c r="U110" s="431">
        <v>0</v>
      </c>
      <c r="V110" s="431">
        <v>0</v>
      </c>
      <c r="W110" s="431">
        <v>766891</v>
      </c>
      <c r="X110" s="431">
        <v>731227</v>
      </c>
      <c r="Y110" s="431">
        <v>567575</v>
      </c>
      <c r="Z110" s="431">
        <v>1094738</v>
      </c>
      <c r="AA110" s="431">
        <v>335000</v>
      </c>
      <c r="AB110" s="431">
        <v>0</v>
      </c>
      <c r="AC110" s="431">
        <v>2429979</v>
      </c>
      <c r="AD110" s="431">
        <v>323</v>
      </c>
      <c r="AE110" s="431">
        <v>3762269</v>
      </c>
      <c r="AF110" s="431">
        <v>0</v>
      </c>
      <c r="AG110" s="431">
        <v>186653</v>
      </c>
      <c r="AH110" s="431">
        <v>1015780</v>
      </c>
      <c r="AI110" s="431">
        <v>412921</v>
      </c>
      <c r="AJ110" s="431">
        <v>107803</v>
      </c>
      <c r="AK110" s="431">
        <v>0</v>
      </c>
      <c r="AL110" s="431">
        <v>1828174</v>
      </c>
      <c r="AM110" s="431">
        <v>67670</v>
      </c>
    </row>
    <row r="111" spans="1:39" s="233" customFormat="1" ht="12" x14ac:dyDescent="0.2">
      <c r="A111" s="168">
        <v>57</v>
      </c>
      <c r="B111" s="232">
        <v>68529</v>
      </c>
      <c r="C111" s="258" t="s">
        <v>2088</v>
      </c>
      <c r="D111" s="453">
        <f t="shared" si="15"/>
        <v>4298426</v>
      </c>
      <c r="E111" s="431">
        <v>1108655</v>
      </c>
      <c r="F111" s="431">
        <v>148771</v>
      </c>
      <c r="G111" s="431">
        <v>394310</v>
      </c>
      <c r="H111" s="431">
        <v>0</v>
      </c>
      <c r="I111" s="431">
        <v>1690042</v>
      </c>
      <c r="J111" s="431">
        <v>0</v>
      </c>
      <c r="K111" s="431">
        <v>811210</v>
      </c>
      <c r="L111" s="431">
        <v>0</v>
      </c>
      <c r="M111" s="431">
        <v>458388</v>
      </c>
      <c r="N111" s="431">
        <v>230131</v>
      </c>
      <c r="O111" s="431">
        <v>0</v>
      </c>
      <c r="P111" s="453">
        <v>4079913</v>
      </c>
      <c r="Q111" s="431">
        <v>1608074</v>
      </c>
      <c r="R111" s="431">
        <v>729173</v>
      </c>
      <c r="S111" s="431">
        <v>2369</v>
      </c>
      <c r="T111" s="431">
        <v>0</v>
      </c>
      <c r="U111" s="431">
        <v>0</v>
      </c>
      <c r="V111" s="431">
        <v>0</v>
      </c>
      <c r="W111" s="431">
        <v>127011</v>
      </c>
      <c r="X111" s="431">
        <v>591427</v>
      </c>
      <c r="Y111" s="431">
        <v>80232</v>
      </c>
      <c r="Z111" s="431">
        <v>779837</v>
      </c>
      <c r="AA111" s="431">
        <v>179000</v>
      </c>
      <c r="AB111" s="431">
        <v>-17210</v>
      </c>
      <c r="AC111" s="431">
        <v>1139492</v>
      </c>
      <c r="AD111" s="431">
        <v>8319</v>
      </c>
      <c r="AE111" s="431">
        <v>1246409</v>
      </c>
      <c r="AF111" s="431">
        <v>0</v>
      </c>
      <c r="AG111" s="431">
        <v>93661</v>
      </c>
      <c r="AH111" s="431">
        <v>591427</v>
      </c>
      <c r="AI111" s="431">
        <v>66675</v>
      </c>
      <c r="AJ111" s="431">
        <v>577107</v>
      </c>
      <c r="AK111" s="431">
        <v>0</v>
      </c>
      <c r="AL111" s="431">
        <v>303823</v>
      </c>
      <c r="AM111" s="431">
        <v>53000</v>
      </c>
    </row>
    <row r="112" spans="1:39" s="233" customFormat="1" ht="12" x14ac:dyDescent="0.2">
      <c r="A112" s="168">
        <v>58</v>
      </c>
      <c r="B112" s="232">
        <v>68565</v>
      </c>
      <c r="C112" s="258" t="s">
        <v>2089</v>
      </c>
      <c r="D112" s="453">
        <f t="shared" si="15"/>
        <v>2590334</v>
      </c>
      <c r="E112" s="431">
        <v>727986</v>
      </c>
      <c r="F112" s="431">
        <v>75940</v>
      </c>
      <c r="G112" s="431">
        <v>438030</v>
      </c>
      <c r="H112" s="431">
        <v>0</v>
      </c>
      <c r="I112" s="431">
        <v>1021080</v>
      </c>
      <c r="J112" s="431">
        <v>0</v>
      </c>
      <c r="K112" s="431">
        <v>304823</v>
      </c>
      <c r="L112" s="431">
        <v>0</v>
      </c>
      <c r="M112" s="431">
        <v>536445</v>
      </c>
      <c r="N112" s="431">
        <v>0</v>
      </c>
      <c r="O112" s="431">
        <v>0</v>
      </c>
      <c r="P112" s="453">
        <v>2739171</v>
      </c>
      <c r="Q112" s="431">
        <v>1231673</v>
      </c>
      <c r="R112" s="431">
        <v>459040</v>
      </c>
      <c r="S112" s="431">
        <v>0</v>
      </c>
      <c r="T112" s="431">
        <v>0</v>
      </c>
      <c r="U112" s="431">
        <v>0</v>
      </c>
      <c r="V112" s="431">
        <v>0</v>
      </c>
      <c r="W112" s="431">
        <v>0</v>
      </c>
      <c r="X112" s="431">
        <v>225007</v>
      </c>
      <c r="Y112" s="431">
        <v>0</v>
      </c>
      <c r="Z112" s="431">
        <v>858183</v>
      </c>
      <c r="AA112" s="431">
        <v>0</v>
      </c>
      <c r="AB112" s="431">
        <v>-34732</v>
      </c>
      <c r="AC112" s="431">
        <v>538006</v>
      </c>
      <c r="AD112" s="431">
        <v>0</v>
      </c>
      <c r="AE112" s="431">
        <v>835265</v>
      </c>
      <c r="AF112" s="431">
        <v>17641</v>
      </c>
      <c r="AG112" s="431">
        <v>72009</v>
      </c>
      <c r="AH112" s="431">
        <v>284542</v>
      </c>
      <c r="AI112" s="431">
        <v>461453</v>
      </c>
      <c r="AJ112" s="431">
        <v>55520</v>
      </c>
      <c r="AK112" s="431">
        <v>0</v>
      </c>
      <c r="AL112" s="431">
        <v>405493</v>
      </c>
      <c r="AM112" s="431">
        <v>69242</v>
      </c>
    </row>
    <row r="113" spans="1:39" s="233" customFormat="1" ht="12" x14ac:dyDescent="0.2">
      <c r="A113" s="168">
        <v>59</v>
      </c>
      <c r="B113" s="232">
        <v>179891</v>
      </c>
      <c r="C113" s="258" t="s">
        <v>2090</v>
      </c>
      <c r="D113" s="453">
        <f t="shared" si="15"/>
        <v>4527904</v>
      </c>
      <c r="E113" s="431">
        <v>1062169</v>
      </c>
      <c r="F113" s="431">
        <v>223636</v>
      </c>
      <c r="G113" s="431">
        <v>302890</v>
      </c>
      <c r="H113" s="431">
        <v>0</v>
      </c>
      <c r="I113" s="431">
        <v>1752201</v>
      </c>
      <c r="J113" s="431">
        <v>0</v>
      </c>
      <c r="K113" s="431">
        <v>839450</v>
      </c>
      <c r="L113" s="431">
        <v>0</v>
      </c>
      <c r="M113" s="431">
        <v>874084</v>
      </c>
      <c r="N113" s="431">
        <v>0</v>
      </c>
      <c r="O113" s="431">
        <v>0</v>
      </c>
      <c r="P113" s="453">
        <v>4706677</v>
      </c>
      <c r="Q113" s="431">
        <v>1806870</v>
      </c>
      <c r="R113" s="431">
        <v>706247</v>
      </c>
      <c r="S113" s="431">
        <v>0</v>
      </c>
      <c r="T113" s="431">
        <v>0</v>
      </c>
      <c r="U113" s="431">
        <v>0</v>
      </c>
      <c r="V113" s="431">
        <v>0</v>
      </c>
      <c r="W113" s="431">
        <v>0</v>
      </c>
      <c r="X113" s="431">
        <v>330347</v>
      </c>
      <c r="Y113" s="431">
        <v>5740</v>
      </c>
      <c r="Z113" s="431">
        <v>1857473</v>
      </c>
      <c r="AA113" s="431">
        <v>0</v>
      </c>
      <c r="AB113" s="431">
        <v>0</v>
      </c>
      <c r="AC113" s="431">
        <v>616581</v>
      </c>
      <c r="AD113" s="431">
        <v>6994</v>
      </c>
      <c r="AE113" s="431">
        <v>1645214</v>
      </c>
      <c r="AF113" s="431">
        <v>1078</v>
      </c>
      <c r="AG113" s="431">
        <v>429422</v>
      </c>
      <c r="AH113" s="431">
        <v>345032</v>
      </c>
      <c r="AI113" s="431">
        <v>88132</v>
      </c>
      <c r="AJ113" s="431">
        <v>504207</v>
      </c>
      <c r="AK113" s="431">
        <v>0</v>
      </c>
      <c r="AL113" s="431">
        <v>867693</v>
      </c>
      <c r="AM113" s="431">
        <v>202324</v>
      </c>
    </row>
    <row r="114" spans="1:39" s="233" customFormat="1" ht="12" x14ac:dyDescent="0.2">
      <c r="A114" s="168">
        <v>60</v>
      </c>
      <c r="B114" s="232">
        <v>179926</v>
      </c>
      <c r="C114" s="258" t="s">
        <v>2091</v>
      </c>
      <c r="D114" s="453">
        <f t="shared" si="15"/>
        <v>3885747</v>
      </c>
      <c r="E114" s="431">
        <v>873972</v>
      </c>
      <c r="F114" s="431">
        <v>82940</v>
      </c>
      <c r="G114" s="431">
        <v>384040</v>
      </c>
      <c r="H114" s="431">
        <v>0</v>
      </c>
      <c r="I114" s="431">
        <v>1100565</v>
      </c>
      <c r="J114" s="431">
        <v>0</v>
      </c>
      <c r="K114" s="431">
        <v>1871300</v>
      </c>
      <c r="L114" s="431">
        <v>0</v>
      </c>
      <c r="M114" s="431">
        <v>3238</v>
      </c>
      <c r="N114" s="431">
        <v>0</v>
      </c>
      <c r="O114" s="431">
        <v>36672</v>
      </c>
      <c r="P114" s="453">
        <v>3721294</v>
      </c>
      <c r="Q114" s="431">
        <v>1345443</v>
      </c>
      <c r="R114" s="431">
        <v>1877504</v>
      </c>
      <c r="S114" s="431">
        <v>0</v>
      </c>
      <c r="T114" s="431">
        <v>0</v>
      </c>
      <c r="U114" s="431">
        <v>0</v>
      </c>
      <c r="V114" s="431">
        <v>0</v>
      </c>
      <c r="W114" s="431">
        <v>0</v>
      </c>
      <c r="X114" s="431">
        <v>164356</v>
      </c>
      <c r="Y114" s="431">
        <v>38304</v>
      </c>
      <c r="Z114" s="431">
        <v>319375</v>
      </c>
      <c r="AA114" s="431">
        <v>0</v>
      </c>
      <c r="AB114" s="431">
        <v>-23688</v>
      </c>
      <c r="AC114" s="431">
        <v>1640078</v>
      </c>
      <c r="AD114" s="431">
        <v>0</v>
      </c>
      <c r="AE114" s="431">
        <v>959352</v>
      </c>
      <c r="AF114" s="431">
        <v>6598</v>
      </c>
      <c r="AG114" s="431">
        <v>14764</v>
      </c>
      <c r="AH114" s="431">
        <v>247458</v>
      </c>
      <c r="AI114" s="431">
        <v>131642</v>
      </c>
      <c r="AJ114" s="431">
        <v>51303</v>
      </c>
      <c r="AK114" s="431">
        <v>0</v>
      </c>
      <c r="AL114" s="431">
        <v>670099</v>
      </c>
      <c r="AM114" s="431">
        <v>0</v>
      </c>
    </row>
    <row r="115" spans="1:39" s="233" customFormat="1" ht="12" x14ac:dyDescent="0.2">
      <c r="A115" s="168">
        <v>61</v>
      </c>
      <c r="B115" s="232">
        <v>179917</v>
      </c>
      <c r="C115" s="258" t="s">
        <v>2092</v>
      </c>
      <c r="D115" s="453">
        <f t="shared" si="15"/>
        <v>4366906</v>
      </c>
      <c r="E115" s="431">
        <v>715144</v>
      </c>
      <c r="F115" s="431">
        <v>51122</v>
      </c>
      <c r="G115" s="431">
        <v>467780</v>
      </c>
      <c r="H115" s="431">
        <v>0</v>
      </c>
      <c r="I115" s="431">
        <v>641000</v>
      </c>
      <c r="J115" s="431">
        <v>0</v>
      </c>
      <c r="K115" s="431">
        <v>922920</v>
      </c>
      <c r="L115" s="431">
        <v>0</v>
      </c>
      <c r="M115" s="431">
        <v>1467658</v>
      </c>
      <c r="N115" s="431">
        <v>620184</v>
      </c>
      <c r="O115" s="431">
        <v>0</v>
      </c>
      <c r="P115" s="453">
        <v>4325400</v>
      </c>
      <c r="Q115" s="431">
        <v>986918</v>
      </c>
      <c r="R115" s="431">
        <v>680574</v>
      </c>
      <c r="S115" s="431">
        <v>54909</v>
      </c>
      <c r="T115" s="431">
        <v>0</v>
      </c>
      <c r="U115" s="431">
        <v>0</v>
      </c>
      <c r="V115" s="431">
        <v>0</v>
      </c>
      <c r="W115" s="431">
        <v>409347</v>
      </c>
      <c r="X115" s="431">
        <v>203800</v>
      </c>
      <c r="Y115" s="431">
        <v>43000</v>
      </c>
      <c r="Z115" s="431">
        <v>1799830</v>
      </c>
      <c r="AA115" s="431">
        <v>150788</v>
      </c>
      <c r="AB115" s="431">
        <v>-3766</v>
      </c>
      <c r="AC115" s="431">
        <v>950987</v>
      </c>
      <c r="AD115" s="431">
        <v>7743</v>
      </c>
      <c r="AE115" s="431">
        <v>505257</v>
      </c>
      <c r="AF115" s="431">
        <v>0</v>
      </c>
      <c r="AG115" s="431">
        <v>19657</v>
      </c>
      <c r="AH115" s="431">
        <v>233485</v>
      </c>
      <c r="AI115" s="431">
        <v>33325</v>
      </c>
      <c r="AJ115" s="431">
        <v>43999</v>
      </c>
      <c r="AK115" s="431">
        <v>0</v>
      </c>
      <c r="AL115" s="431">
        <v>2510896</v>
      </c>
      <c r="AM115" s="431">
        <v>20051</v>
      </c>
    </row>
    <row r="116" spans="1:39" s="233" customFormat="1" ht="12" x14ac:dyDescent="0.2">
      <c r="A116" s="168">
        <v>62</v>
      </c>
      <c r="B116" s="232">
        <v>65431</v>
      </c>
      <c r="C116" s="258" t="s">
        <v>2093</v>
      </c>
      <c r="D116" s="453">
        <f t="shared" si="15"/>
        <v>8256522</v>
      </c>
      <c r="E116" s="431">
        <v>2877820</v>
      </c>
      <c r="F116" s="431">
        <v>1234054</v>
      </c>
      <c r="G116" s="431">
        <v>357270</v>
      </c>
      <c r="H116" s="431">
        <v>0</v>
      </c>
      <c r="I116" s="431">
        <v>2908885</v>
      </c>
      <c r="J116" s="431">
        <v>0</v>
      </c>
      <c r="K116" s="431">
        <v>862526</v>
      </c>
      <c r="L116" s="431">
        <v>0</v>
      </c>
      <c r="M116" s="431">
        <v>1349126</v>
      </c>
      <c r="N116" s="431">
        <v>258165</v>
      </c>
      <c r="O116" s="431">
        <v>0</v>
      </c>
      <c r="P116" s="453">
        <v>7526823</v>
      </c>
      <c r="Q116" s="431">
        <v>3007796</v>
      </c>
      <c r="R116" s="431">
        <v>1530457</v>
      </c>
      <c r="S116" s="431">
        <v>0</v>
      </c>
      <c r="T116" s="431">
        <v>0</v>
      </c>
      <c r="U116" s="431">
        <v>0</v>
      </c>
      <c r="V116" s="431">
        <v>0</v>
      </c>
      <c r="W116" s="431">
        <v>0</v>
      </c>
      <c r="X116" s="431">
        <v>1019757</v>
      </c>
      <c r="Y116" s="431">
        <v>154998</v>
      </c>
      <c r="Z116" s="431">
        <v>1823865</v>
      </c>
      <c r="AA116" s="431">
        <v>0</v>
      </c>
      <c r="AB116" s="431">
        <v>-10050</v>
      </c>
      <c r="AC116" s="431">
        <v>1751816</v>
      </c>
      <c r="AD116" s="431">
        <v>51797</v>
      </c>
      <c r="AE116" s="431">
        <v>2221464</v>
      </c>
      <c r="AF116" s="431">
        <v>135060</v>
      </c>
      <c r="AG116" s="431">
        <v>160230</v>
      </c>
      <c r="AH116" s="431">
        <v>1181481</v>
      </c>
      <c r="AI116" s="431">
        <v>274670</v>
      </c>
      <c r="AJ116" s="431">
        <v>107892</v>
      </c>
      <c r="AK116" s="431">
        <v>0</v>
      </c>
      <c r="AL116" s="431">
        <v>1642413</v>
      </c>
      <c r="AM116" s="431">
        <v>0</v>
      </c>
    </row>
    <row r="117" spans="1:39" s="233" customFormat="1" ht="12" x14ac:dyDescent="0.2">
      <c r="A117" s="168">
        <v>63</v>
      </c>
      <c r="B117" s="232">
        <v>68716</v>
      </c>
      <c r="C117" s="258" t="s">
        <v>2094</v>
      </c>
      <c r="D117" s="453">
        <f t="shared" si="15"/>
        <v>8001261</v>
      </c>
      <c r="E117" s="431">
        <v>1331382</v>
      </c>
      <c r="F117" s="431">
        <v>171375</v>
      </c>
      <c r="G117" s="431">
        <v>411450</v>
      </c>
      <c r="H117" s="431">
        <v>0</v>
      </c>
      <c r="I117" s="431">
        <v>1938730</v>
      </c>
      <c r="J117" s="431">
        <v>399872</v>
      </c>
      <c r="K117" s="431">
        <v>999020</v>
      </c>
      <c r="L117" s="431">
        <v>0</v>
      </c>
      <c r="M117" s="431">
        <v>2607109</v>
      </c>
      <c r="N117" s="431">
        <v>713889</v>
      </c>
      <c r="O117" s="431">
        <v>11259</v>
      </c>
      <c r="P117" s="453">
        <v>9639349</v>
      </c>
      <c r="Q117" s="431">
        <v>2307625</v>
      </c>
      <c r="R117" s="431">
        <v>1129409</v>
      </c>
      <c r="S117" s="431">
        <v>23150</v>
      </c>
      <c r="T117" s="431">
        <v>0</v>
      </c>
      <c r="U117" s="431">
        <v>0</v>
      </c>
      <c r="V117" s="431">
        <v>0</v>
      </c>
      <c r="W117" s="431">
        <v>2527000</v>
      </c>
      <c r="X117" s="431">
        <v>314234</v>
      </c>
      <c r="Y117" s="431">
        <v>166818</v>
      </c>
      <c r="Z117" s="431">
        <v>2347406</v>
      </c>
      <c r="AA117" s="431">
        <v>823707</v>
      </c>
      <c r="AB117" s="431">
        <v>0</v>
      </c>
      <c r="AC117" s="431">
        <v>1318554</v>
      </c>
      <c r="AD117" s="431">
        <v>1086</v>
      </c>
      <c r="AE117" s="431">
        <v>1627922</v>
      </c>
      <c r="AF117" s="431">
        <v>0</v>
      </c>
      <c r="AG117" s="431">
        <v>1562392</v>
      </c>
      <c r="AH117" s="431">
        <v>517042</v>
      </c>
      <c r="AI117" s="431">
        <v>372739</v>
      </c>
      <c r="AJ117" s="431">
        <v>0</v>
      </c>
      <c r="AK117" s="431">
        <v>0</v>
      </c>
      <c r="AL117" s="431">
        <v>4071934</v>
      </c>
      <c r="AM117" s="431">
        <v>167680</v>
      </c>
    </row>
    <row r="118" spans="1:39" s="233" customFormat="1" ht="12" x14ac:dyDescent="0.2">
      <c r="A118" s="168">
        <v>64</v>
      </c>
      <c r="B118" s="232">
        <v>68789</v>
      </c>
      <c r="C118" s="258" t="s">
        <v>2095</v>
      </c>
      <c r="D118" s="453">
        <f t="shared" si="15"/>
        <v>10174592</v>
      </c>
      <c r="E118" s="431">
        <v>1179953</v>
      </c>
      <c r="F118" s="431">
        <v>161504</v>
      </c>
      <c r="G118" s="431">
        <v>375120</v>
      </c>
      <c r="H118" s="431">
        <v>0</v>
      </c>
      <c r="I118" s="431">
        <v>1775318</v>
      </c>
      <c r="J118" s="431">
        <v>0</v>
      </c>
      <c r="K118" s="431">
        <v>912950</v>
      </c>
      <c r="L118" s="431">
        <v>0</v>
      </c>
      <c r="M118" s="431">
        <v>5626627</v>
      </c>
      <c r="N118" s="431">
        <v>679744</v>
      </c>
      <c r="O118" s="431">
        <v>0</v>
      </c>
      <c r="P118" s="453">
        <v>10089602</v>
      </c>
      <c r="Q118" s="431">
        <v>2288972</v>
      </c>
      <c r="R118" s="431">
        <v>813268</v>
      </c>
      <c r="S118" s="431">
        <v>14786</v>
      </c>
      <c r="T118" s="431">
        <v>0</v>
      </c>
      <c r="U118" s="431">
        <v>0</v>
      </c>
      <c r="V118" s="431">
        <v>0</v>
      </c>
      <c r="W118" s="431">
        <v>963925</v>
      </c>
      <c r="X118" s="431">
        <v>300236</v>
      </c>
      <c r="Y118" s="431">
        <v>77683</v>
      </c>
      <c r="Z118" s="431">
        <v>5540299</v>
      </c>
      <c r="AA118" s="431">
        <v>165430</v>
      </c>
      <c r="AB118" s="431">
        <v>-74997</v>
      </c>
      <c r="AC118" s="431">
        <v>1211324</v>
      </c>
      <c r="AD118" s="431">
        <v>247737</v>
      </c>
      <c r="AE118" s="431">
        <v>1373445</v>
      </c>
      <c r="AF118" s="431">
        <v>0</v>
      </c>
      <c r="AG118" s="431">
        <v>25904</v>
      </c>
      <c r="AH118" s="431">
        <v>468771</v>
      </c>
      <c r="AI118" s="431">
        <v>5573934</v>
      </c>
      <c r="AJ118" s="431">
        <v>22787</v>
      </c>
      <c r="AK118" s="431">
        <v>0</v>
      </c>
      <c r="AL118" s="431">
        <v>1054070</v>
      </c>
      <c r="AM118" s="431">
        <v>111630</v>
      </c>
    </row>
    <row r="119" spans="1:39" s="233" customFormat="1" ht="12" x14ac:dyDescent="0.2">
      <c r="A119" s="168">
        <v>65</v>
      </c>
      <c r="B119" s="232">
        <v>68887</v>
      </c>
      <c r="C119" s="258" t="s">
        <v>2096</v>
      </c>
      <c r="D119" s="453">
        <f t="shared" ref="D119:D136" si="17">E119+SUM(H119:O119)</f>
        <v>5266412</v>
      </c>
      <c r="E119" s="431">
        <v>974926</v>
      </c>
      <c r="F119" s="431">
        <v>180603</v>
      </c>
      <c r="G119" s="431">
        <v>251780</v>
      </c>
      <c r="H119" s="431">
        <v>0</v>
      </c>
      <c r="I119" s="431">
        <v>1903380</v>
      </c>
      <c r="J119" s="431">
        <v>0</v>
      </c>
      <c r="K119" s="431">
        <v>692560</v>
      </c>
      <c r="L119" s="431">
        <v>0</v>
      </c>
      <c r="M119" s="431">
        <v>946477</v>
      </c>
      <c r="N119" s="431">
        <v>729860</v>
      </c>
      <c r="O119" s="431">
        <v>19209</v>
      </c>
      <c r="P119" s="453">
        <v>6040238</v>
      </c>
      <c r="Q119" s="431">
        <v>2007679</v>
      </c>
      <c r="R119" s="431">
        <v>1030505</v>
      </c>
      <c r="S119" s="431">
        <v>0</v>
      </c>
      <c r="T119" s="431">
        <v>0</v>
      </c>
      <c r="U119" s="431">
        <v>0</v>
      </c>
      <c r="V119" s="431">
        <v>0</v>
      </c>
      <c r="W119" s="431">
        <v>2028998</v>
      </c>
      <c r="X119" s="431">
        <v>407031</v>
      </c>
      <c r="Y119" s="431">
        <v>35898</v>
      </c>
      <c r="Z119" s="431">
        <v>382296</v>
      </c>
      <c r="AA119" s="431">
        <v>147831</v>
      </c>
      <c r="AB119" s="431">
        <v>0</v>
      </c>
      <c r="AC119" s="431">
        <v>1027798</v>
      </c>
      <c r="AD119" s="431">
        <v>0</v>
      </c>
      <c r="AE119" s="431">
        <v>1566385</v>
      </c>
      <c r="AF119" s="431">
        <v>0</v>
      </c>
      <c r="AG119" s="431">
        <v>29808</v>
      </c>
      <c r="AH119" s="431">
        <v>643194</v>
      </c>
      <c r="AI119" s="431">
        <v>280845</v>
      </c>
      <c r="AJ119" s="431">
        <v>35898</v>
      </c>
      <c r="AK119" s="431">
        <v>0</v>
      </c>
      <c r="AL119" s="431">
        <v>2176829</v>
      </c>
      <c r="AM119" s="431">
        <v>279481</v>
      </c>
    </row>
    <row r="120" spans="1:39" s="233" customFormat="1" ht="12" x14ac:dyDescent="0.2">
      <c r="A120" s="168">
        <v>66</v>
      </c>
      <c r="B120" s="232">
        <v>105142</v>
      </c>
      <c r="C120" s="258" t="s">
        <v>2097</v>
      </c>
      <c r="D120" s="453">
        <f t="shared" si="17"/>
        <v>2704868</v>
      </c>
      <c r="E120" s="431">
        <v>933522</v>
      </c>
      <c r="F120" s="431">
        <v>84917</v>
      </c>
      <c r="G120" s="431">
        <v>389880</v>
      </c>
      <c r="H120" s="431">
        <v>0</v>
      </c>
      <c r="I120" s="431">
        <v>951112</v>
      </c>
      <c r="J120" s="431">
        <v>0</v>
      </c>
      <c r="K120" s="431">
        <v>815890</v>
      </c>
      <c r="L120" s="431">
        <v>0</v>
      </c>
      <c r="M120" s="431">
        <v>4344</v>
      </c>
      <c r="N120" s="431">
        <v>0</v>
      </c>
      <c r="O120" s="431">
        <v>0</v>
      </c>
      <c r="P120" s="453">
        <v>2082797</v>
      </c>
      <c r="Q120" s="431">
        <v>1156858</v>
      </c>
      <c r="R120" s="431">
        <v>544855</v>
      </c>
      <c r="S120" s="431">
        <v>0</v>
      </c>
      <c r="T120" s="431">
        <v>0</v>
      </c>
      <c r="U120" s="431">
        <v>0</v>
      </c>
      <c r="V120" s="431">
        <v>0</v>
      </c>
      <c r="W120" s="431">
        <v>0</v>
      </c>
      <c r="X120" s="431">
        <v>189806</v>
      </c>
      <c r="Y120" s="431">
        <v>90172</v>
      </c>
      <c r="Z120" s="431">
        <v>115906</v>
      </c>
      <c r="AA120" s="431">
        <v>0</v>
      </c>
      <c r="AB120" s="431">
        <v>-14800</v>
      </c>
      <c r="AC120" s="431">
        <v>617953</v>
      </c>
      <c r="AD120" s="431">
        <v>2650</v>
      </c>
      <c r="AE120" s="431">
        <v>776163</v>
      </c>
      <c r="AF120" s="431">
        <v>0</v>
      </c>
      <c r="AG120" s="431">
        <v>66906</v>
      </c>
      <c r="AH120" s="431">
        <v>292754</v>
      </c>
      <c r="AI120" s="431">
        <v>171345</v>
      </c>
      <c r="AJ120" s="431">
        <v>30817</v>
      </c>
      <c r="AK120" s="431">
        <v>0</v>
      </c>
      <c r="AL120" s="431">
        <v>124209</v>
      </c>
      <c r="AM120" s="431">
        <v>0</v>
      </c>
    </row>
    <row r="121" spans="1:39" s="233" customFormat="1" ht="12" x14ac:dyDescent="0.2">
      <c r="A121" s="168">
        <v>67</v>
      </c>
      <c r="B121" s="232">
        <v>65477</v>
      </c>
      <c r="C121" s="258" t="s">
        <v>2098</v>
      </c>
      <c r="D121" s="453">
        <f t="shared" si="17"/>
        <v>11659407</v>
      </c>
      <c r="E121" s="431">
        <v>1892716</v>
      </c>
      <c r="F121" s="431">
        <v>602729</v>
      </c>
      <c r="G121" s="431">
        <v>442210</v>
      </c>
      <c r="H121" s="431">
        <v>0</v>
      </c>
      <c r="I121" s="431">
        <v>2773180</v>
      </c>
      <c r="J121" s="431">
        <v>0</v>
      </c>
      <c r="K121" s="431">
        <v>1414310</v>
      </c>
      <c r="L121" s="431">
        <v>0</v>
      </c>
      <c r="M121" s="431">
        <v>3093695</v>
      </c>
      <c r="N121" s="431">
        <v>2485506</v>
      </c>
      <c r="O121" s="431">
        <v>0</v>
      </c>
      <c r="P121" s="453">
        <v>11604689</v>
      </c>
      <c r="Q121" s="431">
        <v>2750370</v>
      </c>
      <c r="R121" s="431">
        <v>1268535</v>
      </c>
      <c r="S121" s="431">
        <v>16611</v>
      </c>
      <c r="T121" s="431">
        <v>0</v>
      </c>
      <c r="U121" s="431">
        <v>0</v>
      </c>
      <c r="V121" s="431">
        <v>0</v>
      </c>
      <c r="W121" s="431">
        <v>2850656</v>
      </c>
      <c r="X121" s="431">
        <v>636913</v>
      </c>
      <c r="Y121" s="431">
        <v>19909</v>
      </c>
      <c r="Z121" s="431">
        <v>3986984</v>
      </c>
      <c r="AA121" s="431">
        <v>74711</v>
      </c>
      <c r="AB121" s="431">
        <v>0</v>
      </c>
      <c r="AC121" s="431">
        <v>907531</v>
      </c>
      <c r="AD121" s="431">
        <v>473914</v>
      </c>
      <c r="AE121" s="431">
        <v>5534685</v>
      </c>
      <c r="AF121" s="431">
        <v>0</v>
      </c>
      <c r="AG121" s="431">
        <v>373170</v>
      </c>
      <c r="AH121" s="431">
        <v>805151</v>
      </c>
      <c r="AI121" s="431">
        <v>1266864</v>
      </c>
      <c r="AJ121" s="431">
        <v>134818</v>
      </c>
      <c r="AK121" s="431">
        <v>0</v>
      </c>
      <c r="AL121" s="431">
        <v>2108556</v>
      </c>
      <c r="AM121" s="431">
        <v>0</v>
      </c>
    </row>
    <row r="122" spans="1:39" s="233" customFormat="1" ht="12" x14ac:dyDescent="0.2">
      <c r="A122" s="168">
        <v>68</v>
      </c>
      <c r="B122" s="232">
        <v>105534</v>
      </c>
      <c r="C122" s="258" t="s">
        <v>2099</v>
      </c>
      <c r="D122" s="453">
        <f t="shared" si="17"/>
        <v>10673915</v>
      </c>
      <c r="E122" s="431">
        <v>3665249</v>
      </c>
      <c r="F122" s="431">
        <v>837835</v>
      </c>
      <c r="G122" s="431">
        <v>106310</v>
      </c>
      <c r="H122" s="431">
        <v>0</v>
      </c>
      <c r="I122" s="431">
        <v>3275070</v>
      </c>
      <c r="J122" s="431">
        <v>0</v>
      </c>
      <c r="K122" s="431">
        <v>420420</v>
      </c>
      <c r="L122" s="431">
        <v>0</v>
      </c>
      <c r="M122" s="431">
        <v>1003472</v>
      </c>
      <c r="N122" s="431">
        <v>2309704</v>
      </c>
      <c r="O122" s="431">
        <v>0</v>
      </c>
      <c r="P122" s="453">
        <v>8651692</v>
      </c>
      <c r="Q122" s="431">
        <v>3337403</v>
      </c>
      <c r="R122" s="431">
        <v>1189229</v>
      </c>
      <c r="S122" s="431">
        <v>0</v>
      </c>
      <c r="T122" s="431">
        <v>0</v>
      </c>
      <c r="U122" s="431">
        <v>0</v>
      </c>
      <c r="V122" s="431">
        <v>0</v>
      </c>
      <c r="W122" s="431">
        <v>3556744</v>
      </c>
      <c r="X122" s="431">
        <v>293722</v>
      </c>
      <c r="Y122" s="431">
        <v>87525</v>
      </c>
      <c r="Z122" s="431">
        <v>189229</v>
      </c>
      <c r="AA122" s="431">
        <v>0</v>
      </c>
      <c r="AB122" s="431">
        <v>-2160</v>
      </c>
      <c r="AC122" s="431">
        <v>1009354</v>
      </c>
      <c r="AD122" s="431">
        <v>5999</v>
      </c>
      <c r="AE122" s="431">
        <v>6749329</v>
      </c>
      <c r="AF122" s="431">
        <v>0</v>
      </c>
      <c r="AG122" s="431">
        <v>46979</v>
      </c>
      <c r="AH122" s="431">
        <v>306271</v>
      </c>
      <c r="AI122" s="431">
        <v>254917</v>
      </c>
      <c r="AJ122" s="431">
        <v>51103</v>
      </c>
      <c r="AK122" s="431">
        <v>0</v>
      </c>
      <c r="AL122" s="431">
        <v>227740</v>
      </c>
      <c r="AM122" s="431">
        <v>0</v>
      </c>
    </row>
    <row r="123" spans="1:39" s="233" customFormat="1" ht="12" x14ac:dyDescent="0.2">
      <c r="A123" s="168">
        <v>69</v>
      </c>
      <c r="B123" s="232">
        <v>68921</v>
      </c>
      <c r="C123" s="258" t="s">
        <v>2100</v>
      </c>
      <c r="D123" s="453">
        <f t="shared" si="17"/>
        <v>7234803</v>
      </c>
      <c r="E123" s="431">
        <v>1380334</v>
      </c>
      <c r="F123" s="431">
        <v>218168</v>
      </c>
      <c r="G123" s="431">
        <v>465940</v>
      </c>
      <c r="H123" s="431">
        <v>0</v>
      </c>
      <c r="I123" s="431">
        <v>2700484</v>
      </c>
      <c r="J123" s="431">
        <v>0</v>
      </c>
      <c r="K123" s="431">
        <v>1226490</v>
      </c>
      <c r="L123" s="431">
        <v>0</v>
      </c>
      <c r="M123" s="431">
        <v>1486797</v>
      </c>
      <c r="N123" s="431">
        <v>440698</v>
      </c>
      <c r="O123" s="431">
        <v>0</v>
      </c>
      <c r="P123" s="453">
        <v>7608901</v>
      </c>
      <c r="Q123" s="431">
        <v>2651888</v>
      </c>
      <c r="R123" s="431">
        <v>742687</v>
      </c>
      <c r="S123" s="431">
        <v>0</v>
      </c>
      <c r="T123" s="431">
        <v>0</v>
      </c>
      <c r="U123" s="431">
        <v>0</v>
      </c>
      <c r="V123" s="431">
        <v>0</v>
      </c>
      <c r="W123" s="431">
        <v>440698</v>
      </c>
      <c r="X123" s="431">
        <v>639681</v>
      </c>
      <c r="Y123" s="431">
        <v>82228</v>
      </c>
      <c r="Z123" s="431">
        <v>3051719</v>
      </c>
      <c r="AA123" s="431">
        <v>0</v>
      </c>
      <c r="AB123" s="431">
        <v>0</v>
      </c>
      <c r="AC123" s="431">
        <v>974087</v>
      </c>
      <c r="AD123" s="431">
        <v>588</v>
      </c>
      <c r="AE123" s="431">
        <v>2530856</v>
      </c>
      <c r="AF123" s="431">
        <v>0</v>
      </c>
      <c r="AG123" s="431">
        <v>440930</v>
      </c>
      <c r="AH123" s="431">
        <v>931818</v>
      </c>
      <c r="AI123" s="431">
        <v>133750</v>
      </c>
      <c r="AJ123" s="431">
        <v>48753</v>
      </c>
      <c r="AK123" s="431">
        <v>0</v>
      </c>
      <c r="AL123" s="431">
        <v>2466738</v>
      </c>
      <c r="AM123" s="431">
        <v>81381</v>
      </c>
    </row>
    <row r="124" spans="1:39" s="233" customFormat="1" ht="12" x14ac:dyDescent="0.2">
      <c r="A124" s="168">
        <v>70</v>
      </c>
      <c r="B124" s="232">
        <v>68976</v>
      </c>
      <c r="C124" s="258" t="s">
        <v>2101</v>
      </c>
      <c r="D124" s="453">
        <f t="shared" si="17"/>
        <v>5969207</v>
      </c>
      <c r="E124" s="431">
        <v>1531020</v>
      </c>
      <c r="F124" s="431">
        <v>176430</v>
      </c>
      <c r="G124" s="431">
        <v>410150</v>
      </c>
      <c r="H124" s="431">
        <v>0</v>
      </c>
      <c r="I124" s="431">
        <v>2526254</v>
      </c>
      <c r="J124" s="431">
        <v>0</v>
      </c>
      <c r="K124" s="431">
        <v>1351550</v>
      </c>
      <c r="L124" s="431">
        <v>0</v>
      </c>
      <c r="M124" s="431">
        <v>179931</v>
      </c>
      <c r="N124" s="431">
        <v>130452</v>
      </c>
      <c r="O124" s="431">
        <v>250000</v>
      </c>
      <c r="P124" s="453">
        <v>5562203</v>
      </c>
      <c r="Q124" s="431">
        <v>2707180</v>
      </c>
      <c r="R124" s="431">
        <v>1333184</v>
      </c>
      <c r="S124" s="431">
        <v>0</v>
      </c>
      <c r="T124" s="431">
        <v>0</v>
      </c>
      <c r="U124" s="431">
        <v>0</v>
      </c>
      <c r="V124" s="431">
        <v>0</v>
      </c>
      <c r="W124" s="431">
        <v>216619</v>
      </c>
      <c r="X124" s="431">
        <v>565783</v>
      </c>
      <c r="Y124" s="431">
        <v>32605</v>
      </c>
      <c r="Z124" s="431">
        <v>709163</v>
      </c>
      <c r="AA124" s="431">
        <v>0</v>
      </c>
      <c r="AB124" s="431">
        <v>-2331</v>
      </c>
      <c r="AC124" s="431">
        <v>791036</v>
      </c>
      <c r="AD124" s="431">
        <v>8785</v>
      </c>
      <c r="AE124" s="431">
        <v>2262964</v>
      </c>
      <c r="AF124" s="431">
        <v>0</v>
      </c>
      <c r="AG124" s="431">
        <v>34652</v>
      </c>
      <c r="AH124" s="431">
        <v>1166370</v>
      </c>
      <c r="AI124" s="431">
        <v>465315</v>
      </c>
      <c r="AJ124" s="431">
        <v>105928</v>
      </c>
      <c r="AK124" s="431">
        <v>0</v>
      </c>
      <c r="AL124" s="431">
        <v>727153</v>
      </c>
      <c r="AM124" s="431">
        <v>0</v>
      </c>
    </row>
    <row r="125" spans="1:39" s="233" customFormat="1" ht="12" x14ac:dyDescent="0.2">
      <c r="A125" s="168">
        <v>71</v>
      </c>
      <c r="B125" s="232">
        <v>65501</v>
      </c>
      <c r="C125" s="258" t="s">
        <v>1390</v>
      </c>
      <c r="D125" s="453">
        <f t="shared" si="17"/>
        <v>5236758</v>
      </c>
      <c r="E125" s="431">
        <v>2780768</v>
      </c>
      <c r="F125" s="431">
        <v>1118979</v>
      </c>
      <c r="G125" s="431">
        <v>152410</v>
      </c>
      <c r="H125" s="431">
        <v>0</v>
      </c>
      <c r="I125" s="431">
        <v>1517907</v>
      </c>
      <c r="J125" s="431">
        <v>0</v>
      </c>
      <c r="K125" s="431">
        <v>412260</v>
      </c>
      <c r="L125" s="431">
        <v>0</v>
      </c>
      <c r="M125" s="431">
        <v>525823</v>
      </c>
      <c r="N125" s="431">
        <v>0</v>
      </c>
      <c r="O125" s="431">
        <v>0</v>
      </c>
      <c r="P125" s="453">
        <v>8747447</v>
      </c>
      <c r="Q125" s="431">
        <v>1725525</v>
      </c>
      <c r="R125" s="431">
        <v>919412</v>
      </c>
      <c r="S125" s="431">
        <v>31852</v>
      </c>
      <c r="T125" s="431">
        <v>0</v>
      </c>
      <c r="U125" s="431">
        <v>0</v>
      </c>
      <c r="V125" s="431">
        <v>0</v>
      </c>
      <c r="W125" s="431">
        <v>5040594</v>
      </c>
      <c r="X125" s="431">
        <v>499658</v>
      </c>
      <c r="Y125" s="431">
        <v>0</v>
      </c>
      <c r="Z125" s="431">
        <v>530406</v>
      </c>
      <c r="AA125" s="431">
        <v>0</v>
      </c>
      <c r="AB125" s="431">
        <v>0</v>
      </c>
      <c r="AC125" s="431">
        <v>1131401</v>
      </c>
      <c r="AD125" s="431">
        <v>209625</v>
      </c>
      <c r="AE125" s="431">
        <v>1859663</v>
      </c>
      <c r="AF125" s="431">
        <v>0</v>
      </c>
      <c r="AG125" s="431">
        <v>354225</v>
      </c>
      <c r="AH125" s="431">
        <v>499658</v>
      </c>
      <c r="AI125" s="431">
        <v>325007</v>
      </c>
      <c r="AJ125" s="431">
        <v>2842941</v>
      </c>
      <c r="AK125" s="431">
        <v>0</v>
      </c>
      <c r="AL125" s="431">
        <v>1435829</v>
      </c>
      <c r="AM125" s="431">
        <v>89098</v>
      </c>
    </row>
    <row r="126" spans="1:39" s="233" customFormat="1" ht="12" x14ac:dyDescent="0.2">
      <c r="A126" s="168">
        <v>72</v>
      </c>
      <c r="B126" s="232">
        <v>69250</v>
      </c>
      <c r="C126" s="258" t="s">
        <v>2102</v>
      </c>
      <c r="D126" s="453">
        <f t="shared" si="17"/>
        <v>4804240</v>
      </c>
      <c r="E126" s="431">
        <v>1685551</v>
      </c>
      <c r="F126" s="431">
        <v>609497</v>
      </c>
      <c r="G126" s="431">
        <v>298780</v>
      </c>
      <c r="H126" s="431">
        <v>0</v>
      </c>
      <c r="I126" s="431">
        <v>2119752</v>
      </c>
      <c r="J126" s="431">
        <v>0</v>
      </c>
      <c r="K126" s="431">
        <v>989960</v>
      </c>
      <c r="L126" s="431">
        <v>0</v>
      </c>
      <c r="M126" s="431">
        <v>8977</v>
      </c>
      <c r="N126" s="431">
        <v>0</v>
      </c>
      <c r="O126" s="431">
        <v>0</v>
      </c>
      <c r="P126" s="453">
        <v>4767902</v>
      </c>
      <c r="Q126" s="431">
        <v>2302455</v>
      </c>
      <c r="R126" s="431">
        <v>1330079</v>
      </c>
      <c r="S126" s="431">
        <v>0</v>
      </c>
      <c r="T126" s="431">
        <v>0</v>
      </c>
      <c r="U126" s="431">
        <v>0</v>
      </c>
      <c r="V126" s="431">
        <v>0</v>
      </c>
      <c r="W126" s="431">
        <v>0</v>
      </c>
      <c r="X126" s="431">
        <v>504477</v>
      </c>
      <c r="Y126" s="431">
        <v>6500</v>
      </c>
      <c r="Z126" s="431">
        <v>630226</v>
      </c>
      <c r="AA126" s="431">
        <v>0</v>
      </c>
      <c r="AB126" s="431">
        <v>-5835</v>
      </c>
      <c r="AC126" s="431">
        <v>1691262</v>
      </c>
      <c r="AD126" s="431">
        <v>23930</v>
      </c>
      <c r="AE126" s="431">
        <v>1649065</v>
      </c>
      <c r="AF126" s="431">
        <v>0</v>
      </c>
      <c r="AG126" s="431">
        <v>107241</v>
      </c>
      <c r="AH126" s="431">
        <v>554330</v>
      </c>
      <c r="AI126" s="431">
        <v>118919</v>
      </c>
      <c r="AJ126" s="431">
        <v>25000</v>
      </c>
      <c r="AK126" s="431">
        <v>0</v>
      </c>
      <c r="AL126" s="431">
        <v>598155</v>
      </c>
      <c r="AM126" s="431">
        <v>0</v>
      </c>
    </row>
    <row r="127" spans="1:39" s="233" customFormat="1" ht="12" x14ac:dyDescent="0.2">
      <c r="A127" s="168">
        <v>73</v>
      </c>
      <c r="B127" s="232">
        <v>69063</v>
      </c>
      <c r="C127" s="258" t="s">
        <v>2103</v>
      </c>
      <c r="D127" s="453">
        <f t="shared" si="17"/>
        <v>5632439</v>
      </c>
      <c r="E127" s="431">
        <v>1087491</v>
      </c>
      <c r="F127" s="431">
        <v>186589</v>
      </c>
      <c r="G127" s="431">
        <v>384300</v>
      </c>
      <c r="H127" s="431">
        <v>0</v>
      </c>
      <c r="I127" s="431">
        <v>1922426</v>
      </c>
      <c r="J127" s="431">
        <v>0</v>
      </c>
      <c r="K127" s="431">
        <v>1006240</v>
      </c>
      <c r="L127" s="431">
        <v>0</v>
      </c>
      <c r="M127" s="431">
        <v>389167</v>
      </c>
      <c r="N127" s="431">
        <v>1227115</v>
      </c>
      <c r="O127" s="431">
        <v>0</v>
      </c>
      <c r="P127" s="453">
        <v>4504425</v>
      </c>
      <c r="Q127" s="431">
        <v>2144265</v>
      </c>
      <c r="R127" s="431">
        <v>667848</v>
      </c>
      <c r="S127" s="431">
        <v>110000</v>
      </c>
      <c r="T127" s="431">
        <v>0</v>
      </c>
      <c r="U127" s="431">
        <v>0</v>
      </c>
      <c r="V127" s="431">
        <v>0</v>
      </c>
      <c r="W127" s="431">
        <v>0</v>
      </c>
      <c r="X127" s="431">
        <v>531301</v>
      </c>
      <c r="Y127" s="431">
        <v>48026</v>
      </c>
      <c r="Z127" s="431">
        <v>348063</v>
      </c>
      <c r="AA127" s="431">
        <v>668803</v>
      </c>
      <c r="AB127" s="431">
        <v>-13881</v>
      </c>
      <c r="AC127" s="431">
        <v>1341805</v>
      </c>
      <c r="AD127" s="431">
        <v>4759</v>
      </c>
      <c r="AE127" s="431">
        <v>1646347</v>
      </c>
      <c r="AF127" s="431">
        <v>813</v>
      </c>
      <c r="AG127" s="431">
        <v>87878</v>
      </c>
      <c r="AH127" s="431">
        <v>546442</v>
      </c>
      <c r="AI127" s="431">
        <v>151464</v>
      </c>
      <c r="AJ127" s="431">
        <v>6500</v>
      </c>
      <c r="AK127" s="431">
        <v>0</v>
      </c>
      <c r="AL127" s="431">
        <v>683340</v>
      </c>
      <c r="AM127" s="431">
        <v>35077</v>
      </c>
    </row>
    <row r="128" spans="1:39" s="233" customFormat="1" ht="12" x14ac:dyDescent="0.2">
      <c r="A128" s="168">
        <v>74</v>
      </c>
      <c r="B128" s="232">
        <v>69170</v>
      </c>
      <c r="C128" s="258" t="s">
        <v>2104</v>
      </c>
      <c r="D128" s="453">
        <f t="shared" si="17"/>
        <v>6767126</v>
      </c>
      <c r="E128" s="431">
        <v>2120133</v>
      </c>
      <c r="F128" s="431">
        <v>1442524</v>
      </c>
      <c r="G128" s="431">
        <v>78870</v>
      </c>
      <c r="H128" s="431">
        <v>0</v>
      </c>
      <c r="I128" s="431">
        <v>1196019</v>
      </c>
      <c r="J128" s="431">
        <v>0</v>
      </c>
      <c r="K128" s="431">
        <v>258630</v>
      </c>
      <c r="L128" s="431">
        <v>0</v>
      </c>
      <c r="M128" s="431">
        <v>745375</v>
      </c>
      <c r="N128" s="431">
        <v>2423869</v>
      </c>
      <c r="O128" s="431">
        <v>23100</v>
      </c>
      <c r="P128" s="453">
        <v>4880935</v>
      </c>
      <c r="Q128" s="431">
        <v>1562482</v>
      </c>
      <c r="R128" s="431">
        <v>949104</v>
      </c>
      <c r="S128" s="431">
        <v>20000</v>
      </c>
      <c r="T128" s="431">
        <v>0</v>
      </c>
      <c r="U128" s="431">
        <v>0</v>
      </c>
      <c r="V128" s="431">
        <v>0</v>
      </c>
      <c r="W128" s="431">
        <v>1247195</v>
      </c>
      <c r="X128" s="431">
        <v>286236</v>
      </c>
      <c r="Y128" s="431">
        <v>11985</v>
      </c>
      <c r="Z128" s="431">
        <v>269113</v>
      </c>
      <c r="AA128" s="431">
        <v>535000</v>
      </c>
      <c r="AB128" s="431">
        <v>-180</v>
      </c>
      <c r="AC128" s="431">
        <v>930081</v>
      </c>
      <c r="AD128" s="431">
        <v>665947</v>
      </c>
      <c r="AE128" s="431">
        <v>1442884</v>
      </c>
      <c r="AF128" s="431">
        <v>17101</v>
      </c>
      <c r="AG128" s="431">
        <v>276478</v>
      </c>
      <c r="AH128" s="431">
        <v>478708</v>
      </c>
      <c r="AI128" s="431">
        <v>335140</v>
      </c>
      <c r="AJ128" s="431">
        <v>140738</v>
      </c>
      <c r="AK128" s="431">
        <v>0</v>
      </c>
      <c r="AL128" s="431">
        <v>593858</v>
      </c>
      <c r="AM128" s="431">
        <v>0</v>
      </c>
    </row>
    <row r="129" spans="1:39" s="233" customFormat="1" ht="12" x14ac:dyDescent="0.2">
      <c r="A129" s="168">
        <v>75</v>
      </c>
      <c r="B129" s="232">
        <v>69303</v>
      </c>
      <c r="C129" s="258" t="s">
        <v>2105</v>
      </c>
      <c r="D129" s="453">
        <f t="shared" si="17"/>
        <v>4400911</v>
      </c>
      <c r="E129" s="431">
        <v>929428</v>
      </c>
      <c r="F129" s="431">
        <v>130297</v>
      </c>
      <c r="G129" s="431">
        <v>386300</v>
      </c>
      <c r="H129" s="431">
        <v>0</v>
      </c>
      <c r="I129" s="431">
        <v>1461293</v>
      </c>
      <c r="J129" s="431">
        <v>0</v>
      </c>
      <c r="K129" s="431">
        <v>785970</v>
      </c>
      <c r="L129" s="431">
        <v>0</v>
      </c>
      <c r="M129" s="431">
        <v>962293</v>
      </c>
      <c r="N129" s="431">
        <v>261927</v>
      </c>
      <c r="O129" s="431">
        <v>0</v>
      </c>
      <c r="P129" s="453">
        <v>5979320</v>
      </c>
      <c r="Q129" s="431">
        <v>1680599</v>
      </c>
      <c r="R129" s="431">
        <v>473279</v>
      </c>
      <c r="S129" s="431">
        <v>0</v>
      </c>
      <c r="T129" s="431">
        <v>0</v>
      </c>
      <c r="U129" s="431">
        <v>0</v>
      </c>
      <c r="V129" s="431">
        <v>0</v>
      </c>
      <c r="W129" s="431">
        <v>2644603</v>
      </c>
      <c r="X129" s="431">
        <v>498988</v>
      </c>
      <c r="Y129" s="431">
        <v>0</v>
      </c>
      <c r="Z129" s="431">
        <v>681851</v>
      </c>
      <c r="AA129" s="431">
        <v>0</v>
      </c>
      <c r="AB129" s="431">
        <v>0</v>
      </c>
      <c r="AC129" s="431">
        <v>885314</v>
      </c>
      <c r="AD129" s="431">
        <v>0</v>
      </c>
      <c r="AE129" s="431">
        <v>1524439</v>
      </c>
      <c r="AF129" s="431">
        <v>0</v>
      </c>
      <c r="AG129" s="431">
        <v>47675</v>
      </c>
      <c r="AH129" s="431">
        <v>498988</v>
      </c>
      <c r="AI129" s="431">
        <v>55242</v>
      </c>
      <c r="AJ129" s="431">
        <v>92936</v>
      </c>
      <c r="AK129" s="431">
        <v>0</v>
      </c>
      <c r="AL129" s="431">
        <v>2874726</v>
      </c>
      <c r="AM129" s="431">
        <v>0</v>
      </c>
    </row>
    <row r="130" spans="1:39" s="233" customFormat="1" ht="12" x14ac:dyDescent="0.2">
      <c r="A130" s="168">
        <v>76</v>
      </c>
      <c r="B130" s="232">
        <v>69447</v>
      </c>
      <c r="C130" s="258" t="s">
        <v>2106</v>
      </c>
      <c r="D130" s="453">
        <f t="shared" si="17"/>
        <v>3948050</v>
      </c>
      <c r="E130" s="431">
        <v>817779</v>
      </c>
      <c r="F130" s="431">
        <v>98546</v>
      </c>
      <c r="G130" s="431">
        <v>474830</v>
      </c>
      <c r="H130" s="431">
        <v>0</v>
      </c>
      <c r="I130" s="431">
        <v>1084662</v>
      </c>
      <c r="J130" s="431">
        <v>150000</v>
      </c>
      <c r="K130" s="431">
        <v>971730</v>
      </c>
      <c r="L130" s="431">
        <v>0</v>
      </c>
      <c r="M130" s="431">
        <v>224241</v>
      </c>
      <c r="N130" s="431">
        <v>699638</v>
      </c>
      <c r="O130" s="431">
        <v>0</v>
      </c>
      <c r="P130" s="453">
        <v>3208805</v>
      </c>
      <c r="Q130" s="431">
        <v>1526983</v>
      </c>
      <c r="R130" s="431">
        <v>444299</v>
      </c>
      <c r="S130" s="431">
        <v>0</v>
      </c>
      <c r="T130" s="431">
        <v>0</v>
      </c>
      <c r="U130" s="431">
        <v>0</v>
      </c>
      <c r="V130" s="431">
        <v>0</v>
      </c>
      <c r="W130" s="431">
        <v>910236</v>
      </c>
      <c r="X130" s="431">
        <v>249997</v>
      </c>
      <c r="Y130" s="431">
        <v>5000</v>
      </c>
      <c r="Z130" s="431">
        <v>45569</v>
      </c>
      <c r="AA130" s="431">
        <v>27171</v>
      </c>
      <c r="AB130" s="431">
        <v>-450</v>
      </c>
      <c r="AC130" s="431">
        <v>1027688</v>
      </c>
      <c r="AD130" s="431">
        <v>0</v>
      </c>
      <c r="AE130" s="431">
        <v>926097</v>
      </c>
      <c r="AF130" s="431">
        <v>0</v>
      </c>
      <c r="AG130" s="431">
        <v>30997</v>
      </c>
      <c r="AH130" s="431">
        <v>401432</v>
      </c>
      <c r="AI130" s="431">
        <v>33961</v>
      </c>
      <c r="AJ130" s="431">
        <v>19636</v>
      </c>
      <c r="AK130" s="431">
        <v>0</v>
      </c>
      <c r="AL130" s="431">
        <v>768994</v>
      </c>
      <c r="AM130" s="431">
        <v>0</v>
      </c>
    </row>
    <row r="131" spans="1:39" s="233" customFormat="1" ht="12" x14ac:dyDescent="0.2">
      <c r="A131" s="168">
        <v>77</v>
      </c>
      <c r="B131" s="232">
        <v>69330</v>
      </c>
      <c r="C131" s="258" t="s">
        <v>2107</v>
      </c>
      <c r="D131" s="453">
        <f t="shared" si="17"/>
        <v>10062239</v>
      </c>
      <c r="E131" s="431">
        <v>1307864</v>
      </c>
      <c r="F131" s="431">
        <v>387860</v>
      </c>
      <c r="G131" s="431">
        <v>270220</v>
      </c>
      <c r="H131" s="431">
        <v>0</v>
      </c>
      <c r="I131" s="431">
        <v>3196148</v>
      </c>
      <c r="J131" s="431">
        <v>0</v>
      </c>
      <c r="K131" s="431">
        <v>705000</v>
      </c>
      <c r="L131" s="431">
        <v>0</v>
      </c>
      <c r="M131" s="431">
        <v>1167937</v>
      </c>
      <c r="N131" s="431">
        <v>3661204</v>
      </c>
      <c r="O131" s="431">
        <v>24086</v>
      </c>
      <c r="P131" s="453">
        <v>11507315</v>
      </c>
      <c r="Q131" s="431">
        <v>3402104</v>
      </c>
      <c r="R131" s="431">
        <v>862462</v>
      </c>
      <c r="S131" s="431">
        <v>5208</v>
      </c>
      <c r="T131" s="431">
        <v>0</v>
      </c>
      <c r="U131" s="431">
        <v>0</v>
      </c>
      <c r="V131" s="431">
        <v>0</v>
      </c>
      <c r="W131" s="431">
        <v>6063758</v>
      </c>
      <c r="X131" s="431">
        <v>449641</v>
      </c>
      <c r="Y131" s="431">
        <v>53816</v>
      </c>
      <c r="Z131" s="431">
        <v>5533</v>
      </c>
      <c r="AA131" s="431">
        <v>682983</v>
      </c>
      <c r="AB131" s="431">
        <v>-18190</v>
      </c>
      <c r="AC131" s="431">
        <v>907483</v>
      </c>
      <c r="AD131" s="431">
        <v>36048</v>
      </c>
      <c r="AE131" s="431">
        <v>3933435</v>
      </c>
      <c r="AF131" s="431">
        <v>26327</v>
      </c>
      <c r="AG131" s="431">
        <v>623844</v>
      </c>
      <c r="AH131" s="431">
        <v>646339</v>
      </c>
      <c r="AI131" s="431">
        <v>182931</v>
      </c>
      <c r="AJ131" s="431">
        <v>41999</v>
      </c>
      <c r="AK131" s="431">
        <v>0</v>
      </c>
      <c r="AL131" s="431">
        <v>5108909</v>
      </c>
      <c r="AM131" s="431">
        <v>0</v>
      </c>
    </row>
    <row r="132" spans="1:39" s="233" customFormat="1" ht="12" x14ac:dyDescent="0.2">
      <c r="A132" s="168">
        <v>78</v>
      </c>
      <c r="B132" s="232">
        <v>69394</v>
      </c>
      <c r="C132" s="258" t="s">
        <v>2108</v>
      </c>
      <c r="D132" s="453">
        <f t="shared" si="17"/>
        <v>5660396</v>
      </c>
      <c r="E132" s="431">
        <v>769791</v>
      </c>
      <c r="F132" s="431">
        <v>82193</v>
      </c>
      <c r="G132" s="431">
        <v>462860</v>
      </c>
      <c r="H132" s="431">
        <v>0</v>
      </c>
      <c r="I132" s="431">
        <v>804130</v>
      </c>
      <c r="J132" s="431">
        <v>0</v>
      </c>
      <c r="K132" s="431">
        <v>947000</v>
      </c>
      <c r="L132" s="431">
        <v>0</v>
      </c>
      <c r="M132" s="431">
        <v>1344446</v>
      </c>
      <c r="N132" s="431">
        <v>1775029</v>
      </c>
      <c r="O132" s="431">
        <v>20000</v>
      </c>
      <c r="P132" s="453">
        <v>4461193</v>
      </c>
      <c r="Q132" s="431">
        <v>1111716</v>
      </c>
      <c r="R132" s="431">
        <v>569519</v>
      </c>
      <c r="S132" s="431">
        <v>57491</v>
      </c>
      <c r="T132" s="431">
        <v>0</v>
      </c>
      <c r="U132" s="431">
        <v>0</v>
      </c>
      <c r="V132" s="431">
        <v>0</v>
      </c>
      <c r="W132" s="431">
        <v>669773</v>
      </c>
      <c r="X132" s="431">
        <v>265712</v>
      </c>
      <c r="Y132" s="431">
        <v>42233</v>
      </c>
      <c r="Z132" s="431">
        <v>412246</v>
      </c>
      <c r="AA132" s="431">
        <v>1349782</v>
      </c>
      <c r="AB132" s="431">
        <v>-17279</v>
      </c>
      <c r="AC132" s="431">
        <v>1162196</v>
      </c>
      <c r="AD132" s="431">
        <v>574</v>
      </c>
      <c r="AE132" s="431">
        <v>756198</v>
      </c>
      <c r="AF132" s="431">
        <v>0</v>
      </c>
      <c r="AG132" s="431">
        <v>63817</v>
      </c>
      <c r="AH132" s="431">
        <v>295116</v>
      </c>
      <c r="AI132" s="431">
        <v>101295</v>
      </c>
      <c r="AJ132" s="431">
        <v>0</v>
      </c>
      <c r="AK132" s="431">
        <v>0</v>
      </c>
      <c r="AL132" s="431">
        <v>2081997</v>
      </c>
      <c r="AM132" s="431">
        <v>0</v>
      </c>
    </row>
    <row r="133" spans="1:39" s="233" customFormat="1" ht="12" x14ac:dyDescent="0.2">
      <c r="A133" s="168">
        <v>79</v>
      </c>
      <c r="B133" s="232">
        <v>179711</v>
      </c>
      <c r="C133" s="258" t="s">
        <v>2109</v>
      </c>
      <c r="D133" s="453">
        <f t="shared" si="17"/>
        <v>3861216</v>
      </c>
      <c r="E133" s="431">
        <v>917985</v>
      </c>
      <c r="F133" s="431">
        <v>124458</v>
      </c>
      <c r="G133" s="431">
        <v>425020</v>
      </c>
      <c r="H133" s="431">
        <v>0</v>
      </c>
      <c r="I133" s="431">
        <v>1189401</v>
      </c>
      <c r="J133" s="431">
        <v>0</v>
      </c>
      <c r="K133" s="431">
        <v>848020</v>
      </c>
      <c r="L133" s="431">
        <v>0</v>
      </c>
      <c r="M133" s="431">
        <v>88887</v>
      </c>
      <c r="N133" s="431">
        <v>0</v>
      </c>
      <c r="O133" s="431">
        <v>816923</v>
      </c>
      <c r="P133" s="453">
        <v>3721786</v>
      </c>
      <c r="Q133" s="431">
        <v>1219457</v>
      </c>
      <c r="R133" s="431">
        <v>944256</v>
      </c>
      <c r="S133" s="431">
        <v>0</v>
      </c>
      <c r="T133" s="431">
        <v>0</v>
      </c>
      <c r="U133" s="431">
        <v>0</v>
      </c>
      <c r="V133" s="431">
        <v>0</v>
      </c>
      <c r="W133" s="431">
        <v>0</v>
      </c>
      <c r="X133" s="431">
        <v>224449</v>
      </c>
      <c r="Y133" s="431">
        <v>0</v>
      </c>
      <c r="Z133" s="431">
        <v>1335076</v>
      </c>
      <c r="AA133" s="431">
        <v>0</v>
      </c>
      <c r="AB133" s="431">
        <v>-1452</v>
      </c>
      <c r="AC133" s="431">
        <v>771684</v>
      </c>
      <c r="AD133" s="431">
        <v>4736</v>
      </c>
      <c r="AE133" s="431">
        <v>987342</v>
      </c>
      <c r="AF133" s="431">
        <v>14702</v>
      </c>
      <c r="AG133" s="431">
        <v>102999</v>
      </c>
      <c r="AH133" s="431">
        <v>224449</v>
      </c>
      <c r="AI133" s="431">
        <v>1162568</v>
      </c>
      <c r="AJ133" s="431">
        <v>10000</v>
      </c>
      <c r="AK133" s="431">
        <v>0</v>
      </c>
      <c r="AL133" s="431">
        <v>377316</v>
      </c>
      <c r="AM133" s="431">
        <v>65990</v>
      </c>
    </row>
    <row r="134" spans="1:39" s="233" customFormat="1" ht="12" x14ac:dyDescent="0.2">
      <c r="A134" s="168">
        <v>80</v>
      </c>
      <c r="B134" s="232">
        <v>69526</v>
      </c>
      <c r="C134" s="258" t="s">
        <v>2110</v>
      </c>
      <c r="D134" s="453">
        <f t="shared" si="17"/>
        <v>11546469</v>
      </c>
      <c r="E134" s="431">
        <v>2391945</v>
      </c>
      <c r="F134" s="431">
        <v>583683</v>
      </c>
      <c r="G134" s="431">
        <v>379530</v>
      </c>
      <c r="H134" s="431">
        <v>0</v>
      </c>
      <c r="I134" s="431">
        <v>4698836</v>
      </c>
      <c r="J134" s="431">
        <v>200000</v>
      </c>
      <c r="K134" s="431">
        <v>1310770</v>
      </c>
      <c r="L134" s="431">
        <v>0</v>
      </c>
      <c r="M134" s="431">
        <v>452793</v>
      </c>
      <c r="N134" s="431">
        <v>745212</v>
      </c>
      <c r="O134" s="431">
        <v>1746913</v>
      </c>
      <c r="P134" s="453">
        <v>11655650</v>
      </c>
      <c r="Q134" s="431">
        <v>5099741</v>
      </c>
      <c r="R134" s="431">
        <v>1273833</v>
      </c>
      <c r="S134" s="431">
        <v>21444</v>
      </c>
      <c r="T134" s="431">
        <v>0</v>
      </c>
      <c r="U134" s="431">
        <v>0</v>
      </c>
      <c r="V134" s="431">
        <v>0</v>
      </c>
      <c r="W134" s="431">
        <v>1544832</v>
      </c>
      <c r="X134" s="431">
        <v>551182</v>
      </c>
      <c r="Y134" s="431">
        <v>185250</v>
      </c>
      <c r="Z134" s="431">
        <v>2945218</v>
      </c>
      <c r="AA134" s="431">
        <v>54300</v>
      </c>
      <c r="AB134" s="431">
        <v>-20150</v>
      </c>
      <c r="AC134" s="431">
        <v>1322231</v>
      </c>
      <c r="AD134" s="431">
        <v>49964</v>
      </c>
      <c r="AE134" s="431">
        <v>4290350</v>
      </c>
      <c r="AF134" s="431">
        <v>0</v>
      </c>
      <c r="AG134" s="431">
        <v>431485</v>
      </c>
      <c r="AH134" s="431">
        <v>1073171</v>
      </c>
      <c r="AI134" s="431">
        <v>214383</v>
      </c>
      <c r="AJ134" s="431">
        <v>2092336</v>
      </c>
      <c r="AK134" s="431">
        <v>0</v>
      </c>
      <c r="AL134" s="431">
        <v>2094102</v>
      </c>
      <c r="AM134" s="431">
        <v>87628</v>
      </c>
    </row>
    <row r="135" spans="1:39" s="233" customFormat="1" ht="12" x14ac:dyDescent="0.2">
      <c r="A135" s="168">
        <v>81</v>
      </c>
      <c r="B135" s="232">
        <v>69615</v>
      </c>
      <c r="C135" s="258" t="s">
        <v>2111</v>
      </c>
      <c r="D135" s="453">
        <f t="shared" si="17"/>
        <v>5933254</v>
      </c>
      <c r="E135" s="431">
        <v>994698</v>
      </c>
      <c r="F135" s="431">
        <v>277610</v>
      </c>
      <c r="G135" s="431">
        <v>318440</v>
      </c>
      <c r="H135" s="431">
        <v>0</v>
      </c>
      <c r="I135" s="431">
        <v>2004542</v>
      </c>
      <c r="J135" s="431">
        <v>0</v>
      </c>
      <c r="K135" s="431">
        <v>940900</v>
      </c>
      <c r="L135" s="431">
        <v>0</v>
      </c>
      <c r="M135" s="431">
        <v>1384456</v>
      </c>
      <c r="N135" s="431">
        <v>608658</v>
      </c>
      <c r="O135" s="431">
        <v>0</v>
      </c>
      <c r="P135" s="453">
        <v>6555644</v>
      </c>
      <c r="Q135" s="431">
        <v>2758107</v>
      </c>
      <c r="R135" s="431">
        <v>1249401</v>
      </c>
      <c r="S135" s="431">
        <v>0</v>
      </c>
      <c r="T135" s="431">
        <v>0</v>
      </c>
      <c r="U135" s="431">
        <v>0</v>
      </c>
      <c r="V135" s="431">
        <v>0</v>
      </c>
      <c r="W135" s="431">
        <v>1127444</v>
      </c>
      <c r="X135" s="431">
        <v>311497</v>
      </c>
      <c r="Y135" s="431">
        <v>7300</v>
      </c>
      <c r="Z135" s="431">
        <v>1101895</v>
      </c>
      <c r="AA135" s="431">
        <v>0</v>
      </c>
      <c r="AB135" s="431">
        <v>0</v>
      </c>
      <c r="AC135" s="431">
        <v>1332595</v>
      </c>
      <c r="AD135" s="431">
        <v>209415</v>
      </c>
      <c r="AE135" s="431">
        <v>1372381</v>
      </c>
      <c r="AF135" s="431">
        <v>0</v>
      </c>
      <c r="AG135" s="431">
        <v>478501</v>
      </c>
      <c r="AH135" s="431">
        <v>862497</v>
      </c>
      <c r="AI135" s="431">
        <v>33117</v>
      </c>
      <c r="AJ135" s="431">
        <v>0</v>
      </c>
      <c r="AK135" s="431">
        <v>0</v>
      </c>
      <c r="AL135" s="431">
        <v>1538674</v>
      </c>
      <c r="AM135" s="431">
        <v>728464</v>
      </c>
    </row>
    <row r="136" spans="1:39" s="233" customFormat="1" ht="12" x14ac:dyDescent="0.2">
      <c r="A136" s="168">
        <v>82</v>
      </c>
      <c r="B136" s="232">
        <v>179640</v>
      </c>
      <c r="C136" s="258" t="s">
        <v>2112</v>
      </c>
      <c r="D136" s="453">
        <f t="shared" si="17"/>
        <v>4855742</v>
      </c>
      <c r="E136" s="431">
        <v>1182619</v>
      </c>
      <c r="F136" s="431">
        <v>254321</v>
      </c>
      <c r="G136" s="431">
        <v>369620</v>
      </c>
      <c r="H136" s="431">
        <v>0</v>
      </c>
      <c r="I136" s="431">
        <v>2216003</v>
      </c>
      <c r="J136" s="431">
        <v>0</v>
      </c>
      <c r="K136" s="431">
        <v>908740</v>
      </c>
      <c r="L136" s="431">
        <v>0</v>
      </c>
      <c r="M136" s="431">
        <v>107180</v>
      </c>
      <c r="N136" s="431">
        <v>441200</v>
      </c>
      <c r="O136" s="431">
        <v>0</v>
      </c>
      <c r="P136" s="453">
        <v>5316436</v>
      </c>
      <c r="Q136" s="431">
        <v>2260191</v>
      </c>
      <c r="R136" s="431">
        <v>1323866</v>
      </c>
      <c r="S136" s="431">
        <v>0</v>
      </c>
      <c r="T136" s="431">
        <v>0</v>
      </c>
      <c r="U136" s="431">
        <v>0</v>
      </c>
      <c r="V136" s="431">
        <v>0</v>
      </c>
      <c r="W136" s="431">
        <v>752125</v>
      </c>
      <c r="X136" s="431">
        <v>623131</v>
      </c>
      <c r="Y136" s="431">
        <v>11392</v>
      </c>
      <c r="Z136" s="431">
        <v>350270</v>
      </c>
      <c r="AA136" s="431">
        <v>0</v>
      </c>
      <c r="AB136" s="431">
        <v>-4539</v>
      </c>
      <c r="AC136" s="431">
        <v>1371988</v>
      </c>
      <c r="AD136" s="431">
        <v>26612</v>
      </c>
      <c r="AE136" s="431">
        <v>1621256</v>
      </c>
      <c r="AF136" s="431">
        <v>0</v>
      </c>
      <c r="AG136" s="431">
        <v>123259</v>
      </c>
      <c r="AH136" s="431">
        <v>832943</v>
      </c>
      <c r="AI136" s="431">
        <v>215260</v>
      </c>
      <c r="AJ136" s="431">
        <v>34518</v>
      </c>
      <c r="AK136" s="431">
        <v>0</v>
      </c>
      <c r="AL136" s="431">
        <v>810662</v>
      </c>
      <c r="AM136" s="431">
        <v>279938</v>
      </c>
    </row>
    <row r="137" spans="1:39" s="155" customFormat="1" ht="12" hidden="1" x14ac:dyDescent="0.2">
      <c r="A137" s="168">
        <v>83</v>
      </c>
      <c r="B137" s="168"/>
      <c r="C137" s="172"/>
      <c r="D137" s="432">
        <f t="shared" ref="D137:D143" si="18">E137+SUM(H137:O137)</f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ref="P137:P142" si="19">IF(SUM(Q137:AB137)=SUM(AC137:AM137),SUM(Q137:AB137),"  EROARE ART/CAP")</f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68"/>
      <c r="C138" s="172"/>
      <c r="D138" s="432">
        <f t="shared" si="18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9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68"/>
      <c r="C139" s="172"/>
      <c r="D139" s="432">
        <f t="shared" si="18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9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68"/>
      <c r="C140" s="172"/>
      <c r="D140" s="432">
        <f t="shared" si="18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9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173"/>
      <c r="D141" s="432">
        <f t="shared" si="18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9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8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9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8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959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1702544014</v>
      </c>
      <c r="E14" s="432">
        <f>SUM(E15,E16,E33,E54)</f>
        <v>637006503</v>
      </c>
      <c r="F14" s="432">
        <f t="shared" ref="F14:O14" si="0">SUM(F15,F16,F33,F54)</f>
        <v>298160288</v>
      </c>
      <c r="G14" s="432">
        <f t="shared" si="0"/>
        <v>104074200</v>
      </c>
      <c r="H14" s="432">
        <f t="shared" si="0"/>
        <v>63302589</v>
      </c>
      <c r="I14" s="432">
        <f t="shared" si="0"/>
        <v>416809350</v>
      </c>
      <c r="J14" s="432">
        <f t="shared" si="0"/>
        <v>19588637</v>
      </c>
      <c r="K14" s="432">
        <f t="shared" si="0"/>
        <v>110928820</v>
      </c>
      <c r="L14" s="432">
        <f t="shared" si="0"/>
        <v>0</v>
      </c>
      <c r="M14" s="432">
        <f t="shared" si="0"/>
        <v>189182077</v>
      </c>
      <c r="N14" s="432">
        <f t="shared" si="0"/>
        <v>257836896</v>
      </c>
      <c r="O14" s="432">
        <f t="shared" si="0"/>
        <v>7889142</v>
      </c>
      <c r="P14" s="432">
        <f>IF(SUM(Q14:AB14)=SUM(AC14:AM14),SUM(Q14:AB14),"  EROARE ART/CAP")</f>
        <v>1713283952</v>
      </c>
      <c r="Q14" s="432">
        <f t="shared" ref="Q14:AM14" si="1">Q15+Q16+Q33+Q54</f>
        <v>517241885</v>
      </c>
      <c r="R14" s="432">
        <f t="shared" si="1"/>
        <v>307961162</v>
      </c>
      <c r="S14" s="432">
        <f t="shared" si="1"/>
        <v>7900141</v>
      </c>
      <c r="T14" s="432">
        <f t="shared" si="1"/>
        <v>28871260</v>
      </c>
      <c r="U14" s="432">
        <f t="shared" si="1"/>
        <v>103182880</v>
      </c>
      <c r="V14" s="432">
        <f t="shared" si="1"/>
        <v>24504383</v>
      </c>
      <c r="W14" s="432">
        <f t="shared" si="1"/>
        <v>409879896</v>
      </c>
      <c r="X14" s="432">
        <f t="shared" si="1"/>
        <v>101834160</v>
      </c>
      <c r="Y14" s="432">
        <f t="shared" si="1"/>
        <v>11849293</v>
      </c>
      <c r="Z14" s="432">
        <f t="shared" si="1"/>
        <v>184578804</v>
      </c>
      <c r="AA14" s="432">
        <f t="shared" si="1"/>
        <v>18843174</v>
      </c>
      <c r="AB14" s="432">
        <f t="shared" si="1"/>
        <v>-3363086</v>
      </c>
      <c r="AC14" s="432">
        <f t="shared" si="1"/>
        <v>278526430</v>
      </c>
      <c r="AD14" s="432">
        <f t="shared" si="1"/>
        <v>22417026</v>
      </c>
      <c r="AE14" s="432">
        <f t="shared" si="1"/>
        <v>456341853</v>
      </c>
      <c r="AF14" s="432">
        <f t="shared" si="1"/>
        <v>51485323</v>
      </c>
      <c r="AG14" s="432">
        <f t="shared" si="1"/>
        <v>129928106</v>
      </c>
      <c r="AH14" s="432">
        <f t="shared" si="1"/>
        <v>168219262</v>
      </c>
      <c r="AI14" s="432">
        <f t="shared" si="1"/>
        <v>122829253</v>
      </c>
      <c r="AJ14" s="432">
        <f t="shared" si="1"/>
        <v>146874407</v>
      </c>
      <c r="AK14" s="432">
        <f t="shared" si="1"/>
        <v>14500000</v>
      </c>
      <c r="AL14" s="432">
        <f t="shared" si="1"/>
        <v>311687237</v>
      </c>
      <c r="AM14" s="432">
        <f t="shared" si="1"/>
        <v>10475055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310359978</v>
      </c>
      <c r="E15" s="431">
        <v>95931491</v>
      </c>
      <c r="F15" s="431">
        <v>63288363</v>
      </c>
      <c r="G15" s="431">
        <v>29080237</v>
      </c>
      <c r="H15" s="431">
        <v>63302589</v>
      </c>
      <c r="I15" s="431">
        <v>0</v>
      </c>
      <c r="J15" s="431">
        <v>10647000</v>
      </c>
      <c r="K15" s="431">
        <v>18410000</v>
      </c>
      <c r="L15" s="431">
        <v>0</v>
      </c>
      <c r="M15" s="431">
        <v>70259412</v>
      </c>
      <c r="N15" s="431">
        <v>47469343</v>
      </c>
      <c r="O15" s="431">
        <v>4340143</v>
      </c>
      <c r="P15" s="438">
        <f>IF(SUM(Q15:AB15)=SUM(AC15:AM15),SUM(Q15:AB15),"  EROARE ART/CAP")</f>
        <v>351201325</v>
      </c>
      <c r="Q15" s="431">
        <v>48576222</v>
      </c>
      <c r="R15" s="431">
        <v>50845348</v>
      </c>
      <c r="S15" s="431">
        <v>1031989</v>
      </c>
      <c r="T15" s="431">
        <v>0</v>
      </c>
      <c r="U15" s="431">
        <v>31366369</v>
      </c>
      <c r="V15" s="431">
        <v>12306366</v>
      </c>
      <c r="W15" s="431">
        <v>103336580</v>
      </c>
      <c r="X15" s="431">
        <v>65976151</v>
      </c>
      <c r="Y15" s="431">
        <v>4780666</v>
      </c>
      <c r="Z15" s="431">
        <v>29779977</v>
      </c>
      <c r="AA15" s="431">
        <v>3774570</v>
      </c>
      <c r="AB15" s="431">
        <v>-572913</v>
      </c>
      <c r="AC15" s="431">
        <v>57229790</v>
      </c>
      <c r="AD15" s="431">
        <v>1373076</v>
      </c>
      <c r="AE15" s="431">
        <v>30081497</v>
      </c>
      <c r="AF15" s="431">
        <v>20635463</v>
      </c>
      <c r="AG15" s="431">
        <v>26544608</v>
      </c>
      <c r="AH15" s="431">
        <v>101335898</v>
      </c>
      <c r="AI15" s="431">
        <v>4239381</v>
      </c>
      <c r="AJ15" s="431">
        <v>59345111</v>
      </c>
      <c r="AK15" s="431">
        <v>0</v>
      </c>
      <c r="AL15" s="431">
        <v>49136351</v>
      </c>
      <c r="AM15" s="431">
        <v>1280150</v>
      </c>
    </row>
    <row r="16" spans="1:39" s="155" customFormat="1" ht="12" x14ac:dyDescent="0.2">
      <c r="A16" s="156" t="s">
        <v>72</v>
      </c>
      <c r="B16" s="157"/>
      <c r="C16" s="159"/>
      <c r="D16" s="432">
        <f>E16+SUM(H16:O16)</f>
        <v>725306057</v>
      </c>
      <c r="E16" s="433">
        <f>SUM(E18:E32)</f>
        <v>354979798</v>
      </c>
      <c r="F16" s="433">
        <f t="shared" ref="F16:O16" si="2">SUM(F18:F32)</f>
        <v>190781593</v>
      </c>
      <c r="G16" s="433">
        <f t="shared" si="2"/>
        <v>12502609</v>
      </c>
      <c r="H16" s="433">
        <f t="shared" si="2"/>
        <v>0</v>
      </c>
      <c r="I16" s="433">
        <f t="shared" si="2"/>
        <v>231798808</v>
      </c>
      <c r="J16" s="433">
        <f t="shared" si="2"/>
        <v>89000</v>
      </c>
      <c r="K16" s="433">
        <f t="shared" si="2"/>
        <v>12352000</v>
      </c>
      <c r="L16" s="433">
        <f t="shared" si="2"/>
        <v>0</v>
      </c>
      <c r="M16" s="433">
        <f t="shared" si="2"/>
        <v>42151162</v>
      </c>
      <c r="N16" s="433">
        <f t="shared" si="2"/>
        <v>82087403</v>
      </c>
      <c r="O16" s="433">
        <f t="shared" si="2"/>
        <v>1847886</v>
      </c>
      <c r="P16" s="432">
        <f t="shared" ref="P16:P53" si="3">IF(SUM(Q16:AB16)=SUM(AC16:AM16),SUM(Q16:AB16),"  EROARE ART/CAP")</f>
        <v>736627998</v>
      </c>
      <c r="Q16" s="432">
        <f>SUM(Q18:Q32)</f>
        <v>242539454</v>
      </c>
      <c r="R16" s="432">
        <f t="shared" ref="R16:AM16" si="4">SUM(R18:R32)</f>
        <v>150287309</v>
      </c>
      <c r="S16" s="432">
        <f t="shared" si="4"/>
        <v>6469077</v>
      </c>
      <c r="T16" s="432">
        <f t="shared" si="4"/>
        <v>28871260</v>
      </c>
      <c r="U16" s="432">
        <f t="shared" si="4"/>
        <v>69427022</v>
      </c>
      <c r="V16" s="432">
        <f t="shared" si="4"/>
        <v>11821952</v>
      </c>
      <c r="W16" s="432">
        <f t="shared" si="4"/>
        <v>161250686</v>
      </c>
      <c r="X16" s="432">
        <f t="shared" si="4"/>
        <v>15003689</v>
      </c>
      <c r="Y16" s="432">
        <f t="shared" si="4"/>
        <v>4105322</v>
      </c>
      <c r="Z16" s="432">
        <f t="shared" si="4"/>
        <v>33029399</v>
      </c>
      <c r="AA16" s="432">
        <f t="shared" si="4"/>
        <v>14590236</v>
      </c>
      <c r="AB16" s="432">
        <f t="shared" si="4"/>
        <v>-767408</v>
      </c>
      <c r="AC16" s="432">
        <f t="shared" si="4"/>
        <v>53066988</v>
      </c>
      <c r="AD16" s="432">
        <f t="shared" si="4"/>
        <v>16057593</v>
      </c>
      <c r="AE16" s="432">
        <f t="shared" si="4"/>
        <v>246833722</v>
      </c>
      <c r="AF16" s="432">
        <f t="shared" si="4"/>
        <v>26958747</v>
      </c>
      <c r="AG16" s="432">
        <f t="shared" si="4"/>
        <v>86208618</v>
      </c>
      <c r="AH16" s="432">
        <f t="shared" si="4"/>
        <v>32751120</v>
      </c>
      <c r="AI16" s="432">
        <f t="shared" si="4"/>
        <v>36212579</v>
      </c>
      <c r="AJ16" s="432">
        <f t="shared" si="4"/>
        <v>38494552</v>
      </c>
      <c r="AK16" s="432">
        <f t="shared" si="4"/>
        <v>14500000</v>
      </c>
      <c r="AL16" s="432">
        <f t="shared" si="4"/>
        <v>180326402</v>
      </c>
      <c r="AM16" s="432">
        <f t="shared" si="4"/>
        <v>5217677</v>
      </c>
    </row>
    <row r="17" spans="1:39" s="155" customFormat="1" ht="22.5" x14ac:dyDescent="0.2">
      <c r="A17" s="277" t="s">
        <v>2306</v>
      </c>
      <c r="B17" s="279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146">
        <v>1</v>
      </c>
      <c r="B18" s="192">
        <v>69900</v>
      </c>
      <c r="C18" s="175" t="s">
        <v>1498</v>
      </c>
      <c r="D18" s="438">
        <f>E18+SUM(H18:O18)</f>
        <v>655078520</v>
      </c>
      <c r="E18" s="431">
        <v>324325131</v>
      </c>
      <c r="F18" s="431">
        <v>182473948</v>
      </c>
      <c r="G18" s="431">
        <v>0</v>
      </c>
      <c r="H18" s="431">
        <v>0</v>
      </c>
      <c r="I18" s="431">
        <v>208520499</v>
      </c>
      <c r="J18" s="431">
        <v>0</v>
      </c>
      <c r="K18" s="431">
        <v>1687000</v>
      </c>
      <c r="L18" s="431">
        <v>0</v>
      </c>
      <c r="M18" s="431">
        <v>39272785</v>
      </c>
      <c r="N18" s="431">
        <v>79688550</v>
      </c>
      <c r="O18" s="431">
        <v>1584555</v>
      </c>
      <c r="P18" s="438">
        <f>IF(SUM(Q18:AB18)=SUM(AC18:AM18),SUM(Q18:AB18),"  EROARE ART/CAP")</f>
        <v>673358696</v>
      </c>
      <c r="Q18" s="431">
        <v>215578070</v>
      </c>
      <c r="R18" s="431">
        <v>137736762</v>
      </c>
      <c r="S18" s="431">
        <v>6450577</v>
      </c>
      <c r="T18" s="431">
        <v>28871260</v>
      </c>
      <c r="U18" s="431">
        <v>64360485</v>
      </c>
      <c r="V18" s="431">
        <v>11821952</v>
      </c>
      <c r="W18" s="431">
        <v>149775452</v>
      </c>
      <c r="X18" s="431">
        <v>13799929</v>
      </c>
      <c r="Y18" s="431">
        <v>3500644</v>
      </c>
      <c r="Z18" s="431">
        <v>27795920</v>
      </c>
      <c r="AA18" s="431">
        <v>14398236</v>
      </c>
      <c r="AB18" s="431">
        <v>-730591</v>
      </c>
      <c r="AC18" s="431">
        <v>44561463</v>
      </c>
      <c r="AD18" s="431">
        <v>14473845</v>
      </c>
      <c r="AE18" s="431">
        <v>223780919</v>
      </c>
      <c r="AF18" s="431">
        <v>24504349</v>
      </c>
      <c r="AG18" s="431">
        <v>82418589</v>
      </c>
      <c r="AH18" s="431">
        <v>30286338</v>
      </c>
      <c r="AI18" s="431">
        <v>29543509</v>
      </c>
      <c r="AJ18" s="431">
        <v>36777850</v>
      </c>
      <c r="AK18" s="431">
        <v>14500000</v>
      </c>
      <c r="AL18" s="431">
        <v>167339937</v>
      </c>
      <c r="AM18" s="431">
        <v>5171897</v>
      </c>
    </row>
    <row r="19" spans="1:39" s="155" customFormat="1" ht="12" x14ac:dyDescent="0.2">
      <c r="A19" s="146">
        <v>2</v>
      </c>
      <c r="B19" s="192">
        <v>70352</v>
      </c>
      <c r="C19" s="175" t="s">
        <v>1499</v>
      </c>
      <c r="D19" s="438">
        <f>E19+SUM(H19:O19)</f>
        <v>31289362</v>
      </c>
      <c r="E19" s="431">
        <v>15222010</v>
      </c>
      <c r="F19" s="431">
        <v>4545238</v>
      </c>
      <c r="G19" s="431">
        <v>5061973</v>
      </c>
      <c r="H19" s="431">
        <v>0</v>
      </c>
      <c r="I19" s="431">
        <v>11116239</v>
      </c>
      <c r="J19" s="431">
        <v>89000</v>
      </c>
      <c r="K19" s="431">
        <v>4548000</v>
      </c>
      <c r="L19" s="431">
        <v>0</v>
      </c>
      <c r="M19" s="431">
        <v>67813</v>
      </c>
      <c r="N19" s="431">
        <v>0</v>
      </c>
      <c r="O19" s="431">
        <v>246300</v>
      </c>
      <c r="P19" s="438">
        <f>IF(SUM(Q19:AB19)=SUM(AC19:AM19),SUM(Q19:AB19),"  EROARE ART/CAP")</f>
        <v>28479959</v>
      </c>
      <c r="Q19" s="431">
        <v>13588089</v>
      </c>
      <c r="R19" s="431">
        <v>9002139</v>
      </c>
      <c r="S19" s="431">
        <v>18500</v>
      </c>
      <c r="T19" s="431">
        <v>0</v>
      </c>
      <c r="U19" s="431">
        <v>1937194</v>
      </c>
      <c r="V19" s="431">
        <v>0</v>
      </c>
      <c r="W19" s="431">
        <v>1224109</v>
      </c>
      <c r="X19" s="431">
        <v>467773</v>
      </c>
      <c r="Y19" s="431">
        <v>286289</v>
      </c>
      <c r="Z19" s="431">
        <v>1776068</v>
      </c>
      <c r="AA19" s="431">
        <v>192000</v>
      </c>
      <c r="AB19" s="431">
        <v>-12202</v>
      </c>
      <c r="AC19" s="431">
        <v>3287562</v>
      </c>
      <c r="AD19" s="431">
        <v>701356</v>
      </c>
      <c r="AE19" s="431">
        <v>11285550</v>
      </c>
      <c r="AF19" s="431">
        <v>1059098</v>
      </c>
      <c r="AG19" s="431">
        <v>2181096</v>
      </c>
      <c r="AH19" s="431">
        <v>987220</v>
      </c>
      <c r="AI19" s="431">
        <v>5495684</v>
      </c>
      <c r="AJ19" s="431">
        <v>1393703</v>
      </c>
      <c r="AK19" s="431">
        <v>0</v>
      </c>
      <c r="AL19" s="431">
        <v>2042910</v>
      </c>
      <c r="AM19" s="431">
        <v>45780</v>
      </c>
    </row>
    <row r="20" spans="1:39" s="155" customFormat="1" ht="12" x14ac:dyDescent="0.2">
      <c r="A20" s="146">
        <v>3</v>
      </c>
      <c r="B20" s="192">
        <v>70316</v>
      </c>
      <c r="C20" s="175" t="s">
        <v>1500</v>
      </c>
      <c r="D20" s="438">
        <f>E20+SUM(H20:O20)</f>
        <v>38938175</v>
      </c>
      <c r="E20" s="431">
        <v>15432657</v>
      </c>
      <c r="F20" s="431">
        <v>3762407</v>
      </c>
      <c r="G20" s="431">
        <v>7440636</v>
      </c>
      <c r="H20" s="431">
        <v>0</v>
      </c>
      <c r="I20" s="431">
        <v>12162070</v>
      </c>
      <c r="J20" s="431">
        <v>0</v>
      </c>
      <c r="K20" s="431">
        <v>6117000</v>
      </c>
      <c r="L20" s="431">
        <v>0</v>
      </c>
      <c r="M20" s="431">
        <v>2810564</v>
      </c>
      <c r="N20" s="431">
        <v>2398853</v>
      </c>
      <c r="O20" s="431">
        <v>17031</v>
      </c>
      <c r="P20" s="438">
        <f>IF(SUM(Q20:AB20)=SUM(AC20:AM20),SUM(Q20:AB20),"  EROARE ART/CAP")</f>
        <v>34789343</v>
      </c>
      <c r="Q20" s="431">
        <v>13373295</v>
      </c>
      <c r="R20" s="431">
        <v>3548408</v>
      </c>
      <c r="S20" s="431">
        <v>0</v>
      </c>
      <c r="T20" s="431">
        <v>0</v>
      </c>
      <c r="U20" s="431">
        <v>3129343</v>
      </c>
      <c r="V20" s="431">
        <v>0</v>
      </c>
      <c r="W20" s="431">
        <v>10251125</v>
      </c>
      <c r="X20" s="431">
        <v>735987</v>
      </c>
      <c r="Y20" s="431">
        <v>318389</v>
      </c>
      <c r="Z20" s="431">
        <v>3457411</v>
      </c>
      <c r="AA20" s="431">
        <v>0</v>
      </c>
      <c r="AB20" s="431">
        <v>-24615</v>
      </c>
      <c r="AC20" s="431">
        <v>5217963</v>
      </c>
      <c r="AD20" s="431">
        <v>882392</v>
      </c>
      <c r="AE20" s="431">
        <v>11767253</v>
      </c>
      <c r="AF20" s="431">
        <v>1395300</v>
      </c>
      <c r="AG20" s="431">
        <v>1608933</v>
      </c>
      <c r="AH20" s="431">
        <v>1477562</v>
      </c>
      <c r="AI20" s="431">
        <v>1173386</v>
      </c>
      <c r="AJ20" s="431">
        <v>322999</v>
      </c>
      <c r="AK20" s="431">
        <v>0</v>
      </c>
      <c r="AL20" s="431">
        <v>10943555</v>
      </c>
      <c r="AM20" s="431">
        <v>0</v>
      </c>
    </row>
    <row r="21" spans="1:39" s="155" customFormat="1" ht="12" hidden="1" x14ac:dyDescent="0.2">
      <c r="A21" s="146">
        <v>4</v>
      </c>
      <c r="B21" s="146"/>
      <c r="C21" s="206"/>
      <c r="D21" s="432">
        <f t="shared" ref="D21:D41" si="5">E21+SUM(H21:O21)</f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3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146">
        <v>5</v>
      </c>
      <c r="B22" s="146"/>
      <c r="C22" s="206"/>
      <c r="D22" s="432">
        <f t="shared" si="5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3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146"/>
      <c r="C23" s="206"/>
      <c r="D23" s="432">
        <f t="shared" si="5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3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46"/>
      <c r="C24" s="206"/>
      <c r="D24" s="432">
        <f t="shared" si="5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3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46"/>
      <c r="C25" s="206"/>
      <c r="D25" s="432">
        <f t="shared" si="5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3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46"/>
      <c r="C26" s="206"/>
      <c r="D26" s="432">
        <f t="shared" si="5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3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46"/>
      <c r="C27" s="206"/>
      <c r="D27" s="432">
        <f t="shared" si="5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3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46"/>
      <c r="C28" s="206"/>
      <c r="D28" s="432">
        <f t="shared" si="5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3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46"/>
      <c r="C29" s="206"/>
      <c r="D29" s="432">
        <f t="shared" si="5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3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46"/>
      <c r="C30" s="206"/>
      <c r="D30" s="432">
        <f t="shared" si="5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3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46"/>
      <c r="C31" s="206"/>
      <c r="D31" s="432">
        <f t="shared" si="5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3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46"/>
      <c r="C32" s="207"/>
      <c r="D32" s="432">
        <f t="shared" si="5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3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4"/>
      <c r="C33" s="208"/>
      <c r="D33" s="432">
        <f t="shared" si="5"/>
        <v>84128113</v>
      </c>
      <c r="E33" s="432">
        <f>SUM(E34:E53)</f>
        <v>24953690</v>
      </c>
      <c r="F33" s="432">
        <f t="shared" ref="F33:O33" si="6">SUM(F34:F53)</f>
        <v>8062781</v>
      </c>
      <c r="G33" s="432">
        <f t="shared" si="6"/>
        <v>4979318</v>
      </c>
      <c r="H33" s="432">
        <f t="shared" si="6"/>
        <v>0</v>
      </c>
      <c r="I33" s="432">
        <f t="shared" si="6"/>
        <v>27533688</v>
      </c>
      <c r="J33" s="432">
        <f t="shared" si="6"/>
        <v>374476</v>
      </c>
      <c r="K33" s="432">
        <f t="shared" si="6"/>
        <v>6869710</v>
      </c>
      <c r="L33" s="432">
        <f t="shared" si="6"/>
        <v>0</v>
      </c>
      <c r="M33" s="432">
        <f t="shared" si="6"/>
        <v>5208416</v>
      </c>
      <c r="N33" s="432">
        <f t="shared" si="6"/>
        <v>19041222</v>
      </c>
      <c r="O33" s="432">
        <f t="shared" si="6"/>
        <v>146911</v>
      </c>
      <c r="P33" s="432">
        <f t="shared" si="3"/>
        <v>78866491</v>
      </c>
      <c r="Q33" s="432">
        <f>SUM(Q34:Q53)</f>
        <v>31664091</v>
      </c>
      <c r="R33" s="432">
        <f t="shared" ref="R33:AM33" si="7">SUM(R34:R53)</f>
        <v>12349832</v>
      </c>
      <c r="S33" s="432">
        <f t="shared" si="7"/>
        <v>20889</v>
      </c>
      <c r="T33" s="432">
        <f t="shared" si="7"/>
        <v>0</v>
      </c>
      <c r="U33" s="432">
        <f t="shared" si="7"/>
        <v>1154329</v>
      </c>
      <c r="V33" s="432">
        <f t="shared" si="7"/>
        <v>27342</v>
      </c>
      <c r="W33" s="432">
        <f t="shared" si="7"/>
        <v>26808076</v>
      </c>
      <c r="X33" s="432">
        <f t="shared" si="7"/>
        <v>1470401</v>
      </c>
      <c r="Y33" s="432">
        <f t="shared" si="7"/>
        <v>519990</v>
      </c>
      <c r="Z33" s="432">
        <f t="shared" si="7"/>
        <v>4930462</v>
      </c>
      <c r="AA33" s="432">
        <f t="shared" si="7"/>
        <v>184368</v>
      </c>
      <c r="AB33" s="432">
        <f t="shared" si="7"/>
        <v>-263289</v>
      </c>
      <c r="AC33" s="432">
        <f t="shared" si="7"/>
        <v>26100170</v>
      </c>
      <c r="AD33" s="432">
        <f t="shared" si="7"/>
        <v>847570</v>
      </c>
      <c r="AE33" s="432">
        <f t="shared" si="7"/>
        <v>28268279</v>
      </c>
      <c r="AF33" s="432">
        <f t="shared" si="7"/>
        <v>1561122</v>
      </c>
      <c r="AG33" s="432">
        <f t="shared" si="7"/>
        <v>3270504</v>
      </c>
      <c r="AH33" s="432">
        <f t="shared" si="7"/>
        <v>2730951</v>
      </c>
      <c r="AI33" s="432">
        <f t="shared" si="7"/>
        <v>8516552</v>
      </c>
      <c r="AJ33" s="432">
        <f t="shared" si="7"/>
        <v>480024</v>
      </c>
      <c r="AK33" s="432">
        <f t="shared" si="7"/>
        <v>0</v>
      </c>
      <c r="AL33" s="432">
        <f t="shared" si="7"/>
        <v>6930069</v>
      </c>
      <c r="AM33" s="432">
        <f t="shared" si="7"/>
        <v>161250</v>
      </c>
    </row>
    <row r="34" spans="1:39" s="155" customFormat="1" ht="12" x14ac:dyDescent="0.2">
      <c r="A34" s="146">
        <v>1</v>
      </c>
      <c r="B34" s="193">
        <v>70879</v>
      </c>
      <c r="C34" s="194" t="s">
        <v>1501</v>
      </c>
      <c r="D34" s="438">
        <f>E34+SUM(H34:O34)</f>
        <v>21892146</v>
      </c>
      <c r="E34" s="431">
        <v>3571528</v>
      </c>
      <c r="F34" s="431">
        <v>738601</v>
      </c>
      <c r="G34" s="431">
        <v>1962647</v>
      </c>
      <c r="H34" s="431">
        <v>0</v>
      </c>
      <c r="I34" s="431">
        <v>2263432</v>
      </c>
      <c r="J34" s="431">
        <v>36000</v>
      </c>
      <c r="K34" s="431">
        <v>1801000</v>
      </c>
      <c r="L34" s="431">
        <v>0</v>
      </c>
      <c r="M34" s="431">
        <v>2443194</v>
      </c>
      <c r="N34" s="431">
        <v>11772992</v>
      </c>
      <c r="O34" s="431">
        <v>4000</v>
      </c>
      <c r="P34" s="438">
        <f>IF(SUM(Q34:AB34)=SUM(AC34:AM34),SUM(Q34:AB34),"  EROARE ART/CAP")</f>
        <v>21817308</v>
      </c>
      <c r="Q34" s="431">
        <v>3002485</v>
      </c>
      <c r="R34" s="431">
        <v>2054062</v>
      </c>
      <c r="S34" s="431">
        <v>0</v>
      </c>
      <c r="T34" s="431">
        <v>0</v>
      </c>
      <c r="U34" s="431">
        <v>0</v>
      </c>
      <c r="V34" s="431">
        <v>0</v>
      </c>
      <c r="W34" s="431">
        <v>15724676</v>
      </c>
      <c r="X34" s="431">
        <v>225190</v>
      </c>
      <c r="Y34" s="431">
        <v>49595</v>
      </c>
      <c r="Z34" s="431">
        <v>967882</v>
      </c>
      <c r="AA34" s="431">
        <v>0</v>
      </c>
      <c r="AB34" s="431">
        <v>-206582</v>
      </c>
      <c r="AC34" s="431">
        <v>16962663</v>
      </c>
      <c r="AD34" s="431">
        <v>104704</v>
      </c>
      <c r="AE34" s="431">
        <v>2155497</v>
      </c>
      <c r="AF34" s="431">
        <v>45219</v>
      </c>
      <c r="AG34" s="431">
        <v>679070</v>
      </c>
      <c r="AH34" s="431">
        <v>240582</v>
      </c>
      <c r="AI34" s="431">
        <v>845344</v>
      </c>
      <c r="AJ34" s="431">
        <v>0</v>
      </c>
      <c r="AK34" s="431">
        <v>0</v>
      </c>
      <c r="AL34" s="431">
        <v>784229</v>
      </c>
      <c r="AM34" s="431">
        <v>0</v>
      </c>
    </row>
    <row r="35" spans="1:39" s="155" customFormat="1" ht="12" x14ac:dyDescent="0.2">
      <c r="A35" s="146">
        <v>2</v>
      </c>
      <c r="B35" s="193">
        <v>72007</v>
      </c>
      <c r="C35" s="194" t="s">
        <v>1502</v>
      </c>
      <c r="D35" s="438">
        <f>E35+SUM(H35:O35)</f>
        <v>17471541</v>
      </c>
      <c r="E35" s="431">
        <v>5149081</v>
      </c>
      <c r="F35" s="431">
        <v>1000605</v>
      </c>
      <c r="G35" s="431">
        <v>1562813</v>
      </c>
      <c r="H35" s="431">
        <v>0</v>
      </c>
      <c r="I35" s="431">
        <v>6218073</v>
      </c>
      <c r="J35" s="431">
        <v>95000</v>
      </c>
      <c r="K35" s="431">
        <v>1840000</v>
      </c>
      <c r="L35" s="431">
        <v>0</v>
      </c>
      <c r="M35" s="431">
        <v>1134546</v>
      </c>
      <c r="N35" s="431">
        <v>2937047</v>
      </c>
      <c r="O35" s="431">
        <v>97794</v>
      </c>
      <c r="P35" s="438">
        <f>IF(SUM(Q35:AB35)=SUM(AC35:AM35),SUM(Q35:AB35),"  EROARE ART/CAP")</f>
        <v>16800599</v>
      </c>
      <c r="Q35" s="431">
        <v>7646376</v>
      </c>
      <c r="R35" s="431">
        <v>2630738</v>
      </c>
      <c r="S35" s="431">
        <v>0</v>
      </c>
      <c r="T35" s="431">
        <v>0</v>
      </c>
      <c r="U35" s="431">
        <v>0</v>
      </c>
      <c r="V35" s="431">
        <v>0</v>
      </c>
      <c r="W35" s="431">
        <v>4410832</v>
      </c>
      <c r="X35" s="431">
        <v>294030</v>
      </c>
      <c r="Y35" s="431">
        <v>78030</v>
      </c>
      <c r="Z35" s="431">
        <v>1747042</v>
      </c>
      <c r="AA35" s="431">
        <v>0</v>
      </c>
      <c r="AB35" s="431">
        <v>-6449</v>
      </c>
      <c r="AC35" s="431">
        <v>3297784</v>
      </c>
      <c r="AD35" s="431">
        <v>220551</v>
      </c>
      <c r="AE35" s="431">
        <v>5881846</v>
      </c>
      <c r="AF35" s="431">
        <v>0</v>
      </c>
      <c r="AG35" s="431">
        <v>322112</v>
      </c>
      <c r="AH35" s="431">
        <v>798730</v>
      </c>
      <c r="AI35" s="431">
        <v>5423726</v>
      </c>
      <c r="AJ35" s="431">
        <v>208533</v>
      </c>
      <c r="AK35" s="431">
        <v>0</v>
      </c>
      <c r="AL35" s="431">
        <v>647317</v>
      </c>
      <c r="AM35" s="431">
        <v>0</v>
      </c>
    </row>
    <row r="36" spans="1:39" s="155" customFormat="1" ht="12" x14ac:dyDescent="0.2">
      <c r="A36" s="146">
        <v>3</v>
      </c>
      <c r="B36" s="193">
        <v>70414</v>
      </c>
      <c r="C36" s="194" t="s">
        <v>1503</v>
      </c>
      <c r="D36" s="438">
        <f>E36+SUM(H36:O36)</f>
        <v>30764629</v>
      </c>
      <c r="E36" s="431">
        <v>8395073</v>
      </c>
      <c r="F36" s="431">
        <v>3293234</v>
      </c>
      <c r="G36" s="431">
        <v>1211637</v>
      </c>
      <c r="H36" s="431">
        <v>0</v>
      </c>
      <c r="I36" s="431">
        <v>13901611</v>
      </c>
      <c r="J36" s="431">
        <v>145000</v>
      </c>
      <c r="K36" s="431">
        <v>2744710</v>
      </c>
      <c r="L36" s="431">
        <v>0</v>
      </c>
      <c r="M36" s="431">
        <v>1604944</v>
      </c>
      <c r="N36" s="431">
        <v>3953443</v>
      </c>
      <c r="O36" s="431">
        <v>19848</v>
      </c>
      <c r="P36" s="438">
        <f>IF(SUM(Q36:AB36)=SUM(AC36:AM36),SUM(Q36:AB36),"  EROARE ART/CAP")</f>
        <v>27264024</v>
      </c>
      <c r="Q36" s="431">
        <v>14604256</v>
      </c>
      <c r="R36" s="431">
        <v>4175722</v>
      </c>
      <c r="S36" s="431">
        <v>20889</v>
      </c>
      <c r="T36" s="431">
        <v>0</v>
      </c>
      <c r="U36" s="431">
        <v>922602</v>
      </c>
      <c r="V36" s="431">
        <v>27342</v>
      </c>
      <c r="W36" s="431">
        <v>6227248</v>
      </c>
      <c r="X36" s="431">
        <v>741396</v>
      </c>
      <c r="Y36" s="431">
        <v>379285</v>
      </c>
      <c r="Z36" s="431">
        <v>20071</v>
      </c>
      <c r="AA36" s="431">
        <v>184368</v>
      </c>
      <c r="AB36" s="431">
        <v>-39155</v>
      </c>
      <c r="AC36" s="431">
        <v>2835199</v>
      </c>
      <c r="AD36" s="431">
        <v>349666</v>
      </c>
      <c r="AE36" s="431">
        <v>14557934</v>
      </c>
      <c r="AF36" s="431">
        <v>1242160</v>
      </c>
      <c r="AG36" s="431">
        <v>1008673</v>
      </c>
      <c r="AH36" s="431">
        <v>1101865</v>
      </c>
      <c r="AI36" s="431">
        <v>762625</v>
      </c>
      <c r="AJ36" s="431">
        <v>271491</v>
      </c>
      <c r="AK36" s="431">
        <v>0</v>
      </c>
      <c r="AL36" s="431">
        <v>5038202</v>
      </c>
      <c r="AM36" s="431">
        <v>96209</v>
      </c>
    </row>
    <row r="37" spans="1:39" s="155" customFormat="1" ht="12" x14ac:dyDescent="0.2">
      <c r="A37" s="146">
        <v>4</v>
      </c>
      <c r="B37" s="193">
        <v>70502</v>
      </c>
      <c r="C37" s="194" t="s">
        <v>1504</v>
      </c>
      <c r="D37" s="438">
        <f>E37+SUM(H37:O37)</f>
        <v>13999797</v>
      </c>
      <c r="E37" s="431">
        <v>7838008</v>
      </c>
      <c r="F37" s="431">
        <v>3030341</v>
      </c>
      <c r="G37" s="431">
        <v>242221</v>
      </c>
      <c r="H37" s="431">
        <v>0</v>
      </c>
      <c r="I37" s="431">
        <v>5150572</v>
      </c>
      <c r="J37" s="431">
        <v>98476</v>
      </c>
      <c r="K37" s="431">
        <v>484000</v>
      </c>
      <c r="L37" s="431">
        <v>0</v>
      </c>
      <c r="M37" s="431">
        <v>25732</v>
      </c>
      <c r="N37" s="431">
        <v>377740</v>
      </c>
      <c r="O37" s="431">
        <v>25269</v>
      </c>
      <c r="P37" s="438">
        <f>IF(SUM(Q37:AB37)=SUM(AC37:AM37),SUM(Q37:AB37),"  EROARE ART/CAP")</f>
        <v>12984560</v>
      </c>
      <c r="Q37" s="431">
        <v>6410974</v>
      </c>
      <c r="R37" s="431">
        <v>3489310</v>
      </c>
      <c r="S37" s="431">
        <v>0</v>
      </c>
      <c r="T37" s="431">
        <v>0</v>
      </c>
      <c r="U37" s="431">
        <v>231727</v>
      </c>
      <c r="V37" s="431">
        <v>0</v>
      </c>
      <c r="W37" s="431">
        <v>445320</v>
      </c>
      <c r="X37" s="431">
        <v>209785</v>
      </c>
      <c r="Y37" s="431">
        <v>13080</v>
      </c>
      <c r="Z37" s="431">
        <v>2195467</v>
      </c>
      <c r="AA37" s="431">
        <v>0</v>
      </c>
      <c r="AB37" s="431">
        <v>-11103</v>
      </c>
      <c r="AC37" s="431">
        <v>3004524</v>
      </c>
      <c r="AD37" s="431">
        <v>172649</v>
      </c>
      <c r="AE37" s="431">
        <v>5673002</v>
      </c>
      <c r="AF37" s="431">
        <v>273743</v>
      </c>
      <c r="AG37" s="431">
        <v>1260649</v>
      </c>
      <c r="AH37" s="431">
        <v>589774</v>
      </c>
      <c r="AI37" s="431">
        <v>1484857</v>
      </c>
      <c r="AJ37" s="431">
        <v>0</v>
      </c>
      <c r="AK37" s="431">
        <v>0</v>
      </c>
      <c r="AL37" s="431">
        <v>460321</v>
      </c>
      <c r="AM37" s="431">
        <v>65041</v>
      </c>
    </row>
    <row r="38" spans="1:39" s="155" customFormat="1" ht="12" hidden="1" x14ac:dyDescent="0.2">
      <c r="A38" s="146">
        <v>5</v>
      </c>
      <c r="B38" s="146"/>
      <c r="C38" s="172"/>
      <c r="D38" s="432">
        <f t="shared" si="5"/>
        <v>0</v>
      </c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2">
        <f t="shared" si="3"/>
        <v>0</v>
      </c>
      <c r="Q38" s="435"/>
      <c r="R38" s="435"/>
      <c r="S38" s="435"/>
      <c r="T38" s="435"/>
      <c r="U38" s="435"/>
      <c r="V38" s="431"/>
      <c r="W38" s="431"/>
      <c r="X38" s="431"/>
      <c r="Y38" s="431"/>
      <c r="Z38" s="435"/>
      <c r="AA38" s="431"/>
      <c r="AB38" s="431"/>
      <c r="AC38" s="445"/>
      <c r="AD38" s="435"/>
      <c r="AE38" s="435"/>
      <c r="AF38" s="435"/>
      <c r="AG38" s="435"/>
      <c r="AH38" s="435"/>
      <c r="AI38" s="435"/>
      <c r="AJ38" s="435"/>
      <c r="AK38" s="435"/>
      <c r="AL38" s="435"/>
      <c r="AM38" s="435"/>
    </row>
    <row r="39" spans="1:39" s="155" customFormat="1" ht="12" hidden="1" x14ac:dyDescent="0.2">
      <c r="A39" s="146">
        <v>6</v>
      </c>
      <c r="B39" s="146"/>
      <c r="C39" s="172"/>
      <c r="D39" s="432">
        <f t="shared" si="5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3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</row>
    <row r="40" spans="1:39" s="155" customFormat="1" ht="12" hidden="1" x14ac:dyDescent="0.2">
      <c r="A40" s="146">
        <v>7</v>
      </c>
      <c r="B40" s="146"/>
      <c r="C40" s="182"/>
      <c r="D40" s="432">
        <f t="shared" si="5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3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155" customFormat="1" ht="12" hidden="1" x14ac:dyDescent="0.2">
      <c r="A41" s="146">
        <v>8</v>
      </c>
      <c r="B41" s="146"/>
      <c r="C41" s="173"/>
      <c r="D41" s="432">
        <f t="shared" si="5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3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146">
        <v>9</v>
      </c>
      <c r="B42" s="146"/>
      <c r="C42" s="206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3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146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3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46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3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46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3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46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3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46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3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46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3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46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3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46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3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46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3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46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3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46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3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4"/>
      <c r="C54" s="208"/>
      <c r="D54" s="432">
        <f t="shared" ref="D54" si="8">E54+SUM(H54:O54)</f>
        <v>582749866</v>
      </c>
      <c r="E54" s="432">
        <f>SUM(E55:E158)</f>
        <v>161141524</v>
      </c>
      <c r="F54" s="432">
        <f t="shared" ref="F54:AM54" si="9">SUM(F55:F158)</f>
        <v>36027551</v>
      </c>
      <c r="G54" s="432">
        <f t="shared" si="9"/>
        <v>57512036</v>
      </c>
      <c r="H54" s="432">
        <f t="shared" si="9"/>
        <v>0</v>
      </c>
      <c r="I54" s="432">
        <f t="shared" si="9"/>
        <v>157476854</v>
      </c>
      <c r="J54" s="432">
        <f t="shared" si="9"/>
        <v>8478161</v>
      </c>
      <c r="K54" s="432">
        <f t="shared" si="9"/>
        <v>73297110</v>
      </c>
      <c r="L54" s="432">
        <f t="shared" si="9"/>
        <v>0</v>
      </c>
      <c r="M54" s="432">
        <f t="shared" si="9"/>
        <v>71563087</v>
      </c>
      <c r="N54" s="432">
        <f t="shared" si="9"/>
        <v>109238928</v>
      </c>
      <c r="O54" s="432">
        <f t="shared" si="9"/>
        <v>1554202</v>
      </c>
      <c r="P54" s="432">
        <f t="shared" si="9"/>
        <v>546588138</v>
      </c>
      <c r="Q54" s="432">
        <f t="shared" si="9"/>
        <v>194462118</v>
      </c>
      <c r="R54" s="432">
        <f t="shared" si="9"/>
        <v>94478673</v>
      </c>
      <c r="S54" s="432">
        <f t="shared" si="9"/>
        <v>378186</v>
      </c>
      <c r="T54" s="432">
        <f t="shared" si="9"/>
        <v>0</v>
      </c>
      <c r="U54" s="432">
        <f t="shared" si="9"/>
        <v>1235160</v>
      </c>
      <c r="V54" s="432">
        <f t="shared" si="9"/>
        <v>348723</v>
      </c>
      <c r="W54" s="432">
        <f t="shared" si="9"/>
        <v>118484554</v>
      </c>
      <c r="X54" s="432">
        <f t="shared" si="9"/>
        <v>19383919</v>
      </c>
      <c r="Y54" s="432">
        <f t="shared" si="9"/>
        <v>2443315</v>
      </c>
      <c r="Z54" s="432">
        <f t="shared" si="9"/>
        <v>116838966</v>
      </c>
      <c r="AA54" s="432">
        <f t="shared" si="9"/>
        <v>294000</v>
      </c>
      <c r="AB54" s="432">
        <f t="shared" si="9"/>
        <v>-1759476</v>
      </c>
      <c r="AC54" s="432">
        <f t="shared" si="9"/>
        <v>142129482</v>
      </c>
      <c r="AD54" s="432">
        <f t="shared" si="9"/>
        <v>4138787</v>
      </c>
      <c r="AE54" s="432">
        <f t="shared" si="9"/>
        <v>151158355</v>
      </c>
      <c r="AF54" s="432">
        <f t="shared" si="9"/>
        <v>2329991</v>
      </c>
      <c r="AG54" s="432">
        <f t="shared" si="9"/>
        <v>13904376</v>
      </c>
      <c r="AH54" s="432">
        <f t="shared" si="9"/>
        <v>31401293</v>
      </c>
      <c r="AI54" s="432">
        <f t="shared" si="9"/>
        <v>73860741</v>
      </c>
      <c r="AJ54" s="432">
        <f t="shared" si="9"/>
        <v>48554720</v>
      </c>
      <c r="AK54" s="432">
        <f t="shared" si="9"/>
        <v>0</v>
      </c>
      <c r="AL54" s="432">
        <f t="shared" si="9"/>
        <v>75294415</v>
      </c>
      <c r="AM54" s="432">
        <f t="shared" si="9"/>
        <v>3815978</v>
      </c>
    </row>
    <row r="55" spans="1:39" s="155" customFormat="1" ht="12" x14ac:dyDescent="0.2">
      <c r="A55" s="168">
        <v>1</v>
      </c>
      <c r="B55" s="195">
        <v>70520</v>
      </c>
      <c r="C55" s="175" t="s">
        <v>1505</v>
      </c>
      <c r="D55" s="438">
        <f t="shared" ref="D55:D86" si="10">E55+SUM(H55:O55)</f>
        <v>4737052</v>
      </c>
      <c r="E55" s="431">
        <v>1225677</v>
      </c>
      <c r="F55" s="431">
        <v>135463</v>
      </c>
      <c r="G55" s="431">
        <v>432615</v>
      </c>
      <c r="H55" s="431">
        <v>0</v>
      </c>
      <c r="I55" s="431">
        <v>980346</v>
      </c>
      <c r="J55" s="431">
        <v>36000</v>
      </c>
      <c r="K55" s="431">
        <v>481000</v>
      </c>
      <c r="L55" s="431">
        <v>0</v>
      </c>
      <c r="M55" s="431">
        <v>119081</v>
      </c>
      <c r="N55" s="431">
        <v>1881948</v>
      </c>
      <c r="O55" s="431">
        <v>13000</v>
      </c>
      <c r="P55" s="438">
        <f t="shared" ref="P55:P86" si="11">IF(SUM(Q55:AB55)=SUM(AC55:AM55),SUM(Q55:AB55),"  EROARE ART/CAP")</f>
        <v>2311724</v>
      </c>
      <c r="Q55" s="431">
        <v>1459285</v>
      </c>
      <c r="R55" s="431">
        <v>532453</v>
      </c>
      <c r="S55" s="431">
        <v>0</v>
      </c>
      <c r="T55" s="431">
        <v>0</v>
      </c>
      <c r="U55" s="431">
        <v>0</v>
      </c>
      <c r="V55" s="431">
        <v>0</v>
      </c>
      <c r="W55" s="431">
        <v>0</v>
      </c>
      <c r="X55" s="431">
        <v>105406</v>
      </c>
      <c r="Y55" s="431">
        <v>0</v>
      </c>
      <c r="Z55" s="431">
        <v>214580</v>
      </c>
      <c r="AA55" s="431">
        <v>0</v>
      </c>
      <c r="AB55" s="431">
        <v>0</v>
      </c>
      <c r="AC55" s="431">
        <v>673515</v>
      </c>
      <c r="AD55" s="431">
        <v>29884</v>
      </c>
      <c r="AE55" s="431">
        <v>1026189</v>
      </c>
      <c r="AF55" s="431">
        <v>0</v>
      </c>
      <c r="AG55" s="431">
        <v>22984</v>
      </c>
      <c r="AH55" s="431">
        <v>186967</v>
      </c>
      <c r="AI55" s="431">
        <v>203498</v>
      </c>
      <c r="AJ55" s="431">
        <v>0</v>
      </c>
      <c r="AK55" s="431">
        <v>0</v>
      </c>
      <c r="AL55" s="431">
        <v>168687</v>
      </c>
      <c r="AM55" s="431">
        <v>0</v>
      </c>
    </row>
    <row r="56" spans="1:39" s="155" customFormat="1" ht="12" x14ac:dyDescent="0.2">
      <c r="A56" s="168">
        <v>2</v>
      </c>
      <c r="B56" s="195">
        <v>70566</v>
      </c>
      <c r="C56" s="175" t="s">
        <v>1506</v>
      </c>
      <c r="D56" s="438">
        <f t="shared" si="10"/>
        <v>2701751</v>
      </c>
      <c r="E56" s="431">
        <v>1224388</v>
      </c>
      <c r="F56" s="431">
        <v>187620</v>
      </c>
      <c r="G56" s="431">
        <v>428178</v>
      </c>
      <c r="H56" s="431">
        <v>0</v>
      </c>
      <c r="I56" s="431">
        <v>856499</v>
      </c>
      <c r="J56" s="431">
        <v>68000</v>
      </c>
      <c r="K56" s="431">
        <v>501000</v>
      </c>
      <c r="L56" s="431">
        <v>0</v>
      </c>
      <c r="M56" s="431">
        <v>53382</v>
      </c>
      <c r="N56" s="431">
        <v>-1518</v>
      </c>
      <c r="O56" s="431">
        <v>0</v>
      </c>
      <c r="P56" s="438">
        <f t="shared" si="11"/>
        <v>2855732</v>
      </c>
      <c r="Q56" s="431">
        <v>1265989</v>
      </c>
      <c r="R56" s="431">
        <v>778138</v>
      </c>
      <c r="S56" s="431">
        <v>0</v>
      </c>
      <c r="T56" s="431">
        <v>0</v>
      </c>
      <c r="U56" s="431">
        <v>0</v>
      </c>
      <c r="V56" s="431">
        <v>0</v>
      </c>
      <c r="W56" s="431">
        <v>0</v>
      </c>
      <c r="X56" s="431">
        <v>97842</v>
      </c>
      <c r="Y56" s="431">
        <v>3773</v>
      </c>
      <c r="Z56" s="431">
        <v>711062</v>
      </c>
      <c r="AA56" s="431">
        <v>0</v>
      </c>
      <c r="AB56" s="431">
        <v>-1072</v>
      </c>
      <c r="AC56" s="431">
        <v>786717</v>
      </c>
      <c r="AD56" s="431">
        <v>3300</v>
      </c>
      <c r="AE56" s="431">
        <v>1077789</v>
      </c>
      <c r="AF56" s="431">
        <v>0</v>
      </c>
      <c r="AG56" s="431">
        <v>27426</v>
      </c>
      <c r="AH56" s="431">
        <v>99129</v>
      </c>
      <c r="AI56" s="431">
        <v>50501</v>
      </c>
      <c r="AJ56" s="431">
        <v>3100</v>
      </c>
      <c r="AK56" s="431">
        <v>0</v>
      </c>
      <c r="AL56" s="431">
        <v>807770</v>
      </c>
      <c r="AM56" s="431">
        <v>0</v>
      </c>
    </row>
    <row r="57" spans="1:39" s="155" customFormat="1" ht="12" x14ac:dyDescent="0.2">
      <c r="A57" s="168">
        <v>3</v>
      </c>
      <c r="B57" s="195">
        <v>70637</v>
      </c>
      <c r="C57" s="175" t="s">
        <v>1507</v>
      </c>
      <c r="D57" s="438">
        <f t="shared" si="10"/>
        <v>7705062</v>
      </c>
      <c r="E57" s="431">
        <v>1617220</v>
      </c>
      <c r="F57" s="431">
        <v>426201</v>
      </c>
      <c r="G57" s="431">
        <v>559783</v>
      </c>
      <c r="H57" s="431">
        <v>0</v>
      </c>
      <c r="I57" s="431">
        <v>4225505</v>
      </c>
      <c r="J57" s="431">
        <v>64000</v>
      </c>
      <c r="K57" s="431">
        <v>927000</v>
      </c>
      <c r="L57" s="431">
        <v>0</v>
      </c>
      <c r="M57" s="431">
        <v>143788</v>
      </c>
      <c r="N57" s="431">
        <v>707694</v>
      </c>
      <c r="O57" s="431">
        <v>19855</v>
      </c>
      <c r="P57" s="438">
        <f t="shared" si="11"/>
        <v>7539847</v>
      </c>
      <c r="Q57" s="431">
        <v>4439289</v>
      </c>
      <c r="R57" s="431">
        <v>1027833</v>
      </c>
      <c r="S57" s="431">
        <v>0</v>
      </c>
      <c r="T57" s="431">
        <v>0</v>
      </c>
      <c r="U57" s="431">
        <v>3042</v>
      </c>
      <c r="V57" s="431">
        <v>0</v>
      </c>
      <c r="W57" s="431">
        <v>726482</v>
      </c>
      <c r="X57" s="431">
        <v>522730</v>
      </c>
      <c r="Y57" s="431">
        <v>66948</v>
      </c>
      <c r="Z57" s="431">
        <v>770374</v>
      </c>
      <c r="AA57" s="431">
        <v>0</v>
      </c>
      <c r="AB57" s="431">
        <v>-16851</v>
      </c>
      <c r="AC57" s="431">
        <v>2134625</v>
      </c>
      <c r="AD57" s="431">
        <v>88816</v>
      </c>
      <c r="AE57" s="431">
        <v>3863602</v>
      </c>
      <c r="AF57" s="431">
        <v>56752</v>
      </c>
      <c r="AG57" s="431">
        <v>243772</v>
      </c>
      <c r="AH57" s="431">
        <v>522730</v>
      </c>
      <c r="AI57" s="431">
        <v>409763</v>
      </c>
      <c r="AJ57" s="431">
        <v>0</v>
      </c>
      <c r="AK57" s="431">
        <v>0</v>
      </c>
      <c r="AL57" s="431">
        <v>219787</v>
      </c>
      <c r="AM57" s="431">
        <v>0</v>
      </c>
    </row>
    <row r="58" spans="1:39" s="155" customFormat="1" ht="12" x14ac:dyDescent="0.2">
      <c r="A58" s="168">
        <v>4</v>
      </c>
      <c r="B58" s="195">
        <v>70673</v>
      </c>
      <c r="C58" s="175" t="s">
        <v>1508</v>
      </c>
      <c r="D58" s="438">
        <f t="shared" si="10"/>
        <v>3007691</v>
      </c>
      <c r="E58" s="431">
        <v>1046729</v>
      </c>
      <c r="F58" s="431">
        <v>97300</v>
      </c>
      <c r="G58" s="431">
        <v>673564</v>
      </c>
      <c r="H58" s="431">
        <v>0</v>
      </c>
      <c r="I58" s="431">
        <v>1103616</v>
      </c>
      <c r="J58" s="431">
        <v>53000</v>
      </c>
      <c r="K58" s="431">
        <v>775000</v>
      </c>
      <c r="L58" s="431">
        <v>0</v>
      </c>
      <c r="M58" s="431">
        <v>29346</v>
      </c>
      <c r="N58" s="431">
        <v>0</v>
      </c>
      <c r="O58" s="431">
        <v>0</v>
      </c>
      <c r="P58" s="438">
        <f t="shared" si="11"/>
        <v>2663218</v>
      </c>
      <c r="Q58" s="431">
        <v>1460522</v>
      </c>
      <c r="R58" s="431">
        <v>618450</v>
      </c>
      <c r="S58" s="431">
        <v>0</v>
      </c>
      <c r="T58" s="431">
        <v>0</v>
      </c>
      <c r="U58" s="431">
        <v>394</v>
      </c>
      <c r="V58" s="431">
        <v>0</v>
      </c>
      <c r="W58" s="431">
        <v>0</v>
      </c>
      <c r="X58" s="431">
        <v>73178</v>
      </c>
      <c r="Y58" s="431">
        <v>0</v>
      </c>
      <c r="Z58" s="431">
        <v>511462</v>
      </c>
      <c r="AA58" s="431">
        <v>0</v>
      </c>
      <c r="AB58" s="431">
        <v>-788</v>
      </c>
      <c r="AC58" s="431">
        <v>624450</v>
      </c>
      <c r="AD58" s="431">
        <v>15491</v>
      </c>
      <c r="AE58" s="431">
        <v>1004415</v>
      </c>
      <c r="AF58" s="431">
        <v>40884</v>
      </c>
      <c r="AG58" s="431">
        <v>39826</v>
      </c>
      <c r="AH58" s="431">
        <v>216322</v>
      </c>
      <c r="AI58" s="431">
        <v>477823</v>
      </c>
      <c r="AJ58" s="431">
        <v>0</v>
      </c>
      <c r="AK58" s="431">
        <v>0</v>
      </c>
      <c r="AL58" s="431">
        <v>244007</v>
      </c>
      <c r="AM58" s="431">
        <v>0</v>
      </c>
    </row>
    <row r="59" spans="1:39" s="155" customFormat="1" ht="12" x14ac:dyDescent="0.2">
      <c r="A59" s="168">
        <v>5</v>
      </c>
      <c r="B59" s="195">
        <v>70726</v>
      </c>
      <c r="C59" s="175" t="s">
        <v>1509</v>
      </c>
      <c r="D59" s="438">
        <f t="shared" si="10"/>
        <v>3599951</v>
      </c>
      <c r="E59" s="431">
        <v>1125235</v>
      </c>
      <c r="F59" s="431">
        <v>131341</v>
      </c>
      <c r="G59" s="431">
        <v>546662</v>
      </c>
      <c r="H59" s="431">
        <v>0</v>
      </c>
      <c r="I59" s="431">
        <v>1109670</v>
      </c>
      <c r="J59" s="431">
        <v>114000</v>
      </c>
      <c r="K59" s="431">
        <v>659000</v>
      </c>
      <c r="L59" s="431">
        <v>0</v>
      </c>
      <c r="M59" s="431">
        <v>592046</v>
      </c>
      <c r="N59" s="431">
        <v>0</v>
      </c>
      <c r="O59" s="431">
        <v>0</v>
      </c>
      <c r="P59" s="438">
        <f t="shared" si="11"/>
        <v>3397695</v>
      </c>
      <c r="Q59" s="431">
        <v>1454711</v>
      </c>
      <c r="R59" s="431">
        <v>417037</v>
      </c>
      <c r="S59" s="431">
        <v>0</v>
      </c>
      <c r="T59" s="431">
        <v>0</v>
      </c>
      <c r="U59" s="431">
        <v>1104</v>
      </c>
      <c r="V59" s="431">
        <v>0</v>
      </c>
      <c r="W59" s="431">
        <v>0</v>
      </c>
      <c r="X59" s="431">
        <v>69110</v>
      </c>
      <c r="Y59" s="431">
        <v>24197</v>
      </c>
      <c r="Z59" s="431">
        <v>1435294</v>
      </c>
      <c r="AA59" s="431">
        <v>0</v>
      </c>
      <c r="AB59" s="431">
        <v>-3758</v>
      </c>
      <c r="AC59" s="431">
        <v>1054037</v>
      </c>
      <c r="AD59" s="431">
        <v>72194</v>
      </c>
      <c r="AE59" s="431">
        <v>938613</v>
      </c>
      <c r="AF59" s="431">
        <v>33824</v>
      </c>
      <c r="AG59" s="431">
        <v>66299</v>
      </c>
      <c r="AH59" s="431">
        <v>230560</v>
      </c>
      <c r="AI59" s="431">
        <v>101091</v>
      </c>
      <c r="AJ59" s="431">
        <v>0</v>
      </c>
      <c r="AK59" s="431">
        <v>0</v>
      </c>
      <c r="AL59" s="431">
        <v>901077</v>
      </c>
      <c r="AM59" s="431">
        <v>0</v>
      </c>
    </row>
    <row r="60" spans="1:39" s="155" customFormat="1" ht="12" x14ac:dyDescent="0.2">
      <c r="A60" s="168">
        <v>6</v>
      </c>
      <c r="B60" s="195">
        <v>70744</v>
      </c>
      <c r="C60" s="175" t="s">
        <v>1510</v>
      </c>
      <c r="D60" s="438">
        <f t="shared" si="10"/>
        <v>5154197</v>
      </c>
      <c r="E60" s="431">
        <v>1242731</v>
      </c>
      <c r="F60" s="431">
        <v>169745</v>
      </c>
      <c r="G60" s="431">
        <v>625083</v>
      </c>
      <c r="H60" s="431">
        <v>0</v>
      </c>
      <c r="I60" s="431">
        <v>2693901</v>
      </c>
      <c r="J60" s="431">
        <v>159000</v>
      </c>
      <c r="K60" s="431">
        <v>811000</v>
      </c>
      <c r="L60" s="431">
        <v>0</v>
      </c>
      <c r="M60" s="431">
        <v>83310</v>
      </c>
      <c r="N60" s="431">
        <v>164255</v>
      </c>
      <c r="O60" s="431">
        <v>0</v>
      </c>
      <c r="P60" s="438">
        <f t="shared" si="11"/>
        <v>4635552</v>
      </c>
      <c r="Q60" s="431">
        <v>2828039</v>
      </c>
      <c r="R60" s="431">
        <v>1102313</v>
      </c>
      <c r="S60" s="431">
        <v>0</v>
      </c>
      <c r="T60" s="431">
        <v>0</v>
      </c>
      <c r="U60" s="431">
        <v>0</v>
      </c>
      <c r="V60" s="431">
        <v>0</v>
      </c>
      <c r="W60" s="431">
        <v>253551</v>
      </c>
      <c r="X60" s="431">
        <v>375624</v>
      </c>
      <c r="Y60" s="431">
        <v>905</v>
      </c>
      <c r="Z60" s="431">
        <v>96302</v>
      </c>
      <c r="AA60" s="431">
        <v>0</v>
      </c>
      <c r="AB60" s="431">
        <v>-21182</v>
      </c>
      <c r="AC60" s="431">
        <v>816262</v>
      </c>
      <c r="AD60" s="431">
        <v>25089</v>
      </c>
      <c r="AE60" s="431">
        <v>2613692</v>
      </c>
      <c r="AF60" s="431">
        <v>34442</v>
      </c>
      <c r="AG60" s="431">
        <v>68054</v>
      </c>
      <c r="AH60" s="431">
        <v>372974</v>
      </c>
      <c r="AI60" s="431">
        <v>453414</v>
      </c>
      <c r="AJ60" s="431">
        <v>37376</v>
      </c>
      <c r="AK60" s="431">
        <v>0</v>
      </c>
      <c r="AL60" s="431">
        <v>214249</v>
      </c>
      <c r="AM60" s="431">
        <v>0</v>
      </c>
    </row>
    <row r="61" spans="1:39" s="155" customFormat="1" ht="12" x14ac:dyDescent="0.2">
      <c r="A61" s="168">
        <v>7</v>
      </c>
      <c r="B61" s="195">
        <v>70897</v>
      </c>
      <c r="C61" s="175" t="s">
        <v>1511</v>
      </c>
      <c r="D61" s="438">
        <f t="shared" si="10"/>
        <v>15521653</v>
      </c>
      <c r="E61" s="431">
        <v>3334212</v>
      </c>
      <c r="F61" s="431">
        <v>572372</v>
      </c>
      <c r="G61" s="431">
        <v>419732</v>
      </c>
      <c r="H61" s="431">
        <v>0</v>
      </c>
      <c r="I61" s="431">
        <v>1747756</v>
      </c>
      <c r="J61" s="431">
        <v>62000</v>
      </c>
      <c r="K61" s="431">
        <v>890000</v>
      </c>
      <c r="L61" s="431">
        <v>0</v>
      </c>
      <c r="M61" s="431">
        <v>2432636</v>
      </c>
      <c r="N61" s="431">
        <v>7055049</v>
      </c>
      <c r="O61" s="431">
        <v>0</v>
      </c>
      <c r="P61" s="438">
        <f t="shared" si="11"/>
        <v>14184971</v>
      </c>
      <c r="Q61" s="431">
        <v>1873868</v>
      </c>
      <c r="R61" s="431">
        <v>659575</v>
      </c>
      <c r="S61" s="431">
        <v>0</v>
      </c>
      <c r="T61" s="431">
        <v>0</v>
      </c>
      <c r="U61" s="431">
        <v>0</v>
      </c>
      <c r="V61" s="431">
        <v>5481</v>
      </c>
      <c r="W61" s="431">
        <v>10444912</v>
      </c>
      <c r="X61" s="431">
        <v>385088</v>
      </c>
      <c r="Y61" s="431">
        <v>20000</v>
      </c>
      <c r="Z61" s="431">
        <v>796047</v>
      </c>
      <c r="AA61" s="431">
        <v>0</v>
      </c>
      <c r="AB61" s="431">
        <v>0</v>
      </c>
      <c r="AC61" s="431">
        <v>1484243</v>
      </c>
      <c r="AD61" s="431">
        <v>13727</v>
      </c>
      <c r="AE61" s="431">
        <v>1473460</v>
      </c>
      <c r="AF61" s="431">
        <v>0</v>
      </c>
      <c r="AG61" s="431">
        <v>351277</v>
      </c>
      <c r="AH61" s="431">
        <v>475433</v>
      </c>
      <c r="AI61" s="431">
        <v>2175197</v>
      </c>
      <c r="AJ61" s="431">
        <v>6685343</v>
      </c>
      <c r="AK61" s="431">
        <v>0</v>
      </c>
      <c r="AL61" s="431">
        <v>1526291</v>
      </c>
      <c r="AM61" s="431">
        <v>0</v>
      </c>
    </row>
    <row r="62" spans="1:39" s="155" customFormat="1" ht="12" x14ac:dyDescent="0.2">
      <c r="A62" s="168">
        <v>8</v>
      </c>
      <c r="B62" s="195">
        <v>70940</v>
      </c>
      <c r="C62" s="175" t="s">
        <v>1512</v>
      </c>
      <c r="D62" s="438">
        <f t="shared" si="10"/>
        <v>27920745</v>
      </c>
      <c r="E62" s="431">
        <v>1582436</v>
      </c>
      <c r="F62" s="431">
        <v>307168</v>
      </c>
      <c r="G62" s="431">
        <v>465158</v>
      </c>
      <c r="H62" s="431">
        <v>0</v>
      </c>
      <c r="I62" s="431">
        <v>2060069</v>
      </c>
      <c r="J62" s="431">
        <v>45000</v>
      </c>
      <c r="K62" s="431">
        <v>1893020</v>
      </c>
      <c r="L62" s="431">
        <v>0</v>
      </c>
      <c r="M62" s="431">
        <v>6224334</v>
      </c>
      <c r="N62" s="431">
        <v>16115634</v>
      </c>
      <c r="O62" s="431">
        <v>252</v>
      </c>
      <c r="P62" s="438">
        <f t="shared" si="11"/>
        <v>26962778</v>
      </c>
      <c r="Q62" s="431">
        <v>2253591</v>
      </c>
      <c r="R62" s="431">
        <v>777349</v>
      </c>
      <c r="S62" s="431">
        <v>0</v>
      </c>
      <c r="T62" s="431">
        <v>0</v>
      </c>
      <c r="U62" s="431">
        <v>930</v>
      </c>
      <c r="V62" s="431">
        <v>0</v>
      </c>
      <c r="W62" s="431">
        <v>23052874</v>
      </c>
      <c r="X62" s="431">
        <v>276327</v>
      </c>
      <c r="Y62" s="431">
        <v>5850</v>
      </c>
      <c r="Z62" s="431">
        <v>598011</v>
      </c>
      <c r="AA62" s="431">
        <v>0</v>
      </c>
      <c r="AB62" s="431">
        <v>-2154</v>
      </c>
      <c r="AC62" s="431">
        <v>1117877</v>
      </c>
      <c r="AD62" s="431">
        <v>132001</v>
      </c>
      <c r="AE62" s="431">
        <v>2145648</v>
      </c>
      <c r="AF62" s="431">
        <v>0</v>
      </c>
      <c r="AG62" s="431">
        <v>267568</v>
      </c>
      <c r="AH62" s="431">
        <v>300682</v>
      </c>
      <c r="AI62" s="431">
        <v>22954104</v>
      </c>
      <c r="AJ62" s="431">
        <v>0</v>
      </c>
      <c r="AK62" s="431">
        <v>0</v>
      </c>
      <c r="AL62" s="431">
        <v>44898</v>
      </c>
      <c r="AM62" s="431">
        <v>0</v>
      </c>
    </row>
    <row r="63" spans="1:39" s="155" customFormat="1" ht="12" x14ac:dyDescent="0.2">
      <c r="A63" s="168">
        <v>9</v>
      </c>
      <c r="B63" s="195">
        <v>70968</v>
      </c>
      <c r="C63" s="175" t="s">
        <v>1513</v>
      </c>
      <c r="D63" s="438">
        <f t="shared" si="10"/>
        <v>2153385</v>
      </c>
      <c r="E63" s="431">
        <v>942349</v>
      </c>
      <c r="F63" s="431">
        <v>36800</v>
      </c>
      <c r="G63" s="431">
        <v>769624</v>
      </c>
      <c r="H63" s="431">
        <v>0</v>
      </c>
      <c r="I63" s="431">
        <v>448258</v>
      </c>
      <c r="J63" s="431">
        <v>78000</v>
      </c>
      <c r="K63" s="431">
        <v>628000</v>
      </c>
      <c r="L63" s="431">
        <v>0</v>
      </c>
      <c r="M63" s="431">
        <v>53998</v>
      </c>
      <c r="N63" s="431">
        <v>0</v>
      </c>
      <c r="O63" s="431">
        <v>2780</v>
      </c>
      <c r="P63" s="438">
        <f t="shared" si="11"/>
        <v>1353779</v>
      </c>
      <c r="Q63" s="431">
        <v>667038</v>
      </c>
      <c r="R63" s="431">
        <v>350131</v>
      </c>
      <c r="S63" s="431">
        <v>0</v>
      </c>
      <c r="T63" s="431">
        <v>0</v>
      </c>
      <c r="U63" s="431">
        <v>0</v>
      </c>
      <c r="V63" s="431">
        <v>0</v>
      </c>
      <c r="W63" s="431">
        <v>0</v>
      </c>
      <c r="X63" s="431">
        <v>89578</v>
      </c>
      <c r="Y63" s="431">
        <v>0</v>
      </c>
      <c r="Z63" s="431">
        <v>248314</v>
      </c>
      <c r="AA63" s="431">
        <v>0</v>
      </c>
      <c r="AB63" s="431">
        <v>-1282</v>
      </c>
      <c r="AC63" s="431">
        <v>606582</v>
      </c>
      <c r="AD63" s="431">
        <v>18558</v>
      </c>
      <c r="AE63" s="431">
        <v>441409</v>
      </c>
      <c r="AF63" s="431">
        <v>0</v>
      </c>
      <c r="AG63" s="431">
        <v>44088</v>
      </c>
      <c r="AH63" s="431">
        <v>89578</v>
      </c>
      <c r="AI63" s="431">
        <v>76560</v>
      </c>
      <c r="AJ63" s="431">
        <v>0</v>
      </c>
      <c r="AK63" s="431">
        <v>0</v>
      </c>
      <c r="AL63" s="431">
        <v>77004</v>
      </c>
      <c r="AM63" s="431">
        <v>0</v>
      </c>
    </row>
    <row r="64" spans="1:39" s="155" customFormat="1" ht="12" x14ac:dyDescent="0.2">
      <c r="A64" s="168">
        <v>10</v>
      </c>
      <c r="B64" s="195">
        <v>70986</v>
      </c>
      <c r="C64" s="175" t="s">
        <v>1514</v>
      </c>
      <c r="D64" s="438">
        <f t="shared" si="10"/>
        <v>2811132</v>
      </c>
      <c r="E64" s="431">
        <v>1078440</v>
      </c>
      <c r="F64" s="431">
        <v>99972</v>
      </c>
      <c r="G64" s="431">
        <v>585474</v>
      </c>
      <c r="H64" s="431">
        <v>0</v>
      </c>
      <c r="I64" s="431">
        <v>864747</v>
      </c>
      <c r="J64" s="431">
        <v>128000</v>
      </c>
      <c r="K64" s="431">
        <v>529000</v>
      </c>
      <c r="L64" s="431">
        <v>0</v>
      </c>
      <c r="M64" s="431">
        <v>117931</v>
      </c>
      <c r="N64" s="431">
        <v>93014</v>
      </c>
      <c r="O64" s="431">
        <v>0</v>
      </c>
      <c r="P64" s="438">
        <f t="shared" si="11"/>
        <v>2222133</v>
      </c>
      <c r="Q64" s="431">
        <v>1146643</v>
      </c>
      <c r="R64" s="431">
        <v>419833</v>
      </c>
      <c r="S64" s="431">
        <v>0</v>
      </c>
      <c r="T64" s="431">
        <v>0</v>
      </c>
      <c r="U64" s="431">
        <v>0</v>
      </c>
      <c r="V64" s="431">
        <v>9148</v>
      </c>
      <c r="W64" s="431">
        <v>121737</v>
      </c>
      <c r="X64" s="431">
        <v>112468</v>
      </c>
      <c r="Y64" s="431">
        <v>10000</v>
      </c>
      <c r="Z64" s="431">
        <v>404087</v>
      </c>
      <c r="AA64" s="431">
        <v>0</v>
      </c>
      <c r="AB64" s="431">
        <v>-1783</v>
      </c>
      <c r="AC64" s="431">
        <v>578053</v>
      </c>
      <c r="AD64" s="431">
        <v>21594</v>
      </c>
      <c r="AE64" s="431">
        <v>853057</v>
      </c>
      <c r="AF64" s="431">
        <v>0</v>
      </c>
      <c r="AG64" s="431">
        <v>22423</v>
      </c>
      <c r="AH64" s="431">
        <v>141878</v>
      </c>
      <c r="AI64" s="431">
        <v>171026</v>
      </c>
      <c r="AJ64" s="431">
        <v>0</v>
      </c>
      <c r="AK64" s="431">
        <v>0</v>
      </c>
      <c r="AL64" s="431">
        <v>434102</v>
      </c>
      <c r="AM64" s="431">
        <v>0</v>
      </c>
    </row>
    <row r="65" spans="1:39" s="155" customFormat="1" ht="12" x14ac:dyDescent="0.2">
      <c r="A65" s="168">
        <v>11</v>
      </c>
      <c r="B65" s="195">
        <v>71055</v>
      </c>
      <c r="C65" s="175" t="s">
        <v>1515</v>
      </c>
      <c r="D65" s="438">
        <f t="shared" si="10"/>
        <v>7146088</v>
      </c>
      <c r="E65" s="431">
        <v>2600412</v>
      </c>
      <c r="F65" s="431">
        <v>1331925</v>
      </c>
      <c r="G65" s="431">
        <v>477111</v>
      </c>
      <c r="H65" s="431">
        <v>0</v>
      </c>
      <c r="I65" s="431">
        <v>1820605</v>
      </c>
      <c r="J65" s="431">
        <v>307009</v>
      </c>
      <c r="K65" s="431">
        <v>1022000</v>
      </c>
      <c r="L65" s="431">
        <v>0</v>
      </c>
      <c r="M65" s="431">
        <v>965670</v>
      </c>
      <c r="N65" s="431">
        <v>430392</v>
      </c>
      <c r="O65" s="431">
        <v>0</v>
      </c>
      <c r="P65" s="438">
        <f t="shared" si="11"/>
        <v>7675100</v>
      </c>
      <c r="Q65" s="431">
        <v>2164297</v>
      </c>
      <c r="R65" s="431">
        <v>2272534</v>
      </c>
      <c r="S65" s="431">
        <v>300186</v>
      </c>
      <c r="T65" s="431">
        <v>0</v>
      </c>
      <c r="U65" s="431">
        <v>678</v>
      </c>
      <c r="V65" s="431">
        <v>0</v>
      </c>
      <c r="W65" s="431">
        <v>1266900</v>
      </c>
      <c r="X65" s="431">
        <v>377708</v>
      </c>
      <c r="Y65" s="431">
        <v>0</v>
      </c>
      <c r="Z65" s="431">
        <v>1292797</v>
      </c>
      <c r="AA65" s="431">
        <v>0</v>
      </c>
      <c r="AB65" s="431">
        <v>0</v>
      </c>
      <c r="AC65" s="431">
        <v>3927497</v>
      </c>
      <c r="AD65" s="431">
        <v>52071</v>
      </c>
      <c r="AE65" s="431">
        <v>1578950</v>
      </c>
      <c r="AF65" s="431">
        <v>20722</v>
      </c>
      <c r="AG65" s="431">
        <v>50000</v>
      </c>
      <c r="AH65" s="431">
        <v>377708</v>
      </c>
      <c r="AI65" s="431">
        <v>727299</v>
      </c>
      <c r="AJ65" s="431">
        <v>0</v>
      </c>
      <c r="AK65" s="431">
        <v>0</v>
      </c>
      <c r="AL65" s="431">
        <v>940853</v>
      </c>
      <c r="AM65" s="431">
        <v>0</v>
      </c>
    </row>
    <row r="66" spans="1:39" s="155" customFormat="1" ht="12" x14ac:dyDescent="0.2">
      <c r="A66" s="168">
        <v>12</v>
      </c>
      <c r="B66" s="195">
        <v>71126</v>
      </c>
      <c r="C66" s="175" t="s">
        <v>1516</v>
      </c>
      <c r="D66" s="438">
        <f t="shared" si="10"/>
        <v>3931423</v>
      </c>
      <c r="E66" s="431">
        <v>1119598</v>
      </c>
      <c r="F66" s="431">
        <v>190036</v>
      </c>
      <c r="G66" s="431">
        <v>581940</v>
      </c>
      <c r="H66" s="431">
        <v>0</v>
      </c>
      <c r="I66" s="431">
        <v>2051996</v>
      </c>
      <c r="J66" s="431">
        <v>153000</v>
      </c>
      <c r="K66" s="431">
        <v>553000</v>
      </c>
      <c r="L66" s="431">
        <v>0</v>
      </c>
      <c r="M66" s="431">
        <v>29571</v>
      </c>
      <c r="N66" s="431">
        <v>0</v>
      </c>
      <c r="O66" s="431">
        <v>24258</v>
      </c>
      <c r="P66" s="438">
        <f t="shared" si="11"/>
        <v>3415630</v>
      </c>
      <c r="Q66" s="431">
        <v>2114433</v>
      </c>
      <c r="R66" s="431">
        <v>812826</v>
      </c>
      <c r="S66" s="431">
        <v>0</v>
      </c>
      <c r="T66" s="431">
        <v>0</v>
      </c>
      <c r="U66" s="431">
        <v>1000</v>
      </c>
      <c r="V66" s="431">
        <v>0</v>
      </c>
      <c r="W66" s="431">
        <v>0</v>
      </c>
      <c r="X66" s="431">
        <v>222800</v>
      </c>
      <c r="Y66" s="431">
        <v>5000</v>
      </c>
      <c r="Z66" s="431">
        <v>259701</v>
      </c>
      <c r="AA66" s="431">
        <v>0</v>
      </c>
      <c r="AB66" s="431">
        <v>-130</v>
      </c>
      <c r="AC66" s="431">
        <v>772444</v>
      </c>
      <c r="AD66" s="431">
        <v>17450</v>
      </c>
      <c r="AE66" s="431">
        <v>1931994</v>
      </c>
      <c r="AF66" s="431">
        <v>0</v>
      </c>
      <c r="AG66" s="431">
        <v>24889</v>
      </c>
      <c r="AH66" s="431">
        <v>222800</v>
      </c>
      <c r="AI66" s="431">
        <v>293054</v>
      </c>
      <c r="AJ66" s="431">
        <v>0</v>
      </c>
      <c r="AK66" s="431">
        <v>0</v>
      </c>
      <c r="AL66" s="431">
        <v>152999</v>
      </c>
      <c r="AM66" s="431">
        <v>0</v>
      </c>
    </row>
    <row r="67" spans="1:39" s="155" customFormat="1" ht="12" x14ac:dyDescent="0.2">
      <c r="A67" s="168">
        <v>13</v>
      </c>
      <c r="B67" s="195">
        <v>71199</v>
      </c>
      <c r="C67" s="175" t="s">
        <v>1517</v>
      </c>
      <c r="D67" s="438">
        <f t="shared" si="10"/>
        <v>3276412</v>
      </c>
      <c r="E67" s="431">
        <v>1138264</v>
      </c>
      <c r="F67" s="431">
        <v>173132</v>
      </c>
      <c r="G67" s="431">
        <v>597879</v>
      </c>
      <c r="H67" s="431">
        <v>0</v>
      </c>
      <c r="I67" s="431">
        <v>1398841</v>
      </c>
      <c r="J67" s="431">
        <v>33000</v>
      </c>
      <c r="K67" s="431">
        <v>656000</v>
      </c>
      <c r="L67" s="431">
        <v>0</v>
      </c>
      <c r="M67" s="431">
        <v>50307</v>
      </c>
      <c r="N67" s="431">
        <v>0</v>
      </c>
      <c r="O67" s="431">
        <v>0</v>
      </c>
      <c r="P67" s="438">
        <f t="shared" si="11"/>
        <v>3628314</v>
      </c>
      <c r="Q67" s="431">
        <v>1749833</v>
      </c>
      <c r="R67" s="431">
        <v>862473</v>
      </c>
      <c r="S67" s="431">
        <v>0</v>
      </c>
      <c r="T67" s="431">
        <v>0</v>
      </c>
      <c r="U67" s="431">
        <v>10000</v>
      </c>
      <c r="V67" s="431">
        <v>0</v>
      </c>
      <c r="W67" s="431">
        <v>0</v>
      </c>
      <c r="X67" s="431">
        <v>163213</v>
      </c>
      <c r="Y67" s="431">
        <v>0</v>
      </c>
      <c r="Z67" s="431">
        <v>844976</v>
      </c>
      <c r="AA67" s="431">
        <v>0</v>
      </c>
      <c r="AB67" s="431">
        <v>-2181</v>
      </c>
      <c r="AC67" s="431">
        <v>898057</v>
      </c>
      <c r="AD67" s="431">
        <v>61161</v>
      </c>
      <c r="AE67" s="431">
        <v>1253171</v>
      </c>
      <c r="AF67" s="431">
        <v>34237</v>
      </c>
      <c r="AG67" s="431">
        <v>76370</v>
      </c>
      <c r="AH67" s="431">
        <v>247323</v>
      </c>
      <c r="AI67" s="431">
        <v>419906</v>
      </c>
      <c r="AJ67" s="431">
        <v>0</v>
      </c>
      <c r="AK67" s="431">
        <v>0</v>
      </c>
      <c r="AL67" s="431">
        <v>638089</v>
      </c>
      <c r="AM67" s="431">
        <v>0</v>
      </c>
    </row>
    <row r="68" spans="1:39" s="155" customFormat="1" ht="12" x14ac:dyDescent="0.2">
      <c r="A68" s="168">
        <v>14</v>
      </c>
      <c r="B68" s="195">
        <v>71260</v>
      </c>
      <c r="C68" s="175" t="s">
        <v>1518</v>
      </c>
      <c r="D68" s="438">
        <f t="shared" si="10"/>
        <v>4720315</v>
      </c>
      <c r="E68" s="431">
        <v>1390265</v>
      </c>
      <c r="F68" s="431">
        <v>300597</v>
      </c>
      <c r="G68" s="431">
        <v>463776</v>
      </c>
      <c r="H68" s="431">
        <v>0</v>
      </c>
      <c r="I68" s="431">
        <v>2377049</v>
      </c>
      <c r="J68" s="431">
        <v>75330</v>
      </c>
      <c r="K68" s="431">
        <v>604000</v>
      </c>
      <c r="L68" s="431">
        <v>0</v>
      </c>
      <c r="M68" s="431">
        <v>38869</v>
      </c>
      <c r="N68" s="431">
        <v>234802</v>
      </c>
      <c r="O68" s="431">
        <v>0</v>
      </c>
      <c r="P68" s="438">
        <f t="shared" si="11"/>
        <v>4638434</v>
      </c>
      <c r="Q68" s="431">
        <v>2852213</v>
      </c>
      <c r="R68" s="431">
        <v>1008085</v>
      </c>
      <c r="S68" s="431">
        <v>0</v>
      </c>
      <c r="T68" s="431">
        <v>0</v>
      </c>
      <c r="U68" s="431">
        <v>0</v>
      </c>
      <c r="V68" s="431">
        <v>0</v>
      </c>
      <c r="W68" s="431">
        <v>243640</v>
      </c>
      <c r="X68" s="431">
        <v>249621</v>
      </c>
      <c r="Y68" s="431">
        <v>6999</v>
      </c>
      <c r="Z68" s="431">
        <v>284230</v>
      </c>
      <c r="AA68" s="431">
        <v>0</v>
      </c>
      <c r="AB68" s="431">
        <v>-6354</v>
      </c>
      <c r="AC68" s="431">
        <v>1226989</v>
      </c>
      <c r="AD68" s="431">
        <v>63486</v>
      </c>
      <c r="AE68" s="431">
        <v>2289879</v>
      </c>
      <c r="AF68" s="431">
        <v>28990</v>
      </c>
      <c r="AG68" s="431">
        <v>45843</v>
      </c>
      <c r="AH68" s="431">
        <v>231587</v>
      </c>
      <c r="AI68" s="431">
        <v>609898</v>
      </c>
      <c r="AJ68" s="431">
        <v>0</v>
      </c>
      <c r="AK68" s="431">
        <v>0</v>
      </c>
      <c r="AL68" s="431">
        <v>141762</v>
      </c>
      <c r="AM68" s="431">
        <v>0</v>
      </c>
    </row>
    <row r="69" spans="1:39" s="155" customFormat="1" ht="12" x14ac:dyDescent="0.2">
      <c r="A69" s="168">
        <v>15</v>
      </c>
      <c r="B69" s="195">
        <v>69964</v>
      </c>
      <c r="C69" s="175" t="s">
        <v>732</v>
      </c>
      <c r="D69" s="438">
        <f t="shared" si="10"/>
        <v>5088572</v>
      </c>
      <c r="E69" s="431">
        <v>1814376</v>
      </c>
      <c r="F69" s="431">
        <v>744821</v>
      </c>
      <c r="G69" s="431">
        <v>411018</v>
      </c>
      <c r="H69" s="431">
        <v>0</v>
      </c>
      <c r="I69" s="431">
        <v>1989118</v>
      </c>
      <c r="J69" s="431">
        <v>58000</v>
      </c>
      <c r="K69" s="431">
        <v>842000</v>
      </c>
      <c r="L69" s="431">
        <v>0</v>
      </c>
      <c r="M69" s="431">
        <v>22496</v>
      </c>
      <c r="N69" s="431">
        <v>327986</v>
      </c>
      <c r="O69" s="431">
        <v>34596</v>
      </c>
      <c r="P69" s="438">
        <f t="shared" si="11"/>
        <v>4739539</v>
      </c>
      <c r="Q69" s="431">
        <v>2486182</v>
      </c>
      <c r="R69" s="431">
        <v>1011523</v>
      </c>
      <c r="S69" s="431">
        <v>0</v>
      </c>
      <c r="T69" s="431">
        <v>0</v>
      </c>
      <c r="U69" s="431">
        <v>0</v>
      </c>
      <c r="V69" s="431">
        <v>16511</v>
      </c>
      <c r="W69" s="431">
        <v>378709</v>
      </c>
      <c r="X69" s="431">
        <v>278991</v>
      </c>
      <c r="Y69" s="431">
        <v>9972</v>
      </c>
      <c r="Z69" s="431">
        <v>886461</v>
      </c>
      <c r="AA69" s="431">
        <v>0</v>
      </c>
      <c r="AB69" s="431">
        <v>-328810</v>
      </c>
      <c r="AC69" s="431">
        <v>1893402</v>
      </c>
      <c r="AD69" s="431">
        <v>52383</v>
      </c>
      <c r="AE69" s="431">
        <v>1812174</v>
      </c>
      <c r="AF69" s="431">
        <v>0</v>
      </c>
      <c r="AG69" s="431">
        <v>106163</v>
      </c>
      <c r="AH69" s="431">
        <v>278145</v>
      </c>
      <c r="AI69" s="431">
        <v>265663</v>
      </c>
      <c r="AJ69" s="431">
        <v>0</v>
      </c>
      <c r="AK69" s="431">
        <v>0</v>
      </c>
      <c r="AL69" s="431">
        <v>321619</v>
      </c>
      <c r="AM69" s="431">
        <v>9990</v>
      </c>
    </row>
    <row r="70" spans="1:39" s="155" customFormat="1" ht="12" x14ac:dyDescent="0.2">
      <c r="A70" s="168">
        <v>16</v>
      </c>
      <c r="B70" s="195">
        <v>71340</v>
      </c>
      <c r="C70" s="175" t="s">
        <v>1519</v>
      </c>
      <c r="D70" s="438">
        <f t="shared" si="10"/>
        <v>3234920</v>
      </c>
      <c r="E70" s="431">
        <v>1129006</v>
      </c>
      <c r="F70" s="431">
        <v>95504</v>
      </c>
      <c r="G70" s="431">
        <v>641925</v>
      </c>
      <c r="H70" s="431">
        <v>0</v>
      </c>
      <c r="I70" s="431">
        <v>896980</v>
      </c>
      <c r="J70" s="431">
        <v>84000</v>
      </c>
      <c r="K70" s="431">
        <v>602000</v>
      </c>
      <c r="L70" s="431">
        <v>0</v>
      </c>
      <c r="M70" s="431">
        <v>485290</v>
      </c>
      <c r="N70" s="431">
        <v>0</v>
      </c>
      <c r="O70" s="431">
        <v>37644</v>
      </c>
      <c r="P70" s="438">
        <f t="shared" si="11"/>
        <v>3687692</v>
      </c>
      <c r="Q70" s="431">
        <v>1094487</v>
      </c>
      <c r="R70" s="431">
        <v>633640</v>
      </c>
      <c r="S70" s="431">
        <v>0</v>
      </c>
      <c r="T70" s="431">
        <v>0</v>
      </c>
      <c r="U70" s="431">
        <v>0</v>
      </c>
      <c r="V70" s="431">
        <v>0</v>
      </c>
      <c r="W70" s="431">
        <v>0</v>
      </c>
      <c r="X70" s="431">
        <v>185248</v>
      </c>
      <c r="Y70" s="431">
        <v>0</v>
      </c>
      <c r="Z70" s="431">
        <v>1783069</v>
      </c>
      <c r="AA70" s="431">
        <v>0</v>
      </c>
      <c r="AB70" s="431">
        <v>-8752</v>
      </c>
      <c r="AC70" s="431">
        <v>946535</v>
      </c>
      <c r="AD70" s="431">
        <v>58223</v>
      </c>
      <c r="AE70" s="431">
        <v>805595</v>
      </c>
      <c r="AF70" s="431">
        <v>5000</v>
      </c>
      <c r="AG70" s="431">
        <v>0</v>
      </c>
      <c r="AH70" s="431">
        <v>214344</v>
      </c>
      <c r="AI70" s="431">
        <v>1070197</v>
      </c>
      <c r="AJ70" s="431">
        <v>0</v>
      </c>
      <c r="AK70" s="431">
        <v>0</v>
      </c>
      <c r="AL70" s="431">
        <v>587798</v>
      </c>
      <c r="AM70" s="431">
        <v>0</v>
      </c>
    </row>
    <row r="71" spans="1:39" s="155" customFormat="1" ht="12" x14ac:dyDescent="0.2">
      <c r="A71" s="168">
        <v>17</v>
      </c>
      <c r="B71" s="195">
        <v>71457</v>
      </c>
      <c r="C71" s="175" t="s">
        <v>1520</v>
      </c>
      <c r="D71" s="438">
        <f t="shared" si="10"/>
        <v>4669195</v>
      </c>
      <c r="E71" s="431">
        <v>1476866</v>
      </c>
      <c r="F71" s="431">
        <v>140255</v>
      </c>
      <c r="G71" s="431">
        <v>575804</v>
      </c>
      <c r="H71" s="431">
        <v>0</v>
      </c>
      <c r="I71" s="431">
        <v>2158909</v>
      </c>
      <c r="J71" s="431">
        <v>232000</v>
      </c>
      <c r="K71" s="431">
        <v>759000</v>
      </c>
      <c r="L71" s="431">
        <v>0</v>
      </c>
      <c r="M71" s="431">
        <v>42420</v>
      </c>
      <c r="N71" s="431">
        <v>0</v>
      </c>
      <c r="O71" s="431">
        <v>0</v>
      </c>
      <c r="P71" s="438">
        <f t="shared" si="11"/>
        <v>5666757</v>
      </c>
      <c r="Q71" s="431">
        <v>2308211</v>
      </c>
      <c r="R71" s="431">
        <v>991404</v>
      </c>
      <c r="S71" s="431">
        <v>0</v>
      </c>
      <c r="T71" s="431">
        <v>0</v>
      </c>
      <c r="U71" s="431">
        <v>3333</v>
      </c>
      <c r="V71" s="431">
        <v>0</v>
      </c>
      <c r="W71" s="431">
        <v>0</v>
      </c>
      <c r="X71" s="431">
        <v>280606</v>
      </c>
      <c r="Y71" s="431">
        <v>5000</v>
      </c>
      <c r="Z71" s="431">
        <v>2094718</v>
      </c>
      <c r="AA71" s="431">
        <v>0</v>
      </c>
      <c r="AB71" s="431">
        <v>-16515</v>
      </c>
      <c r="AC71" s="431">
        <v>900974</v>
      </c>
      <c r="AD71" s="431">
        <v>0</v>
      </c>
      <c r="AE71" s="431">
        <v>2037965</v>
      </c>
      <c r="AF71" s="431">
        <v>0</v>
      </c>
      <c r="AG71" s="431">
        <v>35586</v>
      </c>
      <c r="AH71" s="431">
        <v>279396</v>
      </c>
      <c r="AI71" s="431">
        <v>296089</v>
      </c>
      <c r="AJ71" s="431">
        <v>452775</v>
      </c>
      <c r="AK71" s="431">
        <v>0</v>
      </c>
      <c r="AL71" s="431">
        <v>1663972</v>
      </c>
      <c r="AM71" s="431">
        <v>0</v>
      </c>
    </row>
    <row r="72" spans="1:39" s="155" customFormat="1" ht="12" x14ac:dyDescent="0.2">
      <c r="A72" s="168">
        <v>18</v>
      </c>
      <c r="B72" s="195">
        <v>71518</v>
      </c>
      <c r="C72" s="175" t="s">
        <v>1521</v>
      </c>
      <c r="D72" s="438">
        <f t="shared" si="10"/>
        <v>3266983</v>
      </c>
      <c r="E72" s="431">
        <v>978221</v>
      </c>
      <c r="F72" s="431">
        <v>82799</v>
      </c>
      <c r="G72" s="431">
        <v>555535</v>
      </c>
      <c r="H72" s="431">
        <v>0</v>
      </c>
      <c r="I72" s="431">
        <v>1268694</v>
      </c>
      <c r="J72" s="431">
        <v>67000</v>
      </c>
      <c r="K72" s="431">
        <v>547000</v>
      </c>
      <c r="L72" s="431">
        <v>0</v>
      </c>
      <c r="M72" s="431">
        <v>139201</v>
      </c>
      <c r="N72" s="431">
        <v>245321</v>
      </c>
      <c r="O72" s="431">
        <v>21546</v>
      </c>
      <c r="P72" s="438">
        <f t="shared" si="11"/>
        <v>3106204</v>
      </c>
      <c r="Q72" s="431">
        <v>1521526</v>
      </c>
      <c r="R72" s="431">
        <v>710381</v>
      </c>
      <c r="S72" s="431">
        <v>0</v>
      </c>
      <c r="T72" s="431">
        <v>0</v>
      </c>
      <c r="U72" s="431">
        <v>490</v>
      </c>
      <c r="V72" s="431">
        <v>0</v>
      </c>
      <c r="W72" s="431">
        <v>0</v>
      </c>
      <c r="X72" s="431">
        <v>318524</v>
      </c>
      <c r="Y72" s="431">
        <v>26000</v>
      </c>
      <c r="Z72" s="431">
        <v>543549</v>
      </c>
      <c r="AA72" s="431">
        <v>0</v>
      </c>
      <c r="AB72" s="431">
        <v>-14266</v>
      </c>
      <c r="AC72" s="431">
        <v>1245992</v>
      </c>
      <c r="AD72" s="431">
        <v>28027</v>
      </c>
      <c r="AE72" s="431">
        <v>1090293</v>
      </c>
      <c r="AF72" s="431">
        <v>20422</v>
      </c>
      <c r="AG72" s="431">
        <v>35122</v>
      </c>
      <c r="AH72" s="431">
        <v>318524</v>
      </c>
      <c r="AI72" s="431">
        <v>64890</v>
      </c>
      <c r="AJ72" s="431">
        <v>66836</v>
      </c>
      <c r="AK72" s="431">
        <v>0</v>
      </c>
      <c r="AL72" s="431">
        <v>236098</v>
      </c>
      <c r="AM72" s="431">
        <v>0</v>
      </c>
    </row>
    <row r="73" spans="1:39" s="155" customFormat="1" ht="12" x14ac:dyDescent="0.2">
      <c r="A73" s="168">
        <v>19</v>
      </c>
      <c r="B73" s="195">
        <v>71536</v>
      </c>
      <c r="C73" s="175" t="s">
        <v>1522</v>
      </c>
      <c r="D73" s="438">
        <f t="shared" si="10"/>
        <v>26500323</v>
      </c>
      <c r="E73" s="431">
        <v>1049738</v>
      </c>
      <c r="F73" s="431">
        <v>87171</v>
      </c>
      <c r="G73" s="431">
        <v>685970</v>
      </c>
      <c r="H73" s="431">
        <v>0</v>
      </c>
      <c r="I73" s="431">
        <v>1153531</v>
      </c>
      <c r="J73" s="431">
        <v>189000</v>
      </c>
      <c r="K73" s="431">
        <v>657000</v>
      </c>
      <c r="L73" s="431">
        <v>0</v>
      </c>
      <c r="M73" s="431">
        <v>6618869</v>
      </c>
      <c r="N73" s="431">
        <v>16794577</v>
      </c>
      <c r="O73" s="431">
        <v>37608</v>
      </c>
      <c r="P73" s="438">
        <f t="shared" si="11"/>
        <v>26761533</v>
      </c>
      <c r="Q73" s="431">
        <v>1593771</v>
      </c>
      <c r="R73" s="431">
        <v>619358</v>
      </c>
      <c r="S73" s="431">
        <v>0</v>
      </c>
      <c r="T73" s="431">
        <v>0</v>
      </c>
      <c r="U73" s="431">
        <v>0</v>
      </c>
      <c r="V73" s="431">
        <v>0</v>
      </c>
      <c r="W73" s="431">
        <v>23749630</v>
      </c>
      <c r="X73" s="431">
        <v>148366</v>
      </c>
      <c r="Y73" s="431">
        <v>0</v>
      </c>
      <c r="Z73" s="431">
        <v>652031</v>
      </c>
      <c r="AA73" s="431">
        <v>0</v>
      </c>
      <c r="AB73" s="431">
        <v>-1623</v>
      </c>
      <c r="AC73" s="431">
        <v>23902387</v>
      </c>
      <c r="AD73" s="431">
        <v>28195</v>
      </c>
      <c r="AE73" s="431">
        <v>1037797</v>
      </c>
      <c r="AF73" s="431">
        <v>0</v>
      </c>
      <c r="AG73" s="431">
        <v>122435</v>
      </c>
      <c r="AH73" s="431">
        <v>294063</v>
      </c>
      <c r="AI73" s="431">
        <v>278434</v>
      </c>
      <c r="AJ73" s="431">
        <v>0</v>
      </c>
      <c r="AK73" s="431">
        <v>0</v>
      </c>
      <c r="AL73" s="431">
        <v>1098773</v>
      </c>
      <c r="AM73" s="431">
        <v>-551</v>
      </c>
    </row>
    <row r="74" spans="1:39" s="155" customFormat="1" ht="12" x14ac:dyDescent="0.2">
      <c r="A74" s="168">
        <v>20</v>
      </c>
      <c r="B74" s="195">
        <v>71572</v>
      </c>
      <c r="C74" s="175" t="s">
        <v>1523</v>
      </c>
      <c r="D74" s="438">
        <f t="shared" si="10"/>
        <v>4173539</v>
      </c>
      <c r="E74" s="431">
        <v>1177623</v>
      </c>
      <c r="F74" s="431">
        <v>133730</v>
      </c>
      <c r="G74" s="431">
        <v>515820</v>
      </c>
      <c r="H74" s="431">
        <v>0</v>
      </c>
      <c r="I74" s="431">
        <v>1987336</v>
      </c>
      <c r="J74" s="431">
        <v>173000</v>
      </c>
      <c r="K74" s="431">
        <v>742000</v>
      </c>
      <c r="L74" s="431">
        <v>0</v>
      </c>
      <c r="M74" s="431">
        <v>93580</v>
      </c>
      <c r="N74" s="431">
        <v>0</v>
      </c>
      <c r="O74" s="431">
        <v>0</v>
      </c>
      <c r="P74" s="438">
        <f t="shared" si="11"/>
        <v>4173494</v>
      </c>
      <c r="Q74" s="431">
        <v>2309506</v>
      </c>
      <c r="R74" s="431">
        <v>1118032</v>
      </c>
      <c r="S74" s="431">
        <v>0</v>
      </c>
      <c r="T74" s="431">
        <v>0</v>
      </c>
      <c r="U74" s="431">
        <v>25000</v>
      </c>
      <c r="V74" s="431">
        <v>0</v>
      </c>
      <c r="W74" s="431">
        <v>0</v>
      </c>
      <c r="X74" s="431">
        <v>185578</v>
      </c>
      <c r="Y74" s="431">
        <v>0</v>
      </c>
      <c r="Z74" s="431">
        <v>535378</v>
      </c>
      <c r="AA74" s="431">
        <v>0</v>
      </c>
      <c r="AB74" s="431">
        <v>0</v>
      </c>
      <c r="AC74" s="431">
        <v>711634</v>
      </c>
      <c r="AD74" s="431">
        <v>91928</v>
      </c>
      <c r="AE74" s="431">
        <v>1779949</v>
      </c>
      <c r="AF74" s="431">
        <v>34596</v>
      </c>
      <c r="AG74" s="431">
        <v>214215</v>
      </c>
      <c r="AH74" s="431">
        <v>405047</v>
      </c>
      <c r="AI74" s="431">
        <v>692784</v>
      </c>
      <c r="AJ74" s="431">
        <v>0</v>
      </c>
      <c r="AK74" s="431">
        <v>0</v>
      </c>
      <c r="AL74" s="431">
        <v>243341</v>
      </c>
      <c r="AM74" s="431">
        <v>0</v>
      </c>
    </row>
    <row r="75" spans="1:39" s="155" customFormat="1" ht="12" x14ac:dyDescent="0.2">
      <c r="A75" s="168">
        <v>21</v>
      </c>
      <c r="B75" s="195">
        <v>74842</v>
      </c>
      <c r="C75" s="175" t="s">
        <v>1524</v>
      </c>
      <c r="D75" s="438">
        <f t="shared" si="10"/>
        <v>7254094</v>
      </c>
      <c r="E75" s="431">
        <v>1215005</v>
      </c>
      <c r="F75" s="431">
        <v>205745</v>
      </c>
      <c r="G75" s="431">
        <v>701565</v>
      </c>
      <c r="H75" s="431">
        <v>0</v>
      </c>
      <c r="I75" s="431">
        <v>1054000</v>
      </c>
      <c r="J75" s="431">
        <v>0</v>
      </c>
      <c r="K75" s="431">
        <v>622000</v>
      </c>
      <c r="L75" s="431">
        <v>0</v>
      </c>
      <c r="M75" s="431">
        <v>266912</v>
      </c>
      <c r="N75" s="431">
        <v>4068173</v>
      </c>
      <c r="O75" s="431">
        <v>28004</v>
      </c>
      <c r="P75" s="438">
        <f t="shared" si="11"/>
        <v>2850903</v>
      </c>
      <c r="Q75" s="431">
        <v>1285552</v>
      </c>
      <c r="R75" s="431">
        <v>984095</v>
      </c>
      <c r="S75" s="431">
        <v>0</v>
      </c>
      <c r="T75" s="431">
        <v>0</v>
      </c>
      <c r="U75" s="431">
        <v>0</v>
      </c>
      <c r="V75" s="431">
        <v>0</v>
      </c>
      <c r="W75" s="431">
        <v>160237</v>
      </c>
      <c r="X75" s="431">
        <v>188475</v>
      </c>
      <c r="Y75" s="431">
        <v>0</v>
      </c>
      <c r="Z75" s="431">
        <v>239733</v>
      </c>
      <c r="AA75" s="431">
        <v>0</v>
      </c>
      <c r="AB75" s="431">
        <v>-7189</v>
      </c>
      <c r="AC75" s="431">
        <v>876501</v>
      </c>
      <c r="AD75" s="431">
        <v>109771</v>
      </c>
      <c r="AE75" s="431">
        <v>988998</v>
      </c>
      <c r="AF75" s="431">
        <v>0</v>
      </c>
      <c r="AG75" s="431">
        <v>56424</v>
      </c>
      <c r="AH75" s="431">
        <v>223235</v>
      </c>
      <c r="AI75" s="431">
        <v>295524</v>
      </c>
      <c r="AJ75" s="431">
        <v>60000</v>
      </c>
      <c r="AK75" s="431">
        <v>0</v>
      </c>
      <c r="AL75" s="431">
        <v>169542</v>
      </c>
      <c r="AM75" s="431">
        <v>70908</v>
      </c>
    </row>
    <row r="76" spans="1:39" s="155" customFormat="1" ht="12" x14ac:dyDescent="0.2">
      <c r="A76" s="168">
        <v>22</v>
      </c>
      <c r="B76" s="195">
        <v>71607</v>
      </c>
      <c r="C76" s="175" t="s">
        <v>1525</v>
      </c>
      <c r="D76" s="438">
        <f t="shared" si="10"/>
        <v>7508669</v>
      </c>
      <c r="E76" s="431">
        <v>1605598</v>
      </c>
      <c r="F76" s="431">
        <v>310987</v>
      </c>
      <c r="G76" s="431">
        <v>542091</v>
      </c>
      <c r="H76" s="431">
        <v>0</v>
      </c>
      <c r="I76" s="431">
        <v>4811615</v>
      </c>
      <c r="J76" s="431">
        <v>35979</v>
      </c>
      <c r="K76" s="431">
        <v>883000</v>
      </c>
      <c r="L76" s="431">
        <v>0</v>
      </c>
      <c r="M76" s="431">
        <v>125966</v>
      </c>
      <c r="N76" s="431">
        <v>0</v>
      </c>
      <c r="O76" s="431">
        <v>46511</v>
      </c>
      <c r="P76" s="438">
        <f t="shared" si="11"/>
        <v>6825615</v>
      </c>
      <c r="Q76" s="431">
        <v>5084031</v>
      </c>
      <c r="R76" s="431">
        <v>1092475</v>
      </c>
      <c r="S76" s="431">
        <v>0</v>
      </c>
      <c r="T76" s="431">
        <v>0</v>
      </c>
      <c r="U76" s="431">
        <v>0</v>
      </c>
      <c r="V76" s="431">
        <v>0</v>
      </c>
      <c r="W76" s="431">
        <v>0</v>
      </c>
      <c r="X76" s="431">
        <v>294635</v>
      </c>
      <c r="Y76" s="431">
        <v>19996</v>
      </c>
      <c r="Z76" s="431">
        <v>336964</v>
      </c>
      <c r="AA76" s="431">
        <v>0</v>
      </c>
      <c r="AB76" s="431">
        <v>-2486</v>
      </c>
      <c r="AC76" s="431">
        <v>1162464</v>
      </c>
      <c r="AD76" s="431">
        <v>88341</v>
      </c>
      <c r="AE76" s="431">
        <v>4460612</v>
      </c>
      <c r="AF76" s="431">
        <v>24706</v>
      </c>
      <c r="AG76" s="431">
        <v>80806</v>
      </c>
      <c r="AH76" s="431">
        <v>537332</v>
      </c>
      <c r="AI76" s="431">
        <v>315805</v>
      </c>
      <c r="AJ76" s="431">
        <v>0</v>
      </c>
      <c r="AK76" s="431">
        <v>0</v>
      </c>
      <c r="AL76" s="431">
        <v>155549</v>
      </c>
      <c r="AM76" s="431">
        <v>0</v>
      </c>
    </row>
    <row r="77" spans="1:39" s="155" customFormat="1" ht="12" x14ac:dyDescent="0.2">
      <c r="A77" s="168">
        <v>23</v>
      </c>
      <c r="B77" s="195">
        <v>71634</v>
      </c>
      <c r="C77" s="175" t="s">
        <v>1526</v>
      </c>
      <c r="D77" s="438">
        <f t="shared" si="10"/>
        <v>5160250</v>
      </c>
      <c r="E77" s="431">
        <v>1886412</v>
      </c>
      <c r="F77" s="431">
        <v>185466</v>
      </c>
      <c r="G77" s="431">
        <v>523973</v>
      </c>
      <c r="H77" s="431">
        <v>0</v>
      </c>
      <c r="I77" s="431">
        <v>2159713</v>
      </c>
      <c r="J77" s="431">
        <v>83000</v>
      </c>
      <c r="K77" s="431">
        <v>934000</v>
      </c>
      <c r="L77" s="431">
        <v>0</v>
      </c>
      <c r="M77" s="431">
        <v>42025</v>
      </c>
      <c r="N77" s="431">
        <v>0</v>
      </c>
      <c r="O77" s="431">
        <v>55100</v>
      </c>
      <c r="P77" s="438">
        <f t="shared" si="11"/>
        <v>5476897</v>
      </c>
      <c r="Q77" s="431">
        <v>2581601</v>
      </c>
      <c r="R77" s="431">
        <v>1409718</v>
      </c>
      <c r="S77" s="431">
        <v>0</v>
      </c>
      <c r="T77" s="431">
        <v>0</v>
      </c>
      <c r="U77" s="431">
        <v>82783</v>
      </c>
      <c r="V77" s="431">
        <v>0</v>
      </c>
      <c r="W77" s="431">
        <v>0</v>
      </c>
      <c r="X77" s="431">
        <v>281942</v>
      </c>
      <c r="Y77" s="431">
        <v>36613</v>
      </c>
      <c r="Z77" s="431">
        <v>1091440</v>
      </c>
      <c r="AA77" s="431">
        <v>0</v>
      </c>
      <c r="AB77" s="431">
        <v>-7200</v>
      </c>
      <c r="AC77" s="431">
        <v>1643447</v>
      </c>
      <c r="AD77" s="431">
        <v>131810</v>
      </c>
      <c r="AE77" s="431">
        <v>2221043</v>
      </c>
      <c r="AF77" s="431">
        <v>0</v>
      </c>
      <c r="AG77" s="431">
        <v>141987</v>
      </c>
      <c r="AH77" s="431">
        <v>368857</v>
      </c>
      <c r="AI77" s="431">
        <v>658565</v>
      </c>
      <c r="AJ77" s="431">
        <v>137303</v>
      </c>
      <c r="AK77" s="431">
        <v>0</v>
      </c>
      <c r="AL77" s="431">
        <v>173885</v>
      </c>
      <c r="AM77" s="431">
        <v>0</v>
      </c>
    </row>
    <row r="78" spans="1:39" s="155" customFormat="1" ht="12" x14ac:dyDescent="0.2">
      <c r="A78" s="168">
        <v>24</v>
      </c>
      <c r="B78" s="195">
        <v>71698</v>
      </c>
      <c r="C78" s="175" t="s">
        <v>1527</v>
      </c>
      <c r="D78" s="438">
        <f t="shared" si="10"/>
        <v>3895381</v>
      </c>
      <c r="E78" s="431">
        <v>1283097</v>
      </c>
      <c r="F78" s="431">
        <v>172963</v>
      </c>
      <c r="G78" s="431">
        <v>619955</v>
      </c>
      <c r="H78" s="431">
        <v>0</v>
      </c>
      <c r="I78" s="431">
        <v>1889475</v>
      </c>
      <c r="J78" s="431">
        <v>42383</v>
      </c>
      <c r="K78" s="431">
        <v>618000</v>
      </c>
      <c r="L78" s="431">
        <v>0</v>
      </c>
      <c r="M78" s="431">
        <v>48126</v>
      </c>
      <c r="N78" s="431">
        <v>0</v>
      </c>
      <c r="O78" s="431">
        <v>14300</v>
      </c>
      <c r="P78" s="438">
        <f t="shared" si="11"/>
        <v>3926323</v>
      </c>
      <c r="Q78" s="431">
        <v>2350392</v>
      </c>
      <c r="R78" s="431">
        <v>909750</v>
      </c>
      <c r="S78" s="431">
        <v>0</v>
      </c>
      <c r="T78" s="431">
        <v>0</v>
      </c>
      <c r="U78" s="431">
        <v>1766</v>
      </c>
      <c r="V78" s="431">
        <v>0</v>
      </c>
      <c r="W78" s="431">
        <v>0</v>
      </c>
      <c r="X78" s="431">
        <v>312529</v>
      </c>
      <c r="Y78" s="431">
        <v>0</v>
      </c>
      <c r="Z78" s="431">
        <v>351886</v>
      </c>
      <c r="AA78" s="431">
        <v>0</v>
      </c>
      <c r="AB78" s="431">
        <v>0</v>
      </c>
      <c r="AC78" s="431">
        <v>1337731</v>
      </c>
      <c r="AD78" s="431">
        <v>0</v>
      </c>
      <c r="AE78" s="431">
        <v>1726752</v>
      </c>
      <c r="AF78" s="431">
        <v>15893</v>
      </c>
      <c r="AG78" s="431">
        <v>108082</v>
      </c>
      <c r="AH78" s="431">
        <v>312529</v>
      </c>
      <c r="AI78" s="431">
        <v>182966</v>
      </c>
      <c r="AJ78" s="431">
        <v>0</v>
      </c>
      <c r="AK78" s="431">
        <v>0</v>
      </c>
      <c r="AL78" s="431">
        <v>242370</v>
      </c>
      <c r="AM78" s="431">
        <v>0</v>
      </c>
    </row>
    <row r="79" spans="1:39" s="155" customFormat="1" ht="12" x14ac:dyDescent="0.2">
      <c r="A79" s="168">
        <v>25</v>
      </c>
      <c r="B79" s="195">
        <v>71723</v>
      </c>
      <c r="C79" s="175" t="s">
        <v>1528</v>
      </c>
      <c r="D79" s="438">
        <f t="shared" si="10"/>
        <v>6705427</v>
      </c>
      <c r="E79" s="431">
        <v>1004790</v>
      </c>
      <c r="F79" s="431">
        <v>51863</v>
      </c>
      <c r="G79" s="431">
        <v>611880</v>
      </c>
      <c r="H79" s="431">
        <v>0</v>
      </c>
      <c r="I79" s="431">
        <v>824522</v>
      </c>
      <c r="J79" s="431">
        <v>50000</v>
      </c>
      <c r="K79" s="431">
        <v>556000</v>
      </c>
      <c r="L79" s="431">
        <v>0</v>
      </c>
      <c r="M79" s="431">
        <v>259395</v>
      </c>
      <c r="N79" s="431">
        <v>4010720</v>
      </c>
      <c r="O79" s="431">
        <v>0</v>
      </c>
      <c r="P79" s="438">
        <f t="shared" si="11"/>
        <v>2476477</v>
      </c>
      <c r="Q79" s="431">
        <v>1078297</v>
      </c>
      <c r="R79" s="431">
        <v>673744</v>
      </c>
      <c r="S79" s="431">
        <v>0</v>
      </c>
      <c r="T79" s="431">
        <v>0</v>
      </c>
      <c r="U79" s="431">
        <v>0</v>
      </c>
      <c r="V79" s="431">
        <v>0</v>
      </c>
      <c r="W79" s="431">
        <v>388063</v>
      </c>
      <c r="X79" s="431">
        <v>178068</v>
      </c>
      <c r="Y79" s="431">
        <v>1920</v>
      </c>
      <c r="Z79" s="431">
        <v>158781</v>
      </c>
      <c r="AA79" s="431">
        <v>0</v>
      </c>
      <c r="AB79" s="431">
        <v>-2396</v>
      </c>
      <c r="AC79" s="431">
        <v>669577</v>
      </c>
      <c r="AD79" s="431">
        <v>11959</v>
      </c>
      <c r="AE79" s="431">
        <v>760154</v>
      </c>
      <c r="AF79" s="431">
        <v>32668</v>
      </c>
      <c r="AG79" s="431">
        <v>44477</v>
      </c>
      <c r="AH79" s="431">
        <v>169219</v>
      </c>
      <c r="AI79" s="431">
        <v>456577</v>
      </c>
      <c r="AJ79" s="431">
        <v>0</v>
      </c>
      <c r="AK79" s="431">
        <v>0</v>
      </c>
      <c r="AL79" s="431">
        <v>313183</v>
      </c>
      <c r="AM79" s="431">
        <v>18663</v>
      </c>
    </row>
    <row r="80" spans="1:39" s="155" customFormat="1" ht="12" x14ac:dyDescent="0.2">
      <c r="A80" s="168">
        <v>26</v>
      </c>
      <c r="B80" s="195">
        <v>71787</v>
      </c>
      <c r="C80" s="175" t="s">
        <v>1529</v>
      </c>
      <c r="D80" s="438">
        <f t="shared" si="10"/>
        <v>10300963</v>
      </c>
      <c r="E80" s="431">
        <v>1903299</v>
      </c>
      <c r="F80" s="431">
        <v>448864</v>
      </c>
      <c r="G80" s="431">
        <v>495495</v>
      </c>
      <c r="H80" s="431">
        <v>0</v>
      </c>
      <c r="I80" s="431">
        <v>2786690</v>
      </c>
      <c r="J80" s="431">
        <v>63839</v>
      </c>
      <c r="K80" s="431">
        <v>1140000</v>
      </c>
      <c r="L80" s="431">
        <v>0</v>
      </c>
      <c r="M80" s="431">
        <v>1320462</v>
      </c>
      <c r="N80" s="431">
        <v>3086673</v>
      </c>
      <c r="O80" s="431">
        <v>0</v>
      </c>
      <c r="P80" s="438">
        <f t="shared" si="11"/>
        <v>9688381</v>
      </c>
      <c r="Q80" s="431">
        <v>3502774</v>
      </c>
      <c r="R80" s="431">
        <v>1561530</v>
      </c>
      <c r="S80" s="431">
        <v>0</v>
      </c>
      <c r="T80" s="431">
        <v>0</v>
      </c>
      <c r="U80" s="431">
        <v>1600</v>
      </c>
      <c r="V80" s="431">
        <v>0</v>
      </c>
      <c r="W80" s="431">
        <v>1914684</v>
      </c>
      <c r="X80" s="431">
        <v>303428</v>
      </c>
      <c r="Y80" s="431">
        <v>17732</v>
      </c>
      <c r="Z80" s="431">
        <v>2390071</v>
      </c>
      <c r="AA80" s="431">
        <v>0</v>
      </c>
      <c r="AB80" s="431">
        <v>-3438</v>
      </c>
      <c r="AC80" s="431">
        <v>1398868</v>
      </c>
      <c r="AD80" s="431">
        <v>1879</v>
      </c>
      <c r="AE80" s="431">
        <v>2614611</v>
      </c>
      <c r="AF80" s="431">
        <v>26036</v>
      </c>
      <c r="AG80" s="431">
        <v>88730</v>
      </c>
      <c r="AH80" s="431">
        <v>1140900</v>
      </c>
      <c r="AI80" s="431">
        <v>477792</v>
      </c>
      <c r="AJ80" s="431">
        <v>1557196</v>
      </c>
      <c r="AK80" s="431">
        <v>0</v>
      </c>
      <c r="AL80" s="431">
        <v>1548135</v>
      </c>
      <c r="AM80" s="431">
        <v>834234</v>
      </c>
    </row>
    <row r="81" spans="1:39" s="155" customFormat="1" ht="12" x14ac:dyDescent="0.2">
      <c r="A81" s="168">
        <v>27</v>
      </c>
      <c r="B81" s="195">
        <v>71812</v>
      </c>
      <c r="C81" s="175" t="s">
        <v>1530</v>
      </c>
      <c r="D81" s="438">
        <f t="shared" si="10"/>
        <v>2674430</v>
      </c>
      <c r="E81" s="431">
        <v>1230510</v>
      </c>
      <c r="F81" s="431">
        <v>72959</v>
      </c>
      <c r="G81" s="431">
        <v>658766</v>
      </c>
      <c r="H81" s="431">
        <v>0</v>
      </c>
      <c r="I81" s="431">
        <v>812000</v>
      </c>
      <c r="J81" s="431">
        <v>24000</v>
      </c>
      <c r="K81" s="431">
        <v>604000</v>
      </c>
      <c r="L81" s="431">
        <v>0</v>
      </c>
      <c r="M81" s="431">
        <v>3920</v>
      </c>
      <c r="N81" s="431">
        <v>0</v>
      </c>
      <c r="O81" s="431">
        <v>0</v>
      </c>
      <c r="P81" s="438">
        <f t="shared" si="11"/>
        <v>1776497</v>
      </c>
      <c r="Q81" s="431">
        <v>1078712</v>
      </c>
      <c r="R81" s="431">
        <v>468486</v>
      </c>
      <c r="S81" s="431">
        <v>0</v>
      </c>
      <c r="T81" s="431">
        <v>0</v>
      </c>
      <c r="U81" s="431">
        <v>0</v>
      </c>
      <c r="V81" s="431">
        <v>0</v>
      </c>
      <c r="W81" s="431">
        <v>0</v>
      </c>
      <c r="X81" s="431">
        <v>77182</v>
      </c>
      <c r="Y81" s="431">
        <v>0</v>
      </c>
      <c r="Z81" s="431">
        <v>152355</v>
      </c>
      <c r="AA81" s="431">
        <v>0</v>
      </c>
      <c r="AB81" s="431">
        <v>-238</v>
      </c>
      <c r="AC81" s="431">
        <v>695917</v>
      </c>
      <c r="AD81" s="431">
        <v>16928</v>
      </c>
      <c r="AE81" s="431">
        <v>734259</v>
      </c>
      <c r="AF81" s="431">
        <v>0</v>
      </c>
      <c r="AG81" s="431">
        <v>48810</v>
      </c>
      <c r="AH81" s="431">
        <v>76960</v>
      </c>
      <c r="AI81" s="431">
        <v>151234</v>
      </c>
      <c r="AJ81" s="431">
        <v>0</v>
      </c>
      <c r="AK81" s="431">
        <v>0</v>
      </c>
      <c r="AL81" s="431">
        <v>52389</v>
      </c>
      <c r="AM81" s="431">
        <v>0</v>
      </c>
    </row>
    <row r="82" spans="1:39" s="155" customFormat="1" ht="12" x14ac:dyDescent="0.2">
      <c r="A82" s="168">
        <v>28</v>
      </c>
      <c r="B82" s="195">
        <v>71858</v>
      </c>
      <c r="C82" s="175" t="s">
        <v>1531</v>
      </c>
      <c r="D82" s="438">
        <f t="shared" si="10"/>
        <v>6379832</v>
      </c>
      <c r="E82" s="431">
        <v>1504240</v>
      </c>
      <c r="F82" s="431">
        <v>210321</v>
      </c>
      <c r="G82" s="431">
        <v>662458</v>
      </c>
      <c r="H82" s="431">
        <v>0</v>
      </c>
      <c r="I82" s="431">
        <v>2251567</v>
      </c>
      <c r="J82" s="431">
        <v>99000</v>
      </c>
      <c r="K82" s="431">
        <v>1125000</v>
      </c>
      <c r="L82" s="431">
        <v>0</v>
      </c>
      <c r="M82" s="431">
        <v>692311</v>
      </c>
      <c r="N82" s="431">
        <v>707714</v>
      </c>
      <c r="O82" s="431">
        <v>0</v>
      </c>
      <c r="P82" s="438">
        <f t="shared" si="11"/>
        <v>6259558</v>
      </c>
      <c r="Q82" s="431">
        <v>3039828</v>
      </c>
      <c r="R82" s="431">
        <v>1325959</v>
      </c>
      <c r="S82" s="431">
        <v>0</v>
      </c>
      <c r="T82" s="431">
        <v>0</v>
      </c>
      <c r="U82" s="431">
        <v>0</v>
      </c>
      <c r="V82" s="431">
        <v>0</v>
      </c>
      <c r="W82" s="431">
        <v>735831</v>
      </c>
      <c r="X82" s="431">
        <v>184995</v>
      </c>
      <c r="Y82" s="431">
        <v>40000</v>
      </c>
      <c r="Z82" s="431">
        <v>1104802</v>
      </c>
      <c r="AA82" s="431">
        <v>0</v>
      </c>
      <c r="AB82" s="431">
        <v>-171857</v>
      </c>
      <c r="AC82" s="431">
        <v>1916733</v>
      </c>
      <c r="AD82" s="431">
        <v>120839</v>
      </c>
      <c r="AE82" s="431">
        <v>1769172</v>
      </c>
      <c r="AF82" s="431">
        <v>0</v>
      </c>
      <c r="AG82" s="431">
        <v>277916</v>
      </c>
      <c r="AH82" s="431">
        <v>493708</v>
      </c>
      <c r="AI82" s="431">
        <v>433303</v>
      </c>
      <c r="AJ82" s="431">
        <v>490491</v>
      </c>
      <c r="AK82" s="431">
        <v>0</v>
      </c>
      <c r="AL82" s="431">
        <v>757396</v>
      </c>
      <c r="AM82" s="431">
        <v>0</v>
      </c>
    </row>
    <row r="83" spans="1:39" s="155" customFormat="1" ht="12" x14ac:dyDescent="0.2">
      <c r="A83" s="168">
        <v>29</v>
      </c>
      <c r="B83" s="195">
        <v>74859</v>
      </c>
      <c r="C83" s="175" t="s">
        <v>1532</v>
      </c>
      <c r="D83" s="438">
        <f t="shared" si="10"/>
        <v>8545786</v>
      </c>
      <c r="E83" s="431">
        <v>6640494</v>
      </c>
      <c r="F83" s="431">
        <v>3765500</v>
      </c>
      <c r="G83" s="431">
        <v>73955</v>
      </c>
      <c r="H83" s="431">
        <v>0</v>
      </c>
      <c r="I83" s="431">
        <v>1712892</v>
      </c>
      <c r="J83" s="431">
        <v>0</v>
      </c>
      <c r="K83" s="431">
        <v>192000</v>
      </c>
      <c r="L83" s="431">
        <v>0</v>
      </c>
      <c r="M83" s="431">
        <v>400</v>
      </c>
      <c r="N83" s="431">
        <v>0</v>
      </c>
      <c r="O83" s="431">
        <v>0</v>
      </c>
      <c r="P83" s="438">
        <f t="shared" si="11"/>
        <v>6120702</v>
      </c>
      <c r="Q83" s="431">
        <v>2041050</v>
      </c>
      <c r="R83" s="431">
        <v>1370936</v>
      </c>
      <c r="S83" s="431">
        <v>0</v>
      </c>
      <c r="T83" s="431">
        <v>0</v>
      </c>
      <c r="U83" s="431">
        <v>0</v>
      </c>
      <c r="V83" s="431">
        <v>0</v>
      </c>
      <c r="W83" s="431">
        <v>0</v>
      </c>
      <c r="X83" s="431">
        <v>53379</v>
      </c>
      <c r="Y83" s="431">
        <v>35738</v>
      </c>
      <c r="Z83" s="431">
        <v>2619599</v>
      </c>
      <c r="AA83" s="431">
        <v>0</v>
      </c>
      <c r="AB83" s="431">
        <v>0</v>
      </c>
      <c r="AC83" s="431">
        <v>955270</v>
      </c>
      <c r="AD83" s="431">
        <v>0</v>
      </c>
      <c r="AE83" s="431">
        <v>1985305</v>
      </c>
      <c r="AF83" s="431">
        <v>0</v>
      </c>
      <c r="AG83" s="431">
        <v>866077</v>
      </c>
      <c r="AH83" s="431">
        <v>86274</v>
      </c>
      <c r="AI83" s="431">
        <v>250916</v>
      </c>
      <c r="AJ83" s="431">
        <v>1683497</v>
      </c>
      <c r="AK83" s="431">
        <v>0</v>
      </c>
      <c r="AL83" s="431">
        <v>280346</v>
      </c>
      <c r="AM83" s="431">
        <v>13017</v>
      </c>
    </row>
    <row r="84" spans="1:39" s="155" customFormat="1" ht="12" x14ac:dyDescent="0.2">
      <c r="A84" s="168">
        <v>30</v>
      </c>
      <c r="B84" s="195">
        <v>74867</v>
      </c>
      <c r="C84" s="175" t="s">
        <v>1533</v>
      </c>
      <c r="D84" s="438">
        <f t="shared" si="10"/>
        <v>2675296</v>
      </c>
      <c r="E84" s="431">
        <v>1061844</v>
      </c>
      <c r="F84" s="431">
        <v>62626</v>
      </c>
      <c r="G84" s="431">
        <v>683128</v>
      </c>
      <c r="H84" s="431">
        <v>0</v>
      </c>
      <c r="I84" s="431">
        <v>661484</v>
      </c>
      <c r="J84" s="431">
        <v>0</v>
      </c>
      <c r="K84" s="431">
        <v>573000</v>
      </c>
      <c r="L84" s="431">
        <v>0</v>
      </c>
      <c r="M84" s="431">
        <v>51139</v>
      </c>
      <c r="N84" s="431">
        <v>327829</v>
      </c>
      <c r="O84" s="431">
        <v>0</v>
      </c>
      <c r="P84" s="438">
        <f t="shared" si="11"/>
        <v>2785903</v>
      </c>
      <c r="Q84" s="431">
        <v>897155</v>
      </c>
      <c r="R84" s="431">
        <v>388444</v>
      </c>
      <c r="S84" s="431">
        <v>0</v>
      </c>
      <c r="T84" s="431">
        <v>0</v>
      </c>
      <c r="U84" s="431">
        <v>0</v>
      </c>
      <c r="V84" s="431">
        <v>0</v>
      </c>
      <c r="W84" s="431">
        <v>254275</v>
      </c>
      <c r="X84" s="431">
        <v>114194</v>
      </c>
      <c r="Y84" s="431">
        <v>0</v>
      </c>
      <c r="Z84" s="431">
        <v>1144778</v>
      </c>
      <c r="AA84" s="431">
        <v>0</v>
      </c>
      <c r="AB84" s="431">
        <v>-12943</v>
      </c>
      <c r="AC84" s="431">
        <v>956486</v>
      </c>
      <c r="AD84" s="431">
        <v>9380</v>
      </c>
      <c r="AE84" s="431">
        <v>685296</v>
      </c>
      <c r="AF84" s="431">
        <v>0</v>
      </c>
      <c r="AG84" s="431">
        <v>216117</v>
      </c>
      <c r="AH84" s="431">
        <v>114194</v>
      </c>
      <c r="AI84" s="431">
        <v>707774</v>
      </c>
      <c r="AJ84" s="431">
        <v>0</v>
      </c>
      <c r="AK84" s="431">
        <v>0</v>
      </c>
      <c r="AL84" s="431">
        <v>96656</v>
      </c>
      <c r="AM84" s="431">
        <v>0</v>
      </c>
    </row>
    <row r="85" spans="1:39" s="155" customFormat="1" ht="12" x14ac:dyDescent="0.2">
      <c r="A85" s="168">
        <v>31</v>
      </c>
      <c r="B85" s="195">
        <v>71885</v>
      </c>
      <c r="C85" s="175" t="s">
        <v>1534</v>
      </c>
      <c r="D85" s="438">
        <f t="shared" si="10"/>
        <v>3922972</v>
      </c>
      <c r="E85" s="431">
        <v>1548400</v>
      </c>
      <c r="F85" s="431">
        <v>606726</v>
      </c>
      <c r="G85" s="431">
        <v>332491</v>
      </c>
      <c r="H85" s="431">
        <v>0</v>
      </c>
      <c r="I85" s="431">
        <v>1353509</v>
      </c>
      <c r="J85" s="431">
        <v>0</v>
      </c>
      <c r="K85" s="431">
        <v>429000</v>
      </c>
      <c r="L85" s="431">
        <v>0</v>
      </c>
      <c r="M85" s="431">
        <v>589739</v>
      </c>
      <c r="N85" s="431">
        <v>0</v>
      </c>
      <c r="O85" s="431">
        <v>2324</v>
      </c>
      <c r="P85" s="438">
        <f t="shared" si="11"/>
        <v>4057074</v>
      </c>
      <c r="Q85" s="431">
        <v>1674660</v>
      </c>
      <c r="R85" s="431">
        <v>863256</v>
      </c>
      <c r="S85" s="431">
        <v>0</v>
      </c>
      <c r="T85" s="431">
        <v>0</v>
      </c>
      <c r="U85" s="431">
        <v>0</v>
      </c>
      <c r="V85" s="431">
        <v>0</v>
      </c>
      <c r="W85" s="431">
        <v>0</v>
      </c>
      <c r="X85" s="431">
        <v>136548</v>
      </c>
      <c r="Y85" s="431">
        <v>14523</v>
      </c>
      <c r="Z85" s="431">
        <v>1370342</v>
      </c>
      <c r="AA85" s="431">
        <v>0</v>
      </c>
      <c r="AB85" s="431">
        <v>-2255</v>
      </c>
      <c r="AC85" s="431">
        <v>1426726</v>
      </c>
      <c r="AD85" s="431">
        <v>46981</v>
      </c>
      <c r="AE85" s="431">
        <v>1203878</v>
      </c>
      <c r="AF85" s="431">
        <v>0</v>
      </c>
      <c r="AG85" s="431">
        <v>143778</v>
      </c>
      <c r="AH85" s="431">
        <v>266775</v>
      </c>
      <c r="AI85" s="431">
        <v>672529</v>
      </c>
      <c r="AJ85" s="431">
        <v>9766</v>
      </c>
      <c r="AK85" s="431">
        <v>0</v>
      </c>
      <c r="AL85" s="431">
        <v>273025</v>
      </c>
      <c r="AM85" s="431">
        <v>13616</v>
      </c>
    </row>
    <row r="86" spans="1:39" s="155" customFormat="1" ht="12" x14ac:dyDescent="0.2">
      <c r="A86" s="168">
        <v>32</v>
      </c>
      <c r="B86" s="195">
        <v>71910</v>
      </c>
      <c r="C86" s="175" t="s">
        <v>1535</v>
      </c>
      <c r="D86" s="438">
        <f t="shared" si="10"/>
        <v>4068889</v>
      </c>
      <c r="E86" s="431">
        <v>1113712</v>
      </c>
      <c r="F86" s="431">
        <v>124672</v>
      </c>
      <c r="G86" s="431">
        <v>527428</v>
      </c>
      <c r="H86" s="431">
        <v>0</v>
      </c>
      <c r="I86" s="431">
        <v>1323578</v>
      </c>
      <c r="J86" s="431">
        <v>0</v>
      </c>
      <c r="K86" s="431">
        <v>531000</v>
      </c>
      <c r="L86" s="431">
        <v>0</v>
      </c>
      <c r="M86" s="431">
        <v>274564</v>
      </c>
      <c r="N86" s="431">
        <v>813787</v>
      </c>
      <c r="O86" s="431">
        <v>12248</v>
      </c>
      <c r="P86" s="438">
        <f t="shared" si="11"/>
        <v>3852478</v>
      </c>
      <c r="Q86" s="431">
        <v>1659828</v>
      </c>
      <c r="R86" s="431">
        <v>383558</v>
      </c>
      <c r="S86" s="431">
        <v>0</v>
      </c>
      <c r="T86" s="431">
        <v>0</v>
      </c>
      <c r="U86" s="431">
        <v>0</v>
      </c>
      <c r="V86" s="431">
        <v>0</v>
      </c>
      <c r="W86" s="431">
        <v>1453610</v>
      </c>
      <c r="X86" s="431">
        <v>162788</v>
      </c>
      <c r="Y86" s="431">
        <v>5320</v>
      </c>
      <c r="Z86" s="431">
        <v>188956</v>
      </c>
      <c r="AA86" s="431">
        <v>0</v>
      </c>
      <c r="AB86" s="431">
        <v>-1582</v>
      </c>
      <c r="AC86" s="431">
        <v>586732</v>
      </c>
      <c r="AD86" s="431">
        <v>20083</v>
      </c>
      <c r="AE86" s="431">
        <v>1326573</v>
      </c>
      <c r="AF86" s="431">
        <v>0</v>
      </c>
      <c r="AG86" s="431">
        <v>19601</v>
      </c>
      <c r="AH86" s="431">
        <v>150540</v>
      </c>
      <c r="AI86" s="431">
        <v>832359</v>
      </c>
      <c r="AJ86" s="431">
        <v>916590</v>
      </c>
      <c r="AK86" s="431">
        <v>0</v>
      </c>
      <c r="AL86" s="431">
        <v>0</v>
      </c>
      <c r="AM86" s="431">
        <v>0</v>
      </c>
    </row>
    <row r="87" spans="1:39" s="155" customFormat="1" ht="12" x14ac:dyDescent="0.2">
      <c r="A87" s="168">
        <v>33</v>
      </c>
      <c r="B87" s="195">
        <v>74875</v>
      </c>
      <c r="C87" s="175" t="s">
        <v>1536</v>
      </c>
      <c r="D87" s="438">
        <f t="shared" ref="D87:D118" si="12">E87+SUM(H87:O87)</f>
        <v>3199817</v>
      </c>
      <c r="E87" s="431">
        <v>1133204</v>
      </c>
      <c r="F87" s="431">
        <v>181023</v>
      </c>
      <c r="G87" s="431">
        <v>451849</v>
      </c>
      <c r="H87" s="431">
        <v>0</v>
      </c>
      <c r="I87" s="431">
        <v>1019347</v>
      </c>
      <c r="J87" s="431">
        <v>37000</v>
      </c>
      <c r="K87" s="431">
        <v>529000</v>
      </c>
      <c r="L87" s="431">
        <v>0</v>
      </c>
      <c r="M87" s="431">
        <v>232959</v>
      </c>
      <c r="N87" s="431">
        <v>248307</v>
      </c>
      <c r="O87" s="431">
        <v>0</v>
      </c>
      <c r="P87" s="438">
        <f t="shared" ref="P87:P118" si="13">IF(SUM(Q87:AB87)=SUM(AC87:AM87),SUM(Q87:AB87),"  EROARE ART/CAP")</f>
        <v>3446939</v>
      </c>
      <c r="Q87" s="431">
        <v>1348985</v>
      </c>
      <c r="R87" s="431">
        <v>710718</v>
      </c>
      <c r="S87" s="431">
        <v>0</v>
      </c>
      <c r="T87" s="431">
        <v>0</v>
      </c>
      <c r="U87" s="431">
        <v>0</v>
      </c>
      <c r="V87" s="431">
        <v>0</v>
      </c>
      <c r="W87" s="431">
        <v>726786</v>
      </c>
      <c r="X87" s="431">
        <v>173143</v>
      </c>
      <c r="Y87" s="431">
        <v>0</v>
      </c>
      <c r="Z87" s="431">
        <v>489671</v>
      </c>
      <c r="AA87" s="431">
        <v>0</v>
      </c>
      <c r="AB87" s="431">
        <v>-2364</v>
      </c>
      <c r="AC87" s="431">
        <v>1070521</v>
      </c>
      <c r="AD87" s="431">
        <v>18264</v>
      </c>
      <c r="AE87" s="431">
        <v>1075086</v>
      </c>
      <c r="AF87" s="431">
        <v>0</v>
      </c>
      <c r="AG87" s="431">
        <v>153867</v>
      </c>
      <c r="AH87" s="431">
        <v>173143</v>
      </c>
      <c r="AI87" s="431">
        <v>62286</v>
      </c>
      <c r="AJ87" s="431">
        <v>0</v>
      </c>
      <c r="AK87" s="431">
        <v>0</v>
      </c>
      <c r="AL87" s="431">
        <v>862209</v>
      </c>
      <c r="AM87" s="431">
        <v>31563</v>
      </c>
    </row>
    <row r="88" spans="1:39" s="155" customFormat="1" ht="12" x14ac:dyDescent="0.2">
      <c r="A88" s="168">
        <v>34</v>
      </c>
      <c r="B88" s="195">
        <v>71956</v>
      </c>
      <c r="C88" s="175" t="s">
        <v>1537</v>
      </c>
      <c r="D88" s="438">
        <f t="shared" si="12"/>
        <v>7810266</v>
      </c>
      <c r="E88" s="431">
        <v>1707969</v>
      </c>
      <c r="F88" s="431">
        <v>276920</v>
      </c>
      <c r="G88" s="431">
        <v>563529</v>
      </c>
      <c r="H88" s="431">
        <v>0</v>
      </c>
      <c r="I88" s="431">
        <v>3149638</v>
      </c>
      <c r="J88" s="431">
        <v>39000</v>
      </c>
      <c r="K88" s="431">
        <v>989000</v>
      </c>
      <c r="L88" s="431">
        <v>0</v>
      </c>
      <c r="M88" s="431">
        <v>223388</v>
      </c>
      <c r="N88" s="431">
        <v>1639369</v>
      </c>
      <c r="O88" s="431">
        <v>61902</v>
      </c>
      <c r="P88" s="438">
        <f t="shared" si="13"/>
        <v>5466025</v>
      </c>
      <c r="Q88" s="431">
        <v>3935657</v>
      </c>
      <c r="R88" s="431">
        <v>1087967</v>
      </c>
      <c r="S88" s="431">
        <v>0</v>
      </c>
      <c r="T88" s="431">
        <v>0</v>
      </c>
      <c r="U88" s="431">
        <v>59981</v>
      </c>
      <c r="V88" s="431">
        <v>0</v>
      </c>
      <c r="W88" s="431">
        <v>0</v>
      </c>
      <c r="X88" s="431">
        <v>266194</v>
      </c>
      <c r="Y88" s="431">
        <v>0</v>
      </c>
      <c r="Z88" s="431">
        <v>124698</v>
      </c>
      <c r="AA88" s="431">
        <v>0</v>
      </c>
      <c r="AB88" s="431">
        <v>-8472</v>
      </c>
      <c r="AC88" s="431">
        <v>1659823</v>
      </c>
      <c r="AD88" s="431">
        <v>0</v>
      </c>
      <c r="AE88" s="431">
        <v>2755990</v>
      </c>
      <c r="AF88" s="431">
        <v>37831</v>
      </c>
      <c r="AG88" s="431">
        <v>98110</v>
      </c>
      <c r="AH88" s="431">
        <v>686068</v>
      </c>
      <c r="AI88" s="431">
        <v>143043</v>
      </c>
      <c r="AJ88" s="431">
        <v>0</v>
      </c>
      <c r="AK88" s="431">
        <v>0</v>
      </c>
      <c r="AL88" s="431">
        <v>85160</v>
      </c>
      <c r="AM88" s="431">
        <v>0</v>
      </c>
    </row>
    <row r="89" spans="1:39" s="155" customFormat="1" ht="12" x14ac:dyDescent="0.2">
      <c r="A89" s="168">
        <v>35</v>
      </c>
      <c r="B89" s="195">
        <v>72034</v>
      </c>
      <c r="C89" s="175" t="s">
        <v>1538</v>
      </c>
      <c r="D89" s="438">
        <f t="shared" si="12"/>
        <v>6350678</v>
      </c>
      <c r="E89" s="431">
        <v>1265409</v>
      </c>
      <c r="F89" s="431">
        <v>153608</v>
      </c>
      <c r="G89" s="431">
        <v>628722</v>
      </c>
      <c r="H89" s="431">
        <v>0</v>
      </c>
      <c r="I89" s="431">
        <v>2079309</v>
      </c>
      <c r="J89" s="431">
        <v>0</v>
      </c>
      <c r="K89" s="431">
        <v>818000</v>
      </c>
      <c r="L89" s="431">
        <v>0</v>
      </c>
      <c r="M89" s="431">
        <v>2001747</v>
      </c>
      <c r="N89" s="431">
        <v>186213</v>
      </c>
      <c r="O89" s="431">
        <v>0</v>
      </c>
      <c r="P89" s="438">
        <f t="shared" si="13"/>
        <v>6275092</v>
      </c>
      <c r="Q89" s="431">
        <v>2701193</v>
      </c>
      <c r="R89" s="431">
        <v>943231</v>
      </c>
      <c r="S89" s="431">
        <v>0</v>
      </c>
      <c r="T89" s="431">
        <v>0</v>
      </c>
      <c r="U89" s="431">
        <v>53717</v>
      </c>
      <c r="V89" s="431">
        <v>0</v>
      </c>
      <c r="W89" s="431">
        <v>0</v>
      </c>
      <c r="X89" s="431">
        <v>226245</v>
      </c>
      <c r="Y89" s="431">
        <v>0</v>
      </c>
      <c r="Z89" s="431">
        <v>2352772</v>
      </c>
      <c r="AA89" s="431">
        <v>0</v>
      </c>
      <c r="AB89" s="431">
        <v>-2066</v>
      </c>
      <c r="AC89" s="431">
        <v>1400233</v>
      </c>
      <c r="AD89" s="431">
        <v>2719</v>
      </c>
      <c r="AE89" s="431">
        <v>2250187</v>
      </c>
      <c r="AF89" s="431">
        <v>26150</v>
      </c>
      <c r="AG89" s="431">
        <v>53679</v>
      </c>
      <c r="AH89" s="431">
        <v>600368</v>
      </c>
      <c r="AI89" s="431">
        <v>340062</v>
      </c>
      <c r="AJ89" s="431">
        <v>1345375</v>
      </c>
      <c r="AK89" s="431">
        <v>0</v>
      </c>
      <c r="AL89" s="431">
        <v>256319</v>
      </c>
      <c r="AM89" s="431">
        <v>0</v>
      </c>
    </row>
    <row r="90" spans="1:39" s="155" customFormat="1" ht="12" x14ac:dyDescent="0.2">
      <c r="A90" s="168">
        <v>36</v>
      </c>
      <c r="B90" s="195">
        <v>72052</v>
      </c>
      <c r="C90" s="175" t="s">
        <v>1539</v>
      </c>
      <c r="D90" s="438">
        <f t="shared" si="12"/>
        <v>4352864</v>
      </c>
      <c r="E90" s="431">
        <v>1292441</v>
      </c>
      <c r="F90" s="431">
        <v>165820</v>
      </c>
      <c r="G90" s="431">
        <v>489520</v>
      </c>
      <c r="H90" s="431">
        <v>0</v>
      </c>
      <c r="I90" s="431">
        <v>1629883</v>
      </c>
      <c r="J90" s="431">
        <v>66000</v>
      </c>
      <c r="K90" s="431">
        <v>546000</v>
      </c>
      <c r="L90" s="431">
        <v>0</v>
      </c>
      <c r="M90" s="431">
        <v>818540</v>
      </c>
      <c r="N90" s="431">
        <v>0</v>
      </c>
      <c r="O90" s="431">
        <v>0</v>
      </c>
      <c r="P90" s="438">
        <f t="shared" si="13"/>
        <v>4206661</v>
      </c>
      <c r="Q90" s="431">
        <v>2030793</v>
      </c>
      <c r="R90" s="431">
        <v>812465</v>
      </c>
      <c r="S90" s="431">
        <v>0</v>
      </c>
      <c r="T90" s="431">
        <v>0</v>
      </c>
      <c r="U90" s="431">
        <v>0</v>
      </c>
      <c r="V90" s="431">
        <v>0</v>
      </c>
      <c r="W90" s="431">
        <v>0</v>
      </c>
      <c r="X90" s="431">
        <v>268859</v>
      </c>
      <c r="Y90" s="431">
        <v>3840</v>
      </c>
      <c r="Z90" s="431">
        <v>1092118</v>
      </c>
      <c r="AA90" s="431">
        <v>0</v>
      </c>
      <c r="AB90" s="431">
        <v>-1414</v>
      </c>
      <c r="AC90" s="431">
        <v>951378</v>
      </c>
      <c r="AD90" s="431">
        <v>110769</v>
      </c>
      <c r="AE90" s="431">
        <v>1528398</v>
      </c>
      <c r="AF90" s="431">
        <v>0</v>
      </c>
      <c r="AG90" s="431">
        <v>86906</v>
      </c>
      <c r="AH90" s="431">
        <v>329126</v>
      </c>
      <c r="AI90" s="431">
        <v>247356</v>
      </c>
      <c r="AJ90" s="431">
        <v>0</v>
      </c>
      <c r="AK90" s="431">
        <v>0</v>
      </c>
      <c r="AL90" s="431">
        <v>952728</v>
      </c>
      <c r="AM90" s="431">
        <v>0</v>
      </c>
    </row>
    <row r="91" spans="1:39" s="155" customFormat="1" ht="12" x14ac:dyDescent="0.2">
      <c r="A91" s="168">
        <v>37</v>
      </c>
      <c r="B91" s="195">
        <v>72098</v>
      </c>
      <c r="C91" s="175" t="s">
        <v>1540</v>
      </c>
      <c r="D91" s="438">
        <f t="shared" si="12"/>
        <v>2917370</v>
      </c>
      <c r="E91" s="431">
        <v>1076147</v>
      </c>
      <c r="F91" s="431">
        <v>78868</v>
      </c>
      <c r="G91" s="431">
        <v>656722</v>
      </c>
      <c r="H91" s="431">
        <v>0</v>
      </c>
      <c r="I91" s="431">
        <v>1179640</v>
      </c>
      <c r="J91" s="431">
        <v>0</v>
      </c>
      <c r="K91" s="431">
        <v>606000</v>
      </c>
      <c r="L91" s="431">
        <v>0</v>
      </c>
      <c r="M91" s="431">
        <v>41233</v>
      </c>
      <c r="N91" s="431">
        <v>0</v>
      </c>
      <c r="O91" s="431">
        <v>14350</v>
      </c>
      <c r="P91" s="438">
        <f t="shared" si="13"/>
        <v>3067775</v>
      </c>
      <c r="Q91" s="431">
        <v>1522857</v>
      </c>
      <c r="R91" s="431">
        <v>587694</v>
      </c>
      <c r="S91" s="431">
        <v>0</v>
      </c>
      <c r="T91" s="431">
        <v>0</v>
      </c>
      <c r="U91" s="431">
        <v>421</v>
      </c>
      <c r="V91" s="431">
        <v>0</v>
      </c>
      <c r="W91" s="431">
        <v>0</v>
      </c>
      <c r="X91" s="431">
        <v>194348</v>
      </c>
      <c r="Y91" s="431">
        <v>58000</v>
      </c>
      <c r="Z91" s="431">
        <v>747400</v>
      </c>
      <c r="AA91" s="431">
        <v>0</v>
      </c>
      <c r="AB91" s="431">
        <v>-42945</v>
      </c>
      <c r="AC91" s="431">
        <v>682538</v>
      </c>
      <c r="AD91" s="431">
        <v>0</v>
      </c>
      <c r="AE91" s="431">
        <v>1050640</v>
      </c>
      <c r="AF91" s="431">
        <v>26132</v>
      </c>
      <c r="AG91" s="431">
        <v>35162</v>
      </c>
      <c r="AH91" s="431">
        <v>272161</v>
      </c>
      <c r="AI91" s="431">
        <v>753340</v>
      </c>
      <c r="AJ91" s="431">
        <v>0</v>
      </c>
      <c r="AK91" s="431">
        <v>0</v>
      </c>
      <c r="AL91" s="431">
        <v>247802</v>
      </c>
      <c r="AM91" s="431">
        <v>0</v>
      </c>
    </row>
    <row r="92" spans="1:39" s="155" customFormat="1" ht="12" x14ac:dyDescent="0.2">
      <c r="A92" s="168">
        <v>38</v>
      </c>
      <c r="B92" s="195">
        <v>74883</v>
      </c>
      <c r="C92" s="175" t="s">
        <v>1541</v>
      </c>
      <c r="D92" s="438">
        <f t="shared" si="12"/>
        <v>2530909</v>
      </c>
      <c r="E92" s="431">
        <v>1020029</v>
      </c>
      <c r="F92" s="431">
        <v>73035</v>
      </c>
      <c r="G92" s="431">
        <v>695534</v>
      </c>
      <c r="H92" s="431">
        <v>0</v>
      </c>
      <c r="I92" s="431">
        <v>802513</v>
      </c>
      <c r="J92" s="431">
        <v>36000</v>
      </c>
      <c r="K92" s="431">
        <v>643000</v>
      </c>
      <c r="L92" s="431">
        <v>0</v>
      </c>
      <c r="M92" s="431">
        <v>29367</v>
      </c>
      <c r="N92" s="431">
        <v>0</v>
      </c>
      <c r="O92" s="431">
        <v>0</v>
      </c>
      <c r="P92" s="438">
        <f t="shared" si="13"/>
        <v>1567283</v>
      </c>
      <c r="Q92" s="431">
        <v>1223226</v>
      </c>
      <c r="R92" s="431">
        <v>259154</v>
      </c>
      <c r="S92" s="431">
        <v>0</v>
      </c>
      <c r="T92" s="431">
        <v>0</v>
      </c>
      <c r="U92" s="431">
        <v>0</v>
      </c>
      <c r="V92" s="431">
        <v>0</v>
      </c>
      <c r="W92" s="431">
        <v>0</v>
      </c>
      <c r="X92" s="431">
        <v>76901</v>
      </c>
      <c r="Y92" s="431">
        <v>18854</v>
      </c>
      <c r="Z92" s="431">
        <v>8250</v>
      </c>
      <c r="AA92" s="431">
        <v>0</v>
      </c>
      <c r="AB92" s="431">
        <v>-19102</v>
      </c>
      <c r="AC92" s="431">
        <v>499273</v>
      </c>
      <c r="AD92" s="431">
        <v>15473</v>
      </c>
      <c r="AE92" s="431">
        <v>751583</v>
      </c>
      <c r="AF92" s="431">
        <v>29281</v>
      </c>
      <c r="AG92" s="431">
        <v>24637</v>
      </c>
      <c r="AH92" s="431">
        <v>111451</v>
      </c>
      <c r="AI92" s="431">
        <v>84888</v>
      </c>
      <c r="AJ92" s="431">
        <v>0</v>
      </c>
      <c r="AK92" s="431">
        <v>0</v>
      </c>
      <c r="AL92" s="431">
        <v>50697</v>
      </c>
      <c r="AM92" s="431">
        <v>0</v>
      </c>
    </row>
    <row r="93" spans="1:39" s="155" customFormat="1" ht="12" x14ac:dyDescent="0.2">
      <c r="A93" s="168">
        <v>39</v>
      </c>
      <c r="B93" s="195">
        <v>72150</v>
      </c>
      <c r="C93" s="175" t="s">
        <v>1542</v>
      </c>
      <c r="D93" s="438">
        <f t="shared" si="12"/>
        <v>3492649</v>
      </c>
      <c r="E93" s="431">
        <v>1167315</v>
      </c>
      <c r="F93" s="431">
        <v>107275</v>
      </c>
      <c r="G93" s="431">
        <v>507851</v>
      </c>
      <c r="H93" s="431">
        <v>0</v>
      </c>
      <c r="I93" s="431">
        <v>1120427</v>
      </c>
      <c r="J93" s="431">
        <v>113000</v>
      </c>
      <c r="K93" s="431">
        <v>497000</v>
      </c>
      <c r="L93" s="431">
        <v>0</v>
      </c>
      <c r="M93" s="431">
        <v>559615</v>
      </c>
      <c r="N93" s="431">
        <v>0</v>
      </c>
      <c r="O93" s="431">
        <v>35292</v>
      </c>
      <c r="P93" s="438">
        <f t="shared" si="13"/>
        <v>3500319</v>
      </c>
      <c r="Q93" s="431">
        <v>1609834</v>
      </c>
      <c r="R93" s="431">
        <v>680285</v>
      </c>
      <c r="S93" s="431">
        <v>0</v>
      </c>
      <c r="T93" s="431">
        <v>0</v>
      </c>
      <c r="U93" s="431">
        <v>0</v>
      </c>
      <c r="V93" s="431">
        <v>0</v>
      </c>
      <c r="W93" s="431">
        <v>0</v>
      </c>
      <c r="X93" s="431">
        <v>105583</v>
      </c>
      <c r="Y93" s="431">
        <v>0</v>
      </c>
      <c r="Z93" s="431">
        <v>1104617</v>
      </c>
      <c r="AA93" s="431">
        <v>0</v>
      </c>
      <c r="AB93" s="431">
        <v>0</v>
      </c>
      <c r="AC93" s="431">
        <v>928171</v>
      </c>
      <c r="AD93" s="431">
        <v>89454</v>
      </c>
      <c r="AE93" s="431">
        <v>940680</v>
      </c>
      <c r="AF93" s="431">
        <v>0</v>
      </c>
      <c r="AG93" s="431">
        <v>384081</v>
      </c>
      <c r="AH93" s="431">
        <v>245608</v>
      </c>
      <c r="AI93" s="431">
        <v>202606</v>
      </c>
      <c r="AJ93" s="431">
        <v>58427</v>
      </c>
      <c r="AK93" s="431">
        <v>0</v>
      </c>
      <c r="AL93" s="431">
        <v>651292</v>
      </c>
      <c r="AM93" s="431">
        <v>0</v>
      </c>
    </row>
    <row r="94" spans="1:39" s="155" customFormat="1" ht="12" x14ac:dyDescent="0.2">
      <c r="A94" s="168">
        <v>40</v>
      </c>
      <c r="B94" s="195">
        <v>72221</v>
      </c>
      <c r="C94" s="175" t="s">
        <v>1543</v>
      </c>
      <c r="D94" s="438">
        <f t="shared" si="12"/>
        <v>4839569</v>
      </c>
      <c r="E94" s="431">
        <v>1458353</v>
      </c>
      <c r="F94" s="431">
        <v>236351</v>
      </c>
      <c r="G94" s="431">
        <v>383790</v>
      </c>
      <c r="H94" s="431">
        <v>0</v>
      </c>
      <c r="I94" s="431">
        <v>1119303</v>
      </c>
      <c r="J94" s="431">
        <v>86500</v>
      </c>
      <c r="K94" s="431">
        <v>435000</v>
      </c>
      <c r="L94" s="431">
        <v>0</v>
      </c>
      <c r="M94" s="431">
        <v>157039</v>
      </c>
      <c r="N94" s="431">
        <v>1535053</v>
      </c>
      <c r="O94" s="431">
        <v>48321</v>
      </c>
      <c r="P94" s="438">
        <f t="shared" si="13"/>
        <v>3635433</v>
      </c>
      <c r="Q94" s="431">
        <v>1324585</v>
      </c>
      <c r="R94" s="431">
        <v>838611</v>
      </c>
      <c r="S94" s="431">
        <v>0</v>
      </c>
      <c r="T94" s="431">
        <v>0</v>
      </c>
      <c r="U94" s="431">
        <v>0</v>
      </c>
      <c r="V94" s="431">
        <v>0</v>
      </c>
      <c r="W94" s="431">
        <v>0</v>
      </c>
      <c r="X94" s="431">
        <v>140923</v>
      </c>
      <c r="Y94" s="431">
        <v>56916</v>
      </c>
      <c r="Z94" s="431">
        <v>1286302</v>
      </c>
      <c r="AA94" s="431">
        <v>0</v>
      </c>
      <c r="AB94" s="431">
        <v>-11904</v>
      </c>
      <c r="AC94" s="431">
        <v>1145708</v>
      </c>
      <c r="AD94" s="431">
        <v>0</v>
      </c>
      <c r="AE94" s="431">
        <v>1021529</v>
      </c>
      <c r="AF94" s="431">
        <v>0</v>
      </c>
      <c r="AG94" s="431">
        <v>74840</v>
      </c>
      <c r="AH94" s="431">
        <v>197162</v>
      </c>
      <c r="AI94" s="431">
        <v>59837</v>
      </c>
      <c r="AJ94" s="431">
        <v>0</v>
      </c>
      <c r="AK94" s="431">
        <v>0</v>
      </c>
      <c r="AL94" s="431">
        <v>1136357</v>
      </c>
      <c r="AM94" s="431">
        <v>0</v>
      </c>
    </row>
    <row r="95" spans="1:39" s="155" customFormat="1" ht="12" x14ac:dyDescent="0.2">
      <c r="A95" s="168">
        <v>41</v>
      </c>
      <c r="B95" s="195">
        <v>72276</v>
      </c>
      <c r="C95" s="175" t="s">
        <v>1544</v>
      </c>
      <c r="D95" s="438">
        <f t="shared" si="12"/>
        <v>4534251</v>
      </c>
      <c r="E95" s="431">
        <v>998604</v>
      </c>
      <c r="F95" s="431">
        <v>171762</v>
      </c>
      <c r="G95" s="431">
        <v>488616</v>
      </c>
      <c r="H95" s="431">
        <v>0</v>
      </c>
      <c r="I95" s="431">
        <v>1082081</v>
      </c>
      <c r="J95" s="431">
        <v>98000</v>
      </c>
      <c r="K95" s="431">
        <v>510000</v>
      </c>
      <c r="L95" s="431">
        <v>0</v>
      </c>
      <c r="M95" s="431">
        <v>1088022</v>
      </c>
      <c r="N95" s="431">
        <v>753420</v>
      </c>
      <c r="O95" s="431">
        <v>4124</v>
      </c>
      <c r="P95" s="438">
        <f t="shared" si="13"/>
        <v>4696610</v>
      </c>
      <c r="Q95" s="431">
        <v>1504853</v>
      </c>
      <c r="R95" s="431">
        <v>450166</v>
      </c>
      <c r="S95" s="431">
        <v>0</v>
      </c>
      <c r="T95" s="431">
        <v>0</v>
      </c>
      <c r="U95" s="431">
        <v>0</v>
      </c>
      <c r="V95" s="431">
        <v>176</v>
      </c>
      <c r="W95" s="431">
        <v>1009387</v>
      </c>
      <c r="X95" s="431">
        <v>82190</v>
      </c>
      <c r="Y95" s="431">
        <v>0</v>
      </c>
      <c r="Z95" s="431">
        <v>1650879</v>
      </c>
      <c r="AA95" s="431">
        <v>0</v>
      </c>
      <c r="AB95" s="431">
        <v>-1041</v>
      </c>
      <c r="AC95" s="431">
        <v>1299932</v>
      </c>
      <c r="AD95" s="431">
        <v>37338</v>
      </c>
      <c r="AE95" s="431">
        <v>990745</v>
      </c>
      <c r="AF95" s="431">
        <v>5327</v>
      </c>
      <c r="AG95" s="431">
        <v>31208</v>
      </c>
      <c r="AH95" s="431">
        <v>610467</v>
      </c>
      <c r="AI95" s="431">
        <v>89166</v>
      </c>
      <c r="AJ95" s="431">
        <v>40750</v>
      </c>
      <c r="AK95" s="431">
        <v>0</v>
      </c>
      <c r="AL95" s="431">
        <v>1568620</v>
      </c>
      <c r="AM95" s="431">
        <v>23057</v>
      </c>
    </row>
    <row r="96" spans="1:39" s="155" customFormat="1" ht="12" x14ac:dyDescent="0.2">
      <c r="A96" s="168">
        <v>42</v>
      </c>
      <c r="B96" s="195">
        <v>72383</v>
      </c>
      <c r="C96" s="175" t="s">
        <v>1545</v>
      </c>
      <c r="D96" s="438">
        <f t="shared" si="12"/>
        <v>4620361</v>
      </c>
      <c r="E96" s="431">
        <v>1528235</v>
      </c>
      <c r="F96" s="431">
        <v>202808</v>
      </c>
      <c r="G96" s="431">
        <v>459181</v>
      </c>
      <c r="H96" s="431">
        <v>0</v>
      </c>
      <c r="I96" s="431">
        <v>1775000</v>
      </c>
      <c r="J96" s="431">
        <v>0</v>
      </c>
      <c r="K96" s="431">
        <v>742000</v>
      </c>
      <c r="L96" s="431">
        <v>0</v>
      </c>
      <c r="M96" s="431">
        <v>77219</v>
      </c>
      <c r="N96" s="431">
        <v>361787</v>
      </c>
      <c r="O96" s="431">
        <v>136120</v>
      </c>
      <c r="P96" s="438">
        <f t="shared" si="13"/>
        <v>4633798</v>
      </c>
      <c r="Q96" s="431">
        <v>2189838</v>
      </c>
      <c r="R96" s="431">
        <v>1163859</v>
      </c>
      <c r="S96" s="431">
        <v>0</v>
      </c>
      <c r="T96" s="431">
        <v>0</v>
      </c>
      <c r="U96" s="431">
        <v>0</v>
      </c>
      <c r="V96" s="431">
        <v>0</v>
      </c>
      <c r="W96" s="431">
        <v>622251</v>
      </c>
      <c r="X96" s="431">
        <v>359106</v>
      </c>
      <c r="Y96" s="431">
        <v>0</v>
      </c>
      <c r="Z96" s="431">
        <v>300160</v>
      </c>
      <c r="AA96" s="431">
        <v>0</v>
      </c>
      <c r="AB96" s="431">
        <v>-1416</v>
      </c>
      <c r="AC96" s="431">
        <v>2152037</v>
      </c>
      <c r="AD96" s="431">
        <v>137235</v>
      </c>
      <c r="AE96" s="431">
        <v>1524834</v>
      </c>
      <c r="AF96" s="431">
        <v>23995</v>
      </c>
      <c r="AG96" s="431">
        <v>29725</v>
      </c>
      <c r="AH96" s="431">
        <v>359106</v>
      </c>
      <c r="AI96" s="431">
        <v>342918</v>
      </c>
      <c r="AJ96" s="431">
        <v>0</v>
      </c>
      <c r="AK96" s="431">
        <v>0</v>
      </c>
      <c r="AL96" s="431">
        <v>63948</v>
      </c>
      <c r="AM96" s="431">
        <v>0</v>
      </c>
    </row>
    <row r="97" spans="1:39" s="155" customFormat="1" ht="12" x14ac:dyDescent="0.2">
      <c r="A97" s="168">
        <v>43</v>
      </c>
      <c r="B97" s="195">
        <v>74891</v>
      </c>
      <c r="C97" s="175" t="s">
        <v>1546</v>
      </c>
      <c r="D97" s="438">
        <f t="shared" si="12"/>
        <v>2417523</v>
      </c>
      <c r="E97" s="431">
        <v>1039156</v>
      </c>
      <c r="F97" s="431">
        <v>85926</v>
      </c>
      <c r="G97" s="431">
        <v>699173</v>
      </c>
      <c r="H97" s="431">
        <v>0</v>
      </c>
      <c r="I97" s="431">
        <v>591000</v>
      </c>
      <c r="J97" s="431">
        <v>112000</v>
      </c>
      <c r="K97" s="431">
        <v>642000</v>
      </c>
      <c r="L97" s="431">
        <v>0</v>
      </c>
      <c r="M97" s="431">
        <v>33367</v>
      </c>
      <c r="N97" s="431">
        <v>0</v>
      </c>
      <c r="O97" s="431">
        <v>0</v>
      </c>
      <c r="P97" s="438">
        <f t="shared" si="13"/>
        <v>2221461</v>
      </c>
      <c r="Q97" s="431">
        <v>980279</v>
      </c>
      <c r="R97" s="431">
        <v>431233</v>
      </c>
      <c r="S97" s="431">
        <v>0</v>
      </c>
      <c r="T97" s="431">
        <v>0</v>
      </c>
      <c r="U97" s="431">
        <v>-2902</v>
      </c>
      <c r="V97" s="431">
        <v>0</v>
      </c>
      <c r="W97" s="431">
        <v>0</v>
      </c>
      <c r="X97" s="431">
        <v>121312</v>
      </c>
      <c r="Y97" s="431">
        <v>0</v>
      </c>
      <c r="Z97" s="431">
        <v>691859</v>
      </c>
      <c r="AA97" s="431">
        <v>0</v>
      </c>
      <c r="AB97" s="431">
        <v>-320</v>
      </c>
      <c r="AC97" s="431">
        <v>844425</v>
      </c>
      <c r="AD97" s="431">
        <v>0</v>
      </c>
      <c r="AE97" s="431">
        <v>530000</v>
      </c>
      <c r="AF97" s="431">
        <v>0</v>
      </c>
      <c r="AG97" s="431">
        <v>58465</v>
      </c>
      <c r="AH97" s="431">
        <v>121312</v>
      </c>
      <c r="AI97" s="431">
        <v>80392</v>
      </c>
      <c r="AJ97" s="431">
        <v>0</v>
      </c>
      <c r="AK97" s="431">
        <v>0</v>
      </c>
      <c r="AL97" s="431">
        <v>586867</v>
      </c>
      <c r="AM97" s="431">
        <v>0</v>
      </c>
    </row>
    <row r="98" spans="1:39" s="155" customFormat="1" ht="12" x14ac:dyDescent="0.2">
      <c r="A98" s="168">
        <v>44</v>
      </c>
      <c r="B98" s="195">
        <v>72409</v>
      </c>
      <c r="C98" s="175" t="s">
        <v>1547</v>
      </c>
      <c r="D98" s="438">
        <f t="shared" si="12"/>
        <v>3815069</v>
      </c>
      <c r="E98" s="431">
        <v>2826294</v>
      </c>
      <c r="F98" s="431">
        <v>1499855</v>
      </c>
      <c r="G98" s="431">
        <v>110403</v>
      </c>
      <c r="H98" s="431">
        <v>0</v>
      </c>
      <c r="I98" s="431">
        <v>705805</v>
      </c>
      <c r="J98" s="431">
        <v>121000</v>
      </c>
      <c r="K98" s="431">
        <v>128000</v>
      </c>
      <c r="L98" s="431">
        <v>0</v>
      </c>
      <c r="M98" s="431">
        <v>3937</v>
      </c>
      <c r="N98" s="431">
        <v>0</v>
      </c>
      <c r="O98" s="431">
        <v>30033</v>
      </c>
      <c r="P98" s="438">
        <f t="shared" si="13"/>
        <v>2749731</v>
      </c>
      <c r="Q98" s="431">
        <v>1140955</v>
      </c>
      <c r="R98" s="431">
        <v>847086</v>
      </c>
      <c r="S98" s="431">
        <v>0</v>
      </c>
      <c r="T98" s="431">
        <v>0</v>
      </c>
      <c r="U98" s="431">
        <v>541</v>
      </c>
      <c r="V98" s="431">
        <v>0</v>
      </c>
      <c r="W98" s="431">
        <v>0</v>
      </c>
      <c r="X98" s="431">
        <v>23196</v>
      </c>
      <c r="Y98" s="431">
        <v>0</v>
      </c>
      <c r="Z98" s="431">
        <v>738191</v>
      </c>
      <c r="AA98" s="431">
        <v>0</v>
      </c>
      <c r="AB98" s="431">
        <v>-238</v>
      </c>
      <c r="AC98" s="431">
        <v>778844</v>
      </c>
      <c r="AD98" s="431">
        <v>1348</v>
      </c>
      <c r="AE98" s="431">
        <v>710204</v>
      </c>
      <c r="AF98" s="431">
        <v>0</v>
      </c>
      <c r="AG98" s="431">
        <v>123458</v>
      </c>
      <c r="AH98" s="431">
        <v>81729</v>
      </c>
      <c r="AI98" s="431">
        <v>709077</v>
      </c>
      <c r="AJ98" s="431">
        <v>15114</v>
      </c>
      <c r="AK98" s="431">
        <v>0</v>
      </c>
      <c r="AL98" s="431">
        <v>329957</v>
      </c>
      <c r="AM98" s="431">
        <v>0</v>
      </c>
    </row>
    <row r="99" spans="1:39" s="155" customFormat="1" ht="12" x14ac:dyDescent="0.2">
      <c r="A99" s="168">
        <v>45</v>
      </c>
      <c r="B99" s="195">
        <v>74907</v>
      </c>
      <c r="C99" s="175" t="s">
        <v>1548</v>
      </c>
      <c r="D99" s="438">
        <f t="shared" si="12"/>
        <v>3352077</v>
      </c>
      <c r="E99" s="431">
        <v>1070047</v>
      </c>
      <c r="F99" s="431">
        <v>89938</v>
      </c>
      <c r="G99" s="431">
        <v>670032</v>
      </c>
      <c r="H99" s="431">
        <v>0</v>
      </c>
      <c r="I99" s="431">
        <v>1246087</v>
      </c>
      <c r="J99" s="431">
        <v>59000</v>
      </c>
      <c r="K99" s="431">
        <v>630000</v>
      </c>
      <c r="L99" s="431">
        <v>0</v>
      </c>
      <c r="M99" s="431">
        <v>111388</v>
      </c>
      <c r="N99" s="431">
        <v>235555</v>
      </c>
      <c r="O99" s="431">
        <v>0</v>
      </c>
      <c r="P99" s="438">
        <f t="shared" si="13"/>
        <v>3248513</v>
      </c>
      <c r="Q99" s="431">
        <v>1467110</v>
      </c>
      <c r="R99" s="431">
        <v>640690</v>
      </c>
      <c r="S99" s="431">
        <v>0</v>
      </c>
      <c r="T99" s="431">
        <v>0</v>
      </c>
      <c r="U99" s="431">
        <v>394</v>
      </c>
      <c r="V99" s="431">
        <v>0</v>
      </c>
      <c r="W99" s="431">
        <v>309662</v>
      </c>
      <c r="X99" s="431">
        <v>218789</v>
      </c>
      <c r="Y99" s="431">
        <v>20000</v>
      </c>
      <c r="Z99" s="431">
        <v>597221</v>
      </c>
      <c r="AA99" s="431">
        <v>0</v>
      </c>
      <c r="AB99" s="431">
        <v>-5353</v>
      </c>
      <c r="AC99" s="431">
        <v>1216418</v>
      </c>
      <c r="AD99" s="431">
        <v>0</v>
      </c>
      <c r="AE99" s="431">
        <v>1494767</v>
      </c>
      <c r="AF99" s="431">
        <v>35189</v>
      </c>
      <c r="AG99" s="431">
        <v>95622</v>
      </c>
      <c r="AH99" s="431">
        <v>218789</v>
      </c>
      <c r="AI99" s="431">
        <v>85731</v>
      </c>
      <c r="AJ99" s="431">
        <v>0</v>
      </c>
      <c r="AK99" s="431">
        <v>0</v>
      </c>
      <c r="AL99" s="431">
        <v>101997</v>
      </c>
      <c r="AM99" s="431">
        <v>0</v>
      </c>
    </row>
    <row r="100" spans="1:39" s="155" customFormat="1" ht="12" x14ac:dyDescent="0.2">
      <c r="A100" s="168">
        <v>46</v>
      </c>
      <c r="B100" s="195">
        <v>74915</v>
      </c>
      <c r="C100" s="175" t="s">
        <v>1549</v>
      </c>
      <c r="D100" s="438">
        <f t="shared" si="12"/>
        <v>3160647</v>
      </c>
      <c r="E100" s="431">
        <v>1054187</v>
      </c>
      <c r="F100" s="431">
        <v>106014</v>
      </c>
      <c r="G100" s="431">
        <v>661159</v>
      </c>
      <c r="H100" s="431">
        <v>0</v>
      </c>
      <c r="I100" s="431">
        <v>887293</v>
      </c>
      <c r="J100" s="431">
        <v>0</v>
      </c>
      <c r="K100" s="431">
        <v>633000</v>
      </c>
      <c r="L100" s="431">
        <v>0</v>
      </c>
      <c r="M100" s="431">
        <v>576407</v>
      </c>
      <c r="N100" s="431">
        <v>0</v>
      </c>
      <c r="O100" s="431">
        <v>9760</v>
      </c>
      <c r="P100" s="438">
        <f t="shared" si="13"/>
        <v>2975351</v>
      </c>
      <c r="Q100" s="431">
        <v>1192227</v>
      </c>
      <c r="R100" s="431">
        <v>1032189</v>
      </c>
      <c r="S100" s="431">
        <v>0</v>
      </c>
      <c r="T100" s="431">
        <v>0</v>
      </c>
      <c r="U100" s="431">
        <v>0</v>
      </c>
      <c r="V100" s="431">
        <v>0</v>
      </c>
      <c r="W100" s="431">
        <v>0</v>
      </c>
      <c r="X100" s="431">
        <v>107299</v>
      </c>
      <c r="Y100" s="431">
        <v>0</v>
      </c>
      <c r="Z100" s="431">
        <v>645604</v>
      </c>
      <c r="AA100" s="431">
        <v>0</v>
      </c>
      <c r="AB100" s="431">
        <v>-1968</v>
      </c>
      <c r="AC100" s="431">
        <v>1458304</v>
      </c>
      <c r="AD100" s="431">
        <v>893</v>
      </c>
      <c r="AE100" s="431">
        <v>854011</v>
      </c>
      <c r="AF100" s="431">
        <v>0</v>
      </c>
      <c r="AG100" s="431">
        <v>15511</v>
      </c>
      <c r="AH100" s="431">
        <v>152323</v>
      </c>
      <c r="AI100" s="431">
        <v>156709</v>
      </c>
      <c r="AJ100" s="431">
        <v>0</v>
      </c>
      <c r="AK100" s="431">
        <v>0</v>
      </c>
      <c r="AL100" s="431">
        <v>337600</v>
      </c>
      <c r="AM100" s="431">
        <v>0</v>
      </c>
    </row>
    <row r="101" spans="1:39" s="155" customFormat="1" ht="12" x14ac:dyDescent="0.2">
      <c r="A101" s="168">
        <v>47</v>
      </c>
      <c r="B101" s="195">
        <v>72463</v>
      </c>
      <c r="C101" s="175" t="s">
        <v>1550</v>
      </c>
      <c r="D101" s="438">
        <f t="shared" si="12"/>
        <v>4876426</v>
      </c>
      <c r="E101" s="431">
        <v>1213825</v>
      </c>
      <c r="F101" s="431">
        <v>134507</v>
      </c>
      <c r="G101" s="431">
        <v>509895</v>
      </c>
      <c r="H101" s="431">
        <v>0</v>
      </c>
      <c r="I101" s="431">
        <v>1031603</v>
      </c>
      <c r="J101" s="431">
        <v>0</v>
      </c>
      <c r="K101" s="431">
        <v>537000</v>
      </c>
      <c r="L101" s="431">
        <v>0</v>
      </c>
      <c r="M101" s="431">
        <v>132816</v>
      </c>
      <c r="N101" s="431">
        <v>1935532</v>
      </c>
      <c r="O101" s="431">
        <v>25650</v>
      </c>
      <c r="P101" s="438">
        <f t="shared" si="13"/>
        <v>2886229</v>
      </c>
      <c r="Q101" s="431">
        <v>1371934</v>
      </c>
      <c r="R101" s="431">
        <v>693757</v>
      </c>
      <c r="S101" s="431">
        <v>0</v>
      </c>
      <c r="T101" s="431">
        <v>0</v>
      </c>
      <c r="U101" s="431">
        <v>0</v>
      </c>
      <c r="V101" s="431">
        <v>7317</v>
      </c>
      <c r="W101" s="431">
        <v>204711</v>
      </c>
      <c r="X101" s="431">
        <v>207299</v>
      </c>
      <c r="Y101" s="431">
        <v>33224</v>
      </c>
      <c r="Z101" s="431">
        <v>368791</v>
      </c>
      <c r="AA101" s="431">
        <v>0</v>
      </c>
      <c r="AB101" s="431">
        <v>-804</v>
      </c>
      <c r="AC101" s="431">
        <v>732605</v>
      </c>
      <c r="AD101" s="431">
        <v>54722</v>
      </c>
      <c r="AE101" s="431">
        <v>861229</v>
      </c>
      <c r="AF101" s="431">
        <v>0</v>
      </c>
      <c r="AG101" s="431">
        <v>352866</v>
      </c>
      <c r="AH101" s="431">
        <v>286538</v>
      </c>
      <c r="AI101" s="431">
        <v>274541</v>
      </c>
      <c r="AJ101" s="431">
        <v>7317</v>
      </c>
      <c r="AK101" s="431">
        <v>0</v>
      </c>
      <c r="AL101" s="431">
        <v>316411</v>
      </c>
      <c r="AM101" s="431">
        <v>0</v>
      </c>
    </row>
    <row r="102" spans="1:39" s="155" customFormat="1" ht="12" x14ac:dyDescent="0.2">
      <c r="A102" s="168">
        <v>48</v>
      </c>
      <c r="B102" s="195">
        <v>72506</v>
      </c>
      <c r="C102" s="175" t="s">
        <v>1551</v>
      </c>
      <c r="D102" s="438">
        <f t="shared" si="12"/>
        <v>2521313</v>
      </c>
      <c r="E102" s="431">
        <v>1245098</v>
      </c>
      <c r="F102" s="431">
        <v>231196</v>
      </c>
      <c r="G102" s="431">
        <v>388227</v>
      </c>
      <c r="H102" s="431">
        <v>0</v>
      </c>
      <c r="I102" s="431">
        <v>748336</v>
      </c>
      <c r="J102" s="431">
        <v>0</v>
      </c>
      <c r="K102" s="431">
        <v>473000</v>
      </c>
      <c r="L102" s="431">
        <v>0</v>
      </c>
      <c r="M102" s="431">
        <v>51979</v>
      </c>
      <c r="N102" s="431">
        <v>0</v>
      </c>
      <c r="O102" s="431">
        <v>2900</v>
      </c>
      <c r="P102" s="438">
        <f t="shared" si="13"/>
        <v>2074077</v>
      </c>
      <c r="Q102" s="431">
        <v>1065491</v>
      </c>
      <c r="R102" s="431">
        <v>549570</v>
      </c>
      <c r="S102" s="431">
        <v>0</v>
      </c>
      <c r="T102" s="431">
        <v>0</v>
      </c>
      <c r="U102" s="431">
        <v>34896</v>
      </c>
      <c r="V102" s="431">
        <v>0</v>
      </c>
      <c r="W102" s="431">
        <v>0</v>
      </c>
      <c r="X102" s="431">
        <v>118327</v>
      </c>
      <c r="Y102" s="431">
        <v>11755</v>
      </c>
      <c r="Z102" s="431">
        <v>306352</v>
      </c>
      <c r="AA102" s="431">
        <v>0</v>
      </c>
      <c r="AB102" s="431">
        <v>-12314</v>
      </c>
      <c r="AC102" s="431">
        <v>781168</v>
      </c>
      <c r="AD102" s="431">
        <v>0</v>
      </c>
      <c r="AE102" s="431">
        <v>883265</v>
      </c>
      <c r="AF102" s="431">
        <v>20633</v>
      </c>
      <c r="AG102" s="431">
        <v>51486</v>
      </c>
      <c r="AH102" s="431">
        <v>118327</v>
      </c>
      <c r="AI102" s="431">
        <v>121718</v>
      </c>
      <c r="AJ102" s="431">
        <v>17993</v>
      </c>
      <c r="AK102" s="431">
        <v>0</v>
      </c>
      <c r="AL102" s="431">
        <v>72178</v>
      </c>
      <c r="AM102" s="431">
        <v>7309</v>
      </c>
    </row>
    <row r="103" spans="1:39" s="155" customFormat="1" ht="12" x14ac:dyDescent="0.2">
      <c r="A103" s="168">
        <v>49</v>
      </c>
      <c r="B103" s="195">
        <v>72533</v>
      </c>
      <c r="C103" s="175" t="s">
        <v>1552</v>
      </c>
      <c r="D103" s="438">
        <f t="shared" si="12"/>
        <v>6856152</v>
      </c>
      <c r="E103" s="431">
        <v>1325920</v>
      </c>
      <c r="F103" s="431">
        <v>247632</v>
      </c>
      <c r="G103" s="431">
        <v>390855</v>
      </c>
      <c r="H103" s="431">
        <v>0</v>
      </c>
      <c r="I103" s="431">
        <v>1219825</v>
      </c>
      <c r="J103" s="431">
        <v>178000</v>
      </c>
      <c r="K103" s="431">
        <v>426000</v>
      </c>
      <c r="L103" s="431">
        <v>0</v>
      </c>
      <c r="M103" s="431">
        <v>1863060</v>
      </c>
      <c r="N103" s="431">
        <v>1843347</v>
      </c>
      <c r="O103" s="431">
        <v>0</v>
      </c>
      <c r="P103" s="438">
        <f t="shared" si="13"/>
        <v>4910100</v>
      </c>
      <c r="Q103" s="431">
        <v>1638169</v>
      </c>
      <c r="R103" s="431">
        <v>659028</v>
      </c>
      <c r="S103" s="431">
        <v>0</v>
      </c>
      <c r="T103" s="431">
        <v>0</v>
      </c>
      <c r="U103" s="431">
        <v>0</v>
      </c>
      <c r="V103" s="431">
        <v>0</v>
      </c>
      <c r="W103" s="431">
        <v>261420</v>
      </c>
      <c r="X103" s="431">
        <v>253560</v>
      </c>
      <c r="Y103" s="431">
        <v>2720</v>
      </c>
      <c r="Z103" s="431">
        <v>2095999</v>
      </c>
      <c r="AA103" s="431">
        <v>0</v>
      </c>
      <c r="AB103" s="431">
        <v>-796</v>
      </c>
      <c r="AC103" s="431">
        <v>990688</v>
      </c>
      <c r="AD103" s="431">
        <v>0</v>
      </c>
      <c r="AE103" s="431">
        <v>1064920</v>
      </c>
      <c r="AF103" s="431">
        <v>20657</v>
      </c>
      <c r="AG103" s="431">
        <v>328994</v>
      </c>
      <c r="AH103" s="431">
        <v>253560</v>
      </c>
      <c r="AI103" s="431">
        <v>45095</v>
      </c>
      <c r="AJ103" s="431">
        <v>1965754</v>
      </c>
      <c r="AK103" s="431">
        <v>0</v>
      </c>
      <c r="AL103" s="431">
        <v>240432</v>
      </c>
      <c r="AM103" s="431">
        <v>0</v>
      </c>
    </row>
    <row r="104" spans="1:39" s="155" customFormat="1" ht="12" x14ac:dyDescent="0.2">
      <c r="A104" s="168">
        <v>50</v>
      </c>
      <c r="B104" s="195">
        <v>72579</v>
      </c>
      <c r="C104" s="175" t="s">
        <v>1553</v>
      </c>
      <c r="D104" s="438">
        <f t="shared" si="12"/>
        <v>7690894</v>
      </c>
      <c r="E104" s="431">
        <v>1211805</v>
      </c>
      <c r="F104" s="431">
        <v>113798</v>
      </c>
      <c r="G104" s="431">
        <v>578302</v>
      </c>
      <c r="H104" s="431">
        <v>0</v>
      </c>
      <c r="I104" s="431">
        <v>1407963</v>
      </c>
      <c r="J104" s="431">
        <v>77000</v>
      </c>
      <c r="K104" s="431">
        <v>571000</v>
      </c>
      <c r="L104" s="431">
        <v>0</v>
      </c>
      <c r="M104" s="431">
        <v>276569</v>
      </c>
      <c r="N104" s="431">
        <v>4136557</v>
      </c>
      <c r="O104" s="431">
        <v>10000</v>
      </c>
      <c r="P104" s="438">
        <f t="shared" si="13"/>
        <v>3843839</v>
      </c>
      <c r="Q104" s="431">
        <v>1745373</v>
      </c>
      <c r="R104" s="431">
        <v>1075596</v>
      </c>
      <c r="S104" s="431">
        <v>0</v>
      </c>
      <c r="T104" s="431">
        <v>0</v>
      </c>
      <c r="U104" s="431">
        <v>0</v>
      </c>
      <c r="V104" s="431">
        <v>0</v>
      </c>
      <c r="W104" s="431">
        <v>327727</v>
      </c>
      <c r="X104" s="431">
        <v>133116</v>
      </c>
      <c r="Y104" s="431">
        <v>4000</v>
      </c>
      <c r="Z104" s="431">
        <v>568524</v>
      </c>
      <c r="AA104" s="431">
        <v>0</v>
      </c>
      <c r="AB104" s="431">
        <v>-10497</v>
      </c>
      <c r="AC104" s="431">
        <v>1664501</v>
      </c>
      <c r="AD104" s="431">
        <v>45953</v>
      </c>
      <c r="AE104" s="431">
        <v>1191963</v>
      </c>
      <c r="AF104" s="431">
        <v>0</v>
      </c>
      <c r="AG104" s="431">
        <v>196328</v>
      </c>
      <c r="AH104" s="431">
        <v>257391</v>
      </c>
      <c r="AI104" s="431">
        <v>411200</v>
      </c>
      <c r="AJ104" s="431">
        <v>0</v>
      </c>
      <c r="AK104" s="431">
        <v>0</v>
      </c>
      <c r="AL104" s="431">
        <v>76503</v>
      </c>
      <c r="AM104" s="431">
        <v>0</v>
      </c>
    </row>
    <row r="105" spans="1:39" s="155" customFormat="1" ht="12" x14ac:dyDescent="0.2">
      <c r="A105" s="168">
        <v>51</v>
      </c>
      <c r="B105" s="195">
        <v>72604</v>
      </c>
      <c r="C105" s="175" t="s">
        <v>525</v>
      </c>
      <c r="D105" s="438">
        <f t="shared" si="12"/>
        <v>2130011</v>
      </c>
      <c r="E105" s="431">
        <v>878694</v>
      </c>
      <c r="F105" s="431">
        <v>27917</v>
      </c>
      <c r="G105" s="431">
        <v>666393</v>
      </c>
      <c r="H105" s="431">
        <v>0</v>
      </c>
      <c r="I105" s="431">
        <v>309202</v>
      </c>
      <c r="J105" s="431">
        <v>67000</v>
      </c>
      <c r="K105" s="431">
        <v>636000</v>
      </c>
      <c r="L105" s="431">
        <v>0</v>
      </c>
      <c r="M105" s="431">
        <v>98201</v>
      </c>
      <c r="N105" s="431">
        <v>140914</v>
      </c>
      <c r="O105" s="431">
        <v>0</v>
      </c>
      <c r="P105" s="438">
        <f t="shared" si="13"/>
        <v>2097206</v>
      </c>
      <c r="Q105" s="431">
        <v>544861</v>
      </c>
      <c r="R105" s="431">
        <v>437369</v>
      </c>
      <c r="S105" s="431">
        <v>0</v>
      </c>
      <c r="T105" s="431">
        <v>0</v>
      </c>
      <c r="U105" s="431">
        <v>0</v>
      </c>
      <c r="V105" s="431">
        <v>0</v>
      </c>
      <c r="W105" s="431">
        <v>224618</v>
      </c>
      <c r="X105" s="431">
        <v>45183</v>
      </c>
      <c r="Y105" s="431">
        <v>0</v>
      </c>
      <c r="Z105" s="431">
        <v>861036</v>
      </c>
      <c r="AA105" s="431">
        <v>0</v>
      </c>
      <c r="AB105" s="431">
        <v>-15861</v>
      </c>
      <c r="AC105" s="431">
        <v>415573</v>
      </c>
      <c r="AD105" s="431">
        <v>262</v>
      </c>
      <c r="AE105" s="431">
        <v>394347</v>
      </c>
      <c r="AF105" s="431">
        <v>78724</v>
      </c>
      <c r="AG105" s="431">
        <v>224505</v>
      </c>
      <c r="AH105" s="431">
        <v>59885</v>
      </c>
      <c r="AI105" s="431">
        <v>22921</v>
      </c>
      <c r="AJ105" s="431">
        <v>0</v>
      </c>
      <c r="AK105" s="431">
        <v>0</v>
      </c>
      <c r="AL105" s="431">
        <v>900989</v>
      </c>
      <c r="AM105" s="431">
        <v>0</v>
      </c>
    </row>
    <row r="106" spans="1:39" s="155" customFormat="1" ht="12" x14ac:dyDescent="0.2">
      <c r="A106" s="168">
        <v>52</v>
      </c>
      <c r="B106" s="195">
        <v>72640</v>
      </c>
      <c r="C106" s="175" t="s">
        <v>1554</v>
      </c>
      <c r="D106" s="438">
        <f t="shared" si="12"/>
        <v>20549290</v>
      </c>
      <c r="E106" s="431">
        <v>1171447</v>
      </c>
      <c r="F106" s="431">
        <v>88556</v>
      </c>
      <c r="G106" s="431">
        <v>562707</v>
      </c>
      <c r="H106" s="431">
        <v>0</v>
      </c>
      <c r="I106" s="431">
        <v>1010701</v>
      </c>
      <c r="J106" s="431">
        <v>34000</v>
      </c>
      <c r="K106" s="431">
        <v>568000</v>
      </c>
      <c r="L106" s="431">
        <v>0</v>
      </c>
      <c r="M106" s="431">
        <v>4890507</v>
      </c>
      <c r="N106" s="431">
        <v>12841511</v>
      </c>
      <c r="O106" s="431">
        <v>33124</v>
      </c>
      <c r="P106" s="438">
        <f t="shared" si="13"/>
        <v>20416569</v>
      </c>
      <c r="Q106" s="431">
        <v>1402504</v>
      </c>
      <c r="R106" s="431">
        <v>1000164</v>
      </c>
      <c r="S106" s="431">
        <v>0</v>
      </c>
      <c r="T106" s="431">
        <v>0</v>
      </c>
      <c r="U106" s="431">
        <v>0</v>
      </c>
      <c r="V106" s="431">
        <v>0</v>
      </c>
      <c r="W106" s="431">
        <v>17540394</v>
      </c>
      <c r="X106" s="431">
        <v>190300</v>
      </c>
      <c r="Y106" s="431">
        <v>0</v>
      </c>
      <c r="Z106" s="431">
        <v>297749</v>
      </c>
      <c r="AA106" s="431">
        <v>0</v>
      </c>
      <c r="AB106" s="431">
        <v>-14542</v>
      </c>
      <c r="AC106" s="431">
        <v>1235597</v>
      </c>
      <c r="AD106" s="431">
        <v>79500</v>
      </c>
      <c r="AE106" s="431">
        <v>1785647</v>
      </c>
      <c r="AF106" s="431">
        <v>16765</v>
      </c>
      <c r="AG106" s="431">
        <v>62923</v>
      </c>
      <c r="AH106" s="431">
        <v>251591</v>
      </c>
      <c r="AI106" s="431">
        <v>247038</v>
      </c>
      <c r="AJ106" s="431">
        <v>16416628</v>
      </c>
      <c r="AK106" s="431">
        <v>0</v>
      </c>
      <c r="AL106" s="431">
        <v>320880</v>
      </c>
      <c r="AM106" s="431">
        <v>0</v>
      </c>
    </row>
    <row r="107" spans="1:39" s="155" customFormat="1" ht="12" x14ac:dyDescent="0.2">
      <c r="A107" s="168">
        <v>53</v>
      </c>
      <c r="B107" s="195">
        <v>72677</v>
      </c>
      <c r="C107" s="175" t="s">
        <v>1555</v>
      </c>
      <c r="D107" s="438">
        <f t="shared" si="12"/>
        <v>5502415</v>
      </c>
      <c r="E107" s="431">
        <v>1158266</v>
      </c>
      <c r="F107" s="431">
        <v>122253</v>
      </c>
      <c r="G107" s="431">
        <v>512181</v>
      </c>
      <c r="H107" s="431">
        <v>0</v>
      </c>
      <c r="I107" s="431">
        <v>1579855</v>
      </c>
      <c r="J107" s="431">
        <v>322000</v>
      </c>
      <c r="K107" s="431">
        <v>564000</v>
      </c>
      <c r="L107" s="431">
        <v>0</v>
      </c>
      <c r="M107" s="431">
        <v>634867</v>
      </c>
      <c r="N107" s="431">
        <v>1196369</v>
      </c>
      <c r="O107" s="431">
        <v>47058</v>
      </c>
      <c r="P107" s="438">
        <f t="shared" si="13"/>
        <v>5641811</v>
      </c>
      <c r="Q107" s="431">
        <v>2146378</v>
      </c>
      <c r="R107" s="431">
        <v>1065897</v>
      </c>
      <c r="S107" s="431">
        <v>45000</v>
      </c>
      <c r="T107" s="431">
        <v>0</v>
      </c>
      <c r="U107" s="431">
        <v>0</v>
      </c>
      <c r="V107" s="431">
        <v>0</v>
      </c>
      <c r="W107" s="431">
        <v>1959270</v>
      </c>
      <c r="X107" s="431">
        <v>55667</v>
      </c>
      <c r="Y107" s="431">
        <v>5000</v>
      </c>
      <c r="Z107" s="431">
        <v>284599</v>
      </c>
      <c r="AA107" s="431">
        <v>80000</v>
      </c>
      <c r="AB107" s="431">
        <v>0</v>
      </c>
      <c r="AC107" s="431">
        <v>1429772</v>
      </c>
      <c r="AD107" s="431">
        <v>0</v>
      </c>
      <c r="AE107" s="431">
        <v>1488269</v>
      </c>
      <c r="AF107" s="431">
        <v>0</v>
      </c>
      <c r="AG107" s="431">
        <v>0</v>
      </c>
      <c r="AH107" s="431">
        <v>165484</v>
      </c>
      <c r="AI107" s="431">
        <v>362914</v>
      </c>
      <c r="AJ107" s="431">
        <v>0</v>
      </c>
      <c r="AK107" s="431">
        <v>0</v>
      </c>
      <c r="AL107" s="431">
        <v>2195372</v>
      </c>
      <c r="AM107" s="431">
        <v>0</v>
      </c>
    </row>
    <row r="108" spans="1:39" s="155" customFormat="1" ht="12" x14ac:dyDescent="0.2">
      <c r="A108" s="168">
        <v>54</v>
      </c>
      <c r="B108" s="195">
        <v>72819</v>
      </c>
      <c r="C108" s="175" t="s">
        <v>1556</v>
      </c>
      <c r="D108" s="438">
        <f t="shared" si="12"/>
        <v>3293267</v>
      </c>
      <c r="E108" s="431">
        <v>1131133</v>
      </c>
      <c r="F108" s="431">
        <v>77503</v>
      </c>
      <c r="G108" s="431">
        <v>688362</v>
      </c>
      <c r="H108" s="431">
        <v>0</v>
      </c>
      <c r="I108" s="431">
        <v>911078</v>
      </c>
      <c r="J108" s="431">
        <v>81000</v>
      </c>
      <c r="K108" s="431">
        <v>622000</v>
      </c>
      <c r="L108" s="431">
        <v>0</v>
      </c>
      <c r="M108" s="431">
        <v>414572</v>
      </c>
      <c r="N108" s="431">
        <v>104989</v>
      </c>
      <c r="O108" s="431">
        <v>28495</v>
      </c>
      <c r="P108" s="438">
        <f t="shared" si="13"/>
        <v>3502202</v>
      </c>
      <c r="Q108" s="431">
        <v>1168576</v>
      </c>
      <c r="R108" s="431">
        <v>868211</v>
      </c>
      <c r="S108" s="431">
        <v>0</v>
      </c>
      <c r="T108" s="431">
        <v>0</v>
      </c>
      <c r="U108" s="431">
        <v>0</v>
      </c>
      <c r="V108" s="431">
        <v>0</v>
      </c>
      <c r="W108" s="431">
        <v>515717</v>
      </c>
      <c r="X108" s="431">
        <v>121367</v>
      </c>
      <c r="Y108" s="431">
        <v>0</v>
      </c>
      <c r="Z108" s="431">
        <v>866584</v>
      </c>
      <c r="AA108" s="431">
        <v>0</v>
      </c>
      <c r="AB108" s="431">
        <v>-38253</v>
      </c>
      <c r="AC108" s="431">
        <v>1258534</v>
      </c>
      <c r="AD108" s="431">
        <v>49394</v>
      </c>
      <c r="AE108" s="431">
        <v>920920</v>
      </c>
      <c r="AF108" s="431">
        <v>29336</v>
      </c>
      <c r="AG108" s="431">
        <v>386094</v>
      </c>
      <c r="AH108" s="431">
        <v>116906</v>
      </c>
      <c r="AI108" s="431">
        <v>176375</v>
      </c>
      <c r="AJ108" s="431">
        <v>0</v>
      </c>
      <c r="AK108" s="431">
        <v>0</v>
      </c>
      <c r="AL108" s="431">
        <v>564643</v>
      </c>
      <c r="AM108" s="431">
        <v>0</v>
      </c>
    </row>
    <row r="109" spans="1:39" s="155" customFormat="1" ht="12" x14ac:dyDescent="0.2">
      <c r="A109" s="168">
        <v>55</v>
      </c>
      <c r="B109" s="195">
        <v>70094</v>
      </c>
      <c r="C109" s="175" t="s">
        <v>1557</v>
      </c>
      <c r="D109" s="438">
        <f t="shared" si="12"/>
        <v>14591573</v>
      </c>
      <c r="E109" s="431">
        <v>6133330</v>
      </c>
      <c r="F109" s="431">
        <v>3782179</v>
      </c>
      <c r="G109" s="431">
        <v>355070</v>
      </c>
      <c r="H109" s="431">
        <v>0</v>
      </c>
      <c r="I109" s="431">
        <v>1749201</v>
      </c>
      <c r="J109" s="431">
        <v>89000</v>
      </c>
      <c r="K109" s="431">
        <v>686000</v>
      </c>
      <c r="L109" s="431">
        <v>0</v>
      </c>
      <c r="M109" s="431">
        <v>5010439</v>
      </c>
      <c r="N109" s="431">
        <v>923603</v>
      </c>
      <c r="O109" s="431">
        <v>0</v>
      </c>
      <c r="P109" s="438">
        <f t="shared" si="13"/>
        <v>15509651</v>
      </c>
      <c r="Q109" s="431">
        <v>2203270</v>
      </c>
      <c r="R109" s="431">
        <v>1589888</v>
      </c>
      <c r="S109" s="431">
        <v>0</v>
      </c>
      <c r="T109" s="431">
        <v>0</v>
      </c>
      <c r="U109" s="431">
        <v>0</v>
      </c>
      <c r="V109" s="431">
        <v>0</v>
      </c>
      <c r="W109" s="431">
        <v>683502</v>
      </c>
      <c r="X109" s="431">
        <v>100580</v>
      </c>
      <c r="Y109" s="431">
        <v>254487</v>
      </c>
      <c r="Z109" s="431">
        <v>10679803</v>
      </c>
      <c r="AA109" s="431">
        <v>0</v>
      </c>
      <c r="AB109" s="431">
        <v>-1879</v>
      </c>
      <c r="AC109" s="431">
        <v>2187458</v>
      </c>
      <c r="AD109" s="431">
        <v>19175</v>
      </c>
      <c r="AE109" s="431">
        <v>1750584</v>
      </c>
      <c r="AF109" s="431">
        <v>30430</v>
      </c>
      <c r="AG109" s="431">
        <v>471588</v>
      </c>
      <c r="AH109" s="431">
        <v>269106</v>
      </c>
      <c r="AI109" s="431">
        <v>2751805</v>
      </c>
      <c r="AJ109" s="431">
        <v>1742981</v>
      </c>
      <c r="AK109" s="431">
        <v>0</v>
      </c>
      <c r="AL109" s="431">
        <v>6286524</v>
      </c>
      <c r="AM109" s="431">
        <v>0</v>
      </c>
    </row>
    <row r="110" spans="1:39" s="155" customFormat="1" ht="12" x14ac:dyDescent="0.2">
      <c r="A110" s="168">
        <v>56</v>
      </c>
      <c r="B110" s="195">
        <v>72882</v>
      </c>
      <c r="C110" s="175" t="s">
        <v>1558</v>
      </c>
      <c r="D110" s="438">
        <f t="shared" si="12"/>
        <v>2428966</v>
      </c>
      <c r="E110" s="431">
        <v>1050666</v>
      </c>
      <c r="F110" s="431">
        <v>74032</v>
      </c>
      <c r="G110" s="431">
        <v>646361</v>
      </c>
      <c r="H110" s="431">
        <v>0</v>
      </c>
      <c r="I110" s="431">
        <v>677525</v>
      </c>
      <c r="J110" s="431">
        <v>38000</v>
      </c>
      <c r="K110" s="431">
        <v>599000</v>
      </c>
      <c r="L110" s="431">
        <v>0</v>
      </c>
      <c r="M110" s="431">
        <v>63775</v>
      </c>
      <c r="N110" s="431">
        <v>0</v>
      </c>
      <c r="O110" s="431">
        <v>0</v>
      </c>
      <c r="P110" s="438">
        <f t="shared" si="13"/>
        <v>2053352</v>
      </c>
      <c r="Q110" s="431">
        <v>969732</v>
      </c>
      <c r="R110" s="431">
        <v>580584</v>
      </c>
      <c r="S110" s="431">
        <v>0</v>
      </c>
      <c r="T110" s="431">
        <v>0</v>
      </c>
      <c r="U110" s="431">
        <v>0</v>
      </c>
      <c r="V110" s="431">
        <v>0</v>
      </c>
      <c r="W110" s="431">
        <v>0</v>
      </c>
      <c r="X110" s="431">
        <v>106902</v>
      </c>
      <c r="Y110" s="431">
        <v>0</v>
      </c>
      <c r="Z110" s="431">
        <v>398198</v>
      </c>
      <c r="AA110" s="431">
        <v>0</v>
      </c>
      <c r="AB110" s="431">
        <v>-2064</v>
      </c>
      <c r="AC110" s="431">
        <v>875103</v>
      </c>
      <c r="AD110" s="431">
        <v>0</v>
      </c>
      <c r="AE110" s="431">
        <v>795593</v>
      </c>
      <c r="AF110" s="431">
        <v>0</v>
      </c>
      <c r="AG110" s="431">
        <v>18171</v>
      </c>
      <c r="AH110" s="431">
        <v>106762</v>
      </c>
      <c r="AI110" s="431">
        <v>149723</v>
      </c>
      <c r="AJ110" s="431">
        <v>0</v>
      </c>
      <c r="AK110" s="431">
        <v>0</v>
      </c>
      <c r="AL110" s="431">
        <v>108000</v>
      </c>
      <c r="AM110" s="431">
        <v>0</v>
      </c>
    </row>
    <row r="111" spans="1:39" s="155" customFormat="1" ht="12" x14ac:dyDescent="0.2">
      <c r="A111" s="168">
        <v>57</v>
      </c>
      <c r="B111" s="195">
        <v>74923</v>
      </c>
      <c r="C111" s="175" t="s">
        <v>1559</v>
      </c>
      <c r="D111" s="438">
        <f t="shared" si="12"/>
        <v>3440606</v>
      </c>
      <c r="E111" s="431">
        <v>1029314</v>
      </c>
      <c r="F111" s="431">
        <v>84093</v>
      </c>
      <c r="G111" s="431">
        <v>642722</v>
      </c>
      <c r="H111" s="431">
        <v>0</v>
      </c>
      <c r="I111" s="431">
        <v>749077</v>
      </c>
      <c r="J111" s="431">
        <v>53000</v>
      </c>
      <c r="K111" s="431">
        <v>621000</v>
      </c>
      <c r="L111" s="431">
        <v>0</v>
      </c>
      <c r="M111" s="431">
        <v>969252</v>
      </c>
      <c r="N111" s="431">
        <v>0</v>
      </c>
      <c r="O111" s="431">
        <v>18963</v>
      </c>
      <c r="P111" s="438">
        <f t="shared" si="13"/>
        <v>3805527</v>
      </c>
      <c r="Q111" s="431">
        <v>1073250</v>
      </c>
      <c r="R111" s="431">
        <v>928736</v>
      </c>
      <c r="S111" s="431">
        <v>0</v>
      </c>
      <c r="T111" s="431">
        <v>0</v>
      </c>
      <c r="U111" s="431">
        <v>0</v>
      </c>
      <c r="V111" s="431">
        <v>0</v>
      </c>
      <c r="W111" s="431">
        <v>0</v>
      </c>
      <c r="X111" s="431">
        <v>115511</v>
      </c>
      <c r="Y111" s="431">
        <v>0</v>
      </c>
      <c r="Z111" s="431">
        <v>1689122</v>
      </c>
      <c r="AA111" s="431">
        <v>0</v>
      </c>
      <c r="AB111" s="431">
        <v>-1092</v>
      </c>
      <c r="AC111" s="431">
        <v>980902</v>
      </c>
      <c r="AD111" s="431">
        <v>13954</v>
      </c>
      <c r="AE111" s="431">
        <v>672579</v>
      </c>
      <c r="AF111" s="431">
        <v>0</v>
      </c>
      <c r="AG111" s="431">
        <v>177956</v>
      </c>
      <c r="AH111" s="431">
        <v>115511</v>
      </c>
      <c r="AI111" s="431">
        <v>1503531</v>
      </c>
      <c r="AJ111" s="431">
        <v>0</v>
      </c>
      <c r="AK111" s="431">
        <v>0</v>
      </c>
      <c r="AL111" s="431">
        <v>301994</v>
      </c>
      <c r="AM111" s="431">
        <v>39100</v>
      </c>
    </row>
    <row r="112" spans="1:39" s="155" customFormat="1" ht="12" x14ac:dyDescent="0.2">
      <c r="A112" s="168">
        <v>58</v>
      </c>
      <c r="B112" s="195">
        <v>72926</v>
      </c>
      <c r="C112" s="175" t="s">
        <v>1560</v>
      </c>
      <c r="D112" s="438">
        <f t="shared" si="12"/>
        <v>6677893</v>
      </c>
      <c r="E112" s="431">
        <v>1849940</v>
      </c>
      <c r="F112" s="431">
        <v>394755</v>
      </c>
      <c r="G112" s="431">
        <v>508272</v>
      </c>
      <c r="H112" s="431">
        <v>0</v>
      </c>
      <c r="I112" s="431">
        <v>2221734</v>
      </c>
      <c r="J112" s="431">
        <v>136000</v>
      </c>
      <c r="K112" s="431">
        <v>1131000</v>
      </c>
      <c r="L112" s="431">
        <v>0</v>
      </c>
      <c r="M112" s="431">
        <v>1322719</v>
      </c>
      <c r="N112" s="431">
        <v>0</v>
      </c>
      <c r="O112" s="431">
        <v>16500</v>
      </c>
      <c r="P112" s="438">
        <f t="shared" si="13"/>
        <v>6526877</v>
      </c>
      <c r="Q112" s="431">
        <v>2962747</v>
      </c>
      <c r="R112" s="431">
        <v>1048735</v>
      </c>
      <c r="S112" s="431">
        <v>0</v>
      </c>
      <c r="T112" s="431">
        <v>0</v>
      </c>
      <c r="U112" s="431">
        <v>0</v>
      </c>
      <c r="V112" s="431">
        <v>0</v>
      </c>
      <c r="W112" s="431">
        <v>0</v>
      </c>
      <c r="X112" s="431">
        <v>235074</v>
      </c>
      <c r="Y112" s="431">
        <v>2460</v>
      </c>
      <c r="Z112" s="431">
        <v>2278132</v>
      </c>
      <c r="AA112" s="431">
        <v>0</v>
      </c>
      <c r="AB112" s="431">
        <v>-271</v>
      </c>
      <c r="AC112" s="431">
        <v>1431749</v>
      </c>
      <c r="AD112" s="431">
        <v>136521</v>
      </c>
      <c r="AE112" s="431">
        <v>2007985</v>
      </c>
      <c r="AF112" s="431">
        <v>24125</v>
      </c>
      <c r="AG112" s="431">
        <v>95289</v>
      </c>
      <c r="AH112" s="431">
        <v>484617</v>
      </c>
      <c r="AI112" s="431">
        <v>1421468</v>
      </c>
      <c r="AJ112" s="431">
        <v>0</v>
      </c>
      <c r="AK112" s="431">
        <v>0</v>
      </c>
      <c r="AL112" s="431">
        <v>925123</v>
      </c>
      <c r="AM112" s="431">
        <v>0</v>
      </c>
    </row>
    <row r="113" spans="1:39" s="155" customFormat="1" ht="12" x14ac:dyDescent="0.2">
      <c r="A113" s="168">
        <v>59</v>
      </c>
      <c r="B113" s="195">
        <v>72953</v>
      </c>
      <c r="C113" s="175" t="s">
        <v>1561</v>
      </c>
      <c r="D113" s="438">
        <f t="shared" si="12"/>
        <v>3376909</v>
      </c>
      <c r="E113" s="431">
        <v>1049166</v>
      </c>
      <c r="F113" s="431">
        <v>97558</v>
      </c>
      <c r="G113" s="431">
        <v>638392</v>
      </c>
      <c r="H113" s="431">
        <v>0</v>
      </c>
      <c r="I113" s="431">
        <v>1196854</v>
      </c>
      <c r="J113" s="431">
        <v>33000</v>
      </c>
      <c r="K113" s="431">
        <v>647000</v>
      </c>
      <c r="L113" s="431">
        <v>0</v>
      </c>
      <c r="M113" s="431">
        <v>426487</v>
      </c>
      <c r="N113" s="431">
        <v>0</v>
      </c>
      <c r="O113" s="431">
        <v>24402</v>
      </c>
      <c r="P113" s="438">
        <f t="shared" si="13"/>
        <v>4310964</v>
      </c>
      <c r="Q113" s="431">
        <v>1636159</v>
      </c>
      <c r="R113" s="431">
        <v>827338</v>
      </c>
      <c r="S113" s="431">
        <v>0</v>
      </c>
      <c r="T113" s="431">
        <v>0</v>
      </c>
      <c r="U113" s="431">
        <v>0</v>
      </c>
      <c r="V113" s="431">
        <v>0</v>
      </c>
      <c r="W113" s="431">
        <v>0</v>
      </c>
      <c r="X113" s="431">
        <v>231719</v>
      </c>
      <c r="Y113" s="431">
        <v>0</v>
      </c>
      <c r="Z113" s="431">
        <v>1618268</v>
      </c>
      <c r="AA113" s="431">
        <v>0</v>
      </c>
      <c r="AB113" s="431">
        <v>-2520</v>
      </c>
      <c r="AC113" s="431">
        <v>1052774</v>
      </c>
      <c r="AD113" s="431">
        <v>18213</v>
      </c>
      <c r="AE113" s="431">
        <v>1097853</v>
      </c>
      <c r="AF113" s="431">
        <v>0</v>
      </c>
      <c r="AG113" s="431">
        <v>0</v>
      </c>
      <c r="AH113" s="431">
        <v>231719</v>
      </c>
      <c r="AI113" s="431">
        <v>1391899</v>
      </c>
      <c r="AJ113" s="431">
        <v>0</v>
      </c>
      <c r="AK113" s="431">
        <v>0</v>
      </c>
      <c r="AL113" s="431">
        <v>480806</v>
      </c>
      <c r="AM113" s="431">
        <v>37700</v>
      </c>
    </row>
    <row r="114" spans="1:39" s="155" customFormat="1" ht="12" x14ac:dyDescent="0.2">
      <c r="A114" s="168">
        <v>60</v>
      </c>
      <c r="B114" s="195">
        <v>72980</v>
      </c>
      <c r="C114" s="175" t="s">
        <v>1562</v>
      </c>
      <c r="D114" s="438">
        <f t="shared" si="12"/>
        <v>4549838</v>
      </c>
      <c r="E114" s="431">
        <v>1120026</v>
      </c>
      <c r="F114" s="431">
        <v>106453</v>
      </c>
      <c r="G114" s="431">
        <v>620752</v>
      </c>
      <c r="H114" s="431">
        <v>0</v>
      </c>
      <c r="I114" s="431">
        <v>670154</v>
      </c>
      <c r="J114" s="431">
        <v>29000</v>
      </c>
      <c r="K114" s="431">
        <v>550000</v>
      </c>
      <c r="L114" s="431">
        <v>0</v>
      </c>
      <c r="M114" s="431">
        <v>2169919</v>
      </c>
      <c r="N114" s="431">
        <v>10739</v>
      </c>
      <c r="O114" s="431">
        <v>0</v>
      </c>
      <c r="P114" s="438">
        <f t="shared" si="13"/>
        <v>4063929</v>
      </c>
      <c r="Q114" s="431">
        <v>971756</v>
      </c>
      <c r="R114" s="431">
        <v>542806</v>
      </c>
      <c r="S114" s="431">
        <v>0</v>
      </c>
      <c r="T114" s="431">
        <v>0</v>
      </c>
      <c r="U114" s="431">
        <v>6</v>
      </c>
      <c r="V114" s="431">
        <v>0</v>
      </c>
      <c r="W114" s="431">
        <v>0</v>
      </c>
      <c r="X114" s="431">
        <v>69840</v>
      </c>
      <c r="Y114" s="431">
        <v>0</v>
      </c>
      <c r="Z114" s="431">
        <v>2498987</v>
      </c>
      <c r="AA114" s="431">
        <v>0</v>
      </c>
      <c r="AB114" s="431">
        <v>-19466</v>
      </c>
      <c r="AC114" s="431">
        <v>638335</v>
      </c>
      <c r="AD114" s="431">
        <v>0</v>
      </c>
      <c r="AE114" s="431">
        <v>626178</v>
      </c>
      <c r="AF114" s="431">
        <v>0</v>
      </c>
      <c r="AG114" s="431">
        <v>313995</v>
      </c>
      <c r="AH114" s="431">
        <v>84114</v>
      </c>
      <c r="AI114" s="431">
        <v>65689</v>
      </c>
      <c r="AJ114" s="431">
        <v>2212309</v>
      </c>
      <c r="AK114" s="431">
        <v>0</v>
      </c>
      <c r="AL114" s="431">
        <v>88136</v>
      </c>
      <c r="AM114" s="431">
        <v>35173</v>
      </c>
    </row>
    <row r="115" spans="1:39" s="155" customFormat="1" ht="12" x14ac:dyDescent="0.2">
      <c r="A115" s="168">
        <v>61</v>
      </c>
      <c r="B115" s="195">
        <v>73013</v>
      </c>
      <c r="C115" s="175" t="s">
        <v>1563</v>
      </c>
      <c r="D115" s="438">
        <f t="shared" si="12"/>
        <v>3986939</v>
      </c>
      <c r="E115" s="431">
        <v>1034068</v>
      </c>
      <c r="F115" s="431">
        <v>81103</v>
      </c>
      <c r="G115" s="431">
        <v>669128</v>
      </c>
      <c r="H115" s="431">
        <v>0</v>
      </c>
      <c r="I115" s="431">
        <v>689389</v>
      </c>
      <c r="J115" s="431">
        <v>71000</v>
      </c>
      <c r="K115" s="431">
        <v>596000</v>
      </c>
      <c r="L115" s="431">
        <v>0</v>
      </c>
      <c r="M115" s="431">
        <v>94898</v>
      </c>
      <c r="N115" s="431">
        <v>1479918</v>
      </c>
      <c r="O115" s="431">
        <v>21666</v>
      </c>
      <c r="P115" s="438">
        <f t="shared" si="13"/>
        <v>2218532</v>
      </c>
      <c r="Q115" s="431">
        <v>959647</v>
      </c>
      <c r="R115" s="431">
        <v>448702</v>
      </c>
      <c r="S115" s="431">
        <v>0</v>
      </c>
      <c r="T115" s="431">
        <v>0</v>
      </c>
      <c r="U115" s="431">
        <v>0</v>
      </c>
      <c r="V115" s="431">
        <v>0</v>
      </c>
      <c r="W115" s="431">
        <v>453498</v>
      </c>
      <c r="X115" s="431">
        <v>101123</v>
      </c>
      <c r="Y115" s="431">
        <v>0</v>
      </c>
      <c r="Z115" s="431">
        <v>255860</v>
      </c>
      <c r="AA115" s="431">
        <v>0</v>
      </c>
      <c r="AB115" s="431">
        <v>-298</v>
      </c>
      <c r="AC115" s="431">
        <v>1030335</v>
      </c>
      <c r="AD115" s="431">
        <v>0</v>
      </c>
      <c r="AE115" s="431">
        <v>600782</v>
      </c>
      <c r="AF115" s="431">
        <v>79432</v>
      </c>
      <c r="AG115" s="431">
        <v>54453</v>
      </c>
      <c r="AH115" s="431">
        <v>133323</v>
      </c>
      <c r="AI115" s="431">
        <v>177670</v>
      </c>
      <c r="AJ115" s="431">
        <v>0</v>
      </c>
      <c r="AK115" s="431">
        <v>0</v>
      </c>
      <c r="AL115" s="431">
        <v>142537</v>
      </c>
      <c r="AM115" s="431">
        <v>0</v>
      </c>
    </row>
    <row r="116" spans="1:39" s="155" customFormat="1" ht="12" x14ac:dyDescent="0.2">
      <c r="A116" s="168">
        <v>62</v>
      </c>
      <c r="B116" s="195">
        <v>73031</v>
      </c>
      <c r="C116" s="175" t="s">
        <v>1564</v>
      </c>
      <c r="D116" s="438">
        <f t="shared" si="12"/>
        <v>4834790</v>
      </c>
      <c r="E116" s="431">
        <v>1874194</v>
      </c>
      <c r="F116" s="431">
        <v>388396</v>
      </c>
      <c r="G116" s="431">
        <v>497195</v>
      </c>
      <c r="H116" s="431">
        <v>0</v>
      </c>
      <c r="I116" s="431">
        <v>1886177</v>
      </c>
      <c r="J116" s="431">
        <v>98895</v>
      </c>
      <c r="K116" s="431">
        <v>907000</v>
      </c>
      <c r="L116" s="431">
        <v>0</v>
      </c>
      <c r="M116" s="431">
        <v>68524</v>
      </c>
      <c r="N116" s="431">
        <v>0</v>
      </c>
      <c r="O116" s="431">
        <v>0</v>
      </c>
      <c r="P116" s="438">
        <f t="shared" si="13"/>
        <v>4316287</v>
      </c>
      <c r="Q116" s="431">
        <v>2369446</v>
      </c>
      <c r="R116" s="431">
        <v>1028317</v>
      </c>
      <c r="S116" s="431">
        <v>0</v>
      </c>
      <c r="T116" s="431">
        <v>0</v>
      </c>
      <c r="U116" s="431">
        <v>0</v>
      </c>
      <c r="V116" s="431">
        <v>0</v>
      </c>
      <c r="W116" s="431">
        <v>0</v>
      </c>
      <c r="X116" s="431">
        <v>205239</v>
      </c>
      <c r="Y116" s="431">
        <v>5520</v>
      </c>
      <c r="Z116" s="431">
        <v>714333</v>
      </c>
      <c r="AA116" s="431">
        <v>0</v>
      </c>
      <c r="AB116" s="431">
        <v>-6568</v>
      </c>
      <c r="AC116" s="431">
        <v>824629</v>
      </c>
      <c r="AD116" s="431">
        <v>91190</v>
      </c>
      <c r="AE116" s="431">
        <v>1879882</v>
      </c>
      <c r="AF116" s="431">
        <v>25961</v>
      </c>
      <c r="AG116" s="431">
        <v>227129</v>
      </c>
      <c r="AH116" s="431">
        <v>382745</v>
      </c>
      <c r="AI116" s="431">
        <v>414707</v>
      </c>
      <c r="AJ116" s="431">
        <v>0</v>
      </c>
      <c r="AK116" s="431">
        <v>0</v>
      </c>
      <c r="AL116" s="431">
        <v>470044</v>
      </c>
      <c r="AM116" s="431">
        <v>0</v>
      </c>
    </row>
    <row r="117" spans="1:39" s="155" customFormat="1" ht="12" x14ac:dyDescent="0.2">
      <c r="A117" s="168">
        <v>63</v>
      </c>
      <c r="B117" s="195">
        <v>73068</v>
      </c>
      <c r="C117" s="175" t="s">
        <v>1565</v>
      </c>
      <c r="D117" s="438">
        <f t="shared" si="12"/>
        <v>7265033</v>
      </c>
      <c r="E117" s="431">
        <v>4134623</v>
      </c>
      <c r="F117" s="431">
        <v>1439575</v>
      </c>
      <c r="G117" s="431">
        <v>298779</v>
      </c>
      <c r="H117" s="431">
        <v>0</v>
      </c>
      <c r="I117" s="431">
        <v>1946009</v>
      </c>
      <c r="J117" s="431">
        <v>0</v>
      </c>
      <c r="K117" s="431">
        <v>562000</v>
      </c>
      <c r="L117" s="431">
        <v>0</v>
      </c>
      <c r="M117" s="431">
        <v>622101</v>
      </c>
      <c r="N117" s="431">
        <v>0</v>
      </c>
      <c r="O117" s="431">
        <v>300</v>
      </c>
      <c r="P117" s="438">
        <f t="shared" si="13"/>
        <v>8516844</v>
      </c>
      <c r="Q117" s="431">
        <v>2402630</v>
      </c>
      <c r="R117" s="431">
        <v>1396057</v>
      </c>
      <c r="S117" s="431">
        <v>0</v>
      </c>
      <c r="T117" s="431">
        <v>0</v>
      </c>
      <c r="U117" s="431">
        <v>498000</v>
      </c>
      <c r="V117" s="431">
        <v>0</v>
      </c>
      <c r="W117" s="431">
        <v>0</v>
      </c>
      <c r="X117" s="431">
        <v>129818</v>
      </c>
      <c r="Y117" s="431">
        <v>272646</v>
      </c>
      <c r="Z117" s="431">
        <v>4081749</v>
      </c>
      <c r="AA117" s="431">
        <v>0</v>
      </c>
      <c r="AB117" s="431">
        <v>-264056</v>
      </c>
      <c r="AC117" s="431">
        <v>1125209</v>
      </c>
      <c r="AD117" s="431">
        <v>37968</v>
      </c>
      <c r="AE117" s="431">
        <v>1929537</v>
      </c>
      <c r="AF117" s="431">
        <v>0</v>
      </c>
      <c r="AG117" s="431">
        <v>133020</v>
      </c>
      <c r="AH117" s="431">
        <v>812601</v>
      </c>
      <c r="AI117" s="431">
        <v>875813</v>
      </c>
      <c r="AJ117" s="431">
        <v>199196</v>
      </c>
      <c r="AK117" s="431">
        <v>0</v>
      </c>
      <c r="AL117" s="431">
        <v>3403500</v>
      </c>
      <c r="AM117" s="431">
        <v>0</v>
      </c>
    </row>
    <row r="118" spans="1:39" s="155" customFormat="1" ht="12" x14ac:dyDescent="0.2">
      <c r="A118" s="168">
        <v>64</v>
      </c>
      <c r="B118" s="195">
        <v>73102</v>
      </c>
      <c r="C118" s="175" t="s">
        <v>1566</v>
      </c>
      <c r="D118" s="438">
        <f t="shared" si="12"/>
        <v>7738046</v>
      </c>
      <c r="E118" s="431">
        <v>1791662</v>
      </c>
      <c r="F118" s="431">
        <v>406352</v>
      </c>
      <c r="G118" s="431">
        <v>599499</v>
      </c>
      <c r="H118" s="431">
        <v>0</v>
      </c>
      <c r="I118" s="431">
        <v>3943000</v>
      </c>
      <c r="J118" s="431">
        <v>371139</v>
      </c>
      <c r="K118" s="431">
        <v>991000</v>
      </c>
      <c r="L118" s="431">
        <v>0</v>
      </c>
      <c r="M118" s="431">
        <v>331259</v>
      </c>
      <c r="N118" s="431">
        <v>309156</v>
      </c>
      <c r="O118" s="431">
        <v>830</v>
      </c>
      <c r="P118" s="438">
        <f t="shared" si="13"/>
        <v>7539278</v>
      </c>
      <c r="Q118" s="431">
        <v>4267725</v>
      </c>
      <c r="R118" s="431">
        <v>1136729</v>
      </c>
      <c r="S118" s="431">
        <v>0</v>
      </c>
      <c r="T118" s="431">
        <v>0</v>
      </c>
      <c r="U118" s="431">
        <v>104</v>
      </c>
      <c r="V118" s="431">
        <v>350</v>
      </c>
      <c r="W118" s="431">
        <v>488521</v>
      </c>
      <c r="X118" s="431">
        <v>198354</v>
      </c>
      <c r="Y118" s="431">
        <v>31963</v>
      </c>
      <c r="Z118" s="431">
        <v>1535941</v>
      </c>
      <c r="AA118" s="431">
        <v>0</v>
      </c>
      <c r="AB118" s="431">
        <v>-120409</v>
      </c>
      <c r="AC118" s="431">
        <v>990225</v>
      </c>
      <c r="AD118" s="431">
        <v>73326</v>
      </c>
      <c r="AE118" s="431">
        <v>3702338</v>
      </c>
      <c r="AF118" s="431">
        <v>29554</v>
      </c>
      <c r="AG118" s="431">
        <v>565515</v>
      </c>
      <c r="AH118" s="431">
        <v>392778</v>
      </c>
      <c r="AI118" s="431">
        <v>926391</v>
      </c>
      <c r="AJ118" s="431">
        <v>0</v>
      </c>
      <c r="AK118" s="431">
        <v>0</v>
      </c>
      <c r="AL118" s="431">
        <v>859151</v>
      </c>
      <c r="AM118" s="431">
        <v>0</v>
      </c>
    </row>
    <row r="119" spans="1:39" s="155" customFormat="1" ht="12" x14ac:dyDescent="0.2">
      <c r="A119" s="168">
        <v>65</v>
      </c>
      <c r="B119" s="195">
        <v>73246</v>
      </c>
      <c r="C119" s="175" t="s">
        <v>1567</v>
      </c>
      <c r="D119" s="438">
        <f t="shared" ref="D119:D150" si="14">E119+SUM(H119:O119)</f>
        <v>3797118</v>
      </c>
      <c r="E119" s="431">
        <v>1218106</v>
      </c>
      <c r="F119" s="431">
        <v>115006</v>
      </c>
      <c r="G119" s="431">
        <v>517864</v>
      </c>
      <c r="H119" s="431">
        <v>0</v>
      </c>
      <c r="I119" s="431">
        <v>661637</v>
      </c>
      <c r="J119" s="431">
        <v>173000</v>
      </c>
      <c r="K119" s="431">
        <v>691000</v>
      </c>
      <c r="L119" s="431">
        <v>0</v>
      </c>
      <c r="M119" s="431">
        <v>531077</v>
      </c>
      <c r="N119" s="431">
        <v>518247</v>
      </c>
      <c r="O119" s="431">
        <v>4051</v>
      </c>
      <c r="P119" s="438">
        <f t="shared" ref="P119:P150" si="15">IF(SUM(Q119:AB119)=SUM(AC119:AM119),SUM(Q119:AB119),"  EROARE ART/CAP")</f>
        <v>4307251</v>
      </c>
      <c r="Q119" s="431">
        <v>1098483</v>
      </c>
      <c r="R119" s="431">
        <v>741921</v>
      </c>
      <c r="S119" s="431">
        <v>0</v>
      </c>
      <c r="T119" s="431">
        <v>0</v>
      </c>
      <c r="U119" s="431">
        <v>0</v>
      </c>
      <c r="V119" s="431">
        <v>243000</v>
      </c>
      <c r="W119" s="431">
        <v>1581670</v>
      </c>
      <c r="X119" s="431">
        <v>73293</v>
      </c>
      <c r="Y119" s="431">
        <v>11763</v>
      </c>
      <c r="Z119" s="431">
        <v>557405</v>
      </c>
      <c r="AA119" s="431">
        <v>0</v>
      </c>
      <c r="AB119" s="431">
        <v>-284</v>
      </c>
      <c r="AC119" s="431">
        <v>1143326</v>
      </c>
      <c r="AD119" s="431">
        <v>22439</v>
      </c>
      <c r="AE119" s="431">
        <v>585513</v>
      </c>
      <c r="AF119" s="431">
        <v>0</v>
      </c>
      <c r="AG119" s="431">
        <v>170588</v>
      </c>
      <c r="AH119" s="431">
        <v>150879</v>
      </c>
      <c r="AI119" s="431">
        <v>643030</v>
      </c>
      <c r="AJ119" s="431">
        <v>2034</v>
      </c>
      <c r="AK119" s="431">
        <v>0</v>
      </c>
      <c r="AL119" s="431">
        <v>1571102</v>
      </c>
      <c r="AM119" s="431">
        <v>18340</v>
      </c>
    </row>
    <row r="120" spans="1:39" s="155" customFormat="1" ht="12" x14ac:dyDescent="0.2">
      <c r="A120" s="168">
        <v>66</v>
      </c>
      <c r="B120" s="195">
        <v>73317</v>
      </c>
      <c r="C120" s="175" t="s">
        <v>1568</v>
      </c>
      <c r="D120" s="438">
        <f t="shared" si="14"/>
        <v>6028691</v>
      </c>
      <c r="E120" s="431">
        <v>1506763</v>
      </c>
      <c r="F120" s="431">
        <v>251706</v>
      </c>
      <c r="G120" s="431">
        <v>610923</v>
      </c>
      <c r="H120" s="431">
        <v>0</v>
      </c>
      <c r="I120" s="431">
        <v>2256437</v>
      </c>
      <c r="J120" s="431">
        <v>65000</v>
      </c>
      <c r="K120" s="431">
        <v>854000</v>
      </c>
      <c r="L120" s="431">
        <v>0</v>
      </c>
      <c r="M120" s="431">
        <v>246837</v>
      </c>
      <c r="N120" s="431">
        <v>1055936</v>
      </c>
      <c r="O120" s="431">
        <v>43718</v>
      </c>
      <c r="P120" s="438">
        <f t="shared" si="15"/>
        <v>5852015</v>
      </c>
      <c r="Q120" s="431">
        <v>2780863</v>
      </c>
      <c r="R120" s="431">
        <v>489362</v>
      </c>
      <c r="S120" s="431">
        <v>0</v>
      </c>
      <c r="T120" s="431">
        <v>0</v>
      </c>
      <c r="U120" s="431">
        <v>0</v>
      </c>
      <c r="V120" s="431">
        <v>0</v>
      </c>
      <c r="W120" s="431">
        <v>1255219</v>
      </c>
      <c r="X120" s="431">
        <v>233360</v>
      </c>
      <c r="Y120" s="431">
        <v>0</v>
      </c>
      <c r="Z120" s="431">
        <v>1099824</v>
      </c>
      <c r="AA120" s="431">
        <v>0</v>
      </c>
      <c r="AB120" s="431">
        <v>-6613</v>
      </c>
      <c r="AC120" s="431">
        <v>779857</v>
      </c>
      <c r="AD120" s="431">
        <v>173711</v>
      </c>
      <c r="AE120" s="431">
        <v>1842323</v>
      </c>
      <c r="AF120" s="431">
        <v>30869</v>
      </c>
      <c r="AG120" s="431">
        <v>76724</v>
      </c>
      <c r="AH120" s="431">
        <v>1748749</v>
      </c>
      <c r="AI120" s="431">
        <v>151208</v>
      </c>
      <c r="AJ120" s="431">
        <v>0</v>
      </c>
      <c r="AK120" s="431">
        <v>0</v>
      </c>
      <c r="AL120" s="431">
        <v>1048574</v>
      </c>
      <c r="AM120" s="431">
        <v>0</v>
      </c>
    </row>
    <row r="121" spans="1:39" s="155" customFormat="1" ht="12" x14ac:dyDescent="0.2">
      <c r="A121" s="168">
        <v>67</v>
      </c>
      <c r="B121" s="195">
        <v>73335</v>
      </c>
      <c r="C121" s="175" t="s">
        <v>1569</v>
      </c>
      <c r="D121" s="438">
        <f t="shared" si="14"/>
        <v>7261302</v>
      </c>
      <c r="E121" s="431">
        <v>2867905</v>
      </c>
      <c r="F121" s="431">
        <v>592687</v>
      </c>
      <c r="G121" s="431">
        <v>609750</v>
      </c>
      <c r="H121" s="431">
        <v>0</v>
      </c>
      <c r="I121" s="431">
        <v>2818482</v>
      </c>
      <c r="J121" s="431">
        <v>49000</v>
      </c>
      <c r="K121" s="431">
        <v>1391000</v>
      </c>
      <c r="L121" s="431">
        <v>0</v>
      </c>
      <c r="M121" s="431">
        <v>134915</v>
      </c>
      <c r="N121" s="431">
        <v>0</v>
      </c>
      <c r="O121" s="431">
        <v>0</v>
      </c>
      <c r="P121" s="438">
        <f t="shared" si="15"/>
        <v>6158332</v>
      </c>
      <c r="Q121" s="431">
        <v>3249715</v>
      </c>
      <c r="R121" s="431">
        <v>1460322</v>
      </c>
      <c r="S121" s="431">
        <v>0</v>
      </c>
      <c r="T121" s="431">
        <v>0</v>
      </c>
      <c r="U121" s="431">
        <v>176</v>
      </c>
      <c r="V121" s="431">
        <v>0</v>
      </c>
      <c r="W121" s="431">
        <v>0</v>
      </c>
      <c r="X121" s="431">
        <v>512886</v>
      </c>
      <c r="Y121" s="431">
        <v>172352</v>
      </c>
      <c r="Z121" s="431">
        <v>774968</v>
      </c>
      <c r="AA121" s="431">
        <v>0</v>
      </c>
      <c r="AB121" s="431">
        <v>-12087</v>
      </c>
      <c r="AC121" s="431">
        <v>1147043</v>
      </c>
      <c r="AD121" s="431">
        <v>73695</v>
      </c>
      <c r="AE121" s="431">
        <v>2746118</v>
      </c>
      <c r="AF121" s="431">
        <v>21747</v>
      </c>
      <c r="AG121" s="431">
        <v>316576</v>
      </c>
      <c r="AH121" s="431">
        <v>651545</v>
      </c>
      <c r="AI121" s="431">
        <v>841518</v>
      </c>
      <c r="AJ121" s="431">
        <v>149197</v>
      </c>
      <c r="AK121" s="431">
        <v>0</v>
      </c>
      <c r="AL121" s="431">
        <v>210893</v>
      </c>
      <c r="AM121" s="431">
        <v>0</v>
      </c>
    </row>
    <row r="122" spans="1:39" s="155" customFormat="1" ht="12" x14ac:dyDescent="0.2">
      <c r="A122" s="168">
        <v>68</v>
      </c>
      <c r="B122" s="195">
        <v>73371</v>
      </c>
      <c r="C122" s="175" t="s">
        <v>1570</v>
      </c>
      <c r="D122" s="438">
        <f t="shared" si="14"/>
        <v>3667806</v>
      </c>
      <c r="E122" s="431">
        <v>1101157</v>
      </c>
      <c r="F122" s="431">
        <v>84634</v>
      </c>
      <c r="G122" s="431">
        <v>567037</v>
      </c>
      <c r="H122" s="431">
        <v>0</v>
      </c>
      <c r="I122" s="431">
        <v>1063376</v>
      </c>
      <c r="J122" s="431">
        <v>76000</v>
      </c>
      <c r="K122" s="431">
        <v>603000</v>
      </c>
      <c r="L122" s="431">
        <v>0</v>
      </c>
      <c r="M122" s="431">
        <v>210353</v>
      </c>
      <c r="N122" s="431">
        <v>548786</v>
      </c>
      <c r="O122" s="431">
        <v>65134</v>
      </c>
      <c r="P122" s="438">
        <f t="shared" si="15"/>
        <v>5414288</v>
      </c>
      <c r="Q122" s="431">
        <v>1321489</v>
      </c>
      <c r="R122" s="431">
        <v>584428</v>
      </c>
      <c r="S122" s="431">
        <v>0</v>
      </c>
      <c r="T122" s="431">
        <v>0</v>
      </c>
      <c r="U122" s="431">
        <v>394</v>
      </c>
      <c r="V122" s="431">
        <v>0</v>
      </c>
      <c r="W122" s="431">
        <v>2849080</v>
      </c>
      <c r="X122" s="431">
        <v>321024</v>
      </c>
      <c r="Y122" s="431">
        <v>17965</v>
      </c>
      <c r="Z122" s="431">
        <v>320898</v>
      </c>
      <c r="AA122" s="431">
        <v>0</v>
      </c>
      <c r="AB122" s="431">
        <v>-990</v>
      </c>
      <c r="AC122" s="431">
        <v>1011198</v>
      </c>
      <c r="AD122" s="431">
        <v>39356</v>
      </c>
      <c r="AE122" s="431">
        <v>847129</v>
      </c>
      <c r="AF122" s="431">
        <v>13000</v>
      </c>
      <c r="AG122" s="431">
        <v>10000</v>
      </c>
      <c r="AH122" s="431">
        <v>315818</v>
      </c>
      <c r="AI122" s="431">
        <v>520893</v>
      </c>
      <c r="AJ122" s="431">
        <v>0</v>
      </c>
      <c r="AK122" s="431">
        <v>0</v>
      </c>
      <c r="AL122" s="431">
        <v>103864</v>
      </c>
      <c r="AM122" s="431">
        <v>2553030</v>
      </c>
    </row>
    <row r="123" spans="1:39" s="155" customFormat="1" ht="12" x14ac:dyDescent="0.2">
      <c r="A123" s="168">
        <v>69</v>
      </c>
      <c r="B123" s="195">
        <v>73460</v>
      </c>
      <c r="C123" s="175" t="s">
        <v>1571</v>
      </c>
      <c r="D123" s="438">
        <f t="shared" si="14"/>
        <v>3086749</v>
      </c>
      <c r="E123" s="431">
        <v>1116594</v>
      </c>
      <c r="F123" s="431">
        <v>111079</v>
      </c>
      <c r="G123" s="431">
        <v>667533</v>
      </c>
      <c r="H123" s="431">
        <v>0</v>
      </c>
      <c r="I123" s="431">
        <v>1137000</v>
      </c>
      <c r="J123" s="431">
        <v>0</v>
      </c>
      <c r="K123" s="431">
        <v>627000</v>
      </c>
      <c r="L123" s="431">
        <v>0</v>
      </c>
      <c r="M123" s="431">
        <v>206155</v>
      </c>
      <c r="N123" s="431">
        <v>0</v>
      </c>
      <c r="O123" s="431">
        <v>0</v>
      </c>
      <c r="P123" s="438">
        <f t="shared" si="15"/>
        <v>2943167</v>
      </c>
      <c r="Q123" s="431">
        <v>1314017</v>
      </c>
      <c r="R123" s="431">
        <v>496119</v>
      </c>
      <c r="S123" s="431">
        <v>0</v>
      </c>
      <c r="T123" s="431">
        <v>0</v>
      </c>
      <c r="U123" s="431">
        <v>2168</v>
      </c>
      <c r="V123" s="431">
        <v>0</v>
      </c>
      <c r="W123" s="431">
        <v>565803</v>
      </c>
      <c r="X123" s="431">
        <v>178600</v>
      </c>
      <c r="Y123" s="431">
        <v>7000</v>
      </c>
      <c r="Z123" s="431">
        <v>395444</v>
      </c>
      <c r="AA123" s="431">
        <v>0</v>
      </c>
      <c r="AB123" s="431">
        <v>-15984</v>
      </c>
      <c r="AC123" s="431">
        <v>814428</v>
      </c>
      <c r="AD123" s="431">
        <v>0</v>
      </c>
      <c r="AE123" s="431">
        <v>1046576</v>
      </c>
      <c r="AF123" s="431">
        <v>0</v>
      </c>
      <c r="AG123" s="431">
        <v>16308</v>
      </c>
      <c r="AH123" s="431">
        <v>178600</v>
      </c>
      <c r="AI123" s="431">
        <v>825859</v>
      </c>
      <c r="AJ123" s="431">
        <v>0</v>
      </c>
      <c r="AK123" s="431">
        <v>0</v>
      </c>
      <c r="AL123" s="431">
        <v>61396</v>
      </c>
      <c r="AM123" s="431">
        <v>0</v>
      </c>
    </row>
    <row r="124" spans="1:39" s="155" customFormat="1" ht="12" x14ac:dyDescent="0.2">
      <c r="A124" s="168">
        <v>70</v>
      </c>
      <c r="B124" s="195">
        <v>73503</v>
      </c>
      <c r="C124" s="175" t="s">
        <v>1572</v>
      </c>
      <c r="D124" s="438">
        <f t="shared" si="14"/>
        <v>5536342</v>
      </c>
      <c r="E124" s="431">
        <v>1196201</v>
      </c>
      <c r="F124" s="431">
        <v>213971</v>
      </c>
      <c r="G124" s="431">
        <v>498180</v>
      </c>
      <c r="H124" s="431">
        <v>0</v>
      </c>
      <c r="I124" s="431">
        <v>1281667</v>
      </c>
      <c r="J124" s="431">
        <v>239565</v>
      </c>
      <c r="K124" s="431">
        <v>558000</v>
      </c>
      <c r="L124" s="431">
        <v>0</v>
      </c>
      <c r="M124" s="431">
        <v>2260909</v>
      </c>
      <c r="N124" s="431">
        <v>0</v>
      </c>
      <c r="O124" s="431">
        <v>0</v>
      </c>
      <c r="P124" s="438">
        <f t="shared" si="15"/>
        <v>5810892</v>
      </c>
      <c r="Q124" s="431">
        <v>1818440</v>
      </c>
      <c r="R124" s="431">
        <v>704625</v>
      </c>
      <c r="S124" s="431">
        <v>0</v>
      </c>
      <c r="T124" s="431">
        <v>0</v>
      </c>
      <c r="U124" s="431">
        <v>1860</v>
      </c>
      <c r="V124" s="431">
        <v>0</v>
      </c>
      <c r="W124" s="431">
        <v>0</v>
      </c>
      <c r="X124" s="431">
        <v>102638</v>
      </c>
      <c r="Y124" s="431">
        <v>0</v>
      </c>
      <c r="Z124" s="431">
        <v>3188772</v>
      </c>
      <c r="AA124" s="431">
        <v>0</v>
      </c>
      <c r="AB124" s="431">
        <v>-5443</v>
      </c>
      <c r="AC124" s="431">
        <v>968680</v>
      </c>
      <c r="AD124" s="431">
        <v>3926</v>
      </c>
      <c r="AE124" s="431">
        <v>1417233</v>
      </c>
      <c r="AF124" s="431">
        <v>0</v>
      </c>
      <c r="AG124" s="431">
        <v>206664</v>
      </c>
      <c r="AH124" s="431">
        <v>238774</v>
      </c>
      <c r="AI124" s="431">
        <v>329849</v>
      </c>
      <c r="AJ124" s="431">
        <v>95</v>
      </c>
      <c r="AK124" s="431">
        <v>0</v>
      </c>
      <c r="AL124" s="431">
        <v>2614121</v>
      </c>
      <c r="AM124" s="431">
        <v>31550</v>
      </c>
    </row>
    <row r="125" spans="1:39" s="155" customFormat="1" ht="12" x14ac:dyDescent="0.2">
      <c r="A125" s="168">
        <v>71</v>
      </c>
      <c r="B125" s="195">
        <v>73567</v>
      </c>
      <c r="C125" s="175" t="s">
        <v>1573</v>
      </c>
      <c r="D125" s="438">
        <f t="shared" si="14"/>
        <v>4450847</v>
      </c>
      <c r="E125" s="431">
        <v>1347547</v>
      </c>
      <c r="F125" s="431">
        <v>208588</v>
      </c>
      <c r="G125" s="431">
        <v>556251</v>
      </c>
      <c r="H125" s="431">
        <v>0</v>
      </c>
      <c r="I125" s="431">
        <v>1845388</v>
      </c>
      <c r="J125" s="431">
        <v>0</v>
      </c>
      <c r="K125" s="431">
        <v>1096040</v>
      </c>
      <c r="L125" s="431">
        <v>0</v>
      </c>
      <c r="M125" s="431">
        <v>112624</v>
      </c>
      <c r="N125" s="431">
        <v>0</v>
      </c>
      <c r="O125" s="431">
        <v>49248</v>
      </c>
      <c r="P125" s="438">
        <f t="shared" si="15"/>
        <v>5102878</v>
      </c>
      <c r="Q125" s="431">
        <v>2390399</v>
      </c>
      <c r="R125" s="431">
        <v>1120312</v>
      </c>
      <c r="S125" s="431">
        <v>0</v>
      </c>
      <c r="T125" s="431">
        <v>0</v>
      </c>
      <c r="U125" s="431">
        <v>10000</v>
      </c>
      <c r="V125" s="431">
        <v>0</v>
      </c>
      <c r="W125" s="431">
        <v>0</v>
      </c>
      <c r="X125" s="431">
        <v>336455</v>
      </c>
      <c r="Y125" s="431">
        <v>0</v>
      </c>
      <c r="Z125" s="431">
        <v>1249072</v>
      </c>
      <c r="AA125" s="431">
        <v>0</v>
      </c>
      <c r="AB125" s="431">
        <v>-3360</v>
      </c>
      <c r="AC125" s="431">
        <v>1690625</v>
      </c>
      <c r="AD125" s="431">
        <v>77656</v>
      </c>
      <c r="AE125" s="431">
        <v>1631511</v>
      </c>
      <c r="AF125" s="431">
        <v>28793</v>
      </c>
      <c r="AG125" s="431">
        <v>382181</v>
      </c>
      <c r="AH125" s="431">
        <v>336455</v>
      </c>
      <c r="AI125" s="431">
        <v>644936</v>
      </c>
      <c r="AJ125" s="431">
        <v>0</v>
      </c>
      <c r="AK125" s="431">
        <v>0</v>
      </c>
      <c r="AL125" s="431">
        <v>310721</v>
      </c>
      <c r="AM125" s="431">
        <v>0</v>
      </c>
    </row>
    <row r="126" spans="1:39" s="155" customFormat="1" ht="12" x14ac:dyDescent="0.2">
      <c r="A126" s="168">
        <v>72</v>
      </c>
      <c r="B126" s="195">
        <v>73594</v>
      </c>
      <c r="C126" s="175" t="s">
        <v>1574</v>
      </c>
      <c r="D126" s="438">
        <f t="shared" si="14"/>
        <v>3563926</v>
      </c>
      <c r="E126" s="431">
        <v>1362738</v>
      </c>
      <c r="F126" s="431">
        <v>204977</v>
      </c>
      <c r="G126" s="431">
        <v>500224</v>
      </c>
      <c r="H126" s="431">
        <v>0</v>
      </c>
      <c r="I126" s="431">
        <v>989725</v>
      </c>
      <c r="J126" s="431">
        <v>33000</v>
      </c>
      <c r="K126" s="431">
        <v>1088930</v>
      </c>
      <c r="L126" s="431">
        <v>0</v>
      </c>
      <c r="M126" s="431">
        <v>47797</v>
      </c>
      <c r="N126" s="431">
        <v>0</v>
      </c>
      <c r="O126" s="431">
        <v>41736</v>
      </c>
      <c r="P126" s="438">
        <f t="shared" si="15"/>
        <v>3577161</v>
      </c>
      <c r="Q126" s="431">
        <v>1241861</v>
      </c>
      <c r="R126" s="431">
        <v>959403</v>
      </c>
      <c r="S126" s="431">
        <v>0</v>
      </c>
      <c r="T126" s="431">
        <v>0</v>
      </c>
      <c r="U126" s="431">
        <v>1232</v>
      </c>
      <c r="V126" s="431">
        <v>0</v>
      </c>
      <c r="W126" s="431">
        <v>0</v>
      </c>
      <c r="X126" s="431">
        <v>162462</v>
      </c>
      <c r="Y126" s="431">
        <v>17350</v>
      </c>
      <c r="Z126" s="431">
        <v>1196765</v>
      </c>
      <c r="AA126" s="431">
        <v>0</v>
      </c>
      <c r="AB126" s="431">
        <v>-1912</v>
      </c>
      <c r="AC126" s="431">
        <v>1032635</v>
      </c>
      <c r="AD126" s="431">
        <v>18000</v>
      </c>
      <c r="AE126" s="431">
        <v>1066316</v>
      </c>
      <c r="AF126" s="431">
        <v>0</v>
      </c>
      <c r="AG126" s="431">
        <v>118307</v>
      </c>
      <c r="AH126" s="431">
        <v>212933</v>
      </c>
      <c r="AI126" s="431">
        <v>595988</v>
      </c>
      <c r="AJ126" s="431">
        <v>311141</v>
      </c>
      <c r="AK126" s="431">
        <v>0</v>
      </c>
      <c r="AL126" s="431">
        <v>221841</v>
      </c>
      <c r="AM126" s="431">
        <v>0</v>
      </c>
    </row>
    <row r="127" spans="1:39" s="155" customFormat="1" ht="12" x14ac:dyDescent="0.2">
      <c r="A127" s="168">
        <v>73</v>
      </c>
      <c r="B127" s="195">
        <v>73629</v>
      </c>
      <c r="C127" s="175" t="s">
        <v>1575</v>
      </c>
      <c r="D127" s="438">
        <f t="shared" si="14"/>
        <v>9293903</v>
      </c>
      <c r="E127" s="431">
        <v>6181938</v>
      </c>
      <c r="F127" s="431">
        <v>3307328</v>
      </c>
      <c r="G127" s="431">
        <v>73612</v>
      </c>
      <c r="H127" s="431">
        <v>0</v>
      </c>
      <c r="I127" s="431">
        <v>1546362</v>
      </c>
      <c r="J127" s="431">
        <v>139000</v>
      </c>
      <c r="K127" s="431">
        <v>203000</v>
      </c>
      <c r="L127" s="431">
        <v>0</v>
      </c>
      <c r="M127" s="431">
        <v>1222803</v>
      </c>
      <c r="N127" s="431">
        <v>0</v>
      </c>
      <c r="O127" s="431">
        <v>800</v>
      </c>
      <c r="P127" s="438">
        <f t="shared" si="15"/>
        <v>9488293</v>
      </c>
      <c r="Q127" s="431">
        <v>2071195</v>
      </c>
      <c r="R127" s="431">
        <v>2658234</v>
      </c>
      <c r="S127" s="431">
        <v>33000</v>
      </c>
      <c r="T127" s="431">
        <v>0</v>
      </c>
      <c r="U127" s="431">
        <v>196747</v>
      </c>
      <c r="V127" s="431">
        <v>0</v>
      </c>
      <c r="W127" s="431">
        <v>0</v>
      </c>
      <c r="X127" s="431">
        <v>225894</v>
      </c>
      <c r="Y127" s="431">
        <v>0</v>
      </c>
      <c r="Z127" s="431">
        <v>4089223</v>
      </c>
      <c r="AA127" s="431">
        <v>214000</v>
      </c>
      <c r="AB127" s="431">
        <v>0</v>
      </c>
      <c r="AC127" s="431">
        <v>2012097</v>
      </c>
      <c r="AD127" s="431">
        <v>42994</v>
      </c>
      <c r="AE127" s="431">
        <v>1295776</v>
      </c>
      <c r="AF127" s="431">
        <v>26613</v>
      </c>
      <c r="AG127" s="431">
        <v>224102</v>
      </c>
      <c r="AH127" s="431">
        <v>352262</v>
      </c>
      <c r="AI127" s="431">
        <v>1374316</v>
      </c>
      <c r="AJ127" s="431">
        <v>1402195</v>
      </c>
      <c r="AK127" s="431">
        <v>0</v>
      </c>
      <c r="AL127" s="431">
        <v>2755346</v>
      </c>
      <c r="AM127" s="431">
        <v>2592</v>
      </c>
    </row>
    <row r="128" spans="1:39" s="155" customFormat="1" ht="12" x14ac:dyDescent="0.2">
      <c r="A128" s="168">
        <v>74</v>
      </c>
      <c r="B128" s="195">
        <v>73665</v>
      </c>
      <c r="C128" s="175" t="s">
        <v>1576</v>
      </c>
      <c r="D128" s="438">
        <f t="shared" si="14"/>
        <v>4053591</v>
      </c>
      <c r="E128" s="431">
        <v>1065632</v>
      </c>
      <c r="F128" s="431">
        <v>160437</v>
      </c>
      <c r="G128" s="431">
        <v>606752</v>
      </c>
      <c r="H128" s="431">
        <v>0</v>
      </c>
      <c r="I128" s="431">
        <v>1477709</v>
      </c>
      <c r="J128" s="431">
        <v>74000</v>
      </c>
      <c r="K128" s="431">
        <v>637000</v>
      </c>
      <c r="L128" s="431">
        <v>0</v>
      </c>
      <c r="M128" s="431">
        <v>132448</v>
      </c>
      <c r="N128" s="431">
        <v>646802</v>
      </c>
      <c r="O128" s="431">
        <v>20000</v>
      </c>
      <c r="P128" s="438">
        <f t="shared" si="15"/>
        <v>3952758</v>
      </c>
      <c r="Q128" s="431">
        <v>1808912</v>
      </c>
      <c r="R128" s="431">
        <v>788266</v>
      </c>
      <c r="S128" s="431">
        <v>0</v>
      </c>
      <c r="T128" s="431">
        <v>0</v>
      </c>
      <c r="U128" s="431">
        <v>0</v>
      </c>
      <c r="V128" s="431">
        <v>0</v>
      </c>
      <c r="W128" s="431">
        <v>734508</v>
      </c>
      <c r="X128" s="431">
        <v>146033</v>
      </c>
      <c r="Y128" s="431">
        <v>5000</v>
      </c>
      <c r="Z128" s="431">
        <v>470136</v>
      </c>
      <c r="AA128" s="431">
        <v>0</v>
      </c>
      <c r="AB128" s="431">
        <v>-97</v>
      </c>
      <c r="AC128" s="431">
        <v>1433057</v>
      </c>
      <c r="AD128" s="431">
        <v>102559</v>
      </c>
      <c r="AE128" s="431">
        <v>1473906</v>
      </c>
      <c r="AF128" s="431">
        <v>0</v>
      </c>
      <c r="AG128" s="431">
        <v>61860</v>
      </c>
      <c r="AH128" s="431">
        <v>146033</v>
      </c>
      <c r="AI128" s="431">
        <v>68662</v>
      </c>
      <c r="AJ128" s="431">
        <v>0</v>
      </c>
      <c r="AK128" s="431">
        <v>0</v>
      </c>
      <c r="AL128" s="431">
        <v>666681</v>
      </c>
      <c r="AM128" s="431">
        <v>0</v>
      </c>
    </row>
    <row r="129" spans="1:39" s="155" customFormat="1" ht="12" x14ac:dyDescent="0.2">
      <c r="A129" s="168">
        <v>75</v>
      </c>
      <c r="B129" s="195">
        <v>73709</v>
      </c>
      <c r="C129" s="175" t="s">
        <v>1577</v>
      </c>
      <c r="D129" s="438">
        <f t="shared" si="14"/>
        <v>6390396</v>
      </c>
      <c r="E129" s="431">
        <v>1957922</v>
      </c>
      <c r="F129" s="431">
        <v>460677</v>
      </c>
      <c r="G129" s="431">
        <v>421245</v>
      </c>
      <c r="H129" s="431">
        <v>0</v>
      </c>
      <c r="I129" s="431">
        <v>3034551</v>
      </c>
      <c r="J129" s="431">
        <v>91000</v>
      </c>
      <c r="K129" s="431">
        <v>937000</v>
      </c>
      <c r="L129" s="431">
        <v>0</v>
      </c>
      <c r="M129" s="431">
        <v>317923</v>
      </c>
      <c r="N129" s="431">
        <v>0</v>
      </c>
      <c r="O129" s="431">
        <v>52000</v>
      </c>
      <c r="P129" s="438">
        <f t="shared" si="15"/>
        <v>6663374</v>
      </c>
      <c r="Q129" s="431">
        <v>3533286</v>
      </c>
      <c r="R129" s="431">
        <v>1669825</v>
      </c>
      <c r="S129" s="431">
        <v>0</v>
      </c>
      <c r="T129" s="431">
        <v>0</v>
      </c>
      <c r="U129" s="431">
        <v>0</v>
      </c>
      <c r="V129" s="431">
        <v>0</v>
      </c>
      <c r="W129" s="431">
        <v>0</v>
      </c>
      <c r="X129" s="431">
        <v>267613</v>
      </c>
      <c r="Y129" s="431">
        <v>2000</v>
      </c>
      <c r="Z129" s="431">
        <v>1191722</v>
      </c>
      <c r="AA129" s="431">
        <v>0</v>
      </c>
      <c r="AB129" s="431">
        <v>-1072</v>
      </c>
      <c r="AC129" s="431">
        <v>1716411</v>
      </c>
      <c r="AD129" s="431">
        <v>422883</v>
      </c>
      <c r="AE129" s="431">
        <v>2746292</v>
      </c>
      <c r="AF129" s="431">
        <v>216349</v>
      </c>
      <c r="AG129" s="431">
        <v>58223</v>
      </c>
      <c r="AH129" s="431">
        <v>345366</v>
      </c>
      <c r="AI129" s="431">
        <v>194329</v>
      </c>
      <c r="AJ129" s="431">
        <v>572832</v>
      </c>
      <c r="AK129" s="431">
        <v>0</v>
      </c>
      <c r="AL129" s="431">
        <v>390689</v>
      </c>
      <c r="AM129" s="431">
        <v>0</v>
      </c>
    </row>
    <row r="130" spans="1:39" s="155" customFormat="1" ht="12" x14ac:dyDescent="0.2">
      <c r="A130" s="168">
        <v>76</v>
      </c>
      <c r="B130" s="195">
        <v>74931</v>
      </c>
      <c r="C130" s="175" t="s">
        <v>1578</v>
      </c>
      <c r="D130" s="438">
        <f t="shared" si="14"/>
        <v>3713387</v>
      </c>
      <c r="E130" s="431">
        <v>1005000</v>
      </c>
      <c r="F130" s="431">
        <v>53797</v>
      </c>
      <c r="G130" s="431">
        <v>774858</v>
      </c>
      <c r="H130" s="431">
        <v>0</v>
      </c>
      <c r="I130" s="431">
        <v>827691</v>
      </c>
      <c r="J130" s="431">
        <v>156000</v>
      </c>
      <c r="K130" s="431">
        <v>648000</v>
      </c>
      <c r="L130" s="431">
        <v>0</v>
      </c>
      <c r="M130" s="431">
        <v>1076696</v>
      </c>
      <c r="N130" s="431">
        <v>0</v>
      </c>
      <c r="O130" s="431">
        <v>0</v>
      </c>
      <c r="P130" s="438">
        <f t="shared" si="15"/>
        <v>3605637</v>
      </c>
      <c r="Q130" s="431">
        <v>1101656</v>
      </c>
      <c r="R130" s="431">
        <v>1168543</v>
      </c>
      <c r="S130" s="431">
        <v>0</v>
      </c>
      <c r="T130" s="431">
        <v>0</v>
      </c>
      <c r="U130" s="431">
        <v>0</v>
      </c>
      <c r="V130" s="431">
        <v>0</v>
      </c>
      <c r="W130" s="431">
        <v>0</v>
      </c>
      <c r="X130" s="431">
        <v>65580</v>
      </c>
      <c r="Y130" s="431">
        <v>5000</v>
      </c>
      <c r="Z130" s="431">
        <v>1266688</v>
      </c>
      <c r="AA130" s="431">
        <v>0</v>
      </c>
      <c r="AB130" s="431">
        <v>-1830</v>
      </c>
      <c r="AC130" s="431">
        <v>506399</v>
      </c>
      <c r="AD130" s="431">
        <v>0</v>
      </c>
      <c r="AE130" s="431">
        <v>845991</v>
      </c>
      <c r="AF130" s="431">
        <v>0</v>
      </c>
      <c r="AG130" s="431">
        <v>0</v>
      </c>
      <c r="AH130" s="431">
        <v>169721</v>
      </c>
      <c r="AI130" s="431">
        <v>17366</v>
      </c>
      <c r="AJ130" s="431">
        <v>0</v>
      </c>
      <c r="AK130" s="431">
        <v>0</v>
      </c>
      <c r="AL130" s="431">
        <v>2066160</v>
      </c>
      <c r="AM130" s="431">
        <v>0</v>
      </c>
    </row>
    <row r="131" spans="1:39" s="155" customFormat="1" ht="12" x14ac:dyDescent="0.2">
      <c r="A131" s="168">
        <v>77</v>
      </c>
      <c r="B131" s="195">
        <v>73736</v>
      </c>
      <c r="C131" s="175" t="s">
        <v>1579</v>
      </c>
      <c r="D131" s="438">
        <f t="shared" si="14"/>
        <v>11102450</v>
      </c>
      <c r="E131" s="431">
        <v>3445963</v>
      </c>
      <c r="F131" s="431">
        <v>1245631</v>
      </c>
      <c r="G131" s="431">
        <v>841639</v>
      </c>
      <c r="H131" s="431">
        <v>0</v>
      </c>
      <c r="I131" s="431">
        <v>5240984</v>
      </c>
      <c r="J131" s="431">
        <v>0</v>
      </c>
      <c r="K131" s="431">
        <v>1992000</v>
      </c>
      <c r="L131" s="431">
        <v>0</v>
      </c>
      <c r="M131" s="431">
        <v>167753</v>
      </c>
      <c r="N131" s="431">
        <v>255750</v>
      </c>
      <c r="O131" s="431">
        <v>0</v>
      </c>
      <c r="P131" s="438">
        <f t="shared" si="15"/>
        <v>8849036</v>
      </c>
      <c r="Q131" s="431">
        <v>5676064</v>
      </c>
      <c r="R131" s="431">
        <v>2223719</v>
      </c>
      <c r="S131" s="431">
        <v>0</v>
      </c>
      <c r="T131" s="431">
        <v>0</v>
      </c>
      <c r="U131" s="431">
        <v>0</v>
      </c>
      <c r="V131" s="431">
        <v>0</v>
      </c>
      <c r="W131" s="431">
        <v>255750</v>
      </c>
      <c r="X131" s="431">
        <v>308187</v>
      </c>
      <c r="Y131" s="431">
        <v>61810</v>
      </c>
      <c r="Z131" s="431">
        <v>323675</v>
      </c>
      <c r="AA131" s="431">
        <v>0</v>
      </c>
      <c r="AB131" s="431">
        <v>-169</v>
      </c>
      <c r="AC131" s="431">
        <v>2280117</v>
      </c>
      <c r="AD131" s="431">
        <v>144154</v>
      </c>
      <c r="AE131" s="431">
        <v>4766170</v>
      </c>
      <c r="AF131" s="431">
        <v>123761</v>
      </c>
      <c r="AG131" s="431">
        <v>97042</v>
      </c>
      <c r="AH131" s="431">
        <v>878819</v>
      </c>
      <c r="AI131" s="431">
        <v>350299</v>
      </c>
      <c r="AJ131" s="431">
        <v>4999</v>
      </c>
      <c r="AK131" s="431">
        <v>0</v>
      </c>
      <c r="AL131" s="431">
        <v>203675</v>
      </c>
      <c r="AM131" s="431">
        <v>0</v>
      </c>
    </row>
    <row r="132" spans="1:39" s="155" customFormat="1" ht="12" x14ac:dyDescent="0.2">
      <c r="A132" s="168">
        <v>78</v>
      </c>
      <c r="B132" s="195">
        <v>70110</v>
      </c>
      <c r="C132" s="175" t="s">
        <v>1580</v>
      </c>
      <c r="D132" s="438">
        <f t="shared" si="14"/>
        <v>14985309</v>
      </c>
      <c r="E132" s="431">
        <v>4074398</v>
      </c>
      <c r="F132" s="431">
        <v>1713608</v>
      </c>
      <c r="G132" s="431">
        <v>143237</v>
      </c>
      <c r="H132" s="431">
        <v>0</v>
      </c>
      <c r="I132" s="431">
        <v>2261476</v>
      </c>
      <c r="J132" s="431">
        <v>80260</v>
      </c>
      <c r="K132" s="431">
        <v>489000</v>
      </c>
      <c r="L132" s="431">
        <v>0</v>
      </c>
      <c r="M132" s="431">
        <v>1869245</v>
      </c>
      <c r="N132" s="431">
        <v>6210930</v>
      </c>
      <c r="O132" s="431">
        <v>0</v>
      </c>
      <c r="P132" s="438">
        <f t="shared" si="15"/>
        <v>15708984</v>
      </c>
      <c r="Q132" s="431">
        <v>2513289</v>
      </c>
      <c r="R132" s="431">
        <v>2387614</v>
      </c>
      <c r="S132" s="431">
        <v>0</v>
      </c>
      <c r="T132" s="431">
        <v>0</v>
      </c>
      <c r="U132" s="431">
        <v>97833</v>
      </c>
      <c r="V132" s="431">
        <v>0</v>
      </c>
      <c r="W132" s="431">
        <v>8853422</v>
      </c>
      <c r="X132" s="431">
        <v>392673</v>
      </c>
      <c r="Y132" s="431">
        <v>351440</v>
      </c>
      <c r="Z132" s="431">
        <v>1448880</v>
      </c>
      <c r="AA132" s="431">
        <v>0</v>
      </c>
      <c r="AB132" s="431">
        <v>-336167</v>
      </c>
      <c r="AC132" s="431">
        <v>1540217</v>
      </c>
      <c r="AD132" s="431">
        <v>152657</v>
      </c>
      <c r="AE132" s="431">
        <v>3891281</v>
      </c>
      <c r="AF132" s="431">
        <v>3977</v>
      </c>
      <c r="AG132" s="431">
        <v>452790</v>
      </c>
      <c r="AH132" s="431">
        <v>1021760</v>
      </c>
      <c r="AI132" s="431">
        <v>2431201</v>
      </c>
      <c r="AJ132" s="431">
        <v>6471008</v>
      </c>
      <c r="AK132" s="431">
        <v>0</v>
      </c>
      <c r="AL132" s="431">
        <v>-255907</v>
      </c>
      <c r="AM132" s="431">
        <v>0</v>
      </c>
    </row>
    <row r="133" spans="1:39" s="155" customFormat="1" ht="12" x14ac:dyDescent="0.2">
      <c r="A133" s="168">
        <v>79</v>
      </c>
      <c r="B133" s="195">
        <v>73772</v>
      </c>
      <c r="C133" s="175" t="s">
        <v>1581</v>
      </c>
      <c r="D133" s="438">
        <f t="shared" si="14"/>
        <v>3716299</v>
      </c>
      <c r="E133" s="431">
        <v>1097920</v>
      </c>
      <c r="F133" s="431">
        <v>102834</v>
      </c>
      <c r="G133" s="431">
        <v>602316</v>
      </c>
      <c r="H133" s="431">
        <v>0</v>
      </c>
      <c r="I133" s="431">
        <v>1007489</v>
      </c>
      <c r="J133" s="431">
        <v>112000</v>
      </c>
      <c r="K133" s="431">
        <v>638000</v>
      </c>
      <c r="L133" s="431">
        <v>0</v>
      </c>
      <c r="M133" s="431">
        <v>468143</v>
      </c>
      <c r="N133" s="431">
        <v>392747</v>
      </c>
      <c r="O133" s="431">
        <v>0</v>
      </c>
      <c r="P133" s="438">
        <f t="shared" si="15"/>
        <v>4921844</v>
      </c>
      <c r="Q133" s="431">
        <v>1474476</v>
      </c>
      <c r="R133" s="431">
        <v>859609</v>
      </c>
      <c r="S133" s="431">
        <v>0</v>
      </c>
      <c r="T133" s="431">
        <v>0</v>
      </c>
      <c r="U133" s="431">
        <v>7101</v>
      </c>
      <c r="V133" s="431">
        <v>8543</v>
      </c>
      <c r="W133" s="431">
        <v>560094</v>
      </c>
      <c r="X133" s="431">
        <v>71677</v>
      </c>
      <c r="Y133" s="431">
        <v>32325</v>
      </c>
      <c r="Z133" s="431">
        <v>1908019</v>
      </c>
      <c r="AA133" s="431">
        <v>0</v>
      </c>
      <c r="AB133" s="431">
        <v>0</v>
      </c>
      <c r="AC133" s="431">
        <v>1224772</v>
      </c>
      <c r="AD133" s="431">
        <v>36797</v>
      </c>
      <c r="AE133" s="431">
        <v>894013</v>
      </c>
      <c r="AF133" s="431">
        <v>0</v>
      </c>
      <c r="AG133" s="431">
        <v>53066</v>
      </c>
      <c r="AH133" s="431">
        <v>205185</v>
      </c>
      <c r="AI133" s="431">
        <v>1600329</v>
      </c>
      <c r="AJ133" s="431">
        <v>0</v>
      </c>
      <c r="AK133" s="431">
        <v>0</v>
      </c>
      <c r="AL133" s="431">
        <v>907682</v>
      </c>
      <c r="AM133" s="431">
        <v>0</v>
      </c>
    </row>
    <row r="134" spans="1:39" s="155" customFormat="1" ht="12" x14ac:dyDescent="0.2">
      <c r="A134" s="168">
        <v>80</v>
      </c>
      <c r="B134" s="195">
        <v>73852</v>
      </c>
      <c r="C134" s="175" t="s">
        <v>1582</v>
      </c>
      <c r="D134" s="438">
        <f t="shared" si="14"/>
        <v>4939315</v>
      </c>
      <c r="E134" s="431">
        <v>1076561</v>
      </c>
      <c r="F134" s="431">
        <v>73044</v>
      </c>
      <c r="G134" s="431">
        <v>688362</v>
      </c>
      <c r="H134" s="431">
        <v>0</v>
      </c>
      <c r="I134" s="431">
        <v>719155</v>
      </c>
      <c r="J134" s="431">
        <v>173000</v>
      </c>
      <c r="K134" s="431">
        <v>586000</v>
      </c>
      <c r="L134" s="431">
        <v>0</v>
      </c>
      <c r="M134" s="431">
        <v>2355115</v>
      </c>
      <c r="N134" s="431">
        <v>0</v>
      </c>
      <c r="O134" s="431">
        <v>29484</v>
      </c>
      <c r="P134" s="438">
        <f t="shared" si="15"/>
        <v>4989033</v>
      </c>
      <c r="Q134" s="431">
        <v>1013092</v>
      </c>
      <c r="R134" s="431">
        <v>877767</v>
      </c>
      <c r="S134" s="431">
        <v>0</v>
      </c>
      <c r="T134" s="431">
        <v>0</v>
      </c>
      <c r="U134" s="431">
        <v>5112</v>
      </c>
      <c r="V134" s="431">
        <v>0</v>
      </c>
      <c r="W134" s="431">
        <v>0</v>
      </c>
      <c r="X134" s="431">
        <v>80814</v>
      </c>
      <c r="Y134" s="431">
        <v>10000</v>
      </c>
      <c r="Z134" s="431">
        <v>3003948</v>
      </c>
      <c r="AA134" s="431">
        <v>0</v>
      </c>
      <c r="AB134" s="431">
        <v>-1700</v>
      </c>
      <c r="AC134" s="431">
        <v>772776</v>
      </c>
      <c r="AD134" s="431">
        <v>22340</v>
      </c>
      <c r="AE134" s="431">
        <v>738545</v>
      </c>
      <c r="AF134" s="431">
        <v>0</v>
      </c>
      <c r="AG134" s="431">
        <v>125383</v>
      </c>
      <c r="AH134" s="431">
        <v>83387</v>
      </c>
      <c r="AI134" s="431">
        <v>215003</v>
      </c>
      <c r="AJ134" s="431">
        <v>0</v>
      </c>
      <c r="AK134" s="431">
        <v>0</v>
      </c>
      <c r="AL134" s="431">
        <v>3031599</v>
      </c>
      <c r="AM134" s="431">
        <v>0</v>
      </c>
    </row>
    <row r="135" spans="1:39" s="155" customFormat="1" ht="12" x14ac:dyDescent="0.2">
      <c r="A135" s="168">
        <v>81</v>
      </c>
      <c r="B135" s="195">
        <v>73905</v>
      </c>
      <c r="C135" s="175" t="s">
        <v>1583</v>
      </c>
      <c r="D135" s="438">
        <f t="shared" si="14"/>
        <v>4094259</v>
      </c>
      <c r="E135" s="431">
        <v>1373295</v>
      </c>
      <c r="F135" s="431">
        <v>214977</v>
      </c>
      <c r="G135" s="431">
        <v>438487</v>
      </c>
      <c r="H135" s="431">
        <v>0</v>
      </c>
      <c r="I135" s="431">
        <v>1583022</v>
      </c>
      <c r="J135" s="431">
        <v>0</v>
      </c>
      <c r="K135" s="431">
        <v>1089000</v>
      </c>
      <c r="L135" s="431">
        <v>0</v>
      </c>
      <c r="M135" s="431">
        <v>48942</v>
      </c>
      <c r="N135" s="431">
        <v>0</v>
      </c>
      <c r="O135" s="431">
        <v>0</v>
      </c>
      <c r="P135" s="438">
        <f t="shared" si="15"/>
        <v>4441586</v>
      </c>
      <c r="Q135" s="431">
        <v>1776970</v>
      </c>
      <c r="R135" s="431">
        <v>1491558</v>
      </c>
      <c r="S135" s="431">
        <v>0</v>
      </c>
      <c r="T135" s="431">
        <v>0</v>
      </c>
      <c r="U135" s="431">
        <v>271</v>
      </c>
      <c r="V135" s="431">
        <v>0</v>
      </c>
      <c r="W135" s="431">
        <v>0</v>
      </c>
      <c r="X135" s="431">
        <v>177054</v>
      </c>
      <c r="Y135" s="431">
        <v>455764</v>
      </c>
      <c r="Z135" s="431">
        <v>539969</v>
      </c>
      <c r="AA135" s="431">
        <v>0</v>
      </c>
      <c r="AB135" s="431">
        <v>0</v>
      </c>
      <c r="AC135" s="431">
        <v>1152423</v>
      </c>
      <c r="AD135" s="431">
        <v>0</v>
      </c>
      <c r="AE135" s="431">
        <v>1458023</v>
      </c>
      <c r="AF135" s="431">
        <v>0</v>
      </c>
      <c r="AG135" s="431">
        <v>81182</v>
      </c>
      <c r="AH135" s="431">
        <v>210747</v>
      </c>
      <c r="AI135" s="431">
        <v>1539211</v>
      </c>
      <c r="AJ135" s="431">
        <v>0</v>
      </c>
      <c r="AK135" s="431">
        <v>0</v>
      </c>
      <c r="AL135" s="431">
        <v>0</v>
      </c>
      <c r="AM135" s="431">
        <v>0</v>
      </c>
    </row>
    <row r="136" spans="1:39" s="155" customFormat="1" ht="12" x14ac:dyDescent="0.2">
      <c r="A136" s="168">
        <v>82</v>
      </c>
      <c r="B136" s="195">
        <v>73923</v>
      </c>
      <c r="C136" s="175" t="s">
        <v>1584</v>
      </c>
      <c r="D136" s="438">
        <f t="shared" si="14"/>
        <v>4839183</v>
      </c>
      <c r="E136" s="431">
        <v>1404730</v>
      </c>
      <c r="F136" s="431">
        <v>251980</v>
      </c>
      <c r="G136" s="431">
        <v>475733</v>
      </c>
      <c r="H136" s="431">
        <v>0</v>
      </c>
      <c r="I136" s="431">
        <v>950356</v>
      </c>
      <c r="J136" s="431">
        <v>104000</v>
      </c>
      <c r="K136" s="431">
        <v>623000</v>
      </c>
      <c r="L136" s="431">
        <v>0</v>
      </c>
      <c r="M136" s="431">
        <v>95243</v>
      </c>
      <c r="N136" s="431">
        <v>1661854</v>
      </c>
      <c r="O136" s="431">
        <v>0</v>
      </c>
      <c r="P136" s="438">
        <f t="shared" si="15"/>
        <v>2280247</v>
      </c>
      <c r="Q136" s="431">
        <v>1428797</v>
      </c>
      <c r="R136" s="431">
        <v>635378</v>
      </c>
      <c r="S136" s="431">
        <v>0</v>
      </c>
      <c r="T136" s="431">
        <v>0</v>
      </c>
      <c r="U136" s="431">
        <v>2364</v>
      </c>
      <c r="V136" s="431">
        <v>0</v>
      </c>
      <c r="W136" s="431">
        <v>0</v>
      </c>
      <c r="X136" s="431">
        <v>102850</v>
      </c>
      <c r="Y136" s="431">
        <v>0</v>
      </c>
      <c r="Z136" s="431">
        <v>110858</v>
      </c>
      <c r="AA136" s="431">
        <v>0</v>
      </c>
      <c r="AB136" s="431">
        <v>0</v>
      </c>
      <c r="AC136" s="431">
        <v>779105</v>
      </c>
      <c r="AD136" s="431">
        <v>0</v>
      </c>
      <c r="AE136" s="431">
        <v>883308</v>
      </c>
      <c r="AF136" s="431">
        <v>0</v>
      </c>
      <c r="AG136" s="431">
        <v>56368</v>
      </c>
      <c r="AH136" s="431">
        <v>181455</v>
      </c>
      <c r="AI136" s="431">
        <v>143267</v>
      </c>
      <c r="AJ136" s="431">
        <v>0</v>
      </c>
      <c r="AK136" s="431">
        <v>0</v>
      </c>
      <c r="AL136" s="431">
        <v>236744</v>
      </c>
      <c r="AM136" s="431">
        <v>0</v>
      </c>
    </row>
    <row r="137" spans="1:39" s="155" customFormat="1" ht="12" x14ac:dyDescent="0.2">
      <c r="A137" s="168">
        <v>83</v>
      </c>
      <c r="B137" s="195">
        <v>74949</v>
      </c>
      <c r="C137" s="175" t="s">
        <v>1585</v>
      </c>
      <c r="D137" s="438">
        <f t="shared" si="14"/>
        <v>3011821</v>
      </c>
      <c r="E137" s="431">
        <v>1109899</v>
      </c>
      <c r="F137" s="431">
        <v>95597</v>
      </c>
      <c r="G137" s="431">
        <v>696438</v>
      </c>
      <c r="H137" s="431">
        <v>0</v>
      </c>
      <c r="I137" s="431">
        <v>1036009</v>
      </c>
      <c r="J137" s="431">
        <v>139000</v>
      </c>
      <c r="K137" s="431">
        <v>636000</v>
      </c>
      <c r="L137" s="431">
        <v>0</v>
      </c>
      <c r="M137" s="431">
        <v>71095</v>
      </c>
      <c r="N137" s="431">
        <v>0</v>
      </c>
      <c r="O137" s="431">
        <v>19818</v>
      </c>
      <c r="P137" s="438">
        <f t="shared" si="15"/>
        <v>3053168</v>
      </c>
      <c r="Q137" s="431">
        <v>1385011</v>
      </c>
      <c r="R137" s="431">
        <v>945840</v>
      </c>
      <c r="S137" s="431">
        <v>0</v>
      </c>
      <c r="T137" s="431">
        <v>0</v>
      </c>
      <c r="U137" s="431">
        <v>2000</v>
      </c>
      <c r="V137" s="431">
        <v>0</v>
      </c>
      <c r="W137" s="431">
        <v>0</v>
      </c>
      <c r="X137" s="431">
        <v>131471</v>
      </c>
      <c r="Y137" s="431">
        <v>0</v>
      </c>
      <c r="Z137" s="431">
        <v>599511</v>
      </c>
      <c r="AA137" s="431">
        <v>0</v>
      </c>
      <c r="AB137" s="431">
        <v>-10665</v>
      </c>
      <c r="AC137" s="431">
        <v>1316475</v>
      </c>
      <c r="AD137" s="431">
        <v>0</v>
      </c>
      <c r="AE137" s="431">
        <v>869391</v>
      </c>
      <c r="AF137" s="431">
        <v>0</v>
      </c>
      <c r="AG137" s="431">
        <v>97675</v>
      </c>
      <c r="AH137" s="431">
        <v>264966</v>
      </c>
      <c r="AI137" s="431">
        <v>119958</v>
      </c>
      <c r="AJ137" s="431">
        <v>0</v>
      </c>
      <c r="AK137" s="431">
        <v>0</v>
      </c>
      <c r="AL137" s="431">
        <v>384703</v>
      </c>
      <c r="AM137" s="431">
        <v>0</v>
      </c>
    </row>
    <row r="138" spans="1:39" s="155" customFormat="1" ht="12" x14ac:dyDescent="0.2">
      <c r="A138" s="168">
        <v>84</v>
      </c>
      <c r="B138" s="195">
        <v>73996</v>
      </c>
      <c r="C138" s="175" t="s">
        <v>1586</v>
      </c>
      <c r="D138" s="438">
        <f t="shared" si="14"/>
        <v>10169728</v>
      </c>
      <c r="E138" s="431">
        <v>1539324</v>
      </c>
      <c r="F138" s="431">
        <v>356057</v>
      </c>
      <c r="G138" s="431">
        <v>520228</v>
      </c>
      <c r="H138" s="431">
        <v>0</v>
      </c>
      <c r="I138" s="431">
        <v>5144276</v>
      </c>
      <c r="J138" s="431">
        <v>52000</v>
      </c>
      <c r="K138" s="431">
        <v>1351120</v>
      </c>
      <c r="L138" s="431">
        <v>0</v>
      </c>
      <c r="M138" s="431">
        <v>312927</v>
      </c>
      <c r="N138" s="431">
        <v>1702781</v>
      </c>
      <c r="O138" s="431">
        <v>67300</v>
      </c>
      <c r="P138" s="438">
        <f t="shared" si="15"/>
        <v>10069350</v>
      </c>
      <c r="Q138" s="431">
        <v>5595587</v>
      </c>
      <c r="R138" s="431">
        <v>1958610</v>
      </c>
      <c r="S138" s="431">
        <v>0</v>
      </c>
      <c r="T138" s="431">
        <v>0</v>
      </c>
      <c r="U138" s="431">
        <v>15000</v>
      </c>
      <c r="V138" s="431">
        <v>0</v>
      </c>
      <c r="W138" s="431">
        <v>1524454</v>
      </c>
      <c r="X138" s="431">
        <v>762733</v>
      </c>
      <c r="Y138" s="431">
        <v>0</v>
      </c>
      <c r="Z138" s="431">
        <v>212966</v>
      </c>
      <c r="AA138" s="431">
        <v>0</v>
      </c>
      <c r="AB138" s="431">
        <v>0</v>
      </c>
      <c r="AC138" s="431">
        <v>3466595</v>
      </c>
      <c r="AD138" s="431">
        <v>0</v>
      </c>
      <c r="AE138" s="431">
        <v>5612932</v>
      </c>
      <c r="AF138" s="431">
        <v>29412</v>
      </c>
      <c r="AG138" s="431">
        <v>23616</v>
      </c>
      <c r="AH138" s="431">
        <v>762733</v>
      </c>
      <c r="AI138" s="431">
        <v>7067</v>
      </c>
      <c r="AJ138" s="431">
        <v>0</v>
      </c>
      <c r="AK138" s="431">
        <v>0</v>
      </c>
      <c r="AL138" s="431">
        <v>166995</v>
      </c>
      <c r="AM138" s="431">
        <v>0</v>
      </c>
    </row>
    <row r="139" spans="1:39" s="155" customFormat="1" ht="12" x14ac:dyDescent="0.2">
      <c r="A139" s="168">
        <v>85</v>
      </c>
      <c r="B139" s="195">
        <v>74028</v>
      </c>
      <c r="C139" s="175" t="s">
        <v>1587</v>
      </c>
      <c r="D139" s="438">
        <f t="shared" si="14"/>
        <v>3097939</v>
      </c>
      <c r="E139" s="431">
        <v>1107274</v>
      </c>
      <c r="F139" s="431">
        <v>104500</v>
      </c>
      <c r="G139" s="431">
        <v>581144</v>
      </c>
      <c r="H139" s="431">
        <v>0</v>
      </c>
      <c r="I139" s="431">
        <v>1305183</v>
      </c>
      <c r="J139" s="431">
        <v>60000</v>
      </c>
      <c r="K139" s="431">
        <v>621000</v>
      </c>
      <c r="L139" s="431">
        <v>0</v>
      </c>
      <c r="M139" s="431">
        <v>4482</v>
      </c>
      <c r="N139" s="431">
        <v>0</v>
      </c>
      <c r="O139" s="431">
        <v>0</v>
      </c>
      <c r="P139" s="438">
        <f t="shared" si="15"/>
        <v>2850801</v>
      </c>
      <c r="Q139" s="431">
        <v>1572788</v>
      </c>
      <c r="R139" s="431">
        <v>513267</v>
      </c>
      <c r="S139" s="431">
        <v>0</v>
      </c>
      <c r="T139" s="431">
        <v>0</v>
      </c>
      <c r="U139" s="431">
        <v>3216</v>
      </c>
      <c r="V139" s="431">
        <v>8633</v>
      </c>
      <c r="W139" s="431">
        <v>0</v>
      </c>
      <c r="X139" s="431">
        <v>79125</v>
      </c>
      <c r="Y139" s="431">
        <v>120</v>
      </c>
      <c r="Z139" s="431">
        <v>679789</v>
      </c>
      <c r="AA139" s="431">
        <v>0</v>
      </c>
      <c r="AB139" s="431">
        <v>-6137</v>
      </c>
      <c r="AC139" s="431">
        <v>729266</v>
      </c>
      <c r="AD139" s="431">
        <v>0</v>
      </c>
      <c r="AE139" s="431">
        <v>1203805</v>
      </c>
      <c r="AF139" s="431">
        <v>0</v>
      </c>
      <c r="AG139" s="431">
        <v>17927</v>
      </c>
      <c r="AH139" s="431">
        <v>139593</v>
      </c>
      <c r="AI139" s="431">
        <v>48430</v>
      </c>
      <c r="AJ139" s="431">
        <v>0</v>
      </c>
      <c r="AK139" s="431">
        <v>0</v>
      </c>
      <c r="AL139" s="431">
        <v>711780</v>
      </c>
      <c r="AM139" s="431">
        <v>0</v>
      </c>
    </row>
    <row r="140" spans="1:39" s="155" customFormat="1" ht="12" x14ac:dyDescent="0.2">
      <c r="A140" s="168">
        <v>86</v>
      </c>
      <c r="B140" s="195">
        <v>74073</v>
      </c>
      <c r="C140" s="175" t="s">
        <v>1588</v>
      </c>
      <c r="D140" s="438">
        <f t="shared" si="14"/>
        <v>3286893</v>
      </c>
      <c r="E140" s="431">
        <v>1099423</v>
      </c>
      <c r="F140" s="431">
        <v>104297</v>
      </c>
      <c r="G140" s="431">
        <v>645564</v>
      </c>
      <c r="H140" s="431">
        <v>0</v>
      </c>
      <c r="I140" s="431">
        <v>1327002</v>
      </c>
      <c r="J140" s="431">
        <v>0</v>
      </c>
      <c r="K140" s="431">
        <v>593000</v>
      </c>
      <c r="L140" s="431">
        <v>0</v>
      </c>
      <c r="M140" s="431">
        <v>57525</v>
      </c>
      <c r="N140" s="431">
        <v>209943</v>
      </c>
      <c r="O140" s="431">
        <v>0</v>
      </c>
      <c r="P140" s="438">
        <f t="shared" si="15"/>
        <v>2832075</v>
      </c>
      <c r="Q140" s="431">
        <v>1614253</v>
      </c>
      <c r="R140" s="431">
        <v>639282</v>
      </c>
      <c r="S140" s="431">
        <v>0</v>
      </c>
      <c r="T140" s="431">
        <v>0</v>
      </c>
      <c r="U140" s="431">
        <v>0</v>
      </c>
      <c r="V140" s="431">
        <v>0</v>
      </c>
      <c r="W140" s="431">
        <v>306079</v>
      </c>
      <c r="X140" s="431">
        <v>153580</v>
      </c>
      <c r="Y140" s="431">
        <v>51963</v>
      </c>
      <c r="Z140" s="431">
        <v>68873</v>
      </c>
      <c r="AA140" s="431">
        <v>0</v>
      </c>
      <c r="AB140" s="431">
        <v>-1955</v>
      </c>
      <c r="AC140" s="431">
        <v>491785</v>
      </c>
      <c r="AD140" s="431">
        <v>74975</v>
      </c>
      <c r="AE140" s="431">
        <v>1185808</v>
      </c>
      <c r="AF140" s="431">
        <v>21670</v>
      </c>
      <c r="AG140" s="431">
        <v>87778</v>
      </c>
      <c r="AH140" s="431">
        <v>264131</v>
      </c>
      <c r="AI140" s="431">
        <v>300743</v>
      </c>
      <c r="AJ140" s="431">
        <v>0</v>
      </c>
      <c r="AK140" s="431">
        <v>0</v>
      </c>
      <c r="AL140" s="431">
        <v>405185</v>
      </c>
      <c r="AM140" s="431">
        <v>0</v>
      </c>
    </row>
    <row r="141" spans="1:39" s="155" customFormat="1" ht="12" x14ac:dyDescent="0.2">
      <c r="A141" s="168">
        <v>87</v>
      </c>
      <c r="B141" s="195">
        <v>74108</v>
      </c>
      <c r="C141" s="175" t="s">
        <v>1589</v>
      </c>
      <c r="D141" s="438">
        <f t="shared" si="14"/>
        <v>2791585</v>
      </c>
      <c r="E141" s="431">
        <v>1106475</v>
      </c>
      <c r="F141" s="431">
        <v>112563</v>
      </c>
      <c r="G141" s="431">
        <v>622348</v>
      </c>
      <c r="H141" s="431">
        <v>0</v>
      </c>
      <c r="I141" s="431">
        <v>824425</v>
      </c>
      <c r="J141" s="431">
        <v>55000</v>
      </c>
      <c r="K141" s="431">
        <v>585000</v>
      </c>
      <c r="L141" s="431">
        <v>0</v>
      </c>
      <c r="M141" s="431">
        <v>78318</v>
      </c>
      <c r="N141" s="431">
        <v>142367</v>
      </c>
      <c r="O141" s="431">
        <v>0</v>
      </c>
      <c r="P141" s="438">
        <f t="shared" si="15"/>
        <v>2434805</v>
      </c>
      <c r="Q141" s="431">
        <v>1123939</v>
      </c>
      <c r="R141" s="431">
        <v>515167</v>
      </c>
      <c r="S141" s="431">
        <v>0</v>
      </c>
      <c r="T141" s="431">
        <v>0</v>
      </c>
      <c r="U141" s="431">
        <v>1182</v>
      </c>
      <c r="V141" s="431">
        <v>0</v>
      </c>
      <c r="W141" s="431">
        <v>224482</v>
      </c>
      <c r="X141" s="431">
        <v>165289</v>
      </c>
      <c r="Y141" s="431">
        <v>200</v>
      </c>
      <c r="Z141" s="431">
        <v>407704</v>
      </c>
      <c r="AA141" s="431">
        <v>0</v>
      </c>
      <c r="AB141" s="431">
        <v>-3158</v>
      </c>
      <c r="AC141" s="431">
        <v>703394</v>
      </c>
      <c r="AD141" s="431">
        <v>6517</v>
      </c>
      <c r="AE141" s="431">
        <v>1113205</v>
      </c>
      <c r="AF141" s="431">
        <v>4822</v>
      </c>
      <c r="AG141" s="431">
        <v>57164</v>
      </c>
      <c r="AH141" s="431">
        <v>165289</v>
      </c>
      <c r="AI141" s="431">
        <v>71131</v>
      </c>
      <c r="AJ141" s="431">
        <v>252570</v>
      </c>
      <c r="AK141" s="431">
        <v>0</v>
      </c>
      <c r="AL141" s="431">
        <v>60713</v>
      </c>
      <c r="AM141" s="431">
        <v>0</v>
      </c>
    </row>
    <row r="142" spans="1:39" s="155" customFormat="1" ht="12" x14ac:dyDescent="0.2">
      <c r="A142" s="168">
        <v>88</v>
      </c>
      <c r="B142" s="195">
        <v>74135</v>
      </c>
      <c r="C142" s="175" t="s">
        <v>1590</v>
      </c>
      <c r="D142" s="438">
        <f t="shared" si="14"/>
        <v>2422276</v>
      </c>
      <c r="E142" s="431">
        <v>994062</v>
      </c>
      <c r="F142" s="431">
        <v>50762</v>
      </c>
      <c r="G142" s="431">
        <v>730016</v>
      </c>
      <c r="H142" s="431">
        <v>0</v>
      </c>
      <c r="I142" s="431">
        <v>588301</v>
      </c>
      <c r="J142" s="431">
        <v>120500</v>
      </c>
      <c r="K142" s="431">
        <v>632000</v>
      </c>
      <c r="L142" s="431">
        <v>0</v>
      </c>
      <c r="M142" s="431">
        <v>77413</v>
      </c>
      <c r="N142" s="431">
        <v>0</v>
      </c>
      <c r="O142" s="431">
        <v>10000</v>
      </c>
      <c r="P142" s="438">
        <f t="shared" si="15"/>
        <v>1675308</v>
      </c>
      <c r="Q142" s="431">
        <v>923036</v>
      </c>
      <c r="R142" s="431">
        <v>367294</v>
      </c>
      <c r="S142" s="431">
        <v>0</v>
      </c>
      <c r="T142" s="431">
        <v>0</v>
      </c>
      <c r="U142" s="431">
        <v>75</v>
      </c>
      <c r="V142" s="431">
        <v>12505</v>
      </c>
      <c r="W142" s="431">
        <v>0</v>
      </c>
      <c r="X142" s="431">
        <v>84990</v>
      </c>
      <c r="Y142" s="431">
        <v>3450</v>
      </c>
      <c r="Z142" s="431">
        <v>284746</v>
      </c>
      <c r="AA142" s="431">
        <v>0</v>
      </c>
      <c r="AB142" s="431">
        <v>-788</v>
      </c>
      <c r="AC142" s="431">
        <v>610301</v>
      </c>
      <c r="AD142" s="431">
        <v>23055</v>
      </c>
      <c r="AE142" s="431">
        <v>542170</v>
      </c>
      <c r="AF142" s="431">
        <v>0</v>
      </c>
      <c r="AG142" s="431">
        <v>156223</v>
      </c>
      <c r="AH142" s="431">
        <v>121484</v>
      </c>
      <c r="AI142" s="431">
        <v>19191</v>
      </c>
      <c r="AJ142" s="431">
        <v>50000</v>
      </c>
      <c r="AK142" s="431">
        <v>0</v>
      </c>
      <c r="AL142" s="431">
        <v>152884</v>
      </c>
      <c r="AM142" s="431">
        <v>0</v>
      </c>
    </row>
    <row r="143" spans="1:39" s="155" customFormat="1" ht="12" x14ac:dyDescent="0.2">
      <c r="A143" s="168">
        <v>89</v>
      </c>
      <c r="B143" s="195">
        <v>74171</v>
      </c>
      <c r="C143" s="175" t="s">
        <v>1591</v>
      </c>
      <c r="D143" s="438">
        <f t="shared" si="14"/>
        <v>4150970</v>
      </c>
      <c r="E143" s="431">
        <v>944586</v>
      </c>
      <c r="F143" s="431">
        <v>54497</v>
      </c>
      <c r="G143" s="431">
        <v>722844</v>
      </c>
      <c r="H143" s="431">
        <v>0</v>
      </c>
      <c r="I143" s="431">
        <v>782469</v>
      </c>
      <c r="J143" s="431">
        <v>44853</v>
      </c>
      <c r="K143" s="431">
        <v>599000</v>
      </c>
      <c r="L143" s="431">
        <v>0</v>
      </c>
      <c r="M143" s="431">
        <v>104630</v>
      </c>
      <c r="N143" s="431">
        <v>1661832</v>
      </c>
      <c r="O143" s="431">
        <v>13600</v>
      </c>
      <c r="P143" s="438">
        <f t="shared" si="15"/>
        <v>2414245</v>
      </c>
      <c r="Q143" s="431">
        <v>989376</v>
      </c>
      <c r="R143" s="431">
        <v>558695</v>
      </c>
      <c r="S143" s="431">
        <v>0</v>
      </c>
      <c r="T143" s="431">
        <v>0</v>
      </c>
      <c r="U143" s="431">
        <v>0</v>
      </c>
      <c r="V143" s="431">
        <v>0</v>
      </c>
      <c r="W143" s="431">
        <v>23091</v>
      </c>
      <c r="X143" s="431">
        <v>67320</v>
      </c>
      <c r="Y143" s="431">
        <v>0</v>
      </c>
      <c r="Z143" s="431">
        <v>779553</v>
      </c>
      <c r="AA143" s="431">
        <v>0</v>
      </c>
      <c r="AB143" s="431">
        <v>-3790</v>
      </c>
      <c r="AC143" s="431">
        <v>433106</v>
      </c>
      <c r="AD143" s="431">
        <v>0</v>
      </c>
      <c r="AE143" s="431">
        <v>823883</v>
      </c>
      <c r="AF143" s="431">
        <v>419600</v>
      </c>
      <c r="AG143" s="431">
        <v>355000</v>
      </c>
      <c r="AH143" s="431">
        <v>67320</v>
      </c>
      <c r="AI143" s="431">
        <v>113456</v>
      </c>
      <c r="AJ143" s="431">
        <v>0</v>
      </c>
      <c r="AK143" s="431">
        <v>0</v>
      </c>
      <c r="AL143" s="431">
        <v>201880</v>
      </c>
      <c r="AM143" s="431">
        <v>0</v>
      </c>
    </row>
    <row r="144" spans="1:39" s="155" customFormat="1" ht="11.25" x14ac:dyDescent="0.2">
      <c r="A144" s="168">
        <v>90</v>
      </c>
      <c r="B144" s="195">
        <v>74224</v>
      </c>
      <c r="C144" s="175" t="s">
        <v>1592</v>
      </c>
      <c r="D144" s="275">
        <f t="shared" si="14"/>
        <v>2728871</v>
      </c>
      <c r="E144" s="273">
        <v>1075492</v>
      </c>
      <c r="F144" s="273">
        <v>94946</v>
      </c>
      <c r="G144" s="273">
        <v>698376</v>
      </c>
      <c r="H144" s="273">
        <v>0</v>
      </c>
      <c r="I144" s="273">
        <v>705000</v>
      </c>
      <c r="J144" s="273">
        <v>0</v>
      </c>
      <c r="K144" s="273">
        <v>658000</v>
      </c>
      <c r="L144" s="273">
        <v>0</v>
      </c>
      <c r="M144" s="273">
        <v>290379</v>
      </c>
      <c r="N144" s="273">
        <v>0</v>
      </c>
      <c r="O144" s="273">
        <v>0</v>
      </c>
      <c r="P144" s="275">
        <f t="shared" si="15"/>
        <v>2563263</v>
      </c>
      <c r="Q144" s="273">
        <v>931610</v>
      </c>
      <c r="R144" s="273">
        <v>308761</v>
      </c>
      <c r="S144" s="273">
        <v>0</v>
      </c>
      <c r="T144" s="273">
        <v>0</v>
      </c>
      <c r="U144" s="273">
        <v>236</v>
      </c>
      <c r="V144" s="273">
        <v>0</v>
      </c>
      <c r="W144" s="273">
        <v>0</v>
      </c>
      <c r="X144" s="273">
        <v>121982</v>
      </c>
      <c r="Y144" s="273">
        <v>7760</v>
      </c>
      <c r="Z144" s="273">
        <v>1198872</v>
      </c>
      <c r="AA144" s="273">
        <v>0</v>
      </c>
      <c r="AB144" s="273">
        <v>-5958</v>
      </c>
      <c r="AC144" s="273">
        <v>472804</v>
      </c>
      <c r="AD144" s="273">
        <v>0</v>
      </c>
      <c r="AE144" s="273">
        <v>685696</v>
      </c>
      <c r="AF144" s="273">
        <v>27112</v>
      </c>
      <c r="AG144" s="273">
        <v>119825</v>
      </c>
      <c r="AH144" s="273">
        <v>121466</v>
      </c>
      <c r="AI144" s="273">
        <v>451456</v>
      </c>
      <c r="AJ144" s="273">
        <v>0</v>
      </c>
      <c r="AK144" s="273">
        <v>0</v>
      </c>
      <c r="AL144" s="273">
        <v>684904</v>
      </c>
      <c r="AM144" s="273">
        <v>0</v>
      </c>
    </row>
    <row r="145" spans="1:39" s="155" customFormat="1" ht="11.25" x14ac:dyDescent="0.2">
      <c r="A145" s="168">
        <v>91</v>
      </c>
      <c r="B145" s="195">
        <v>74242</v>
      </c>
      <c r="C145" s="175" t="s">
        <v>1593</v>
      </c>
      <c r="D145" s="142">
        <f t="shared" si="14"/>
        <v>3945710</v>
      </c>
      <c r="E145" s="140">
        <v>1021410</v>
      </c>
      <c r="F145" s="140">
        <v>69564</v>
      </c>
      <c r="G145" s="140">
        <v>678001</v>
      </c>
      <c r="H145" s="140">
        <v>0</v>
      </c>
      <c r="I145" s="140">
        <v>864437</v>
      </c>
      <c r="J145" s="140">
        <v>157000</v>
      </c>
      <c r="K145" s="140">
        <v>667000</v>
      </c>
      <c r="L145" s="140">
        <v>0</v>
      </c>
      <c r="M145" s="140">
        <v>1036554</v>
      </c>
      <c r="N145" s="140">
        <v>199309</v>
      </c>
      <c r="O145" s="140">
        <v>0</v>
      </c>
      <c r="P145" s="142">
        <f t="shared" si="15"/>
        <v>3870289</v>
      </c>
      <c r="Q145" s="140">
        <v>1149926</v>
      </c>
      <c r="R145" s="140">
        <v>821527</v>
      </c>
      <c r="S145" s="140">
        <v>0</v>
      </c>
      <c r="T145" s="140">
        <v>0</v>
      </c>
      <c r="U145" s="140">
        <v>80000</v>
      </c>
      <c r="V145" s="140">
        <v>30000</v>
      </c>
      <c r="W145" s="140">
        <v>241378</v>
      </c>
      <c r="X145" s="140">
        <v>123404</v>
      </c>
      <c r="Y145" s="140">
        <v>0</v>
      </c>
      <c r="Z145" s="140">
        <v>1424054</v>
      </c>
      <c r="AA145" s="140">
        <v>0</v>
      </c>
      <c r="AB145" s="140">
        <v>0</v>
      </c>
      <c r="AC145" s="140">
        <v>1339278</v>
      </c>
      <c r="AD145" s="140">
        <v>0</v>
      </c>
      <c r="AE145" s="140">
        <v>723408</v>
      </c>
      <c r="AF145" s="140">
        <v>29054</v>
      </c>
      <c r="AG145" s="140">
        <v>16448</v>
      </c>
      <c r="AH145" s="140">
        <v>226205</v>
      </c>
      <c r="AI145" s="140">
        <v>58176</v>
      </c>
      <c r="AJ145" s="140">
        <v>0</v>
      </c>
      <c r="AK145" s="140">
        <v>0</v>
      </c>
      <c r="AL145" s="140">
        <v>1477720</v>
      </c>
      <c r="AM145" s="140">
        <v>0</v>
      </c>
    </row>
    <row r="146" spans="1:39" s="155" customFormat="1" ht="11.25" x14ac:dyDescent="0.2">
      <c r="A146" s="168">
        <v>92</v>
      </c>
      <c r="B146" s="195">
        <v>70174</v>
      </c>
      <c r="C146" s="175" t="s">
        <v>1594</v>
      </c>
      <c r="D146" s="142">
        <f t="shared" si="14"/>
        <v>10007569</v>
      </c>
      <c r="E146" s="140">
        <v>2873556</v>
      </c>
      <c r="F146" s="140">
        <v>947935</v>
      </c>
      <c r="G146" s="140">
        <v>412957</v>
      </c>
      <c r="H146" s="140">
        <v>0</v>
      </c>
      <c r="I146" s="140">
        <v>1862942</v>
      </c>
      <c r="J146" s="140">
        <v>60000</v>
      </c>
      <c r="K146" s="140">
        <v>999000</v>
      </c>
      <c r="L146" s="140">
        <v>0</v>
      </c>
      <c r="M146" s="140">
        <v>1861365</v>
      </c>
      <c r="N146" s="140">
        <v>2345311</v>
      </c>
      <c r="O146" s="140">
        <v>5395</v>
      </c>
      <c r="P146" s="142">
        <f t="shared" si="15"/>
        <v>9473456</v>
      </c>
      <c r="Q146" s="140">
        <v>2123256</v>
      </c>
      <c r="R146" s="140">
        <v>1984635</v>
      </c>
      <c r="S146" s="140">
        <v>0</v>
      </c>
      <c r="T146" s="140">
        <v>0</v>
      </c>
      <c r="U146" s="140">
        <v>0</v>
      </c>
      <c r="V146" s="140">
        <v>0</v>
      </c>
      <c r="W146" s="140">
        <v>1401663</v>
      </c>
      <c r="X146" s="140">
        <v>227044</v>
      </c>
      <c r="Y146" s="140">
        <v>3850</v>
      </c>
      <c r="Z146" s="140">
        <v>3734499</v>
      </c>
      <c r="AA146" s="140">
        <v>0</v>
      </c>
      <c r="AB146" s="140">
        <v>-1491</v>
      </c>
      <c r="AC146" s="140">
        <v>1839034</v>
      </c>
      <c r="AD146" s="140">
        <v>0</v>
      </c>
      <c r="AE146" s="140">
        <v>1791020</v>
      </c>
      <c r="AF146" s="140">
        <v>0</v>
      </c>
      <c r="AG146" s="140">
        <v>91881</v>
      </c>
      <c r="AH146" s="140">
        <v>221649</v>
      </c>
      <c r="AI146" s="140">
        <v>3290699</v>
      </c>
      <c r="AJ146" s="140">
        <v>208577</v>
      </c>
      <c r="AK146" s="140">
        <v>0</v>
      </c>
      <c r="AL146" s="140">
        <v>2030596</v>
      </c>
      <c r="AM146" s="140">
        <v>0</v>
      </c>
    </row>
    <row r="147" spans="1:39" s="155" customFormat="1" ht="11.25" x14ac:dyDescent="0.2">
      <c r="A147" s="168">
        <v>93</v>
      </c>
      <c r="B147" s="195">
        <v>74956</v>
      </c>
      <c r="C147" s="175" t="s">
        <v>1595</v>
      </c>
      <c r="D147" s="142">
        <f t="shared" si="14"/>
        <v>2990752</v>
      </c>
      <c r="E147" s="140">
        <v>1197195</v>
      </c>
      <c r="F147" s="140">
        <v>282891</v>
      </c>
      <c r="G147" s="140">
        <v>738782</v>
      </c>
      <c r="H147" s="140">
        <v>0</v>
      </c>
      <c r="I147" s="140">
        <v>735617</v>
      </c>
      <c r="J147" s="140">
        <v>101962</v>
      </c>
      <c r="K147" s="140">
        <v>720000</v>
      </c>
      <c r="L147" s="140">
        <v>0</v>
      </c>
      <c r="M147" s="140">
        <v>134382</v>
      </c>
      <c r="N147" s="140">
        <v>101596</v>
      </c>
      <c r="O147" s="140">
        <v>0</v>
      </c>
      <c r="P147" s="142">
        <f t="shared" si="15"/>
        <v>2915807</v>
      </c>
      <c r="Q147" s="140">
        <v>1060466</v>
      </c>
      <c r="R147" s="140">
        <v>349066</v>
      </c>
      <c r="S147" s="140">
        <v>0</v>
      </c>
      <c r="T147" s="140">
        <v>0</v>
      </c>
      <c r="U147" s="140">
        <v>0</v>
      </c>
      <c r="V147" s="140">
        <v>2059</v>
      </c>
      <c r="W147" s="140">
        <v>272135</v>
      </c>
      <c r="X147" s="140">
        <v>84905</v>
      </c>
      <c r="Y147" s="140">
        <v>0</v>
      </c>
      <c r="Z147" s="140">
        <v>1147176</v>
      </c>
      <c r="AA147" s="140">
        <v>0</v>
      </c>
      <c r="AB147" s="140">
        <v>0</v>
      </c>
      <c r="AC147" s="140">
        <v>608657</v>
      </c>
      <c r="AD147" s="140">
        <v>0</v>
      </c>
      <c r="AE147" s="140">
        <v>707942</v>
      </c>
      <c r="AF147" s="140">
        <v>0</v>
      </c>
      <c r="AG147" s="140">
        <v>0</v>
      </c>
      <c r="AH147" s="140">
        <v>84905</v>
      </c>
      <c r="AI147" s="140">
        <v>170346</v>
      </c>
      <c r="AJ147" s="140">
        <v>0</v>
      </c>
      <c r="AK147" s="140">
        <v>0</v>
      </c>
      <c r="AL147" s="140">
        <v>1343957</v>
      </c>
      <c r="AM147" s="140">
        <v>0</v>
      </c>
    </row>
    <row r="148" spans="1:39" s="155" customFormat="1" ht="11.25" x14ac:dyDescent="0.2">
      <c r="A148" s="168">
        <v>94</v>
      </c>
      <c r="B148" s="195">
        <v>74322</v>
      </c>
      <c r="C148" s="175" t="s">
        <v>1596</v>
      </c>
      <c r="D148" s="142">
        <f t="shared" si="14"/>
        <v>6019783</v>
      </c>
      <c r="E148" s="140">
        <v>1154198</v>
      </c>
      <c r="F148" s="140">
        <v>143002</v>
      </c>
      <c r="G148" s="140">
        <v>479850</v>
      </c>
      <c r="H148" s="140">
        <v>0</v>
      </c>
      <c r="I148" s="140">
        <v>1456084</v>
      </c>
      <c r="J148" s="140">
        <v>0</v>
      </c>
      <c r="K148" s="140">
        <v>530000</v>
      </c>
      <c r="L148" s="140">
        <v>0</v>
      </c>
      <c r="M148" s="140">
        <v>2852221</v>
      </c>
      <c r="N148" s="140">
        <v>0</v>
      </c>
      <c r="O148" s="140">
        <v>27280</v>
      </c>
      <c r="P148" s="142">
        <f t="shared" si="15"/>
        <v>5706311</v>
      </c>
      <c r="Q148" s="140">
        <v>1855727</v>
      </c>
      <c r="R148" s="140">
        <v>835656</v>
      </c>
      <c r="S148" s="140">
        <v>0</v>
      </c>
      <c r="T148" s="140">
        <v>0</v>
      </c>
      <c r="U148" s="140">
        <v>0</v>
      </c>
      <c r="V148" s="140">
        <v>0</v>
      </c>
      <c r="W148" s="140">
        <v>0</v>
      </c>
      <c r="X148" s="140">
        <v>55939</v>
      </c>
      <c r="Y148" s="140">
        <v>0</v>
      </c>
      <c r="Z148" s="140">
        <v>2961711</v>
      </c>
      <c r="AA148" s="140">
        <v>0</v>
      </c>
      <c r="AB148" s="140">
        <v>-2722</v>
      </c>
      <c r="AC148" s="140">
        <v>818005</v>
      </c>
      <c r="AD148" s="140">
        <v>0</v>
      </c>
      <c r="AE148" s="140">
        <v>1327016</v>
      </c>
      <c r="AF148" s="140">
        <v>0</v>
      </c>
      <c r="AG148" s="140">
        <v>106388</v>
      </c>
      <c r="AH148" s="140">
        <v>227411</v>
      </c>
      <c r="AI148" s="140">
        <v>251668</v>
      </c>
      <c r="AJ148" s="140">
        <v>2870452</v>
      </c>
      <c r="AK148" s="140">
        <v>0</v>
      </c>
      <c r="AL148" s="140">
        <v>105371</v>
      </c>
      <c r="AM148" s="140">
        <v>0</v>
      </c>
    </row>
    <row r="149" spans="1:39" s="155" customFormat="1" ht="11.25" x14ac:dyDescent="0.2">
      <c r="A149" s="168">
        <v>95</v>
      </c>
      <c r="B149" s="195">
        <v>74359</v>
      </c>
      <c r="C149" s="175" t="s">
        <v>1597</v>
      </c>
      <c r="D149" s="142">
        <f t="shared" si="14"/>
        <v>3573539</v>
      </c>
      <c r="E149" s="140">
        <v>1094224</v>
      </c>
      <c r="F149" s="140">
        <v>138110</v>
      </c>
      <c r="G149" s="140">
        <v>585474</v>
      </c>
      <c r="H149" s="140">
        <v>0</v>
      </c>
      <c r="I149" s="140">
        <v>957816</v>
      </c>
      <c r="J149" s="140">
        <v>223000</v>
      </c>
      <c r="K149" s="140">
        <v>532000</v>
      </c>
      <c r="L149" s="140">
        <v>0</v>
      </c>
      <c r="M149" s="140">
        <v>587040</v>
      </c>
      <c r="N149" s="140">
        <v>179459</v>
      </c>
      <c r="O149" s="140">
        <v>0</v>
      </c>
      <c r="P149" s="142">
        <f t="shared" si="15"/>
        <v>4105753</v>
      </c>
      <c r="Q149" s="140">
        <v>1224370</v>
      </c>
      <c r="R149" s="140">
        <v>818775</v>
      </c>
      <c r="S149" s="140">
        <v>0</v>
      </c>
      <c r="T149" s="140">
        <v>0</v>
      </c>
      <c r="U149" s="140">
        <v>-2553</v>
      </c>
      <c r="V149" s="140">
        <v>0</v>
      </c>
      <c r="W149" s="140">
        <v>242571</v>
      </c>
      <c r="X149" s="140">
        <v>89219</v>
      </c>
      <c r="Y149" s="140">
        <v>0</v>
      </c>
      <c r="Z149" s="140">
        <v>1743791</v>
      </c>
      <c r="AA149" s="140">
        <v>0</v>
      </c>
      <c r="AB149" s="140">
        <v>-10420</v>
      </c>
      <c r="AC149" s="140">
        <v>1059334</v>
      </c>
      <c r="AD149" s="140">
        <v>45248</v>
      </c>
      <c r="AE149" s="140">
        <v>883474</v>
      </c>
      <c r="AF149" s="140">
        <v>335000</v>
      </c>
      <c r="AG149" s="140">
        <v>43942</v>
      </c>
      <c r="AH149" s="140">
        <v>268434</v>
      </c>
      <c r="AI149" s="140">
        <v>182405</v>
      </c>
      <c r="AJ149" s="140">
        <v>0</v>
      </c>
      <c r="AK149" s="140">
        <v>0</v>
      </c>
      <c r="AL149" s="140">
        <v>1287916</v>
      </c>
      <c r="AM149" s="140">
        <v>0</v>
      </c>
    </row>
    <row r="150" spans="1:39" s="155" customFormat="1" ht="11.25" x14ac:dyDescent="0.2">
      <c r="A150" s="168">
        <v>96</v>
      </c>
      <c r="B150" s="195">
        <v>74411</v>
      </c>
      <c r="C150" s="175" t="s">
        <v>1598</v>
      </c>
      <c r="D150" s="142">
        <f t="shared" si="14"/>
        <v>3766071</v>
      </c>
      <c r="E150" s="140">
        <v>1073093</v>
      </c>
      <c r="F150" s="140">
        <v>97850</v>
      </c>
      <c r="G150" s="140">
        <v>515926</v>
      </c>
      <c r="H150" s="140">
        <v>0</v>
      </c>
      <c r="I150" s="140">
        <v>1262323</v>
      </c>
      <c r="J150" s="140">
        <v>156689</v>
      </c>
      <c r="K150" s="140">
        <v>664000</v>
      </c>
      <c r="L150" s="140">
        <v>0</v>
      </c>
      <c r="M150" s="140">
        <v>170144</v>
      </c>
      <c r="N150" s="140">
        <v>439822</v>
      </c>
      <c r="O150" s="140">
        <v>0</v>
      </c>
      <c r="P150" s="142">
        <f t="shared" si="15"/>
        <v>3389350</v>
      </c>
      <c r="Q150" s="140">
        <v>1451831</v>
      </c>
      <c r="R150" s="140">
        <v>574005</v>
      </c>
      <c r="S150" s="140">
        <v>0</v>
      </c>
      <c r="T150" s="140">
        <v>0</v>
      </c>
      <c r="U150" s="140">
        <v>0</v>
      </c>
      <c r="V150" s="140">
        <v>5000</v>
      </c>
      <c r="W150" s="140">
        <v>906215</v>
      </c>
      <c r="X150" s="140">
        <v>267787</v>
      </c>
      <c r="Y150" s="140">
        <v>0</v>
      </c>
      <c r="Z150" s="140">
        <v>184765</v>
      </c>
      <c r="AA150" s="140">
        <v>0</v>
      </c>
      <c r="AB150" s="140">
        <v>-253</v>
      </c>
      <c r="AC150" s="140">
        <v>1711452</v>
      </c>
      <c r="AD150" s="140">
        <v>584</v>
      </c>
      <c r="AE150" s="140">
        <v>1111774</v>
      </c>
      <c r="AF150" s="140">
        <v>0</v>
      </c>
      <c r="AG150" s="140">
        <v>970</v>
      </c>
      <c r="AH150" s="140">
        <v>267787</v>
      </c>
      <c r="AI150" s="140">
        <v>119571</v>
      </c>
      <c r="AJ150" s="140">
        <v>3508</v>
      </c>
      <c r="AK150" s="140">
        <v>0</v>
      </c>
      <c r="AL150" s="140">
        <v>173704</v>
      </c>
      <c r="AM150" s="140">
        <v>0</v>
      </c>
    </row>
    <row r="151" spans="1:39" s="155" customFormat="1" ht="11.25" x14ac:dyDescent="0.2">
      <c r="A151" s="205">
        <v>97</v>
      </c>
      <c r="B151" s="195">
        <v>74509</v>
      </c>
      <c r="C151" s="175" t="s">
        <v>1599</v>
      </c>
      <c r="D151" s="142">
        <f t="shared" ref="D151:D158" si="16">E151+SUM(H151:O151)</f>
        <v>3343464</v>
      </c>
      <c r="E151" s="140">
        <v>1216788</v>
      </c>
      <c r="F151" s="140">
        <v>128895</v>
      </c>
      <c r="G151" s="140">
        <v>588315</v>
      </c>
      <c r="H151" s="140">
        <v>0</v>
      </c>
      <c r="I151" s="140">
        <v>1249481</v>
      </c>
      <c r="J151" s="140">
        <v>87000</v>
      </c>
      <c r="K151" s="140">
        <v>575000</v>
      </c>
      <c r="L151" s="140">
        <v>0</v>
      </c>
      <c r="M151" s="140">
        <v>215195</v>
      </c>
      <c r="N151" s="140">
        <v>0</v>
      </c>
      <c r="O151" s="140">
        <v>0</v>
      </c>
      <c r="P151" s="142">
        <f t="shared" ref="P151:P158" si="17">IF(SUM(Q151:AB151)=SUM(AC151:AM151),SUM(Q151:AB151),"  EROARE ART/CAP")</f>
        <v>3180989</v>
      </c>
      <c r="Q151" s="140">
        <v>1600172</v>
      </c>
      <c r="R151" s="140">
        <v>691858</v>
      </c>
      <c r="S151" s="140">
        <v>0</v>
      </c>
      <c r="T151" s="140">
        <v>0</v>
      </c>
      <c r="U151" s="140">
        <v>-1738</v>
      </c>
      <c r="V151" s="140">
        <v>0</v>
      </c>
      <c r="W151" s="140">
        <v>0</v>
      </c>
      <c r="X151" s="140">
        <v>208718</v>
      </c>
      <c r="Y151" s="140">
        <v>0</v>
      </c>
      <c r="Z151" s="140">
        <v>691840</v>
      </c>
      <c r="AA151" s="140">
        <v>0</v>
      </c>
      <c r="AB151" s="140">
        <v>-9861</v>
      </c>
      <c r="AC151" s="140">
        <v>693895</v>
      </c>
      <c r="AD151" s="140">
        <v>21107</v>
      </c>
      <c r="AE151" s="140">
        <v>1155078</v>
      </c>
      <c r="AF151" s="140">
        <v>0</v>
      </c>
      <c r="AG151" s="140">
        <v>23899</v>
      </c>
      <c r="AH151" s="140">
        <v>211194</v>
      </c>
      <c r="AI151" s="140">
        <v>239708</v>
      </c>
      <c r="AJ151" s="140">
        <v>0</v>
      </c>
      <c r="AK151" s="140">
        <v>0</v>
      </c>
      <c r="AL151" s="140">
        <v>836108</v>
      </c>
      <c r="AM151" s="140">
        <v>0</v>
      </c>
    </row>
    <row r="152" spans="1:39" s="155" customFormat="1" ht="11.25" x14ac:dyDescent="0.2">
      <c r="A152" s="205">
        <v>98</v>
      </c>
      <c r="B152" s="195">
        <v>74536</v>
      </c>
      <c r="C152" s="175" t="s">
        <v>1050</v>
      </c>
      <c r="D152" s="142">
        <f t="shared" si="16"/>
        <v>4684289</v>
      </c>
      <c r="E152" s="140">
        <v>1083606</v>
      </c>
      <c r="F152" s="140">
        <v>220051</v>
      </c>
      <c r="G152" s="140">
        <v>490502</v>
      </c>
      <c r="H152" s="140">
        <v>0</v>
      </c>
      <c r="I152" s="140">
        <v>1612656</v>
      </c>
      <c r="J152" s="140">
        <v>0</v>
      </c>
      <c r="K152" s="140">
        <v>722000</v>
      </c>
      <c r="L152" s="140">
        <v>0</v>
      </c>
      <c r="M152" s="140">
        <v>728214</v>
      </c>
      <c r="N152" s="140">
        <v>537813</v>
      </c>
      <c r="O152" s="140">
        <v>0</v>
      </c>
      <c r="P152" s="142">
        <f t="shared" si="17"/>
        <v>5125600</v>
      </c>
      <c r="Q152" s="140">
        <v>1938292</v>
      </c>
      <c r="R152" s="140">
        <v>1304928</v>
      </c>
      <c r="S152" s="140">
        <v>0</v>
      </c>
      <c r="T152" s="140">
        <v>0</v>
      </c>
      <c r="U152" s="140">
        <v>0</v>
      </c>
      <c r="V152" s="140">
        <v>0</v>
      </c>
      <c r="W152" s="140">
        <v>884644</v>
      </c>
      <c r="X152" s="140">
        <v>145527</v>
      </c>
      <c r="Y152" s="140">
        <v>10000</v>
      </c>
      <c r="Z152" s="140">
        <v>850279</v>
      </c>
      <c r="AA152" s="140">
        <v>0</v>
      </c>
      <c r="AB152" s="140">
        <v>-8070</v>
      </c>
      <c r="AC152" s="140">
        <v>1392931</v>
      </c>
      <c r="AD152" s="140">
        <v>33167</v>
      </c>
      <c r="AE152" s="140">
        <v>1380372</v>
      </c>
      <c r="AF152" s="140">
        <v>17371</v>
      </c>
      <c r="AG152" s="140">
        <v>655038</v>
      </c>
      <c r="AH152" s="140">
        <v>437959</v>
      </c>
      <c r="AI152" s="140">
        <v>997038</v>
      </c>
      <c r="AJ152" s="140">
        <v>0</v>
      </c>
      <c r="AK152" s="140">
        <v>0</v>
      </c>
      <c r="AL152" s="140">
        <v>211724</v>
      </c>
      <c r="AM152" s="140">
        <v>0</v>
      </c>
    </row>
    <row r="153" spans="1:39" s="155" customFormat="1" ht="11.25" x14ac:dyDescent="0.2">
      <c r="A153" s="205">
        <v>99</v>
      </c>
      <c r="B153" s="195">
        <v>74554</v>
      </c>
      <c r="C153" s="175" t="s">
        <v>1600</v>
      </c>
      <c r="D153" s="142">
        <f t="shared" si="16"/>
        <v>8196990</v>
      </c>
      <c r="E153" s="140">
        <v>1635322</v>
      </c>
      <c r="F153" s="140">
        <v>164030</v>
      </c>
      <c r="G153" s="140">
        <v>406663</v>
      </c>
      <c r="H153" s="140">
        <v>0</v>
      </c>
      <c r="I153" s="140">
        <v>1447886</v>
      </c>
      <c r="J153" s="140">
        <v>88258</v>
      </c>
      <c r="K153" s="140">
        <v>667000</v>
      </c>
      <c r="L153" s="140">
        <v>0</v>
      </c>
      <c r="M153" s="140">
        <v>1220694</v>
      </c>
      <c r="N153" s="140">
        <v>3118246</v>
      </c>
      <c r="O153" s="140">
        <v>19584</v>
      </c>
      <c r="P153" s="142">
        <f t="shared" si="17"/>
        <v>8599052</v>
      </c>
      <c r="Q153" s="140">
        <v>1861004</v>
      </c>
      <c r="R153" s="140">
        <v>737828</v>
      </c>
      <c r="S153" s="140">
        <v>0</v>
      </c>
      <c r="T153" s="140">
        <v>0</v>
      </c>
      <c r="U153" s="140">
        <v>1180</v>
      </c>
      <c r="V153" s="140">
        <v>0</v>
      </c>
      <c r="W153" s="140">
        <v>4909075</v>
      </c>
      <c r="X153" s="140">
        <v>177978</v>
      </c>
      <c r="Y153" s="140">
        <v>10332</v>
      </c>
      <c r="Z153" s="140">
        <v>904105</v>
      </c>
      <c r="AA153" s="140">
        <v>0</v>
      </c>
      <c r="AB153" s="140">
        <v>-2450</v>
      </c>
      <c r="AC153" s="140">
        <v>2088873</v>
      </c>
      <c r="AD153" s="140">
        <v>0</v>
      </c>
      <c r="AE153" s="140">
        <v>1222434</v>
      </c>
      <c r="AF153" s="140">
        <v>0</v>
      </c>
      <c r="AG153" s="140">
        <v>401320</v>
      </c>
      <c r="AH153" s="140">
        <v>335986</v>
      </c>
      <c r="AI153" s="140">
        <v>109822</v>
      </c>
      <c r="AJ153" s="140">
        <v>68153</v>
      </c>
      <c r="AK153" s="140">
        <v>0</v>
      </c>
      <c r="AL153" s="140">
        <v>4372464</v>
      </c>
      <c r="AM153" s="140">
        <v>0</v>
      </c>
    </row>
    <row r="154" spans="1:39" s="155" customFormat="1" ht="11.25" x14ac:dyDescent="0.2">
      <c r="A154" s="205">
        <v>100</v>
      </c>
      <c r="B154" s="195">
        <v>74581</v>
      </c>
      <c r="C154" s="175" t="s">
        <v>1601</v>
      </c>
      <c r="D154" s="142">
        <f t="shared" si="16"/>
        <v>4924028</v>
      </c>
      <c r="E154" s="140">
        <v>1454388</v>
      </c>
      <c r="F154" s="140">
        <v>176558</v>
      </c>
      <c r="G154" s="140">
        <v>552187</v>
      </c>
      <c r="H154" s="140">
        <v>0</v>
      </c>
      <c r="I154" s="140">
        <v>2354570</v>
      </c>
      <c r="J154" s="140">
        <v>0</v>
      </c>
      <c r="K154" s="140">
        <v>891000</v>
      </c>
      <c r="L154" s="140">
        <v>0</v>
      </c>
      <c r="M154" s="140">
        <v>27548</v>
      </c>
      <c r="N154" s="140">
        <v>130085</v>
      </c>
      <c r="O154" s="140">
        <v>66437</v>
      </c>
      <c r="P154" s="142">
        <f t="shared" si="17"/>
        <v>5415904</v>
      </c>
      <c r="Q154" s="140">
        <v>2589546</v>
      </c>
      <c r="R154" s="140">
        <v>1403380</v>
      </c>
      <c r="S154" s="140">
        <v>0</v>
      </c>
      <c r="T154" s="140">
        <v>0</v>
      </c>
      <c r="U154" s="140">
        <v>2286</v>
      </c>
      <c r="V154" s="140">
        <v>0</v>
      </c>
      <c r="W154" s="140">
        <v>138575</v>
      </c>
      <c r="X154" s="140">
        <v>270563</v>
      </c>
      <c r="Y154" s="140">
        <v>60000</v>
      </c>
      <c r="Z154" s="140">
        <v>956447</v>
      </c>
      <c r="AA154" s="140">
        <v>0</v>
      </c>
      <c r="AB154" s="140">
        <v>-4893</v>
      </c>
      <c r="AC154" s="140">
        <v>914241</v>
      </c>
      <c r="AD154" s="140">
        <v>63656</v>
      </c>
      <c r="AE154" s="140">
        <v>2218762</v>
      </c>
      <c r="AF154" s="140">
        <v>0</v>
      </c>
      <c r="AG154" s="140">
        <v>74702</v>
      </c>
      <c r="AH154" s="140">
        <v>511488</v>
      </c>
      <c r="AI154" s="140">
        <v>1586387</v>
      </c>
      <c r="AJ154" s="140">
        <v>12309</v>
      </c>
      <c r="AK154" s="140">
        <v>0</v>
      </c>
      <c r="AL154" s="140">
        <v>34359</v>
      </c>
      <c r="AM154" s="140">
        <v>0</v>
      </c>
    </row>
    <row r="155" spans="1:39" s="155" customFormat="1" ht="11.25" x14ac:dyDescent="0.2">
      <c r="A155" s="205">
        <v>101</v>
      </c>
      <c r="B155" s="195">
        <v>74616</v>
      </c>
      <c r="C155" s="175" t="s">
        <v>1602</v>
      </c>
      <c r="D155" s="142">
        <f t="shared" si="16"/>
        <v>4213759</v>
      </c>
      <c r="E155" s="140">
        <v>1049671</v>
      </c>
      <c r="F155" s="140">
        <v>95185</v>
      </c>
      <c r="G155" s="140">
        <v>642722</v>
      </c>
      <c r="H155" s="140">
        <v>0</v>
      </c>
      <c r="I155" s="140">
        <v>1232975</v>
      </c>
      <c r="J155" s="140">
        <v>224000</v>
      </c>
      <c r="K155" s="140">
        <v>602000</v>
      </c>
      <c r="L155" s="140">
        <v>0</v>
      </c>
      <c r="M155" s="140">
        <v>822678</v>
      </c>
      <c r="N155" s="140">
        <v>232923</v>
      </c>
      <c r="O155" s="140">
        <v>49512</v>
      </c>
      <c r="P155" s="142">
        <f t="shared" si="17"/>
        <v>3895708</v>
      </c>
      <c r="Q155" s="140">
        <v>1468130</v>
      </c>
      <c r="R155" s="140">
        <v>647085</v>
      </c>
      <c r="S155" s="140">
        <v>0</v>
      </c>
      <c r="T155" s="140">
        <v>0</v>
      </c>
      <c r="U155" s="140">
        <v>1008</v>
      </c>
      <c r="V155" s="140">
        <v>0</v>
      </c>
      <c r="W155" s="140">
        <v>282047</v>
      </c>
      <c r="X155" s="140">
        <v>212029</v>
      </c>
      <c r="Y155" s="140">
        <v>8000</v>
      </c>
      <c r="Z155" s="140">
        <v>1278219</v>
      </c>
      <c r="AA155" s="140">
        <v>0</v>
      </c>
      <c r="AB155" s="140">
        <v>-810</v>
      </c>
      <c r="AC155" s="140">
        <v>920961</v>
      </c>
      <c r="AD155" s="140">
        <v>1400</v>
      </c>
      <c r="AE155" s="140">
        <v>1173429</v>
      </c>
      <c r="AF155" s="140">
        <v>0</v>
      </c>
      <c r="AG155" s="140">
        <v>107094</v>
      </c>
      <c r="AH155" s="140">
        <v>343877</v>
      </c>
      <c r="AI155" s="140">
        <v>120366</v>
      </c>
      <c r="AJ155" s="140">
        <v>0</v>
      </c>
      <c r="AK155" s="140">
        <v>0</v>
      </c>
      <c r="AL155" s="140">
        <v>1228581</v>
      </c>
      <c r="AM155" s="140">
        <v>0</v>
      </c>
    </row>
    <row r="156" spans="1:39" s="155" customFormat="1" ht="11.25" x14ac:dyDescent="0.2">
      <c r="A156" s="205">
        <v>102</v>
      </c>
      <c r="B156" s="195">
        <v>74705</v>
      </c>
      <c r="C156" s="175" t="s">
        <v>1603</v>
      </c>
      <c r="D156" s="142">
        <f t="shared" si="16"/>
        <v>2531048</v>
      </c>
      <c r="E156" s="140">
        <v>946761</v>
      </c>
      <c r="F156" s="140">
        <v>50414</v>
      </c>
      <c r="G156" s="140">
        <v>706002</v>
      </c>
      <c r="H156" s="140">
        <v>0</v>
      </c>
      <c r="I156" s="140">
        <v>780816</v>
      </c>
      <c r="J156" s="140">
        <v>31000</v>
      </c>
      <c r="K156" s="140">
        <v>587000</v>
      </c>
      <c r="L156" s="140">
        <v>0</v>
      </c>
      <c r="M156" s="140">
        <v>157874</v>
      </c>
      <c r="N156" s="140">
        <v>0</v>
      </c>
      <c r="O156" s="140">
        <v>27597</v>
      </c>
      <c r="P156" s="142">
        <f t="shared" si="17"/>
        <v>2595884</v>
      </c>
      <c r="Q156" s="140">
        <v>1171680</v>
      </c>
      <c r="R156" s="140">
        <v>610486</v>
      </c>
      <c r="S156" s="140">
        <v>0</v>
      </c>
      <c r="T156" s="140">
        <v>0</v>
      </c>
      <c r="U156" s="140">
        <v>0</v>
      </c>
      <c r="V156" s="140">
        <v>0</v>
      </c>
      <c r="W156" s="140">
        <v>0</v>
      </c>
      <c r="X156" s="140">
        <v>75378</v>
      </c>
      <c r="Y156" s="140">
        <v>0</v>
      </c>
      <c r="Z156" s="140">
        <v>738340</v>
      </c>
      <c r="AA156" s="140">
        <v>0</v>
      </c>
      <c r="AB156" s="140">
        <v>0</v>
      </c>
      <c r="AC156" s="140">
        <v>768524</v>
      </c>
      <c r="AD156" s="140">
        <v>0</v>
      </c>
      <c r="AE156" s="140">
        <v>706789</v>
      </c>
      <c r="AF156" s="140">
        <v>32147</v>
      </c>
      <c r="AG156" s="140">
        <v>16263</v>
      </c>
      <c r="AH156" s="140">
        <v>227540</v>
      </c>
      <c r="AI156" s="140">
        <v>613841</v>
      </c>
      <c r="AJ156" s="140">
        <v>0</v>
      </c>
      <c r="AK156" s="140">
        <v>0</v>
      </c>
      <c r="AL156" s="140">
        <v>154093</v>
      </c>
      <c r="AM156" s="140">
        <v>76687</v>
      </c>
    </row>
    <row r="157" spans="1:39" s="155" customFormat="1" ht="11.25" x14ac:dyDescent="0.2">
      <c r="A157" s="205">
        <v>103</v>
      </c>
      <c r="B157" s="195">
        <v>74732</v>
      </c>
      <c r="C157" s="175" t="s">
        <v>1604</v>
      </c>
      <c r="D157" s="142">
        <f t="shared" si="16"/>
        <v>3584519</v>
      </c>
      <c r="E157" s="140">
        <v>1084403</v>
      </c>
      <c r="F157" s="140">
        <v>66838</v>
      </c>
      <c r="G157" s="140">
        <v>692001</v>
      </c>
      <c r="H157" s="140">
        <v>0</v>
      </c>
      <c r="I157" s="140">
        <v>787010</v>
      </c>
      <c r="J157" s="140">
        <v>0</v>
      </c>
      <c r="K157" s="140">
        <v>681000</v>
      </c>
      <c r="L157" s="140">
        <v>0</v>
      </c>
      <c r="M157" s="140">
        <v>1010414</v>
      </c>
      <c r="N157" s="140">
        <v>0</v>
      </c>
      <c r="O157" s="140">
        <v>21692</v>
      </c>
      <c r="P157" s="142">
        <f t="shared" si="17"/>
        <v>4418591</v>
      </c>
      <c r="Q157" s="140">
        <v>1122184</v>
      </c>
      <c r="R157" s="140">
        <v>925434</v>
      </c>
      <c r="S157" s="140">
        <v>0</v>
      </c>
      <c r="T157" s="140">
        <v>0</v>
      </c>
      <c r="U157" s="140">
        <v>1379</v>
      </c>
      <c r="V157" s="140">
        <v>0</v>
      </c>
      <c r="W157" s="140">
        <v>0</v>
      </c>
      <c r="X157" s="140">
        <v>168911</v>
      </c>
      <c r="Y157" s="140">
        <v>0</v>
      </c>
      <c r="Z157" s="140">
        <v>2200683</v>
      </c>
      <c r="AA157" s="140">
        <v>0</v>
      </c>
      <c r="AB157" s="140">
        <v>0</v>
      </c>
      <c r="AC157" s="140">
        <v>1226382</v>
      </c>
      <c r="AD157" s="140">
        <v>38787</v>
      </c>
      <c r="AE157" s="140">
        <v>621372</v>
      </c>
      <c r="AF157" s="140">
        <v>0</v>
      </c>
      <c r="AG157" s="140">
        <v>31158</v>
      </c>
      <c r="AH157" s="140">
        <v>330067</v>
      </c>
      <c r="AI157" s="140">
        <v>264946</v>
      </c>
      <c r="AJ157" s="140">
        <v>0</v>
      </c>
      <c r="AK157" s="140">
        <v>0</v>
      </c>
      <c r="AL157" s="140">
        <v>1905879</v>
      </c>
      <c r="AM157" s="140">
        <v>0</v>
      </c>
    </row>
    <row r="158" spans="1:39" s="155" customFormat="1" ht="11.25" x14ac:dyDescent="0.2">
      <c r="A158" s="205">
        <v>104</v>
      </c>
      <c r="B158" s="195">
        <v>74750</v>
      </c>
      <c r="C158" s="175" t="s">
        <v>1605</v>
      </c>
      <c r="D158" s="142">
        <f t="shared" si="16"/>
        <v>4670600</v>
      </c>
      <c r="E158" s="140">
        <v>1548250</v>
      </c>
      <c r="F158" s="140">
        <v>116343</v>
      </c>
      <c r="G158" s="140">
        <v>526684</v>
      </c>
      <c r="H158" s="140">
        <v>0</v>
      </c>
      <c r="I158" s="140">
        <v>1287589</v>
      </c>
      <c r="J158" s="140">
        <v>291000</v>
      </c>
      <c r="K158" s="140">
        <v>714000</v>
      </c>
      <c r="L158" s="140">
        <v>0</v>
      </c>
      <c r="M158" s="140">
        <v>829761</v>
      </c>
      <c r="N158" s="140">
        <v>0</v>
      </c>
      <c r="O158" s="140">
        <v>0</v>
      </c>
      <c r="P158" s="142">
        <f t="shared" si="17"/>
        <v>4294454</v>
      </c>
      <c r="Q158" s="140">
        <v>1707576</v>
      </c>
      <c r="R158" s="140">
        <v>1131938</v>
      </c>
      <c r="S158" s="140">
        <v>0</v>
      </c>
      <c r="T158" s="140">
        <v>0</v>
      </c>
      <c r="U158" s="140">
        <v>29353</v>
      </c>
      <c r="V158" s="140">
        <v>0</v>
      </c>
      <c r="W158" s="140">
        <v>0</v>
      </c>
      <c r="X158" s="140">
        <v>161698</v>
      </c>
      <c r="Y158" s="140">
        <v>0</v>
      </c>
      <c r="Z158" s="140">
        <v>1312858</v>
      </c>
      <c r="AA158" s="140">
        <v>0</v>
      </c>
      <c r="AB158" s="140">
        <v>-48969</v>
      </c>
      <c r="AC158" s="140">
        <v>857537</v>
      </c>
      <c r="AD158" s="140">
        <v>31904</v>
      </c>
      <c r="AE158" s="140">
        <v>1257752</v>
      </c>
      <c r="AF158" s="140">
        <v>0</v>
      </c>
      <c r="AG158" s="140">
        <v>29973</v>
      </c>
      <c r="AH158" s="140">
        <v>243837</v>
      </c>
      <c r="AI158" s="140">
        <v>312628</v>
      </c>
      <c r="AJ158" s="140">
        <v>53533</v>
      </c>
      <c r="AK158" s="140">
        <v>0</v>
      </c>
      <c r="AL158" s="140">
        <v>1507290</v>
      </c>
      <c r="AM158" s="140">
        <v>0</v>
      </c>
    </row>
    <row r="159" spans="1:39" s="155" customFormat="1" ht="11.25" x14ac:dyDescent="0.2"/>
    <row r="160" spans="1:39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pane xSplit="3" ySplit="13" topLeftCell="D14" activePane="bottomRight" state="frozen"/>
      <selection activeCell="L9" sqref="L9:L11"/>
      <selection pane="topRight" activeCell="L9" sqref="L9:L11"/>
      <selection pane="bottomLeft" activeCell="L9" sqref="L9:L11"/>
      <selection pane="bottomRight"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643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1252448460</v>
      </c>
      <c r="E14" s="432">
        <f>SUM(E15,E16,E33,E54)</f>
        <v>543472753</v>
      </c>
      <c r="F14" s="432">
        <f t="shared" ref="F14:O14" si="0">SUM(F15,F16,F33,F54)</f>
        <v>236974442</v>
      </c>
      <c r="G14" s="432">
        <f t="shared" si="0"/>
        <v>82717498</v>
      </c>
      <c r="H14" s="432">
        <f t="shared" si="0"/>
        <v>55655852</v>
      </c>
      <c r="I14" s="432">
        <f t="shared" si="0"/>
        <v>349367054</v>
      </c>
      <c r="J14" s="432">
        <f t="shared" si="0"/>
        <v>18553508</v>
      </c>
      <c r="K14" s="432">
        <f t="shared" si="0"/>
        <v>73407800</v>
      </c>
      <c r="L14" s="432">
        <f t="shared" si="0"/>
        <v>0</v>
      </c>
      <c r="M14" s="432">
        <f t="shared" si="0"/>
        <v>146961733</v>
      </c>
      <c r="N14" s="432">
        <f t="shared" si="0"/>
        <v>58776861</v>
      </c>
      <c r="O14" s="432">
        <f t="shared" si="0"/>
        <v>6252899</v>
      </c>
      <c r="P14" s="432">
        <f>IF(SUM(Q14:AB14)=SUM(AC14:AM14),SUM(Q14:AB14),"  EROARE ART/CAP")</f>
        <v>1257955644</v>
      </c>
      <c r="Q14" s="432">
        <f t="shared" ref="Q14:AM14" si="1">Q15+Q16+Q33+Q54</f>
        <v>429504817</v>
      </c>
      <c r="R14" s="432">
        <f t="shared" si="1"/>
        <v>228298465</v>
      </c>
      <c r="S14" s="432">
        <f t="shared" si="1"/>
        <v>5261185</v>
      </c>
      <c r="T14" s="432">
        <f t="shared" si="1"/>
        <v>43288225</v>
      </c>
      <c r="U14" s="432">
        <f t="shared" si="1"/>
        <v>82344438</v>
      </c>
      <c r="V14" s="432">
        <f t="shared" si="1"/>
        <v>15147936</v>
      </c>
      <c r="W14" s="432">
        <f t="shared" si="1"/>
        <v>87704929</v>
      </c>
      <c r="X14" s="432">
        <f t="shared" si="1"/>
        <v>90580951</v>
      </c>
      <c r="Y14" s="432">
        <f t="shared" si="1"/>
        <v>22362257</v>
      </c>
      <c r="Z14" s="432">
        <f t="shared" si="1"/>
        <v>239330694</v>
      </c>
      <c r="AA14" s="432">
        <f t="shared" si="1"/>
        <v>16057581</v>
      </c>
      <c r="AB14" s="432">
        <f t="shared" si="1"/>
        <v>-1925834</v>
      </c>
      <c r="AC14" s="432">
        <f t="shared" si="1"/>
        <v>137174597</v>
      </c>
      <c r="AD14" s="432">
        <f t="shared" si="1"/>
        <v>23580705</v>
      </c>
      <c r="AE14" s="432">
        <f t="shared" si="1"/>
        <v>395549723</v>
      </c>
      <c r="AF14" s="432">
        <f t="shared" si="1"/>
        <v>31563867</v>
      </c>
      <c r="AG14" s="432">
        <f t="shared" si="1"/>
        <v>95368135</v>
      </c>
      <c r="AH14" s="432">
        <f t="shared" si="1"/>
        <v>163495966</v>
      </c>
      <c r="AI14" s="432">
        <f t="shared" si="1"/>
        <v>86462430</v>
      </c>
      <c r="AJ14" s="432">
        <f t="shared" si="1"/>
        <v>77078890</v>
      </c>
      <c r="AK14" s="432">
        <f t="shared" si="1"/>
        <v>22415095</v>
      </c>
      <c r="AL14" s="432">
        <f t="shared" si="1"/>
        <v>220182804</v>
      </c>
      <c r="AM14" s="432">
        <f t="shared" si="1"/>
        <v>5083432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215585654</v>
      </c>
      <c r="E15" s="431">
        <v>82907892</v>
      </c>
      <c r="F15" s="431">
        <v>50301482</v>
      </c>
      <c r="G15" s="431">
        <v>30568959</v>
      </c>
      <c r="H15" s="431">
        <v>55655852</v>
      </c>
      <c r="I15" s="431">
        <v>0</v>
      </c>
      <c r="J15" s="431">
        <v>8000000</v>
      </c>
      <c r="K15" s="431">
        <v>11590000</v>
      </c>
      <c r="L15" s="434"/>
      <c r="M15" s="431">
        <v>51001078</v>
      </c>
      <c r="N15" s="431">
        <v>6414832</v>
      </c>
      <c r="O15" s="431">
        <v>16000</v>
      </c>
      <c r="P15" s="432">
        <f t="shared" ref="P15:P78" si="2">IF(SUM(Q15:AB15)=SUM(AC15:AM15),SUM(Q15:AB15),"  EROARE ART/CAP")</f>
        <v>206534339</v>
      </c>
      <c r="Q15" s="431">
        <v>48198621</v>
      </c>
      <c r="R15" s="431">
        <v>17401082</v>
      </c>
      <c r="S15" s="431">
        <v>0</v>
      </c>
      <c r="T15" s="431">
        <v>0</v>
      </c>
      <c r="U15" s="431">
        <v>38631628</v>
      </c>
      <c r="V15" s="431">
        <v>10549330</v>
      </c>
      <c r="W15" s="431">
        <v>15088355</v>
      </c>
      <c r="X15" s="431">
        <v>59115685</v>
      </c>
      <c r="Y15" s="431">
        <v>4736690</v>
      </c>
      <c r="Z15" s="431">
        <v>13164648</v>
      </c>
      <c r="AA15" s="431">
        <v>0</v>
      </c>
      <c r="AB15" s="431">
        <v>-351700</v>
      </c>
      <c r="AC15" s="431">
        <v>28476938</v>
      </c>
      <c r="AD15" s="431">
        <v>1064558</v>
      </c>
      <c r="AE15" s="431">
        <v>29140522</v>
      </c>
      <c r="AF15" s="431">
        <v>13986499</v>
      </c>
      <c r="AG15" s="431">
        <v>24546235</v>
      </c>
      <c r="AH15" s="431">
        <v>86054893</v>
      </c>
      <c r="AI15" s="431">
        <v>0</v>
      </c>
      <c r="AJ15" s="431">
        <v>0</v>
      </c>
      <c r="AK15" s="431">
        <v>0</v>
      </c>
      <c r="AL15" s="431">
        <v>20976084</v>
      </c>
      <c r="AM15" s="431">
        <v>2288610</v>
      </c>
    </row>
    <row r="16" spans="1:39" s="155" customFormat="1" ht="12" x14ac:dyDescent="0.2">
      <c r="A16" s="156" t="s">
        <v>72</v>
      </c>
      <c r="B16" s="157"/>
      <c r="C16" s="159"/>
      <c r="D16" s="432">
        <f>E16+SUM(H16:O16)</f>
        <v>572779667</v>
      </c>
      <c r="E16" s="433">
        <f>SUM(E18:E32)</f>
        <v>324962314</v>
      </c>
      <c r="F16" s="433">
        <f t="shared" ref="F16:O16" si="3">SUM(F18:F32)</f>
        <v>164294558</v>
      </c>
      <c r="G16" s="433">
        <f t="shared" si="3"/>
        <v>1037062</v>
      </c>
      <c r="H16" s="433">
        <f t="shared" si="3"/>
        <v>0</v>
      </c>
      <c r="I16" s="433">
        <f t="shared" si="3"/>
        <v>218333372</v>
      </c>
      <c r="J16" s="433">
        <f t="shared" si="3"/>
        <v>145500</v>
      </c>
      <c r="K16" s="433">
        <f t="shared" si="3"/>
        <v>4777680</v>
      </c>
      <c r="L16" s="433">
        <f t="shared" si="3"/>
        <v>0</v>
      </c>
      <c r="M16" s="433">
        <f t="shared" si="3"/>
        <v>9932523</v>
      </c>
      <c r="N16" s="433">
        <f t="shared" si="3"/>
        <v>14057054</v>
      </c>
      <c r="O16" s="433">
        <f t="shared" si="3"/>
        <v>571224</v>
      </c>
      <c r="P16" s="432">
        <f t="shared" si="2"/>
        <v>610173644</v>
      </c>
      <c r="Q16" s="432">
        <f>SUM(Q18:Q32)</f>
        <v>232242387</v>
      </c>
      <c r="R16" s="432">
        <f t="shared" ref="R16:AM16" si="4">SUM(R18:R32)</f>
        <v>132192784</v>
      </c>
      <c r="S16" s="432">
        <f t="shared" si="4"/>
        <v>5089340</v>
      </c>
      <c r="T16" s="432">
        <f t="shared" si="4"/>
        <v>43288225</v>
      </c>
      <c r="U16" s="432">
        <f t="shared" si="4"/>
        <v>43574169</v>
      </c>
      <c r="V16" s="432">
        <f t="shared" si="4"/>
        <v>3970088</v>
      </c>
      <c r="W16" s="432">
        <f t="shared" si="4"/>
        <v>30247525</v>
      </c>
      <c r="X16" s="432">
        <f t="shared" si="4"/>
        <v>13757713</v>
      </c>
      <c r="Y16" s="432">
        <f t="shared" si="4"/>
        <v>12713063</v>
      </c>
      <c r="Z16" s="432">
        <f t="shared" si="4"/>
        <v>79249602</v>
      </c>
      <c r="AA16" s="432">
        <f t="shared" si="4"/>
        <v>14723454</v>
      </c>
      <c r="AB16" s="432">
        <f t="shared" si="4"/>
        <v>-874706</v>
      </c>
      <c r="AC16" s="432">
        <f t="shared" si="4"/>
        <v>51225439</v>
      </c>
      <c r="AD16" s="432">
        <f t="shared" si="4"/>
        <v>15465759</v>
      </c>
      <c r="AE16" s="432">
        <f t="shared" si="4"/>
        <v>233224868</v>
      </c>
      <c r="AF16" s="432">
        <f t="shared" si="4"/>
        <v>16332183</v>
      </c>
      <c r="AG16" s="432">
        <f t="shared" si="4"/>
        <v>50329028</v>
      </c>
      <c r="AH16" s="432">
        <f t="shared" si="4"/>
        <v>48215545</v>
      </c>
      <c r="AI16" s="432">
        <f t="shared" si="4"/>
        <v>47447165</v>
      </c>
      <c r="AJ16" s="432">
        <f t="shared" si="4"/>
        <v>42636489</v>
      </c>
      <c r="AK16" s="432">
        <f t="shared" si="4"/>
        <v>22415095</v>
      </c>
      <c r="AL16" s="432">
        <f t="shared" si="4"/>
        <v>82816443</v>
      </c>
      <c r="AM16" s="432">
        <f t="shared" si="4"/>
        <v>65630</v>
      </c>
    </row>
    <row r="17" spans="1:39" s="155" customFormat="1" ht="22.5" x14ac:dyDescent="0.2">
      <c r="A17" s="277" t="s">
        <v>2306</v>
      </c>
      <c r="B17" s="562" t="s">
        <v>74</v>
      </c>
      <c r="C17" s="236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146">
        <v>1</v>
      </c>
      <c r="B18" s="407">
        <v>75098</v>
      </c>
      <c r="C18" s="557" t="s">
        <v>644</v>
      </c>
      <c r="D18" s="432">
        <f t="shared" ref="D18:D41" si="5">E18+SUM(H18:O18)</f>
        <v>501146584</v>
      </c>
      <c r="E18" s="431">
        <v>296841295</v>
      </c>
      <c r="F18" s="431">
        <v>153545458</v>
      </c>
      <c r="G18" s="431">
        <v>0</v>
      </c>
      <c r="H18" s="431">
        <v>0</v>
      </c>
      <c r="I18" s="431">
        <v>183525716</v>
      </c>
      <c r="J18" s="431">
        <v>0</v>
      </c>
      <c r="K18" s="431">
        <v>1419610</v>
      </c>
      <c r="L18" s="434"/>
      <c r="M18" s="431">
        <v>7710169</v>
      </c>
      <c r="N18" s="431">
        <v>11077920</v>
      </c>
      <c r="O18" s="431">
        <v>571874</v>
      </c>
      <c r="P18" s="432">
        <f t="shared" si="2"/>
        <v>537706755</v>
      </c>
      <c r="Q18" s="431">
        <v>196657915</v>
      </c>
      <c r="R18" s="431">
        <v>110764490</v>
      </c>
      <c r="S18" s="431">
        <v>5089340</v>
      </c>
      <c r="T18" s="431">
        <v>43288225</v>
      </c>
      <c r="U18" s="431">
        <v>40259542</v>
      </c>
      <c r="V18" s="431">
        <v>3181219</v>
      </c>
      <c r="W18" s="431">
        <v>24876790</v>
      </c>
      <c r="X18" s="431">
        <v>11659134</v>
      </c>
      <c r="Y18" s="431">
        <v>12412321</v>
      </c>
      <c r="Z18" s="431">
        <v>75270110</v>
      </c>
      <c r="AA18" s="431">
        <v>14723454</v>
      </c>
      <c r="AB18" s="431">
        <v>-475785</v>
      </c>
      <c r="AC18" s="431">
        <v>43849714</v>
      </c>
      <c r="AD18" s="431">
        <v>14358875</v>
      </c>
      <c r="AE18" s="431">
        <v>199981936</v>
      </c>
      <c r="AF18" s="431">
        <v>15135935</v>
      </c>
      <c r="AG18" s="431">
        <v>42868631</v>
      </c>
      <c r="AH18" s="431">
        <v>44926227</v>
      </c>
      <c r="AI18" s="431">
        <v>38074491</v>
      </c>
      <c r="AJ18" s="431">
        <v>35313857</v>
      </c>
      <c r="AK18" s="431">
        <v>22415095</v>
      </c>
      <c r="AL18" s="431">
        <v>80761110</v>
      </c>
      <c r="AM18" s="431">
        <v>20884</v>
      </c>
    </row>
    <row r="19" spans="1:39" s="155" customFormat="1" ht="12" x14ac:dyDescent="0.2">
      <c r="A19" s="146">
        <v>2</v>
      </c>
      <c r="B19" s="407">
        <v>75203</v>
      </c>
      <c r="C19" s="557" t="s">
        <v>645</v>
      </c>
      <c r="D19" s="432">
        <f t="shared" si="5"/>
        <v>71633083</v>
      </c>
      <c r="E19" s="431">
        <v>28121019</v>
      </c>
      <c r="F19" s="431">
        <v>10749100</v>
      </c>
      <c r="G19" s="431">
        <v>1037062</v>
      </c>
      <c r="H19" s="431">
        <v>0</v>
      </c>
      <c r="I19" s="431">
        <v>34807656</v>
      </c>
      <c r="J19" s="431">
        <v>145500</v>
      </c>
      <c r="K19" s="431">
        <v>3358070</v>
      </c>
      <c r="L19" s="434"/>
      <c r="M19" s="431">
        <v>2222354</v>
      </c>
      <c r="N19" s="431">
        <v>2979134</v>
      </c>
      <c r="O19" s="431">
        <v>-650</v>
      </c>
      <c r="P19" s="432">
        <f t="shared" si="2"/>
        <v>72466889</v>
      </c>
      <c r="Q19" s="431">
        <v>35584472</v>
      </c>
      <c r="R19" s="431">
        <v>21428294</v>
      </c>
      <c r="S19" s="431">
        <v>0</v>
      </c>
      <c r="T19" s="431">
        <v>0</v>
      </c>
      <c r="U19" s="431">
        <v>3314627</v>
      </c>
      <c r="V19" s="431">
        <v>788869</v>
      </c>
      <c r="W19" s="431">
        <v>5370735</v>
      </c>
      <c r="X19" s="431">
        <v>2098579</v>
      </c>
      <c r="Y19" s="431">
        <v>300742</v>
      </c>
      <c r="Z19" s="431">
        <v>3979492</v>
      </c>
      <c r="AA19" s="431">
        <v>0</v>
      </c>
      <c r="AB19" s="431">
        <v>-398921</v>
      </c>
      <c r="AC19" s="431">
        <v>7375725</v>
      </c>
      <c r="AD19" s="431">
        <v>1106884</v>
      </c>
      <c r="AE19" s="431">
        <v>33242932</v>
      </c>
      <c r="AF19" s="431">
        <v>1196248</v>
      </c>
      <c r="AG19" s="431">
        <v>7460397</v>
      </c>
      <c r="AH19" s="431">
        <v>3289318</v>
      </c>
      <c r="AI19" s="431">
        <v>9372674</v>
      </c>
      <c r="AJ19" s="431">
        <v>7322632</v>
      </c>
      <c r="AK19" s="431">
        <v>0</v>
      </c>
      <c r="AL19" s="431">
        <v>2055333</v>
      </c>
      <c r="AM19" s="431">
        <v>44746</v>
      </c>
    </row>
    <row r="20" spans="1:39" s="155" customFormat="1" ht="12" hidden="1" x14ac:dyDescent="0.2">
      <c r="A20" s="146">
        <v>3</v>
      </c>
      <c r="B20" s="146"/>
      <c r="C20" s="206"/>
      <c r="D20" s="432">
        <f t="shared" si="5"/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2">
        <f t="shared" si="2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</row>
    <row r="21" spans="1:39" s="155" customFormat="1" ht="12" hidden="1" x14ac:dyDescent="0.2">
      <c r="A21" s="146">
        <v>4</v>
      </c>
      <c r="B21" s="146"/>
      <c r="C21" s="206"/>
      <c r="D21" s="432">
        <f t="shared" si="5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2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146">
        <v>5</v>
      </c>
      <c r="B22" s="146"/>
      <c r="C22" s="206"/>
      <c r="D22" s="432">
        <f t="shared" si="5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2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146"/>
      <c r="C23" s="206"/>
      <c r="D23" s="432">
        <f t="shared" si="5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2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46"/>
      <c r="C24" s="206"/>
      <c r="D24" s="432">
        <f t="shared" si="5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2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46"/>
      <c r="C25" s="206"/>
      <c r="D25" s="432">
        <f t="shared" si="5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2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46"/>
      <c r="C26" s="206"/>
      <c r="D26" s="432">
        <f t="shared" si="5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2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46"/>
      <c r="C27" s="206"/>
      <c r="D27" s="432">
        <f t="shared" si="5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2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46"/>
      <c r="C28" s="206"/>
      <c r="D28" s="432">
        <f t="shared" si="5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2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46"/>
      <c r="C29" s="206"/>
      <c r="D29" s="432">
        <f t="shared" si="5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2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46"/>
      <c r="C30" s="206"/>
      <c r="D30" s="432">
        <f t="shared" si="5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2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46"/>
      <c r="C31" s="206"/>
      <c r="D31" s="432">
        <f t="shared" si="5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2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46"/>
      <c r="C32" s="207"/>
      <c r="D32" s="432">
        <f t="shared" si="5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2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4"/>
      <c r="C33" s="208"/>
      <c r="D33" s="432">
        <f t="shared" si="5"/>
        <v>23561838</v>
      </c>
      <c r="E33" s="432">
        <f>SUM(E34:E53)</f>
        <v>10948338</v>
      </c>
      <c r="F33" s="432">
        <f t="shared" ref="F33:O33" si="6">SUM(F34:F53)</f>
        <v>1811619</v>
      </c>
      <c r="G33" s="432">
        <f t="shared" si="6"/>
        <v>6570354</v>
      </c>
      <c r="H33" s="432">
        <f t="shared" si="6"/>
        <v>0</v>
      </c>
      <c r="I33" s="432">
        <f t="shared" si="6"/>
        <v>7543224</v>
      </c>
      <c r="J33" s="432">
        <f t="shared" si="6"/>
        <v>1223053</v>
      </c>
      <c r="K33" s="432">
        <f t="shared" si="6"/>
        <v>2169320</v>
      </c>
      <c r="L33" s="432">
        <f t="shared" si="6"/>
        <v>0</v>
      </c>
      <c r="M33" s="432">
        <f t="shared" si="6"/>
        <v>348945</v>
      </c>
      <c r="N33" s="432">
        <f t="shared" si="6"/>
        <v>1328958</v>
      </c>
      <c r="O33" s="432">
        <f t="shared" si="6"/>
        <v>0</v>
      </c>
      <c r="P33" s="432">
        <f t="shared" si="2"/>
        <v>22270357</v>
      </c>
      <c r="Q33" s="432">
        <f>SUM(Q34:Q53)</f>
        <v>8374413</v>
      </c>
      <c r="R33" s="432">
        <f t="shared" ref="R33:AM33" si="7">SUM(R34:R53)</f>
        <v>4171721</v>
      </c>
      <c r="S33" s="432">
        <f t="shared" si="7"/>
        <v>11300</v>
      </c>
      <c r="T33" s="432">
        <f t="shared" si="7"/>
        <v>0</v>
      </c>
      <c r="U33" s="432">
        <f t="shared" si="7"/>
        <v>0</v>
      </c>
      <c r="V33" s="432">
        <f t="shared" si="7"/>
        <v>100953</v>
      </c>
      <c r="W33" s="432">
        <f t="shared" si="7"/>
        <v>1842977</v>
      </c>
      <c r="X33" s="432">
        <f t="shared" si="7"/>
        <v>543062</v>
      </c>
      <c r="Y33" s="432">
        <f t="shared" si="7"/>
        <v>222000</v>
      </c>
      <c r="Z33" s="432">
        <f t="shared" si="7"/>
        <v>6949637</v>
      </c>
      <c r="AA33" s="432">
        <f t="shared" si="7"/>
        <v>73674</v>
      </c>
      <c r="AB33" s="432">
        <f t="shared" si="7"/>
        <v>-19380</v>
      </c>
      <c r="AC33" s="432">
        <f t="shared" si="7"/>
        <v>2404922</v>
      </c>
      <c r="AD33" s="432">
        <f t="shared" si="7"/>
        <v>128911</v>
      </c>
      <c r="AE33" s="432">
        <f t="shared" si="7"/>
        <v>9801331</v>
      </c>
      <c r="AF33" s="432">
        <f t="shared" si="7"/>
        <v>67687</v>
      </c>
      <c r="AG33" s="432">
        <f t="shared" si="7"/>
        <v>958247</v>
      </c>
      <c r="AH33" s="432">
        <f t="shared" si="7"/>
        <v>1029850</v>
      </c>
      <c r="AI33" s="432">
        <f t="shared" si="7"/>
        <v>1635066</v>
      </c>
      <c r="AJ33" s="432">
        <f t="shared" si="7"/>
        <v>620194</v>
      </c>
      <c r="AK33" s="432">
        <f t="shared" si="7"/>
        <v>0</v>
      </c>
      <c r="AL33" s="432">
        <f t="shared" si="7"/>
        <v>5575761</v>
      </c>
      <c r="AM33" s="432">
        <f t="shared" si="7"/>
        <v>48388</v>
      </c>
    </row>
    <row r="34" spans="1:39" s="155" customFormat="1" ht="12" x14ac:dyDescent="0.2">
      <c r="A34" s="146">
        <v>1</v>
      </c>
      <c r="B34" s="141">
        <v>75338</v>
      </c>
      <c r="C34" s="188" t="s">
        <v>646</v>
      </c>
      <c r="D34" s="432">
        <f t="shared" si="5"/>
        <v>9408367</v>
      </c>
      <c r="E34" s="431">
        <v>4980131</v>
      </c>
      <c r="F34" s="431">
        <v>298586</v>
      </c>
      <c r="G34" s="431">
        <v>4015112</v>
      </c>
      <c r="H34" s="431">
        <v>0</v>
      </c>
      <c r="I34" s="431">
        <v>2784684</v>
      </c>
      <c r="J34" s="431">
        <v>452000</v>
      </c>
      <c r="K34" s="431">
        <v>1157100</v>
      </c>
      <c r="L34" s="435"/>
      <c r="M34" s="431">
        <v>34452</v>
      </c>
      <c r="N34" s="431">
        <v>0</v>
      </c>
      <c r="O34" s="435"/>
      <c r="P34" s="432">
        <f t="shared" si="2"/>
        <v>8795434</v>
      </c>
      <c r="Q34" s="431">
        <v>3138397</v>
      </c>
      <c r="R34" s="431">
        <v>1299869</v>
      </c>
      <c r="S34" s="431">
        <v>0</v>
      </c>
      <c r="T34" s="431">
        <v>0</v>
      </c>
      <c r="U34" s="431">
        <v>0</v>
      </c>
      <c r="V34" s="431">
        <v>0</v>
      </c>
      <c r="W34" s="431">
        <v>0</v>
      </c>
      <c r="X34" s="431">
        <v>171925</v>
      </c>
      <c r="Y34" s="431">
        <v>32000</v>
      </c>
      <c r="Z34" s="431">
        <v>4153243</v>
      </c>
      <c r="AA34" s="431">
        <v>0</v>
      </c>
      <c r="AB34" s="431">
        <v>0</v>
      </c>
      <c r="AC34" s="431">
        <v>1102378</v>
      </c>
      <c r="AD34" s="431">
        <v>57934</v>
      </c>
      <c r="AE34" s="431">
        <v>2943491</v>
      </c>
      <c r="AF34" s="431">
        <v>0</v>
      </c>
      <c r="AG34" s="431">
        <v>68502</v>
      </c>
      <c r="AH34" s="431">
        <v>239416</v>
      </c>
      <c r="AI34" s="431">
        <v>108003</v>
      </c>
      <c r="AJ34" s="431">
        <v>225926</v>
      </c>
      <c r="AK34" s="431">
        <v>0</v>
      </c>
      <c r="AL34" s="431">
        <v>4049784</v>
      </c>
      <c r="AM34" s="431">
        <v>0</v>
      </c>
    </row>
    <row r="35" spans="1:39" s="155" customFormat="1" ht="12" x14ac:dyDescent="0.2">
      <c r="A35" s="146">
        <v>2</v>
      </c>
      <c r="B35" s="141">
        <v>75472</v>
      </c>
      <c r="C35" s="188" t="s">
        <v>647</v>
      </c>
      <c r="D35" s="432">
        <f t="shared" si="5"/>
        <v>14153471</v>
      </c>
      <c r="E35" s="431">
        <v>5968207</v>
      </c>
      <c r="F35" s="431">
        <v>1513033</v>
      </c>
      <c r="G35" s="431">
        <v>2555242</v>
      </c>
      <c r="H35" s="431">
        <v>0</v>
      </c>
      <c r="I35" s="431">
        <v>4758540</v>
      </c>
      <c r="J35" s="431">
        <v>771053</v>
      </c>
      <c r="K35" s="431">
        <v>1012220</v>
      </c>
      <c r="L35" s="435"/>
      <c r="M35" s="431">
        <v>314493</v>
      </c>
      <c r="N35" s="431">
        <v>1328958</v>
      </c>
      <c r="O35" s="435"/>
      <c r="P35" s="432">
        <f t="shared" si="2"/>
        <v>13474923</v>
      </c>
      <c r="Q35" s="431">
        <v>5236016</v>
      </c>
      <c r="R35" s="431">
        <v>2871852</v>
      </c>
      <c r="S35" s="431">
        <v>11300</v>
      </c>
      <c r="T35" s="431">
        <v>0</v>
      </c>
      <c r="U35" s="431">
        <v>0</v>
      </c>
      <c r="V35" s="431">
        <v>100953</v>
      </c>
      <c r="W35" s="431">
        <v>1842977</v>
      </c>
      <c r="X35" s="431">
        <v>371137</v>
      </c>
      <c r="Y35" s="431">
        <v>190000</v>
      </c>
      <c r="Z35" s="431">
        <v>2796394</v>
      </c>
      <c r="AA35" s="431">
        <v>73674</v>
      </c>
      <c r="AB35" s="431">
        <v>-19380</v>
      </c>
      <c r="AC35" s="431">
        <v>1302544</v>
      </c>
      <c r="AD35" s="431">
        <v>70977</v>
      </c>
      <c r="AE35" s="431">
        <v>6857840</v>
      </c>
      <c r="AF35" s="431">
        <v>67687</v>
      </c>
      <c r="AG35" s="431">
        <v>889745</v>
      </c>
      <c r="AH35" s="431">
        <v>790434</v>
      </c>
      <c r="AI35" s="431">
        <v>1527063</v>
      </c>
      <c r="AJ35" s="431">
        <v>394268</v>
      </c>
      <c r="AK35" s="431">
        <v>0</v>
      </c>
      <c r="AL35" s="431">
        <v>1525977</v>
      </c>
      <c r="AM35" s="431">
        <v>48388</v>
      </c>
    </row>
    <row r="36" spans="1:39" s="155" customFormat="1" ht="12" hidden="1" x14ac:dyDescent="0.2">
      <c r="A36" s="146">
        <v>3</v>
      </c>
      <c r="B36" s="146"/>
      <c r="C36" s="172"/>
      <c r="D36" s="432">
        <f t="shared" si="5"/>
        <v>0</v>
      </c>
      <c r="E36" s="435"/>
      <c r="F36" s="435"/>
      <c r="G36" s="435"/>
      <c r="H36" s="435"/>
      <c r="I36" s="435"/>
      <c r="J36" s="435"/>
      <c r="K36" s="435"/>
      <c r="L36" s="435"/>
      <c r="M36" s="435"/>
      <c r="N36" s="435"/>
      <c r="O36" s="435"/>
      <c r="P36" s="432">
        <f t="shared" si="2"/>
        <v>0</v>
      </c>
      <c r="Q36" s="435"/>
      <c r="R36" s="435"/>
      <c r="S36" s="435"/>
      <c r="T36" s="435"/>
      <c r="U36" s="435"/>
      <c r="V36" s="431"/>
      <c r="W36" s="431"/>
      <c r="X36" s="431"/>
      <c r="Y36" s="431"/>
      <c r="Z36" s="431"/>
      <c r="AA36" s="431"/>
      <c r="AB36" s="431"/>
      <c r="AC36" s="445"/>
      <c r="AD36" s="435"/>
      <c r="AE36" s="435"/>
      <c r="AF36" s="435"/>
      <c r="AG36" s="435"/>
      <c r="AH36" s="435"/>
      <c r="AI36" s="435"/>
      <c r="AJ36" s="435"/>
      <c r="AK36" s="435"/>
      <c r="AL36" s="435"/>
      <c r="AM36" s="435"/>
    </row>
    <row r="37" spans="1:39" s="155" customFormat="1" ht="12" hidden="1" x14ac:dyDescent="0.2">
      <c r="A37" s="146">
        <v>4</v>
      </c>
      <c r="B37" s="146"/>
      <c r="C37" s="172"/>
      <c r="D37" s="432">
        <f t="shared" si="5"/>
        <v>0</v>
      </c>
      <c r="E37" s="435"/>
      <c r="F37" s="435"/>
      <c r="G37" s="435"/>
      <c r="H37" s="435"/>
      <c r="I37" s="435"/>
      <c r="J37" s="435"/>
      <c r="K37" s="435"/>
      <c r="L37" s="435"/>
      <c r="M37" s="435"/>
      <c r="N37" s="435"/>
      <c r="O37" s="435"/>
      <c r="P37" s="432">
        <f t="shared" si="2"/>
        <v>0</v>
      </c>
      <c r="Q37" s="435"/>
      <c r="R37" s="435"/>
      <c r="S37" s="435"/>
      <c r="T37" s="435"/>
      <c r="U37" s="435"/>
      <c r="V37" s="431"/>
      <c r="W37" s="431"/>
      <c r="X37" s="431"/>
      <c r="Y37" s="431"/>
      <c r="Z37" s="431"/>
      <c r="AA37" s="431"/>
      <c r="AB37" s="431"/>
      <c r="AC37" s="445"/>
      <c r="AD37" s="435"/>
      <c r="AE37" s="435"/>
      <c r="AF37" s="435"/>
      <c r="AG37" s="435"/>
      <c r="AH37" s="435"/>
      <c r="AI37" s="435"/>
      <c r="AJ37" s="435"/>
      <c r="AK37" s="435"/>
      <c r="AL37" s="435"/>
      <c r="AM37" s="435"/>
    </row>
    <row r="38" spans="1:39" s="155" customFormat="1" ht="12" hidden="1" x14ac:dyDescent="0.2">
      <c r="A38" s="146">
        <v>5</v>
      </c>
      <c r="B38" s="146"/>
      <c r="C38" s="172"/>
      <c r="D38" s="432">
        <f t="shared" si="5"/>
        <v>0</v>
      </c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2">
        <f t="shared" si="2"/>
        <v>0</v>
      </c>
      <c r="Q38" s="435"/>
      <c r="R38" s="435"/>
      <c r="S38" s="435"/>
      <c r="T38" s="435"/>
      <c r="U38" s="435"/>
      <c r="V38" s="431"/>
      <c r="W38" s="431"/>
      <c r="X38" s="431"/>
      <c r="Y38" s="431"/>
      <c r="Z38" s="435"/>
      <c r="AA38" s="431"/>
      <c r="AB38" s="431"/>
      <c r="AC38" s="445"/>
      <c r="AD38" s="435"/>
      <c r="AE38" s="435"/>
      <c r="AF38" s="435"/>
      <c r="AG38" s="435"/>
      <c r="AH38" s="435"/>
      <c r="AI38" s="435"/>
      <c r="AJ38" s="435"/>
      <c r="AK38" s="435"/>
      <c r="AL38" s="435"/>
      <c r="AM38" s="435"/>
    </row>
    <row r="39" spans="1:39" s="155" customFormat="1" ht="12" hidden="1" x14ac:dyDescent="0.2">
      <c r="A39" s="146">
        <v>6</v>
      </c>
      <c r="B39" s="146"/>
      <c r="C39" s="172"/>
      <c r="D39" s="432">
        <f t="shared" si="5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2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</row>
    <row r="40" spans="1:39" s="155" customFormat="1" ht="12" hidden="1" x14ac:dyDescent="0.2">
      <c r="A40" s="146">
        <v>7</v>
      </c>
      <c r="B40" s="146"/>
      <c r="C40" s="182"/>
      <c r="D40" s="432">
        <f t="shared" si="5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2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155" customFormat="1" ht="12" hidden="1" x14ac:dyDescent="0.2">
      <c r="A41" s="146">
        <v>8</v>
      </c>
      <c r="B41" s="146"/>
      <c r="C41" s="173"/>
      <c r="D41" s="432">
        <f t="shared" si="5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2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146">
        <v>9</v>
      </c>
      <c r="B42" s="146"/>
      <c r="C42" s="206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2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146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2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46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2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46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2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46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2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46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2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46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2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46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2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46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2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46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2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46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2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46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2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4"/>
      <c r="C54" s="208"/>
      <c r="D54" s="432">
        <f t="shared" ref="D54:D117" si="8">E54+SUM(H54:O54)</f>
        <v>440521301</v>
      </c>
      <c r="E54" s="432">
        <f>SUM(E55:E143)</f>
        <v>124654209</v>
      </c>
      <c r="F54" s="432">
        <f t="shared" ref="F54:O54" si="9">SUM(F55:F143)</f>
        <v>20566783</v>
      </c>
      <c r="G54" s="432">
        <f t="shared" si="9"/>
        <v>44541123</v>
      </c>
      <c r="H54" s="432">
        <f t="shared" si="9"/>
        <v>0</v>
      </c>
      <c r="I54" s="432">
        <f t="shared" si="9"/>
        <v>123490458</v>
      </c>
      <c r="J54" s="432">
        <f t="shared" si="9"/>
        <v>9184955</v>
      </c>
      <c r="K54" s="432">
        <f t="shared" si="9"/>
        <v>54870800</v>
      </c>
      <c r="L54" s="432">
        <f t="shared" si="9"/>
        <v>0</v>
      </c>
      <c r="M54" s="432">
        <f t="shared" si="9"/>
        <v>85679187</v>
      </c>
      <c r="N54" s="432">
        <f t="shared" si="9"/>
        <v>36976017</v>
      </c>
      <c r="O54" s="432">
        <f t="shared" si="9"/>
        <v>5665675</v>
      </c>
      <c r="P54" s="432">
        <f t="shared" si="2"/>
        <v>418977304</v>
      </c>
      <c r="Q54" s="432">
        <f>SUM(Q55:Q143)</f>
        <v>140689396</v>
      </c>
      <c r="R54" s="432">
        <f t="shared" ref="R54:AM54" si="10">SUM(R55:R143)</f>
        <v>74532878</v>
      </c>
      <c r="S54" s="432">
        <f t="shared" si="10"/>
        <v>160545</v>
      </c>
      <c r="T54" s="432">
        <f t="shared" si="10"/>
        <v>0</v>
      </c>
      <c r="U54" s="432">
        <f t="shared" si="10"/>
        <v>138641</v>
      </c>
      <c r="V54" s="432">
        <f t="shared" si="10"/>
        <v>527565</v>
      </c>
      <c r="W54" s="432">
        <f t="shared" si="10"/>
        <v>40526072</v>
      </c>
      <c r="X54" s="432">
        <f t="shared" si="10"/>
        <v>17164491</v>
      </c>
      <c r="Y54" s="432">
        <f t="shared" si="10"/>
        <v>4690504</v>
      </c>
      <c r="Z54" s="432">
        <f t="shared" si="10"/>
        <v>139966807</v>
      </c>
      <c r="AA54" s="432">
        <f t="shared" si="10"/>
        <v>1260453</v>
      </c>
      <c r="AB54" s="432">
        <f t="shared" si="10"/>
        <v>-680048</v>
      </c>
      <c r="AC54" s="432">
        <f t="shared" si="10"/>
        <v>55067298</v>
      </c>
      <c r="AD54" s="432">
        <f t="shared" si="10"/>
        <v>6921477</v>
      </c>
      <c r="AE54" s="432">
        <f t="shared" si="10"/>
        <v>123383002</v>
      </c>
      <c r="AF54" s="432">
        <f t="shared" si="10"/>
        <v>1177498</v>
      </c>
      <c r="AG54" s="432">
        <f t="shared" si="10"/>
        <v>19534625</v>
      </c>
      <c r="AH54" s="432">
        <f t="shared" si="10"/>
        <v>28195678</v>
      </c>
      <c r="AI54" s="432">
        <f t="shared" si="10"/>
        <v>37380199</v>
      </c>
      <c r="AJ54" s="432">
        <f t="shared" si="10"/>
        <v>33822207</v>
      </c>
      <c r="AK54" s="432">
        <f t="shared" si="10"/>
        <v>0</v>
      </c>
      <c r="AL54" s="432">
        <f>SUM(AL55:AL143)</f>
        <v>110814516</v>
      </c>
      <c r="AM54" s="432">
        <f t="shared" si="10"/>
        <v>2680804</v>
      </c>
    </row>
    <row r="55" spans="1:39" s="155" customFormat="1" ht="12" x14ac:dyDescent="0.2">
      <c r="A55" s="168">
        <v>1</v>
      </c>
      <c r="B55" s="189">
        <v>75515</v>
      </c>
      <c r="C55" s="564" t="s">
        <v>648</v>
      </c>
      <c r="D55" s="551">
        <f t="shared" si="8"/>
        <v>5923999</v>
      </c>
      <c r="E55" s="431">
        <v>1940173</v>
      </c>
      <c r="F55" s="431">
        <v>243318</v>
      </c>
      <c r="G55" s="431">
        <v>714087</v>
      </c>
      <c r="H55" s="431">
        <v>0</v>
      </c>
      <c r="I55" s="431">
        <v>2737993</v>
      </c>
      <c r="J55" s="431">
        <v>58000</v>
      </c>
      <c r="K55" s="431">
        <v>1112180</v>
      </c>
      <c r="L55" s="434"/>
      <c r="M55" s="431">
        <v>38891</v>
      </c>
      <c r="N55" s="431">
        <v>0</v>
      </c>
      <c r="O55" s="431">
        <v>36762</v>
      </c>
      <c r="P55" s="432">
        <f t="shared" si="2"/>
        <v>6851130</v>
      </c>
      <c r="Q55" s="431">
        <v>2762619</v>
      </c>
      <c r="R55" s="431">
        <v>1492977</v>
      </c>
      <c r="S55" s="431">
        <v>0</v>
      </c>
      <c r="T55" s="431">
        <v>0</v>
      </c>
      <c r="U55" s="431">
        <v>0</v>
      </c>
      <c r="V55" s="431">
        <v>0</v>
      </c>
      <c r="W55" s="431">
        <v>0</v>
      </c>
      <c r="X55" s="431">
        <v>382853</v>
      </c>
      <c r="Y55" s="431">
        <v>22556</v>
      </c>
      <c r="Z55" s="431">
        <v>2192793</v>
      </c>
      <c r="AA55" s="431">
        <v>0</v>
      </c>
      <c r="AB55" s="431">
        <v>-2668</v>
      </c>
      <c r="AC55" s="431">
        <v>1799681</v>
      </c>
      <c r="AD55" s="431">
        <v>79113</v>
      </c>
      <c r="AE55" s="431">
        <v>2982508</v>
      </c>
      <c r="AF55" s="431">
        <v>22784</v>
      </c>
      <c r="AG55" s="431">
        <v>72096</v>
      </c>
      <c r="AH55" s="431">
        <v>536150</v>
      </c>
      <c r="AI55" s="431">
        <v>111504</v>
      </c>
      <c r="AJ55" s="431">
        <v>163680</v>
      </c>
      <c r="AK55" s="431">
        <v>0</v>
      </c>
      <c r="AL55" s="431">
        <v>1053183</v>
      </c>
      <c r="AM55" s="431">
        <v>30431</v>
      </c>
    </row>
    <row r="56" spans="1:39" s="155" customFormat="1" ht="12" x14ac:dyDescent="0.2">
      <c r="A56" s="168">
        <v>2</v>
      </c>
      <c r="B56" s="196">
        <v>75542</v>
      </c>
      <c r="C56" s="163" t="s">
        <v>649</v>
      </c>
      <c r="D56" s="432">
        <f t="shared" si="8"/>
        <v>4549463</v>
      </c>
      <c r="E56" s="431">
        <v>1278730</v>
      </c>
      <c r="F56" s="431">
        <v>81103</v>
      </c>
      <c r="G56" s="431">
        <v>866152</v>
      </c>
      <c r="H56" s="431">
        <v>0</v>
      </c>
      <c r="I56" s="431">
        <v>990420</v>
      </c>
      <c r="J56" s="431">
        <v>41399</v>
      </c>
      <c r="K56" s="431">
        <v>477330</v>
      </c>
      <c r="L56" s="434"/>
      <c r="M56" s="431">
        <v>1050354</v>
      </c>
      <c r="N56" s="431">
        <v>670278</v>
      </c>
      <c r="O56" s="431">
        <v>40952</v>
      </c>
      <c r="P56" s="432">
        <f t="shared" si="2"/>
        <v>4173179</v>
      </c>
      <c r="Q56" s="431">
        <v>1380715</v>
      </c>
      <c r="R56" s="431">
        <v>575314</v>
      </c>
      <c r="S56" s="431">
        <v>0</v>
      </c>
      <c r="T56" s="431">
        <v>0</v>
      </c>
      <c r="U56" s="431">
        <v>0</v>
      </c>
      <c r="V56" s="431">
        <v>0</v>
      </c>
      <c r="W56" s="431">
        <v>739689</v>
      </c>
      <c r="X56" s="431">
        <v>38766</v>
      </c>
      <c r="Y56" s="431">
        <v>0</v>
      </c>
      <c r="Z56" s="431">
        <v>1460610</v>
      </c>
      <c r="AA56" s="431">
        <v>0</v>
      </c>
      <c r="AB56" s="431">
        <v>-21915</v>
      </c>
      <c r="AC56" s="431">
        <v>563815</v>
      </c>
      <c r="AD56" s="431">
        <v>31347</v>
      </c>
      <c r="AE56" s="431">
        <v>915847</v>
      </c>
      <c r="AF56" s="431">
        <v>0</v>
      </c>
      <c r="AG56" s="431">
        <v>201020</v>
      </c>
      <c r="AH56" s="431">
        <v>134522</v>
      </c>
      <c r="AI56" s="431">
        <v>1620866</v>
      </c>
      <c r="AJ56" s="431">
        <v>10354</v>
      </c>
      <c r="AK56" s="431">
        <v>0</v>
      </c>
      <c r="AL56" s="431">
        <v>676076</v>
      </c>
      <c r="AM56" s="431">
        <v>19332</v>
      </c>
    </row>
    <row r="57" spans="1:39" s="155" customFormat="1" ht="12" x14ac:dyDescent="0.2">
      <c r="A57" s="168">
        <v>3</v>
      </c>
      <c r="B57" s="196">
        <v>75613</v>
      </c>
      <c r="C57" s="163" t="s">
        <v>650</v>
      </c>
      <c r="D57" s="432">
        <f t="shared" si="8"/>
        <v>6483794</v>
      </c>
      <c r="E57" s="431">
        <v>1306512</v>
      </c>
      <c r="F57" s="431">
        <v>79408</v>
      </c>
      <c r="G57" s="431">
        <v>756107</v>
      </c>
      <c r="H57" s="431">
        <v>0</v>
      </c>
      <c r="I57" s="431">
        <v>1283660</v>
      </c>
      <c r="J57" s="431">
        <v>205200</v>
      </c>
      <c r="K57" s="431">
        <v>2275680</v>
      </c>
      <c r="L57" s="434"/>
      <c r="M57" s="431">
        <v>1376382</v>
      </c>
      <c r="N57" s="431">
        <v>0</v>
      </c>
      <c r="O57" s="431">
        <v>36360</v>
      </c>
      <c r="P57" s="432">
        <f t="shared" si="2"/>
        <v>7314232</v>
      </c>
      <c r="Q57" s="431">
        <v>1614135</v>
      </c>
      <c r="R57" s="431">
        <v>929795</v>
      </c>
      <c r="S57" s="431">
        <v>0</v>
      </c>
      <c r="T57" s="431">
        <v>0</v>
      </c>
      <c r="U57" s="431">
        <v>0</v>
      </c>
      <c r="V57" s="431">
        <v>0</v>
      </c>
      <c r="W57" s="431">
        <v>0</v>
      </c>
      <c r="X57" s="431">
        <v>150158</v>
      </c>
      <c r="Y57" s="431">
        <v>49319</v>
      </c>
      <c r="Z57" s="431">
        <v>4570825</v>
      </c>
      <c r="AA57" s="431">
        <v>0</v>
      </c>
      <c r="AB57" s="431">
        <v>0</v>
      </c>
      <c r="AC57" s="431">
        <v>684098</v>
      </c>
      <c r="AD57" s="431">
        <v>98114</v>
      </c>
      <c r="AE57" s="431">
        <v>1046351</v>
      </c>
      <c r="AF57" s="431">
        <v>0</v>
      </c>
      <c r="AG57" s="431">
        <v>416334</v>
      </c>
      <c r="AH57" s="431">
        <v>447359</v>
      </c>
      <c r="AI57" s="431">
        <v>1150541</v>
      </c>
      <c r="AJ57" s="431">
        <v>86689</v>
      </c>
      <c r="AK57" s="431">
        <v>0</v>
      </c>
      <c r="AL57" s="431">
        <v>2776156</v>
      </c>
      <c r="AM57" s="431">
        <v>608590</v>
      </c>
    </row>
    <row r="58" spans="1:39" s="155" customFormat="1" ht="12" x14ac:dyDescent="0.2">
      <c r="A58" s="168">
        <v>4</v>
      </c>
      <c r="B58" s="196">
        <v>75668</v>
      </c>
      <c r="C58" s="163" t="s">
        <v>651</v>
      </c>
      <c r="D58" s="432">
        <f t="shared" si="8"/>
        <v>4856852</v>
      </c>
      <c r="E58" s="431">
        <v>1792351</v>
      </c>
      <c r="F58" s="431">
        <v>125667</v>
      </c>
      <c r="G58" s="431">
        <v>575465</v>
      </c>
      <c r="H58" s="431">
        <v>0</v>
      </c>
      <c r="I58" s="431">
        <v>970751</v>
      </c>
      <c r="J58" s="431">
        <v>137452</v>
      </c>
      <c r="K58" s="431">
        <v>453180</v>
      </c>
      <c r="L58" s="434"/>
      <c r="M58" s="431">
        <v>1462588</v>
      </c>
      <c r="N58" s="431">
        <v>0</v>
      </c>
      <c r="O58" s="431">
        <v>40530</v>
      </c>
      <c r="P58" s="432">
        <f t="shared" si="2"/>
        <v>4834329</v>
      </c>
      <c r="Q58" s="431">
        <v>1259694</v>
      </c>
      <c r="R58" s="431">
        <v>926396</v>
      </c>
      <c r="S58" s="431">
        <v>11108</v>
      </c>
      <c r="T58" s="431">
        <v>0</v>
      </c>
      <c r="U58" s="431">
        <v>0</v>
      </c>
      <c r="V58" s="431">
        <v>0</v>
      </c>
      <c r="W58" s="431">
        <v>0</v>
      </c>
      <c r="X58" s="431">
        <v>206497</v>
      </c>
      <c r="Y58" s="431">
        <v>10000</v>
      </c>
      <c r="Z58" s="431">
        <v>2428297</v>
      </c>
      <c r="AA58" s="431">
        <v>0</v>
      </c>
      <c r="AB58" s="431">
        <v>-7663</v>
      </c>
      <c r="AC58" s="431">
        <v>568639</v>
      </c>
      <c r="AD58" s="431">
        <v>154148</v>
      </c>
      <c r="AE58" s="431">
        <v>1062810</v>
      </c>
      <c r="AF58" s="431">
        <v>33018</v>
      </c>
      <c r="AG58" s="431">
        <v>73201</v>
      </c>
      <c r="AH58" s="431">
        <v>398410</v>
      </c>
      <c r="AI58" s="431">
        <v>478845</v>
      </c>
      <c r="AJ58" s="431">
        <v>250561</v>
      </c>
      <c r="AK58" s="431">
        <v>0</v>
      </c>
      <c r="AL58" s="431">
        <v>1807508</v>
      </c>
      <c r="AM58" s="431">
        <v>7189</v>
      </c>
    </row>
    <row r="59" spans="1:39" s="155" customFormat="1" ht="12" x14ac:dyDescent="0.2">
      <c r="A59" s="168">
        <v>5</v>
      </c>
      <c r="B59" s="196">
        <v>75686</v>
      </c>
      <c r="C59" s="163" t="s">
        <v>652</v>
      </c>
      <c r="D59" s="432">
        <f t="shared" si="8"/>
        <v>3411280</v>
      </c>
      <c r="E59" s="431">
        <v>1344845</v>
      </c>
      <c r="F59" s="431">
        <v>84674</v>
      </c>
      <c r="G59" s="431">
        <v>894335</v>
      </c>
      <c r="H59" s="431">
        <v>0</v>
      </c>
      <c r="I59" s="431">
        <v>996891</v>
      </c>
      <c r="J59" s="431">
        <v>94800</v>
      </c>
      <c r="K59" s="431">
        <v>400490</v>
      </c>
      <c r="L59" s="434"/>
      <c r="M59" s="431">
        <v>531292</v>
      </c>
      <c r="N59" s="431">
        <v>0</v>
      </c>
      <c r="O59" s="431">
        <v>42962</v>
      </c>
      <c r="P59" s="432">
        <f t="shared" si="2"/>
        <v>3109178</v>
      </c>
      <c r="Q59" s="431">
        <v>1229390</v>
      </c>
      <c r="R59" s="431">
        <v>857046</v>
      </c>
      <c r="S59" s="431">
        <v>0</v>
      </c>
      <c r="T59" s="431">
        <v>0</v>
      </c>
      <c r="U59" s="431">
        <v>0</v>
      </c>
      <c r="V59" s="431">
        <v>200</v>
      </c>
      <c r="W59" s="431">
        <v>0</v>
      </c>
      <c r="X59" s="431">
        <v>198842</v>
      </c>
      <c r="Y59" s="431">
        <v>24000</v>
      </c>
      <c r="Z59" s="431">
        <v>804831</v>
      </c>
      <c r="AA59" s="431">
        <v>0</v>
      </c>
      <c r="AB59" s="431">
        <v>-5131</v>
      </c>
      <c r="AC59" s="431">
        <v>701969</v>
      </c>
      <c r="AD59" s="431">
        <v>25739</v>
      </c>
      <c r="AE59" s="431">
        <v>1044915</v>
      </c>
      <c r="AF59" s="431">
        <v>15344</v>
      </c>
      <c r="AG59" s="431">
        <v>119233</v>
      </c>
      <c r="AH59" s="431">
        <v>308933</v>
      </c>
      <c r="AI59" s="431">
        <v>699609</v>
      </c>
      <c r="AJ59" s="431">
        <v>19321</v>
      </c>
      <c r="AK59" s="431">
        <v>0</v>
      </c>
      <c r="AL59" s="431">
        <v>174115</v>
      </c>
      <c r="AM59" s="431">
        <v>0</v>
      </c>
    </row>
    <row r="60" spans="1:39" s="155" customFormat="1" ht="12" x14ac:dyDescent="0.2">
      <c r="A60" s="168">
        <v>6</v>
      </c>
      <c r="B60" s="196">
        <v>75356</v>
      </c>
      <c r="C60" s="163" t="s">
        <v>653</v>
      </c>
      <c r="D60" s="432">
        <f t="shared" si="8"/>
        <v>6718620</v>
      </c>
      <c r="E60" s="431">
        <v>1577431</v>
      </c>
      <c r="F60" s="431">
        <v>157055</v>
      </c>
      <c r="G60" s="431">
        <v>785774</v>
      </c>
      <c r="H60" s="431">
        <v>0</v>
      </c>
      <c r="I60" s="431">
        <v>1942552</v>
      </c>
      <c r="J60" s="431">
        <v>325500</v>
      </c>
      <c r="K60" s="431">
        <v>828820</v>
      </c>
      <c r="L60" s="434"/>
      <c r="M60" s="431">
        <v>1696559</v>
      </c>
      <c r="N60" s="431">
        <v>277886</v>
      </c>
      <c r="O60" s="431">
        <v>69872</v>
      </c>
      <c r="P60" s="432">
        <f t="shared" si="2"/>
        <v>6864498</v>
      </c>
      <c r="Q60" s="431">
        <v>2188318</v>
      </c>
      <c r="R60" s="431">
        <v>851088</v>
      </c>
      <c r="S60" s="431">
        <v>0</v>
      </c>
      <c r="T60" s="431">
        <v>0</v>
      </c>
      <c r="U60" s="431">
        <v>0</v>
      </c>
      <c r="V60" s="431">
        <v>1000</v>
      </c>
      <c r="W60" s="431">
        <v>305793</v>
      </c>
      <c r="X60" s="431">
        <v>357676</v>
      </c>
      <c r="Y60" s="431">
        <v>39919</v>
      </c>
      <c r="Z60" s="431">
        <v>3120704</v>
      </c>
      <c r="AA60" s="431">
        <v>0</v>
      </c>
      <c r="AB60" s="431">
        <v>0</v>
      </c>
      <c r="AC60" s="431">
        <v>936230</v>
      </c>
      <c r="AD60" s="431">
        <v>100418</v>
      </c>
      <c r="AE60" s="431">
        <v>1967151</v>
      </c>
      <c r="AF60" s="431">
        <v>16205</v>
      </c>
      <c r="AG60" s="431">
        <v>299834</v>
      </c>
      <c r="AH60" s="431">
        <v>355986</v>
      </c>
      <c r="AI60" s="431">
        <v>147907</v>
      </c>
      <c r="AJ60" s="431">
        <v>121197</v>
      </c>
      <c r="AK60" s="431">
        <v>0</v>
      </c>
      <c r="AL60" s="431">
        <v>2916587</v>
      </c>
      <c r="AM60" s="431">
        <v>2983</v>
      </c>
    </row>
    <row r="61" spans="1:39" s="155" customFormat="1" ht="12" x14ac:dyDescent="0.2">
      <c r="A61" s="168">
        <v>7</v>
      </c>
      <c r="B61" s="196">
        <v>75711</v>
      </c>
      <c r="C61" s="163" t="s">
        <v>654</v>
      </c>
      <c r="D61" s="432">
        <f t="shared" si="8"/>
        <v>5817940</v>
      </c>
      <c r="E61" s="431">
        <v>2123319</v>
      </c>
      <c r="F61" s="431">
        <v>197011</v>
      </c>
      <c r="G61" s="431">
        <v>654161</v>
      </c>
      <c r="H61" s="431">
        <v>0</v>
      </c>
      <c r="I61" s="431">
        <v>1596221</v>
      </c>
      <c r="J61" s="431">
        <v>146300</v>
      </c>
      <c r="K61" s="431">
        <v>993600</v>
      </c>
      <c r="L61" s="434"/>
      <c r="M61" s="431">
        <v>251429</v>
      </c>
      <c r="N61" s="431">
        <v>664173</v>
      </c>
      <c r="O61" s="431">
        <v>42898</v>
      </c>
      <c r="P61" s="432">
        <f t="shared" si="2"/>
        <v>4639547</v>
      </c>
      <c r="Q61" s="431">
        <v>1968795</v>
      </c>
      <c r="R61" s="431">
        <v>1627721</v>
      </c>
      <c r="S61" s="431">
        <v>0</v>
      </c>
      <c r="T61" s="431">
        <v>0</v>
      </c>
      <c r="U61" s="431">
        <v>0</v>
      </c>
      <c r="V61" s="431">
        <v>8237</v>
      </c>
      <c r="W61" s="431">
        <v>658631</v>
      </c>
      <c r="X61" s="431">
        <v>200886</v>
      </c>
      <c r="Y61" s="431">
        <v>85035</v>
      </c>
      <c r="Z61" s="431">
        <v>96139</v>
      </c>
      <c r="AA61" s="431">
        <v>0</v>
      </c>
      <c r="AB61" s="431">
        <v>-5897</v>
      </c>
      <c r="AC61" s="431">
        <v>1185054</v>
      </c>
      <c r="AD61" s="431">
        <v>43319</v>
      </c>
      <c r="AE61" s="431">
        <v>1464001</v>
      </c>
      <c r="AF61" s="431">
        <v>0</v>
      </c>
      <c r="AG61" s="431">
        <v>271687</v>
      </c>
      <c r="AH61" s="431">
        <v>330546</v>
      </c>
      <c r="AI61" s="431">
        <v>571969</v>
      </c>
      <c r="AJ61" s="431">
        <v>586270</v>
      </c>
      <c r="AK61" s="431">
        <v>0</v>
      </c>
      <c r="AL61" s="431">
        <v>186701</v>
      </c>
      <c r="AM61" s="431">
        <v>0</v>
      </c>
    </row>
    <row r="62" spans="1:39" s="155" customFormat="1" ht="12" x14ac:dyDescent="0.2">
      <c r="A62" s="168">
        <v>8</v>
      </c>
      <c r="B62" s="196">
        <v>75766</v>
      </c>
      <c r="C62" s="163" t="s">
        <v>655</v>
      </c>
      <c r="D62" s="432">
        <f t="shared" si="8"/>
        <v>15643628</v>
      </c>
      <c r="E62" s="431">
        <v>2083911</v>
      </c>
      <c r="F62" s="431">
        <v>316899</v>
      </c>
      <c r="G62" s="431">
        <v>990701</v>
      </c>
      <c r="H62" s="431">
        <v>0</v>
      </c>
      <c r="I62" s="431">
        <v>4769084</v>
      </c>
      <c r="J62" s="431">
        <v>132000</v>
      </c>
      <c r="K62" s="431">
        <v>1441670</v>
      </c>
      <c r="L62" s="434"/>
      <c r="M62" s="431">
        <v>4048365</v>
      </c>
      <c r="N62" s="431">
        <v>3141838</v>
      </c>
      <c r="O62" s="431">
        <v>26760</v>
      </c>
      <c r="P62" s="432">
        <f t="shared" si="2"/>
        <v>16203168</v>
      </c>
      <c r="Q62" s="431">
        <v>4646907</v>
      </c>
      <c r="R62" s="431">
        <v>1505030</v>
      </c>
      <c r="S62" s="431">
        <v>0</v>
      </c>
      <c r="T62" s="431">
        <v>0</v>
      </c>
      <c r="U62" s="431">
        <v>0</v>
      </c>
      <c r="V62" s="431">
        <v>0</v>
      </c>
      <c r="W62" s="431">
        <v>4624601</v>
      </c>
      <c r="X62" s="431">
        <v>745789</v>
      </c>
      <c r="Y62" s="431">
        <v>105000</v>
      </c>
      <c r="Z62" s="431">
        <v>4575941</v>
      </c>
      <c r="AA62" s="431">
        <v>0</v>
      </c>
      <c r="AB62" s="431">
        <v>-100</v>
      </c>
      <c r="AC62" s="431">
        <v>1034826</v>
      </c>
      <c r="AD62" s="431">
        <v>359849</v>
      </c>
      <c r="AE62" s="431">
        <v>6282451</v>
      </c>
      <c r="AF62" s="431">
        <v>41085</v>
      </c>
      <c r="AG62" s="431">
        <v>207784</v>
      </c>
      <c r="AH62" s="431">
        <v>1138893</v>
      </c>
      <c r="AI62" s="431">
        <v>2095835</v>
      </c>
      <c r="AJ62" s="431">
        <v>123898</v>
      </c>
      <c r="AK62" s="431">
        <v>0</v>
      </c>
      <c r="AL62" s="431">
        <v>4888949</v>
      </c>
      <c r="AM62" s="431">
        <v>29598</v>
      </c>
    </row>
    <row r="63" spans="1:39" s="155" customFormat="1" ht="12" x14ac:dyDescent="0.2">
      <c r="A63" s="168">
        <v>9</v>
      </c>
      <c r="B63" s="196">
        <v>75819</v>
      </c>
      <c r="C63" s="163" t="s">
        <v>656</v>
      </c>
      <c r="D63" s="432">
        <f t="shared" si="8"/>
        <v>6991685</v>
      </c>
      <c r="E63" s="431">
        <v>1304853</v>
      </c>
      <c r="F63" s="431">
        <v>111862</v>
      </c>
      <c r="G63" s="431">
        <v>888698</v>
      </c>
      <c r="H63" s="431">
        <v>0</v>
      </c>
      <c r="I63" s="431">
        <v>1584924</v>
      </c>
      <c r="J63" s="431">
        <v>179300</v>
      </c>
      <c r="K63" s="431">
        <v>384950</v>
      </c>
      <c r="L63" s="434"/>
      <c r="M63" s="431">
        <v>197644</v>
      </c>
      <c r="N63" s="431">
        <v>3314550</v>
      </c>
      <c r="O63" s="431">
        <v>25464</v>
      </c>
      <c r="P63" s="432">
        <f t="shared" si="2"/>
        <v>3020354</v>
      </c>
      <c r="Q63" s="431">
        <v>1624095</v>
      </c>
      <c r="R63" s="431">
        <v>809712</v>
      </c>
      <c r="S63" s="431">
        <v>0</v>
      </c>
      <c r="T63" s="431">
        <v>0</v>
      </c>
      <c r="U63" s="431">
        <v>0</v>
      </c>
      <c r="V63" s="431">
        <v>0</v>
      </c>
      <c r="W63" s="431">
        <v>46056</v>
      </c>
      <c r="X63" s="431">
        <v>315750</v>
      </c>
      <c r="Y63" s="431">
        <v>20000</v>
      </c>
      <c r="Z63" s="431">
        <v>219758</v>
      </c>
      <c r="AA63" s="431">
        <v>0</v>
      </c>
      <c r="AB63" s="431">
        <v>-15017</v>
      </c>
      <c r="AC63" s="431">
        <v>644847</v>
      </c>
      <c r="AD63" s="431">
        <v>37379</v>
      </c>
      <c r="AE63" s="431">
        <v>1440530</v>
      </c>
      <c r="AF63" s="431">
        <v>0</v>
      </c>
      <c r="AG63" s="431">
        <v>63037</v>
      </c>
      <c r="AH63" s="431">
        <v>309116</v>
      </c>
      <c r="AI63" s="431">
        <v>44964</v>
      </c>
      <c r="AJ63" s="431">
        <v>42384</v>
      </c>
      <c r="AK63" s="431">
        <v>0</v>
      </c>
      <c r="AL63" s="431">
        <v>424707</v>
      </c>
      <c r="AM63" s="431">
        <v>13390</v>
      </c>
    </row>
    <row r="64" spans="1:39" s="155" customFormat="1" ht="12" x14ac:dyDescent="0.2">
      <c r="A64" s="168">
        <v>10</v>
      </c>
      <c r="B64" s="196">
        <v>75864</v>
      </c>
      <c r="C64" s="163" t="s">
        <v>657</v>
      </c>
      <c r="D64" s="432">
        <f t="shared" si="8"/>
        <v>6132373</v>
      </c>
      <c r="E64" s="431">
        <v>1498937</v>
      </c>
      <c r="F64" s="431">
        <v>285990</v>
      </c>
      <c r="G64" s="431">
        <v>686721</v>
      </c>
      <c r="H64" s="431">
        <v>0</v>
      </c>
      <c r="I64" s="431">
        <v>1778996</v>
      </c>
      <c r="J64" s="431">
        <v>386101</v>
      </c>
      <c r="K64" s="431">
        <v>476180</v>
      </c>
      <c r="L64" s="434"/>
      <c r="M64" s="431">
        <v>1466098</v>
      </c>
      <c r="N64" s="431">
        <v>459461</v>
      </c>
      <c r="O64" s="431">
        <v>66600</v>
      </c>
      <c r="P64" s="432">
        <f t="shared" si="2"/>
        <v>5141160</v>
      </c>
      <c r="Q64" s="431">
        <v>1897410</v>
      </c>
      <c r="R64" s="431">
        <v>778378</v>
      </c>
      <c r="S64" s="431">
        <v>0</v>
      </c>
      <c r="T64" s="431">
        <v>0</v>
      </c>
      <c r="U64" s="431">
        <v>0</v>
      </c>
      <c r="V64" s="431">
        <v>0</v>
      </c>
      <c r="W64" s="431">
        <v>615055</v>
      </c>
      <c r="X64" s="431">
        <v>211665</v>
      </c>
      <c r="Y64" s="431">
        <v>0</v>
      </c>
      <c r="Z64" s="431">
        <v>1638652</v>
      </c>
      <c r="AA64" s="431">
        <v>0</v>
      </c>
      <c r="AB64" s="431">
        <v>0</v>
      </c>
      <c r="AC64" s="431">
        <v>608480</v>
      </c>
      <c r="AD64" s="431">
        <v>79441</v>
      </c>
      <c r="AE64" s="431">
        <v>1610558</v>
      </c>
      <c r="AF64" s="431">
        <v>0</v>
      </c>
      <c r="AG64" s="431">
        <v>263816</v>
      </c>
      <c r="AH64" s="431">
        <v>357169</v>
      </c>
      <c r="AI64" s="431">
        <v>591271</v>
      </c>
      <c r="AJ64" s="431">
        <v>9634</v>
      </c>
      <c r="AK64" s="431">
        <v>0</v>
      </c>
      <c r="AL64" s="431">
        <v>1607831</v>
      </c>
      <c r="AM64" s="431">
        <v>12960</v>
      </c>
    </row>
    <row r="65" spans="1:39" s="155" customFormat="1" ht="12" x14ac:dyDescent="0.2">
      <c r="A65" s="168">
        <v>11</v>
      </c>
      <c r="B65" s="196">
        <v>75917</v>
      </c>
      <c r="C65" s="163" t="s">
        <v>658</v>
      </c>
      <c r="D65" s="432">
        <f t="shared" si="8"/>
        <v>3216742</v>
      </c>
      <c r="E65" s="431">
        <v>1400004</v>
      </c>
      <c r="F65" s="431">
        <v>108984</v>
      </c>
      <c r="G65" s="431">
        <v>753421</v>
      </c>
      <c r="H65" s="431">
        <v>0</v>
      </c>
      <c r="I65" s="431">
        <v>1215353</v>
      </c>
      <c r="J65" s="431">
        <v>126500</v>
      </c>
      <c r="K65" s="431">
        <v>394330</v>
      </c>
      <c r="L65" s="434"/>
      <c r="M65" s="431">
        <v>42395</v>
      </c>
      <c r="N65" s="431">
        <v>0</v>
      </c>
      <c r="O65" s="431">
        <v>38160</v>
      </c>
      <c r="P65" s="432">
        <f t="shared" si="2"/>
        <v>2853793</v>
      </c>
      <c r="Q65" s="431">
        <v>1410335</v>
      </c>
      <c r="R65" s="431">
        <v>1102003</v>
      </c>
      <c r="S65" s="431">
        <v>0</v>
      </c>
      <c r="T65" s="431">
        <v>0</v>
      </c>
      <c r="U65" s="431">
        <v>0</v>
      </c>
      <c r="V65" s="431">
        <v>0</v>
      </c>
      <c r="W65" s="431">
        <v>0</v>
      </c>
      <c r="X65" s="431">
        <v>152095</v>
      </c>
      <c r="Y65" s="431">
        <v>50000</v>
      </c>
      <c r="Z65" s="431">
        <v>139360</v>
      </c>
      <c r="AA65" s="431">
        <v>0</v>
      </c>
      <c r="AB65" s="431">
        <v>0</v>
      </c>
      <c r="AC65" s="431">
        <v>534347</v>
      </c>
      <c r="AD65" s="431">
        <v>38927</v>
      </c>
      <c r="AE65" s="431">
        <v>1271325</v>
      </c>
      <c r="AF65" s="431">
        <v>0</v>
      </c>
      <c r="AG65" s="431">
        <v>129485</v>
      </c>
      <c r="AH65" s="431">
        <v>200760</v>
      </c>
      <c r="AI65" s="431">
        <v>299394</v>
      </c>
      <c r="AJ65" s="431">
        <v>127207</v>
      </c>
      <c r="AK65" s="431">
        <v>0</v>
      </c>
      <c r="AL65" s="431">
        <v>238846</v>
      </c>
      <c r="AM65" s="431">
        <v>13502</v>
      </c>
    </row>
    <row r="66" spans="1:39" s="155" customFormat="1" ht="12" x14ac:dyDescent="0.2">
      <c r="A66" s="168">
        <v>12</v>
      </c>
      <c r="B66" s="196">
        <v>76004</v>
      </c>
      <c r="C66" s="163" t="s">
        <v>659</v>
      </c>
      <c r="D66" s="432">
        <f t="shared" si="8"/>
        <v>4011250</v>
      </c>
      <c r="E66" s="431">
        <v>1823225</v>
      </c>
      <c r="F66" s="431">
        <v>108955</v>
      </c>
      <c r="G66" s="431">
        <v>499672</v>
      </c>
      <c r="H66" s="431">
        <v>0</v>
      </c>
      <c r="I66" s="431">
        <v>955390</v>
      </c>
      <c r="J66" s="431">
        <v>110100</v>
      </c>
      <c r="K66" s="431">
        <v>505200</v>
      </c>
      <c r="L66" s="434"/>
      <c r="M66" s="431">
        <v>207379</v>
      </c>
      <c r="N66" s="431">
        <v>377454</v>
      </c>
      <c r="O66" s="431">
        <v>32502</v>
      </c>
      <c r="P66" s="432">
        <f t="shared" si="2"/>
        <v>3610005</v>
      </c>
      <c r="Q66" s="431">
        <v>1188653</v>
      </c>
      <c r="R66" s="431">
        <v>1116498</v>
      </c>
      <c r="S66" s="431">
        <v>0</v>
      </c>
      <c r="T66" s="431">
        <v>0</v>
      </c>
      <c r="U66" s="431">
        <v>0</v>
      </c>
      <c r="V66" s="431">
        <v>0</v>
      </c>
      <c r="W66" s="431">
        <v>0</v>
      </c>
      <c r="X66" s="431">
        <v>156020</v>
      </c>
      <c r="Y66" s="431">
        <v>22669</v>
      </c>
      <c r="Z66" s="431">
        <v>1126165</v>
      </c>
      <c r="AA66" s="431">
        <v>0</v>
      </c>
      <c r="AB66" s="431">
        <v>0</v>
      </c>
      <c r="AC66" s="431">
        <v>1031738</v>
      </c>
      <c r="AD66" s="431">
        <v>120000</v>
      </c>
      <c r="AE66" s="431">
        <v>899345</v>
      </c>
      <c r="AF66" s="431">
        <v>0</v>
      </c>
      <c r="AG66" s="431">
        <v>489714</v>
      </c>
      <c r="AH66" s="431">
        <v>188742</v>
      </c>
      <c r="AI66" s="431">
        <v>316259</v>
      </c>
      <c r="AJ66" s="431">
        <v>106410</v>
      </c>
      <c r="AK66" s="431">
        <v>0</v>
      </c>
      <c r="AL66" s="431">
        <v>376966</v>
      </c>
      <c r="AM66" s="431">
        <v>80831</v>
      </c>
    </row>
    <row r="67" spans="1:39" s="155" customFormat="1" ht="12" x14ac:dyDescent="0.2">
      <c r="A67" s="168">
        <v>13</v>
      </c>
      <c r="B67" s="196">
        <v>75953</v>
      </c>
      <c r="C67" s="163" t="s">
        <v>660</v>
      </c>
      <c r="D67" s="432">
        <f t="shared" si="8"/>
        <v>9288121</v>
      </c>
      <c r="E67" s="431">
        <v>2997159</v>
      </c>
      <c r="F67" s="431">
        <v>513805</v>
      </c>
      <c r="G67" s="431">
        <v>669530</v>
      </c>
      <c r="H67" s="431">
        <v>0</v>
      </c>
      <c r="I67" s="431">
        <v>3267644</v>
      </c>
      <c r="J67" s="431">
        <v>127500</v>
      </c>
      <c r="K67" s="431">
        <v>1606680</v>
      </c>
      <c r="L67" s="434"/>
      <c r="M67" s="431">
        <v>1027227</v>
      </c>
      <c r="N67" s="431">
        <v>198545</v>
      </c>
      <c r="O67" s="431">
        <v>63366</v>
      </c>
      <c r="P67" s="432">
        <f t="shared" si="2"/>
        <v>8605833</v>
      </c>
      <c r="Q67" s="431">
        <v>3925958</v>
      </c>
      <c r="R67" s="431">
        <v>2301194</v>
      </c>
      <c r="S67" s="431">
        <v>4032</v>
      </c>
      <c r="T67" s="431">
        <v>0</v>
      </c>
      <c r="U67" s="431">
        <v>0</v>
      </c>
      <c r="V67" s="431">
        <v>0</v>
      </c>
      <c r="W67" s="431">
        <v>90087</v>
      </c>
      <c r="X67" s="431">
        <v>341835</v>
      </c>
      <c r="Y67" s="431">
        <v>73000</v>
      </c>
      <c r="Z67" s="431">
        <v>1671617</v>
      </c>
      <c r="AA67" s="431">
        <v>211735</v>
      </c>
      <c r="AB67" s="431">
        <v>-13625</v>
      </c>
      <c r="AC67" s="431">
        <v>1316454</v>
      </c>
      <c r="AD67" s="431">
        <v>99365</v>
      </c>
      <c r="AE67" s="431">
        <v>2738034</v>
      </c>
      <c r="AF67" s="431">
        <v>92676</v>
      </c>
      <c r="AG67" s="431">
        <v>252559</v>
      </c>
      <c r="AH67" s="431">
        <v>876261</v>
      </c>
      <c r="AI67" s="431">
        <v>414553</v>
      </c>
      <c r="AJ67" s="431">
        <v>123850</v>
      </c>
      <c r="AK67" s="431">
        <v>0</v>
      </c>
      <c r="AL67" s="431">
        <v>2658241</v>
      </c>
      <c r="AM67" s="431">
        <v>33840</v>
      </c>
    </row>
    <row r="68" spans="1:39" s="155" customFormat="1" ht="12" x14ac:dyDescent="0.2">
      <c r="A68" s="168">
        <v>14</v>
      </c>
      <c r="B68" s="196">
        <v>76040</v>
      </c>
      <c r="C68" s="163" t="s">
        <v>661</v>
      </c>
      <c r="D68" s="432">
        <f t="shared" si="8"/>
        <v>7782992</v>
      </c>
      <c r="E68" s="431">
        <v>1794057</v>
      </c>
      <c r="F68" s="431">
        <v>353808</v>
      </c>
      <c r="G68" s="431">
        <v>771655</v>
      </c>
      <c r="H68" s="431">
        <v>0</v>
      </c>
      <c r="I68" s="431">
        <v>2549131</v>
      </c>
      <c r="J68" s="431">
        <v>299800</v>
      </c>
      <c r="K68" s="431">
        <v>1526200</v>
      </c>
      <c r="L68" s="434"/>
      <c r="M68" s="431">
        <v>1070833</v>
      </c>
      <c r="N68" s="431">
        <v>511551</v>
      </c>
      <c r="O68" s="431">
        <v>31420</v>
      </c>
      <c r="P68" s="432">
        <f t="shared" si="2"/>
        <v>6900093</v>
      </c>
      <c r="Q68" s="431">
        <v>3261208</v>
      </c>
      <c r="R68" s="431">
        <v>1235107</v>
      </c>
      <c r="S68" s="431">
        <v>0</v>
      </c>
      <c r="T68" s="431">
        <v>0</v>
      </c>
      <c r="U68" s="431">
        <v>0</v>
      </c>
      <c r="V68" s="431">
        <v>1000</v>
      </c>
      <c r="W68" s="431">
        <v>621987</v>
      </c>
      <c r="X68" s="431">
        <v>543928</v>
      </c>
      <c r="Y68" s="431">
        <v>0</v>
      </c>
      <c r="Z68" s="431">
        <v>1236863</v>
      </c>
      <c r="AA68" s="431">
        <v>0</v>
      </c>
      <c r="AB68" s="431">
        <v>0</v>
      </c>
      <c r="AC68" s="431">
        <v>1451385</v>
      </c>
      <c r="AD68" s="431">
        <v>752682</v>
      </c>
      <c r="AE68" s="431">
        <v>2430163</v>
      </c>
      <c r="AF68" s="431">
        <v>26048</v>
      </c>
      <c r="AG68" s="431">
        <v>223464</v>
      </c>
      <c r="AH68" s="431">
        <v>524571</v>
      </c>
      <c r="AI68" s="431">
        <v>274017</v>
      </c>
      <c r="AJ68" s="431">
        <v>6196</v>
      </c>
      <c r="AK68" s="431">
        <v>0</v>
      </c>
      <c r="AL68" s="431">
        <v>1211567</v>
      </c>
      <c r="AM68" s="431">
        <v>0</v>
      </c>
    </row>
    <row r="69" spans="1:39" s="155" customFormat="1" ht="12" x14ac:dyDescent="0.2">
      <c r="A69" s="168">
        <v>15</v>
      </c>
      <c r="B69" s="196">
        <v>76111</v>
      </c>
      <c r="C69" s="163" t="s">
        <v>662</v>
      </c>
      <c r="D69" s="432">
        <f t="shared" si="8"/>
        <v>5225232</v>
      </c>
      <c r="E69" s="431">
        <v>1375427</v>
      </c>
      <c r="F69" s="431">
        <v>166272</v>
      </c>
      <c r="G69" s="431">
        <v>710038</v>
      </c>
      <c r="H69" s="431">
        <v>0</v>
      </c>
      <c r="I69" s="431">
        <v>1293949</v>
      </c>
      <c r="J69" s="431">
        <v>336300</v>
      </c>
      <c r="K69" s="431">
        <v>425010</v>
      </c>
      <c r="L69" s="434"/>
      <c r="M69" s="431">
        <v>1777542</v>
      </c>
      <c r="N69" s="431">
        <v>0</v>
      </c>
      <c r="O69" s="431">
        <v>17004</v>
      </c>
      <c r="P69" s="432">
        <f t="shared" si="2"/>
        <v>5219490</v>
      </c>
      <c r="Q69" s="431">
        <v>1568903</v>
      </c>
      <c r="R69" s="431">
        <v>929411</v>
      </c>
      <c r="S69" s="431">
        <v>0</v>
      </c>
      <c r="T69" s="431">
        <v>0</v>
      </c>
      <c r="U69" s="431">
        <v>0</v>
      </c>
      <c r="V69" s="431">
        <v>0</v>
      </c>
      <c r="W69" s="431">
        <v>0</v>
      </c>
      <c r="X69" s="431">
        <v>185963</v>
      </c>
      <c r="Y69" s="431">
        <v>16000</v>
      </c>
      <c r="Z69" s="431">
        <v>2519213</v>
      </c>
      <c r="AA69" s="431">
        <v>0</v>
      </c>
      <c r="AB69" s="431">
        <v>0</v>
      </c>
      <c r="AC69" s="431">
        <v>773645</v>
      </c>
      <c r="AD69" s="431">
        <v>23686</v>
      </c>
      <c r="AE69" s="431">
        <v>1109595</v>
      </c>
      <c r="AF69" s="431">
        <v>0</v>
      </c>
      <c r="AG69" s="431">
        <v>104939</v>
      </c>
      <c r="AH69" s="431">
        <v>362924</v>
      </c>
      <c r="AI69" s="431">
        <v>2446860</v>
      </c>
      <c r="AJ69" s="431">
        <v>113942</v>
      </c>
      <c r="AK69" s="431">
        <v>0</v>
      </c>
      <c r="AL69" s="431">
        <v>283899</v>
      </c>
      <c r="AM69" s="431">
        <v>0</v>
      </c>
    </row>
    <row r="70" spans="1:39" s="155" customFormat="1" ht="12" x14ac:dyDescent="0.2">
      <c r="A70" s="168">
        <v>16</v>
      </c>
      <c r="B70" s="196">
        <v>76139</v>
      </c>
      <c r="C70" s="163" t="s">
        <v>663</v>
      </c>
      <c r="D70" s="432">
        <f t="shared" si="8"/>
        <v>5402492</v>
      </c>
      <c r="E70" s="431">
        <v>1479333</v>
      </c>
      <c r="F70" s="431">
        <v>202082</v>
      </c>
      <c r="G70" s="431">
        <v>785361</v>
      </c>
      <c r="H70" s="431">
        <v>0</v>
      </c>
      <c r="I70" s="431">
        <v>969464</v>
      </c>
      <c r="J70" s="431">
        <v>0</v>
      </c>
      <c r="K70" s="431">
        <v>414760</v>
      </c>
      <c r="L70" s="434"/>
      <c r="M70" s="431">
        <v>2430759</v>
      </c>
      <c r="N70" s="431">
        <v>81446</v>
      </c>
      <c r="O70" s="431">
        <v>26730</v>
      </c>
      <c r="P70" s="432">
        <f t="shared" si="2"/>
        <v>7462820</v>
      </c>
      <c r="Q70" s="431">
        <v>1217192</v>
      </c>
      <c r="R70" s="431">
        <v>761648</v>
      </c>
      <c r="S70" s="431">
        <v>0</v>
      </c>
      <c r="T70" s="431">
        <v>0</v>
      </c>
      <c r="U70" s="431">
        <v>0</v>
      </c>
      <c r="V70" s="431">
        <v>0</v>
      </c>
      <c r="W70" s="431">
        <v>2581853</v>
      </c>
      <c r="X70" s="431">
        <v>229340</v>
      </c>
      <c r="Y70" s="431">
        <v>85000</v>
      </c>
      <c r="Z70" s="431">
        <v>2591170</v>
      </c>
      <c r="AA70" s="431">
        <v>0</v>
      </c>
      <c r="AB70" s="431">
        <v>-3383</v>
      </c>
      <c r="AC70" s="431">
        <v>586198</v>
      </c>
      <c r="AD70" s="431">
        <v>167902</v>
      </c>
      <c r="AE70" s="431">
        <v>814448</v>
      </c>
      <c r="AF70" s="431">
        <v>29156</v>
      </c>
      <c r="AG70" s="431">
        <v>138434</v>
      </c>
      <c r="AH70" s="431">
        <v>400864</v>
      </c>
      <c r="AI70" s="431">
        <v>347069</v>
      </c>
      <c r="AJ70" s="431">
        <v>37982</v>
      </c>
      <c r="AK70" s="431">
        <v>0</v>
      </c>
      <c r="AL70" s="431">
        <v>4940767</v>
      </c>
      <c r="AM70" s="431">
        <v>0</v>
      </c>
    </row>
    <row r="71" spans="1:39" s="155" customFormat="1" ht="12" x14ac:dyDescent="0.2">
      <c r="A71" s="168">
        <v>17</v>
      </c>
      <c r="B71" s="196">
        <v>76157</v>
      </c>
      <c r="C71" s="163" t="s">
        <v>664</v>
      </c>
      <c r="D71" s="432">
        <f t="shared" si="8"/>
        <v>10417309</v>
      </c>
      <c r="E71" s="431">
        <v>3347410</v>
      </c>
      <c r="F71" s="431">
        <v>370713</v>
      </c>
      <c r="G71" s="431">
        <v>744421</v>
      </c>
      <c r="H71" s="431">
        <v>0</v>
      </c>
      <c r="I71" s="431">
        <v>4637467</v>
      </c>
      <c r="J71" s="431">
        <v>136100</v>
      </c>
      <c r="K71" s="431">
        <v>1741250</v>
      </c>
      <c r="L71" s="434"/>
      <c r="M71" s="431">
        <v>147657</v>
      </c>
      <c r="N71" s="431">
        <v>290210</v>
      </c>
      <c r="O71" s="431">
        <v>117215</v>
      </c>
      <c r="P71" s="432">
        <f t="shared" si="2"/>
        <v>8782584</v>
      </c>
      <c r="Q71" s="431">
        <v>4743842</v>
      </c>
      <c r="R71" s="431">
        <v>2362535</v>
      </c>
      <c r="S71" s="431">
        <v>0</v>
      </c>
      <c r="T71" s="431">
        <v>0</v>
      </c>
      <c r="U71" s="431">
        <v>0</v>
      </c>
      <c r="V71" s="431">
        <v>0</v>
      </c>
      <c r="W71" s="431">
        <v>473896</v>
      </c>
      <c r="X71" s="431">
        <v>539078</v>
      </c>
      <c r="Y71" s="431">
        <v>263000</v>
      </c>
      <c r="Z71" s="431">
        <v>400914</v>
      </c>
      <c r="AA71" s="431">
        <v>0</v>
      </c>
      <c r="AB71" s="431">
        <v>-681</v>
      </c>
      <c r="AC71" s="431">
        <v>1187264</v>
      </c>
      <c r="AD71" s="431">
        <v>88281</v>
      </c>
      <c r="AE71" s="431">
        <v>4376065</v>
      </c>
      <c r="AF71" s="431">
        <v>11256</v>
      </c>
      <c r="AG71" s="431">
        <v>390063</v>
      </c>
      <c r="AH71" s="431">
        <v>754871</v>
      </c>
      <c r="AI71" s="431">
        <v>1179927</v>
      </c>
      <c r="AJ71" s="431">
        <v>194303</v>
      </c>
      <c r="AK71" s="431">
        <v>0</v>
      </c>
      <c r="AL71" s="431">
        <v>600554</v>
      </c>
      <c r="AM71" s="431">
        <v>0</v>
      </c>
    </row>
    <row r="72" spans="1:39" s="155" customFormat="1" ht="12" x14ac:dyDescent="0.2">
      <c r="A72" s="168">
        <v>18</v>
      </c>
      <c r="B72" s="196">
        <v>77595</v>
      </c>
      <c r="C72" s="163" t="s">
        <v>665</v>
      </c>
      <c r="D72" s="432">
        <f t="shared" si="8"/>
        <v>3369898</v>
      </c>
      <c r="E72" s="431">
        <v>1393934</v>
      </c>
      <c r="F72" s="431">
        <v>69803</v>
      </c>
      <c r="G72" s="431">
        <v>962678</v>
      </c>
      <c r="H72" s="431">
        <v>0</v>
      </c>
      <c r="I72" s="431">
        <v>1253376</v>
      </c>
      <c r="J72" s="431">
        <v>81800</v>
      </c>
      <c r="K72" s="431">
        <v>585390</v>
      </c>
      <c r="L72" s="434"/>
      <c r="M72" s="431">
        <v>40008</v>
      </c>
      <c r="N72" s="431">
        <v>0</v>
      </c>
      <c r="O72" s="431">
        <v>15390</v>
      </c>
      <c r="P72" s="432">
        <f t="shared" si="2"/>
        <v>3094763</v>
      </c>
      <c r="Q72" s="431">
        <v>1373284</v>
      </c>
      <c r="R72" s="431">
        <v>893526</v>
      </c>
      <c r="S72" s="431">
        <v>0</v>
      </c>
      <c r="T72" s="431">
        <v>0</v>
      </c>
      <c r="U72" s="431">
        <v>0</v>
      </c>
      <c r="V72" s="431">
        <v>167</v>
      </c>
      <c r="W72" s="431">
        <v>0</v>
      </c>
      <c r="X72" s="431">
        <v>269377</v>
      </c>
      <c r="Y72" s="431">
        <v>61920</v>
      </c>
      <c r="Z72" s="431">
        <v>556953</v>
      </c>
      <c r="AA72" s="431">
        <v>0</v>
      </c>
      <c r="AB72" s="431">
        <v>-60464</v>
      </c>
      <c r="AC72" s="431">
        <v>548912</v>
      </c>
      <c r="AD72" s="431">
        <v>-19745</v>
      </c>
      <c r="AE72" s="431">
        <v>1560558</v>
      </c>
      <c r="AF72" s="431">
        <v>6708</v>
      </c>
      <c r="AG72" s="431">
        <v>85652</v>
      </c>
      <c r="AH72" s="431">
        <v>278937</v>
      </c>
      <c r="AI72" s="431">
        <v>136035</v>
      </c>
      <c r="AJ72" s="431">
        <v>107430</v>
      </c>
      <c r="AK72" s="431">
        <v>0</v>
      </c>
      <c r="AL72" s="431">
        <v>390276</v>
      </c>
      <c r="AM72" s="431">
        <v>0</v>
      </c>
    </row>
    <row r="73" spans="1:39" s="155" customFormat="1" ht="12" x14ac:dyDescent="0.2">
      <c r="A73" s="168">
        <v>19</v>
      </c>
      <c r="B73" s="196">
        <v>75221</v>
      </c>
      <c r="C73" s="163" t="s">
        <v>666</v>
      </c>
      <c r="D73" s="432">
        <f t="shared" si="8"/>
        <v>6706126</v>
      </c>
      <c r="E73" s="431">
        <v>2211324</v>
      </c>
      <c r="F73" s="431">
        <v>309094</v>
      </c>
      <c r="G73" s="431">
        <v>782928</v>
      </c>
      <c r="H73" s="431">
        <v>0</v>
      </c>
      <c r="I73" s="431">
        <v>2532788</v>
      </c>
      <c r="J73" s="431">
        <v>74800</v>
      </c>
      <c r="K73" s="431">
        <v>1159840</v>
      </c>
      <c r="L73" s="434"/>
      <c r="M73" s="431">
        <v>167955</v>
      </c>
      <c r="N73" s="431">
        <v>519764</v>
      </c>
      <c r="O73" s="431">
        <v>39655</v>
      </c>
      <c r="P73" s="432">
        <f t="shared" si="2"/>
        <v>6069236</v>
      </c>
      <c r="Q73" s="431">
        <v>2753856</v>
      </c>
      <c r="R73" s="431">
        <v>1001880</v>
      </c>
      <c r="S73" s="431">
        <v>0</v>
      </c>
      <c r="T73" s="431">
        <v>0</v>
      </c>
      <c r="U73" s="431">
        <v>0</v>
      </c>
      <c r="V73" s="431">
        <v>0</v>
      </c>
      <c r="W73" s="431">
        <v>536020</v>
      </c>
      <c r="X73" s="431">
        <v>353922</v>
      </c>
      <c r="Y73" s="431">
        <v>68068</v>
      </c>
      <c r="Z73" s="431">
        <v>1355490</v>
      </c>
      <c r="AA73" s="431">
        <v>0</v>
      </c>
      <c r="AB73" s="431">
        <v>0</v>
      </c>
      <c r="AC73" s="431">
        <v>740883</v>
      </c>
      <c r="AD73" s="431">
        <v>14216</v>
      </c>
      <c r="AE73" s="431">
        <v>2644837</v>
      </c>
      <c r="AF73" s="431">
        <v>38194</v>
      </c>
      <c r="AG73" s="431">
        <v>156674</v>
      </c>
      <c r="AH73" s="431">
        <v>702437</v>
      </c>
      <c r="AI73" s="431">
        <v>156105</v>
      </c>
      <c r="AJ73" s="431">
        <v>275504</v>
      </c>
      <c r="AK73" s="431">
        <v>0</v>
      </c>
      <c r="AL73" s="431">
        <v>1209386</v>
      </c>
      <c r="AM73" s="431">
        <v>131000</v>
      </c>
    </row>
    <row r="74" spans="1:39" s="155" customFormat="1" ht="12" x14ac:dyDescent="0.2">
      <c r="A74" s="168">
        <v>20</v>
      </c>
      <c r="B74" s="196">
        <v>76175</v>
      </c>
      <c r="C74" s="163" t="s">
        <v>296</v>
      </c>
      <c r="D74" s="432">
        <f t="shared" si="8"/>
        <v>6715762</v>
      </c>
      <c r="E74" s="431">
        <v>1890483</v>
      </c>
      <c r="F74" s="431">
        <v>164983</v>
      </c>
      <c r="G74" s="431">
        <v>1062398</v>
      </c>
      <c r="H74" s="431">
        <v>0</v>
      </c>
      <c r="I74" s="431">
        <v>3241599</v>
      </c>
      <c r="J74" s="431">
        <v>211881</v>
      </c>
      <c r="K74" s="431">
        <v>1218680</v>
      </c>
      <c r="L74" s="434"/>
      <c r="M74" s="431">
        <v>96923</v>
      </c>
      <c r="N74" s="431">
        <v>0</v>
      </c>
      <c r="O74" s="431">
        <v>56196</v>
      </c>
      <c r="P74" s="432">
        <f t="shared" si="2"/>
        <v>6150605</v>
      </c>
      <c r="Q74" s="431">
        <v>3438502</v>
      </c>
      <c r="R74" s="431">
        <v>1513522</v>
      </c>
      <c r="S74" s="431">
        <v>0</v>
      </c>
      <c r="T74" s="431">
        <v>0</v>
      </c>
      <c r="U74" s="431">
        <v>0</v>
      </c>
      <c r="V74" s="431">
        <v>0</v>
      </c>
      <c r="W74" s="431">
        <v>0</v>
      </c>
      <c r="X74" s="431">
        <v>274785</v>
      </c>
      <c r="Y74" s="431">
        <v>99805</v>
      </c>
      <c r="Z74" s="431">
        <v>823991</v>
      </c>
      <c r="AA74" s="431">
        <v>0</v>
      </c>
      <c r="AB74" s="431">
        <v>0</v>
      </c>
      <c r="AC74" s="431">
        <v>781490</v>
      </c>
      <c r="AD74" s="431">
        <v>202011</v>
      </c>
      <c r="AE74" s="431">
        <v>3145351</v>
      </c>
      <c r="AF74" s="431">
        <v>0</v>
      </c>
      <c r="AG74" s="431">
        <v>69769</v>
      </c>
      <c r="AH74" s="431">
        <v>617276</v>
      </c>
      <c r="AI74" s="431">
        <v>194315</v>
      </c>
      <c r="AJ74" s="431">
        <v>82707</v>
      </c>
      <c r="AK74" s="431">
        <v>0</v>
      </c>
      <c r="AL74" s="431">
        <v>1057686</v>
      </c>
      <c r="AM74" s="431">
        <v>0</v>
      </c>
    </row>
    <row r="75" spans="1:39" s="155" customFormat="1" ht="12" x14ac:dyDescent="0.2">
      <c r="A75" s="168">
        <v>21</v>
      </c>
      <c r="B75" s="196">
        <v>76255</v>
      </c>
      <c r="C75" s="163" t="s">
        <v>667</v>
      </c>
      <c r="D75" s="432">
        <f t="shared" si="8"/>
        <v>6557646</v>
      </c>
      <c r="E75" s="431">
        <v>1789596</v>
      </c>
      <c r="F75" s="431">
        <v>216232</v>
      </c>
      <c r="G75" s="431">
        <v>919436</v>
      </c>
      <c r="H75" s="431">
        <v>0</v>
      </c>
      <c r="I75" s="431">
        <v>2179408</v>
      </c>
      <c r="J75" s="431">
        <v>23600</v>
      </c>
      <c r="K75" s="431">
        <v>1145640</v>
      </c>
      <c r="L75" s="434"/>
      <c r="M75" s="431">
        <v>1366272</v>
      </c>
      <c r="N75" s="431">
        <v>0</v>
      </c>
      <c r="O75" s="431">
        <v>53130</v>
      </c>
      <c r="P75" s="432">
        <f t="shared" si="2"/>
        <v>6107936</v>
      </c>
      <c r="Q75" s="431">
        <v>2354014</v>
      </c>
      <c r="R75" s="431">
        <v>736321</v>
      </c>
      <c r="S75" s="431">
        <v>0</v>
      </c>
      <c r="T75" s="431">
        <v>0</v>
      </c>
      <c r="U75" s="431">
        <v>0</v>
      </c>
      <c r="V75" s="431">
        <v>0</v>
      </c>
      <c r="W75" s="431">
        <v>0</v>
      </c>
      <c r="X75" s="431">
        <v>369252</v>
      </c>
      <c r="Y75" s="431">
        <v>110000</v>
      </c>
      <c r="Z75" s="431">
        <v>2568349</v>
      </c>
      <c r="AA75" s="431">
        <v>0</v>
      </c>
      <c r="AB75" s="431">
        <v>-30000</v>
      </c>
      <c r="AC75" s="431">
        <v>731534</v>
      </c>
      <c r="AD75" s="431">
        <v>118306</v>
      </c>
      <c r="AE75" s="431">
        <v>1955959</v>
      </c>
      <c r="AF75" s="431">
        <v>18722</v>
      </c>
      <c r="AG75" s="431">
        <v>142914</v>
      </c>
      <c r="AH75" s="431">
        <v>546846</v>
      </c>
      <c r="AI75" s="431">
        <v>178884</v>
      </c>
      <c r="AJ75" s="431">
        <v>32412</v>
      </c>
      <c r="AK75" s="431">
        <v>0</v>
      </c>
      <c r="AL75" s="431">
        <v>2382359</v>
      </c>
      <c r="AM75" s="431">
        <v>0</v>
      </c>
    </row>
    <row r="76" spans="1:39" s="155" customFormat="1" ht="12" x14ac:dyDescent="0.2">
      <c r="A76" s="168">
        <v>22</v>
      </c>
      <c r="B76" s="196">
        <v>76282</v>
      </c>
      <c r="C76" s="163" t="s">
        <v>668</v>
      </c>
      <c r="D76" s="432">
        <f t="shared" si="8"/>
        <v>5357672</v>
      </c>
      <c r="E76" s="431">
        <v>1492323</v>
      </c>
      <c r="F76" s="431">
        <v>457131</v>
      </c>
      <c r="G76" s="431">
        <v>473170</v>
      </c>
      <c r="H76" s="431">
        <v>0</v>
      </c>
      <c r="I76" s="431">
        <v>1408264</v>
      </c>
      <c r="J76" s="431">
        <v>297300</v>
      </c>
      <c r="K76" s="431">
        <v>523640</v>
      </c>
      <c r="L76" s="434"/>
      <c r="M76" s="431">
        <v>1609145</v>
      </c>
      <c r="N76" s="431">
        <v>0</v>
      </c>
      <c r="O76" s="431">
        <v>27000</v>
      </c>
      <c r="P76" s="432">
        <f t="shared" si="2"/>
        <v>4484550</v>
      </c>
      <c r="Q76" s="431">
        <v>1504086</v>
      </c>
      <c r="R76" s="431">
        <v>1009409</v>
      </c>
      <c r="S76" s="431">
        <v>0</v>
      </c>
      <c r="T76" s="431">
        <v>0</v>
      </c>
      <c r="U76" s="431">
        <v>0</v>
      </c>
      <c r="V76" s="431">
        <v>0</v>
      </c>
      <c r="W76" s="431">
        <v>0</v>
      </c>
      <c r="X76" s="431">
        <v>255995</v>
      </c>
      <c r="Y76" s="431">
        <v>28595</v>
      </c>
      <c r="Z76" s="431">
        <v>1686852</v>
      </c>
      <c r="AA76" s="431">
        <v>0</v>
      </c>
      <c r="AB76" s="431">
        <v>-387</v>
      </c>
      <c r="AC76" s="431">
        <v>555364</v>
      </c>
      <c r="AD76" s="431">
        <v>64042</v>
      </c>
      <c r="AE76" s="431">
        <v>1344954</v>
      </c>
      <c r="AF76" s="431">
        <v>73565</v>
      </c>
      <c r="AG76" s="431">
        <v>75827</v>
      </c>
      <c r="AH76" s="431">
        <v>251248</v>
      </c>
      <c r="AI76" s="431">
        <v>126807</v>
      </c>
      <c r="AJ76" s="431">
        <v>1642212</v>
      </c>
      <c r="AK76" s="431">
        <v>0</v>
      </c>
      <c r="AL76" s="431">
        <v>350531</v>
      </c>
      <c r="AM76" s="431">
        <v>0</v>
      </c>
    </row>
    <row r="77" spans="1:39" s="155" customFormat="1" ht="12" x14ac:dyDescent="0.2">
      <c r="A77" s="168">
        <v>23</v>
      </c>
      <c r="B77" s="196">
        <v>76317</v>
      </c>
      <c r="C77" s="163" t="s">
        <v>669</v>
      </c>
      <c r="D77" s="432">
        <f t="shared" si="8"/>
        <v>7938544</v>
      </c>
      <c r="E77" s="431">
        <v>2554063</v>
      </c>
      <c r="F77" s="431">
        <v>227925</v>
      </c>
      <c r="G77" s="431">
        <v>864705</v>
      </c>
      <c r="H77" s="431">
        <v>0</v>
      </c>
      <c r="I77" s="431">
        <v>1917799</v>
      </c>
      <c r="J77" s="431">
        <v>0</v>
      </c>
      <c r="K77" s="431">
        <v>1163830</v>
      </c>
      <c r="L77" s="434"/>
      <c r="M77" s="431">
        <v>348207</v>
      </c>
      <c r="N77" s="431">
        <v>963957</v>
      </c>
      <c r="O77" s="431">
        <v>990688</v>
      </c>
      <c r="P77" s="432">
        <f t="shared" si="2"/>
        <v>7408103</v>
      </c>
      <c r="Q77" s="431">
        <v>2206980</v>
      </c>
      <c r="R77" s="431">
        <v>1337379</v>
      </c>
      <c r="S77" s="431">
        <v>0</v>
      </c>
      <c r="T77" s="431">
        <v>0</v>
      </c>
      <c r="U77" s="431">
        <v>0</v>
      </c>
      <c r="V77" s="431">
        <v>0</v>
      </c>
      <c r="W77" s="431">
        <v>1852276</v>
      </c>
      <c r="X77" s="431">
        <v>349438</v>
      </c>
      <c r="Y77" s="431">
        <v>70176</v>
      </c>
      <c r="Z77" s="431">
        <v>1593560</v>
      </c>
      <c r="AA77" s="431">
        <v>0</v>
      </c>
      <c r="AB77" s="431">
        <v>-1706</v>
      </c>
      <c r="AC77" s="431">
        <v>827691</v>
      </c>
      <c r="AD77" s="431">
        <v>116161</v>
      </c>
      <c r="AE77" s="431">
        <v>1793925</v>
      </c>
      <c r="AF77" s="431">
        <v>23282</v>
      </c>
      <c r="AG77" s="431">
        <v>1948560</v>
      </c>
      <c r="AH77" s="431">
        <v>421478</v>
      </c>
      <c r="AI77" s="431">
        <v>532291</v>
      </c>
      <c r="AJ77" s="431">
        <v>1108108</v>
      </c>
      <c r="AK77" s="431">
        <v>0</v>
      </c>
      <c r="AL77" s="431">
        <v>604248</v>
      </c>
      <c r="AM77" s="431">
        <v>32359</v>
      </c>
    </row>
    <row r="78" spans="1:39" s="155" customFormat="1" ht="12" x14ac:dyDescent="0.2">
      <c r="A78" s="168">
        <v>24</v>
      </c>
      <c r="B78" s="196">
        <v>76353</v>
      </c>
      <c r="C78" s="163" t="s">
        <v>670</v>
      </c>
      <c r="D78" s="432">
        <f t="shared" si="8"/>
        <v>8811874</v>
      </c>
      <c r="E78" s="431">
        <v>1680209</v>
      </c>
      <c r="F78" s="431">
        <v>131354</v>
      </c>
      <c r="G78" s="431">
        <v>762420</v>
      </c>
      <c r="H78" s="431">
        <v>0</v>
      </c>
      <c r="I78" s="431">
        <v>1764495</v>
      </c>
      <c r="J78" s="431">
        <v>235900</v>
      </c>
      <c r="K78" s="431">
        <v>783330</v>
      </c>
      <c r="L78" s="434"/>
      <c r="M78" s="431">
        <v>2209541</v>
      </c>
      <c r="N78" s="431">
        <v>2113259</v>
      </c>
      <c r="O78" s="431">
        <v>25140</v>
      </c>
      <c r="P78" s="432">
        <f t="shared" si="2"/>
        <v>7026555</v>
      </c>
      <c r="Q78" s="431">
        <v>2125383</v>
      </c>
      <c r="R78" s="431">
        <v>1262189</v>
      </c>
      <c r="S78" s="431">
        <v>0</v>
      </c>
      <c r="T78" s="431">
        <v>0</v>
      </c>
      <c r="U78" s="431">
        <v>0</v>
      </c>
      <c r="V78" s="431">
        <v>0</v>
      </c>
      <c r="W78" s="431">
        <v>850044</v>
      </c>
      <c r="X78" s="431">
        <v>256467</v>
      </c>
      <c r="Y78" s="431">
        <v>31000</v>
      </c>
      <c r="Z78" s="431">
        <v>2511400</v>
      </c>
      <c r="AA78" s="431">
        <v>0</v>
      </c>
      <c r="AB78" s="431">
        <v>-9928</v>
      </c>
      <c r="AC78" s="431">
        <v>934850</v>
      </c>
      <c r="AD78" s="431">
        <v>107563</v>
      </c>
      <c r="AE78" s="431">
        <v>1489457</v>
      </c>
      <c r="AF78" s="431">
        <v>0</v>
      </c>
      <c r="AG78" s="431">
        <v>779399</v>
      </c>
      <c r="AH78" s="431">
        <v>424330</v>
      </c>
      <c r="AI78" s="431">
        <v>677360</v>
      </c>
      <c r="AJ78" s="431">
        <v>101648</v>
      </c>
      <c r="AK78" s="431">
        <v>0</v>
      </c>
      <c r="AL78" s="431">
        <v>2511948</v>
      </c>
      <c r="AM78" s="431">
        <v>0</v>
      </c>
    </row>
    <row r="79" spans="1:39" s="155" customFormat="1" ht="12" x14ac:dyDescent="0.2">
      <c r="A79" s="168">
        <v>25</v>
      </c>
      <c r="B79" s="196">
        <v>76406</v>
      </c>
      <c r="C79" s="163" t="s">
        <v>671</v>
      </c>
      <c r="D79" s="432">
        <f t="shared" si="8"/>
        <v>9345158</v>
      </c>
      <c r="E79" s="431">
        <v>2148777</v>
      </c>
      <c r="F79" s="431">
        <v>290988</v>
      </c>
      <c r="G79" s="431">
        <v>865842</v>
      </c>
      <c r="H79" s="431">
        <v>0</v>
      </c>
      <c r="I79" s="431">
        <v>3384402</v>
      </c>
      <c r="J79" s="431">
        <v>276780</v>
      </c>
      <c r="K79" s="431">
        <v>2240440</v>
      </c>
      <c r="L79" s="434"/>
      <c r="M79" s="431">
        <v>153895</v>
      </c>
      <c r="N79" s="431">
        <v>0</v>
      </c>
      <c r="O79" s="431">
        <v>1140864</v>
      </c>
      <c r="P79" s="432">
        <f t="shared" ref="P79:P142" si="11">IF(SUM(Q79:AB79)=SUM(AC79:AM79),SUM(Q79:AB79),"  EROARE ART/CAP")</f>
        <v>8853679</v>
      </c>
      <c r="Q79" s="431">
        <v>3886189</v>
      </c>
      <c r="R79" s="431">
        <v>1953837</v>
      </c>
      <c r="S79" s="431">
        <v>0</v>
      </c>
      <c r="T79" s="431">
        <v>0</v>
      </c>
      <c r="U79" s="431">
        <v>0</v>
      </c>
      <c r="V79" s="431">
        <v>1000</v>
      </c>
      <c r="W79" s="431">
        <v>0</v>
      </c>
      <c r="X79" s="431">
        <v>392350</v>
      </c>
      <c r="Y79" s="431">
        <v>208969</v>
      </c>
      <c r="Z79" s="431">
        <v>2411334</v>
      </c>
      <c r="AA79" s="431">
        <v>0</v>
      </c>
      <c r="AB79" s="431">
        <v>0</v>
      </c>
      <c r="AC79" s="431">
        <v>790123</v>
      </c>
      <c r="AD79" s="431">
        <v>278486</v>
      </c>
      <c r="AE79" s="431">
        <v>3363045</v>
      </c>
      <c r="AF79" s="431">
        <v>46738</v>
      </c>
      <c r="AG79" s="431">
        <v>241622</v>
      </c>
      <c r="AH79" s="431">
        <v>872894</v>
      </c>
      <c r="AI79" s="431">
        <v>447952</v>
      </c>
      <c r="AJ79" s="431">
        <v>2118468</v>
      </c>
      <c r="AK79" s="431">
        <v>0</v>
      </c>
      <c r="AL79" s="431">
        <v>689541</v>
      </c>
      <c r="AM79" s="431">
        <v>4810</v>
      </c>
    </row>
    <row r="80" spans="1:39" s="155" customFormat="1" ht="12" x14ac:dyDescent="0.2">
      <c r="A80" s="168">
        <v>26</v>
      </c>
      <c r="B80" s="196">
        <v>76497</v>
      </c>
      <c r="C80" s="163" t="s">
        <v>672</v>
      </c>
      <c r="D80" s="432">
        <f t="shared" si="8"/>
        <v>6025652</v>
      </c>
      <c r="E80" s="431">
        <v>1508444</v>
      </c>
      <c r="F80" s="431">
        <v>177604</v>
      </c>
      <c r="G80" s="431">
        <v>831412</v>
      </c>
      <c r="H80" s="431">
        <v>0</v>
      </c>
      <c r="I80" s="431">
        <v>1957530</v>
      </c>
      <c r="J80" s="431">
        <v>237200</v>
      </c>
      <c r="K80" s="431">
        <v>630080</v>
      </c>
      <c r="L80" s="434"/>
      <c r="M80" s="431">
        <v>1320360</v>
      </c>
      <c r="N80" s="431">
        <v>341384</v>
      </c>
      <c r="O80" s="431">
        <v>30654</v>
      </c>
      <c r="P80" s="432">
        <f t="shared" si="11"/>
        <v>6642735</v>
      </c>
      <c r="Q80" s="431">
        <v>2252805</v>
      </c>
      <c r="R80" s="431">
        <v>1196784</v>
      </c>
      <c r="S80" s="431">
        <v>10905</v>
      </c>
      <c r="T80" s="431">
        <v>0</v>
      </c>
      <c r="U80" s="431">
        <v>0</v>
      </c>
      <c r="V80" s="431">
        <v>0</v>
      </c>
      <c r="W80" s="431">
        <v>0</v>
      </c>
      <c r="X80" s="431">
        <v>299536</v>
      </c>
      <c r="Y80" s="431">
        <v>0</v>
      </c>
      <c r="Z80" s="431">
        <v>2537825</v>
      </c>
      <c r="AA80" s="431">
        <v>344880</v>
      </c>
      <c r="AB80" s="431">
        <v>0</v>
      </c>
      <c r="AC80" s="431">
        <v>788384</v>
      </c>
      <c r="AD80" s="431">
        <v>43482</v>
      </c>
      <c r="AE80" s="431">
        <v>1681534</v>
      </c>
      <c r="AF80" s="431">
        <v>0</v>
      </c>
      <c r="AG80" s="431">
        <v>45269</v>
      </c>
      <c r="AH80" s="431">
        <v>424314</v>
      </c>
      <c r="AI80" s="431">
        <v>812595</v>
      </c>
      <c r="AJ80" s="431">
        <v>24030</v>
      </c>
      <c r="AK80" s="431">
        <v>0</v>
      </c>
      <c r="AL80" s="431">
        <v>2823127</v>
      </c>
      <c r="AM80" s="431">
        <v>0</v>
      </c>
    </row>
    <row r="81" spans="1:39" s="155" customFormat="1" ht="12" x14ac:dyDescent="0.2">
      <c r="A81" s="168">
        <v>27</v>
      </c>
      <c r="B81" s="196">
        <v>76558</v>
      </c>
      <c r="C81" s="163" t="s">
        <v>673</v>
      </c>
      <c r="D81" s="432">
        <f t="shared" si="8"/>
        <v>5299503</v>
      </c>
      <c r="E81" s="431">
        <v>1741775</v>
      </c>
      <c r="F81" s="431">
        <v>126005</v>
      </c>
      <c r="G81" s="431">
        <v>742730</v>
      </c>
      <c r="H81" s="431">
        <v>0</v>
      </c>
      <c r="I81" s="431">
        <v>1602418</v>
      </c>
      <c r="J81" s="431">
        <v>0</v>
      </c>
      <c r="K81" s="431">
        <v>860610</v>
      </c>
      <c r="L81" s="434"/>
      <c r="M81" s="431">
        <v>1071066</v>
      </c>
      <c r="N81" s="431">
        <v>0</v>
      </c>
      <c r="O81" s="431">
        <v>23634</v>
      </c>
      <c r="P81" s="432">
        <f t="shared" si="11"/>
        <v>5106572</v>
      </c>
      <c r="Q81" s="431">
        <v>1810039</v>
      </c>
      <c r="R81" s="431">
        <v>1227474</v>
      </c>
      <c r="S81" s="431">
        <v>0</v>
      </c>
      <c r="T81" s="431">
        <v>0</v>
      </c>
      <c r="U81" s="431">
        <v>0</v>
      </c>
      <c r="V81" s="431">
        <v>0</v>
      </c>
      <c r="W81" s="431">
        <v>0</v>
      </c>
      <c r="X81" s="431">
        <v>259734</v>
      </c>
      <c r="Y81" s="431">
        <v>42000</v>
      </c>
      <c r="Z81" s="431">
        <v>1777038</v>
      </c>
      <c r="AA81" s="431">
        <v>0</v>
      </c>
      <c r="AB81" s="431">
        <v>-9713</v>
      </c>
      <c r="AC81" s="431">
        <v>829942</v>
      </c>
      <c r="AD81" s="431">
        <v>49146</v>
      </c>
      <c r="AE81" s="431">
        <v>1484048</v>
      </c>
      <c r="AF81" s="431">
        <v>0</v>
      </c>
      <c r="AG81" s="431">
        <v>60447</v>
      </c>
      <c r="AH81" s="431">
        <v>410359</v>
      </c>
      <c r="AI81" s="431">
        <v>580440</v>
      </c>
      <c r="AJ81" s="431">
        <v>56153</v>
      </c>
      <c r="AK81" s="431">
        <v>0</v>
      </c>
      <c r="AL81" s="431">
        <v>1593896</v>
      </c>
      <c r="AM81" s="431">
        <v>42141</v>
      </c>
    </row>
    <row r="82" spans="1:39" s="155" customFormat="1" ht="12" x14ac:dyDescent="0.2">
      <c r="A82" s="168">
        <v>28</v>
      </c>
      <c r="B82" s="196">
        <v>76585</v>
      </c>
      <c r="C82" s="163" t="s">
        <v>674</v>
      </c>
      <c r="D82" s="432">
        <f t="shared" si="8"/>
        <v>12168905</v>
      </c>
      <c r="E82" s="431">
        <v>2144316</v>
      </c>
      <c r="F82" s="431">
        <v>463902</v>
      </c>
      <c r="G82" s="431">
        <v>438797</v>
      </c>
      <c r="H82" s="431">
        <v>0</v>
      </c>
      <c r="I82" s="431">
        <v>2091011</v>
      </c>
      <c r="J82" s="431">
        <v>97500</v>
      </c>
      <c r="K82" s="431">
        <v>1007180</v>
      </c>
      <c r="L82" s="434"/>
      <c r="M82" s="431">
        <v>6746880</v>
      </c>
      <c r="N82" s="431">
        <v>0</v>
      </c>
      <c r="O82" s="431">
        <v>82018</v>
      </c>
      <c r="P82" s="432">
        <f t="shared" si="11"/>
        <v>12183109</v>
      </c>
      <c r="Q82" s="431">
        <v>2454651</v>
      </c>
      <c r="R82" s="431">
        <v>1850562</v>
      </c>
      <c r="S82" s="431">
        <v>0</v>
      </c>
      <c r="T82" s="431">
        <v>0</v>
      </c>
      <c r="U82" s="431">
        <v>0</v>
      </c>
      <c r="V82" s="431">
        <v>0</v>
      </c>
      <c r="W82" s="431">
        <v>0</v>
      </c>
      <c r="X82" s="431">
        <v>206709</v>
      </c>
      <c r="Y82" s="431">
        <v>56880</v>
      </c>
      <c r="Z82" s="431">
        <v>7614307</v>
      </c>
      <c r="AA82" s="431">
        <v>0</v>
      </c>
      <c r="AB82" s="431">
        <v>0</v>
      </c>
      <c r="AC82" s="431">
        <v>1013244</v>
      </c>
      <c r="AD82" s="431">
        <v>142732</v>
      </c>
      <c r="AE82" s="431">
        <v>2064366</v>
      </c>
      <c r="AF82" s="431">
        <v>0</v>
      </c>
      <c r="AG82" s="431">
        <v>155811</v>
      </c>
      <c r="AH82" s="431">
        <v>408801</v>
      </c>
      <c r="AI82" s="431">
        <v>592835</v>
      </c>
      <c r="AJ82" s="431">
        <v>7404409</v>
      </c>
      <c r="AK82" s="431">
        <v>0</v>
      </c>
      <c r="AL82" s="431">
        <v>400911</v>
      </c>
      <c r="AM82" s="431">
        <v>0</v>
      </c>
    </row>
    <row r="83" spans="1:39" s="155" customFormat="1" ht="12" x14ac:dyDescent="0.2">
      <c r="A83" s="168">
        <v>29</v>
      </c>
      <c r="B83" s="196">
        <v>76601</v>
      </c>
      <c r="C83" s="163" t="s">
        <v>675</v>
      </c>
      <c r="D83" s="432">
        <f t="shared" si="8"/>
        <v>13314039</v>
      </c>
      <c r="E83" s="431">
        <v>2720429</v>
      </c>
      <c r="F83" s="431">
        <v>529202</v>
      </c>
      <c r="G83" s="431">
        <v>660943</v>
      </c>
      <c r="H83" s="431">
        <v>0</v>
      </c>
      <c r="I83" s="431">
        <v>4088141</v>
      </c>
      <c r="J83" s="431">
        <v>0</v>
      </c>
      <c r="K83" s="431">
        <v>1665270</v>
      </c>
      <c r="L83" s="434"/>
      <c r="M83" s="431">
        <v>2301077</v>
      </c>
      <c r="N83" s="431">
        <v>2484966</v>
      </c>
      <c r="O83" s="431">
        <v>54156</v>
      </c>
      <c r="P83" s="432">
        <f t="shared" si="11"/>
        <v>11145192</v>
      </c>
      <c r="Q83" s="431">
        <v>4292801</v>
      </c>
      <c r="R83" s="431">
        <v>1268848</v>
      </c>
      <c r="S83" s="431">
        <v>0</v>
      </c>
      <c r="T83" s="431">
        <v>0</v>
      </c>
      <c r="U83" s="431">
        <v>0</v>
      </c>
      <c r="V83" s="431">
        <v>7737</v>
      </c>
      <c r="W83" s="431">
        <v>177692</v>
      </c>
      <c r="X83" s="431">
        <v>380399</v>
      </c>
      <c r="Y83" s="431">
        <v>232267</v>
      </c>
      <c r="Z83" s="431">
        <v>4799548</v>
      </c>
      <c r="AA83" s="431">
        <v>0</v>
      </c>
      <c r="AB83" s="431">
        <v>-14100</v>
      </c>
      <c r="AC83" s="431">
        <v>649297</v>
      </c>
      <c r="AD83" s="431">
        <v>240319</v>
      </c>
      <c r="AE83" s="431">
        <v>4462784</v>
      </c>
      <c r="AF83" s="431">
        <v>16026</v>
      </c>
      <c r="AG83" s="431">
        <v>648420</v>
      </c>
      <c r="AH83" s="431">
        <v>599673</v>
      </c>
      <c r="AI83" s="431">
        <v>260848</v>
      </c>
      <c r="AJ83" s="431">
        <v>237371</v>
      </c>
      <c r="AK83" s="431">
        <v>0</v>
      </c>
      <c r="AL83" s="431">
        <v>4030454</v>
      </c>
      <c r="AM83" s="431">
        <v>0</v>
      </c>
    </row>
    <row r="84" spans="1:39" s="155" customFormat="1" ht="12" x14ac:dyDescent="0.2">
      <c r="A84" s="168">
        <v>30</v>
      </c>
      <c r="B84" s="196">
        <v>76638</v>
      </c>
      <c r="C84" s="163" t="s">
        <v>676</v>
      </c>
      <c r="D84" s="432">
        <f t="shared" si="8"/>
        <v>6869714</v>
      </c>
      <c r="E84" s="431">
        <v>1145903</v>
      </c>
      <c r="F84" s="431">
        <v>102196</v>
      </c>
      <c r="G84" s="431">
        <v>674509</v>
      </c>
      <c r="H84" s="431">
        <v>0</v>
      </c>
      <c r="I84" s="431">
        <v>858618</v>
      </c>
      <c r="J84" s="431">
        <v>370300</v>
      </c>
      <c r="K84" s="431">
        <v>285630</v>
      </c>
      <c r="L84" s="434"/>
      <c r="M84" s="431">
        <v>3877773</v>
      </c>
      <c r="N84" s="431">
        <v>290558</v>
      </c>
      <c r="O84" s="431">
        <v>40932</v>
      </c>
      <c r="P84" s="432">
        <f t="shared" si="11"/>
        <v>6371950</v>
      </c>
      <c r="Q84" s="431">
        <v>1019138</v>
      </c>
      <c r="R84" s="431">
        <v>572965</v>
      </c>
      <c r="S84" s="431">
        <v>0</v>
      </c>
      <c r="T84" s="431">
        <v>0</v>
      </c>
      <c r="U84" s="431">
        <v>0</v>
      </c>
      <c r="V84" s="431">
        <v>0</v>
      </c>
      <c r="W84" s="431">
        <v>0</v>
      </c>
      <c r="X84" s="431">
        <v>139788</v>
      </c>
      <c r="Y84" s="431">
        <v>0</v>
      </c>
      <c r="Z84" s="431">
        <v>4640059</v>
      </c>
      <c r="AA84" s="431">
        <v>0</v>
      </c>
      <c r="AB84" s="431">
        <v>0</v>
      </c>
      <c r="AC84" s="431">
        <v>511028</v>
      </c>
      <c r="AD84" s="431">
        <v>97258</v>
      </c>
      <c r="AE84" s="431">
        <v>869031</v>
      </c>
      <c r="AF84" s="431">
        <v>0</v>
      </c>
      <c r="AG84" s="431">
        <v>138505</v>
      </c>
      <c r="AH84" s="431">
        <v>199829</v>
      </c>
      <c r="AI84" s="431">
        <v>1721013</v>
      </c>
      <c r="AJ84" s="431">
        <v>33958</v>
      </c>
      <c r="AK84" s="431">
        <v>0</v>
      </c>
      <c r="AL84" s="431">
        <v>2800504</v>
      </c>
      <c r="AM84" s="431">
        <v>824</v>
      </c>
    </row>
    <row r="85" spans="1:39" s="155" customFormat="1" ht="12" x14ac:dyDescent="0.2">
      <c r="A85" s="168">
        <v>31</v>
      </c>
      <c r="B85" s="196">
        <v>76674</v>
      </c>
      <c r="C85" s="163" t="s">
        <v>677</v>
      </c>
      <c r="D85" s="432">
        <f t="shared" si="8"/>
        <v>11326086</v>
      </c>
      <c r="E85" s="431">
        <v>3375818</v>
      </c>
      <c r="F85" s="431">
        <v>874650</v>
      </c>
      <c r="G85" s="431">
        <v>797686</v>
      </c>
      <c r="H85" s="431">
        <v>0</v>
      </c>
      <c r="I85" s="431">
        <v>4110002</v>
      </c>
      <c r="J85" s="431">
        <v>0</v>
      </c>
      <c r="K85" s="431">
        <v>1948510</v>
      </c>
      <c r="L85" s="434"/>
      <c r="M85" s="431">
        <v>397437</v>
      </c>
      <c r="N85" s="431">
        <v>1441627</v>
      </c>
      <c r="O85" s="431">
        <v>52692</v>
      </c>
      <c r="P85" s="432">
        <f t="shared" si="11"/>
        <v>12096435</v>
      </c>
      <c r="Q85" s="431">
        <v>4372971</v>
      </c>
      <c r="R85" s="431">
        <v>1847410</v>
      </c>
      <c r="S85" s="431">
        <v>0</v>
      </c>
      <c r="T85" s="431">
        <v>0</v>
      </c>
      <c r="U85" s="431">
        <v>0</v>
      </c>
      <c r="V85" s="431">
        <v>103740</v>
      </c>
      <c r="W85" s="431">
        <v>1986911</v>
      </c>
      <c r="X85" s="431">
        <v>416699</v>
      </c>
      <c r="Y85" s="431">
        <v>293790</v>
      </c>
      <c r="Z85" s="431">
        <v>3081556</v>
      </c>
      <c r="AA85" s="431">
        <v>0</v>
      </c>
      <c r="AB85" s="431">
        <v>-6642</v>
      </c>
      <c r="AC85" s="431">
        <v>920185</v>
      </c>
      <c r="AD85" s="431">
        <v>49483</v>
      </c>
      <c r="AE85" s="431">
        <v>4728995</v>
      </c>
      <c r="AF85" s="431">
        <v>0</v>
      </c>
      <c r="AG85" s="431">
        <v>555847</v>
      </c>
      <c r="AH85" s="431">
        <v>727666</v>
      </c>
      <c r="AI85" s="431">
        <v>1709850</v>
      </c>
      <c r="AJ85" s="431">
        <v>479750</v>
      </c>
      <c r="AK85" s="431">
        <v>0</v>
      </c>
      <c r="AL85" s="431">
        <v>2924659</v>
      </c>
      <c r="AM85" s="431">
        <v>0</v>
      </c>
    </row>
    <row r="86" spans="1:39" s="155" customFormat="1" ht="12" x14ac:dyDescent="0.2">
      <c r="A86" s="168">
        <v>32</v>
      </c>
      <c r="B86" s="196">
        <v>76692</v>
      </c>
      <c r="C86" s="163" t="s">
        <v>678</v>
      </c>
      <c r="D86" s="432">
        <f t="shared" si="8"/>
        <v>12203551</v>
      </c>
      <c r="E86" s="431">
        <v>4456308</v>
      </c>
      <c r="F86" s="431">
        <v>1158554</v>
      </c>
      <c r="G86" s="431">
        <v>923372</v>
      </c>
      <c r="H86" s="431">
        <v>0</v>
      </c>
      <c r="I86" s="431">
        <v>5161306</v>
      </c>
      <c r="J86" s="431">
        <v>0</v>
      </c>
      <c r="K86" s="431">
        <v>2270390</v>
      </c>
      <c r="L86" s="434"/>
      <c r="M86" s="431">
        <v>263929</v>
      </c>
      <c r="N86" s="431">
        <v>0</v>
      </c>
      <c r="O86" s="431">
        <v>51618</v>
      </c>
      <c r="P86" s="432">
        <f t="shared" si="11"/>
        <v>11091612</v>
      </c>
      <c r="Q86" s="431">
        <v>5879093</v>
      </c>
      <c r="R86" s="431">
        <v>1847723</v>
      </c>
      <c r="S86" s="431">
        <v>15302</v>
      </c>
      <c r="T86" s="431">
        <v>0</v>
      </c>
      <c r="U86" s="431">
        <v>0</v>
      </c>
      <c r="V86" s="431">
        <v>0</v>
      </c>
      <c r="W86" s="431">
        <v>0</v>
      </c>
      <c r="X86" s="431">
        <v>469330</v>
      </c>
      <c r="Y86" s="431">
        <v>447923</v>
      </c>
      <c r="Z86" s="431">
        <v>2438277</v>
      </c>
      <c r="AA86" s="431">
        <v>0</v>
      </c>
      <c r="AB86" s="431">
        <v>-6036</v>
      </c>
      <c r="AC86" s="431">
        <v>1761775</v>
      </c>
      <c r="AD86" s="431">
        <v>183344</v>
      </c>
      <c r="AE86" s="431">
        <v>4813719</v>
      </c>
      <c r="AF86" s="431">
        <v>57559</v>
      </c>
      <c r="AG86" s="431">
        <v>630983</v>
      </c>
      <c r="AH86" s="431">
        <v>1455963</v>
      </c>
      <c r="AI86" s="431">
        <v>789108</v>
      </c>
      <c r="AJ86" s="431">
        <v>176259</v>
      </c>
      <c r="AK86" s="431">
        <v>0</v>
      </c>
      <c r="AL86" s="431">
        <v>1222902</v>
      </c>
      <c r="AM86" s="431">
        <v>0</v>
      </c>
    </row>
    <row r="87" spans="1:39" s="155" customFormat="1" ht="12" x14ac:dyDescent="0.2">
      <c r="A87" s="168">
        <v>33</v>
      </c>
      <c r="B87" s="196">
        <v>76718</v>
      </c>
      <c r="C87" s="163" t="s">
        <v>679</v>
      </c>
      <c r="D87" s="432">
        <f t="shared" si="8"/>
        <v>7700462</v>
      </c>
      <c r="E87" s="431">
        <v>1804903</v>
      </c>
      <c r="F87" s="431">
        <v>174951</v>
      </c>
      <c r="G87" s="431">
        <v>855893</v>
      </c>
      <c r="H87" s="431">
        <v>0</v>
      </c>
      <c r="I87" s="431">
        <v>2435319</v>
      </c>
      <c r="J87" s="431">
        <v>58000</v>
      </c>
      <c r="K87" s="431">
        <v>1090460</v>
      </c>
      <c r="L87" s="434"/>
      <c r="M87" s="431">
        <v>440701</v>
      </c>
      <c r="N87" s="431">
        <v>1832013</v>
      </c>
      <c r="O87" s="431">
        <v>39066</v>
      </c>
      <c r="P87" s="432">
        <f t="shared" si="11"/>
        <v>7725790</v>
      </c>
      <c r="Q87" s="431">
        <v>2683130</v>
      </c>
      <c r="R87" s="431">
        <v>1711545</v>
      </c>
      <c r="S87" s="431">
        <v>80225</v>
      </c>
      <c r="T87" s="431">
        <v>0</v>
      </c>
      <c r="U87" s="431">
        <v>0</v>
      </c>
      <c r="V87" s="431">
        <v>0</v>
      </c>
      <c r="W87" s="431">
        <v>2372073</v>
      </c>
      <c r="X87" s="431">
        <v>276433</v>
      </c>
      <c r="Y87" s="431">
        <v>0</v>
      </c>
      <c r="Z87" s="431">
        <v>364401</v>
      </c>
      <c r="AA87" s="431">
        <v>248998</v>
      </c>
      <c r="AB87" s="431">
        <v>-11015</v>
      </c>
      <c r="AC87" s="431">
        <v>935611</v>
      </c>
      <c r="AD87" s="431">
        <v>104992</v>
      </c>
      <c r="AE87" s="431">
        <v>2376282</v>
      </c>
      <c r="AF87" s="431">
        <v>27458</v>
      </c>
      <c r="AG87" s="431">
        <v>105173</v>
      </c>
      <c r="AH87" s="431">
        <v>493942</v>
      </c>
      <c r="AI87" s="431">
        <v>470436</v>
      </c>
      <c r="AJ87" s="431">
        <v>126126</v>
      </c>
      <c r="AK87" s="431">
        <v>0</v>
      </c>
      <c r="AL87" s="431">
        <v>3085770</v>
      </c>
      <c r="AM87" s="431">
        <v>0</v>
      </c>
    </row>
    <row r="88" spans="1:39" s="155" customFormat="1" ht="12" x14ac:dyDescent="0.2">
      <c r="A88" s="168">
        <v>34</v>
      </c>
      <c r="B88" s="196">
        <v>76745</v>
      </c>
      <c r="C88" s="163" t="s">
        <v>680</v>
      </c>
      <c r="D88" s="432">
        <f t="shared" si="8"/>
        <v>3772140</v>
      </c>
      <c r="E88" s="431">
        <v>1412390</v>
      </c>
      <c r="F88" s="431">
        <v>96305</v>
      </c>
      <c r="G88" s="431">
        <v>876890</v>
      </c>
      <c r="H88" s="431">
        <v>0</v>
      </c>
      <c r="I88" s="431">
        <v>1243450</v>
      </c>
      <c r="J88" s="431">
        <v>198233</v>
      </c>
      <c r="K88" s="431">
        <v>414350</v>
      </c>
      <c r="L88" s="434"/>
      <c r="M88" s="431">
        <v>144962</v>
      </c>
      <c r="N88" s="431">
        <v>334917</v>
      </c>
      <c r="O88" s="431">
        <v>23838</v>
      </c>
      <c r="P88" s="432">
        <f t="shared" si="11"/>
        <v>3292684</v>
      </c>
      <c r="Q88" s="431">
        <v>1721504</v>
      </c>
      <c r="R88" s="431">
        <v>739350</v>
      </c>
      <c r="S88" s="431">
        <v>0</v>
      </c>
      <c r="T88" s="431">
        <v>0</v>
      </c>
      <c r="U88" s="431">
        <v>0</v>
      </c>
      <c r="V88" s="431">
        <v>0</v>
      </c>
      <c r="W88" s="431">
        <v>453001</v>
      </c>
      <c r="X88" s="431">
        <v>133911</v>
      </c>
      <c r="Y88" s="431">
        <v>30000</v>
      </c>
      <c r="Z88" s="431">
        <v>214918</v>
      </c>
      <c r="AA88" s="431">
        <v>0</v>
      </c>
      <c r="AB88" s="431">
        <v>0</v>
      </c>
      <c r="AC88" s="431">
        <v>905252</v>
      </c>
      <c r="AD88" s="431">
        <v>547536</v>
      </c>
      <c r="AE88" s="431">
        <v>1011985</v>
      </c>
      <c r="AF88" s="431">
        <v>66018</v>
      </c>
      <c r="AG88" s="431">
        <v>88621</v>
      </c>
      <c r="AH88" s="431">
        <v>331655</v>
      </c>
      <c r="AI88" s="431">
        <v>214571</v>
      </c>
      <c r="AJ88" s="431">
        <v>23255</v>
      </c>
      <c r="AK88" s="431">
        <v>0</v>
      </c>
      <c r="AL88" s="431">
        <v>87135</v>
      </c>
      <c r="AM88" s="431">
        <v>16656</v>
      </c>
    </row>
    <row r="89" spans="1:39" s="155" customFormat="1" ht="12" x14ac:dyDescent="0.2">
      <c r="A89" s="168">
        <v>35</v>
      </c>
      <c r="B89" s="196">
        <v>75258</v>
      </c>
      <c r="C89" s="163" t="s">
        <v>681</v>
      </c>
      <c r="D89" s="432">
        <f t="shared" si="8"/>
        <v>11600748</v>
      </c>
      <c r="E89" s="431">
        <v>3821347</v>
      </c>
      <c r="F89" s="431">
        <v>447806</v>
      </c>
      <c r="G89" s="431">
        <v>744675</v>
      </c>
      <c r="H89" s="431">
        <v>0</v>
      </c>
      <c r="I89" s="431">
        <v>2837707</v>
      </c>
      <c r="J89" s="431">
        <v>243800</v>
      </c>
      <c r="K89" s="431">
        <v>1432310</v>
      </c>
      <c r="L89" s="434"/>
      <c r="M89" s="431">
        <v>1272069</v>
      </c>
      <c r="N89" s="431">
        <v>1935267</v>
      </c>
      <c r="O89" s="431">
        <v>58248</v>
      </c>
      <c r="P89" s="432">
        <f t="shared" si="11"/>
        <v>10418512</v>
      </c>
      <c r="Q89" s="431">
        <v>4133570</v>
      </c>
      <c r="R89" s="431">
        <v>2005249</v>
      </c>
      <c r="S89" s="431">
        <v>0</v>
      </c>
      <c r="T89" s="431">
        <v>0</v>
      </c>
      <c r="U89" s="431">
        <v>0</v>
      </c>
      <c r="V89" s="431">
        <v>0</v>
      </c>
      <c r="W89" s="431">
        <v>2899899</v>
      </c>
      <c r="X89" s="431">
        <v>719599</v>
      </c>
      <c r="Y89" s="431">
        <v>5000</v>
      </c>
      <c r="Z89" s="431">
        <v>655603</v>
      </c>
      <c r="AA89" s="431">
        <v>0</v>
      </c>
      <c r="AB89" s="431">
        <v>-408</v>
      </c>
      <c r="AC89" s="431">
        <v>2399379</v>
      </c>
      <c r="AD89" s="431">
        <v>3366</v>
      </c>
      <c r="AE89" s="431">
        <v>2929145</v>
      </c>
      <c r="AF89" s="431">
        <v>43274</v>
      </c>
      <c r="AG89" s="431">
        <v>101222</v>
      </c>
      <c r="AH89" s="431">
        <v>713386</v>
      </c>
      <c r="AI89" s="431">
        <v>554975</v>
      </c>
      <c r="AJ89" s="431">
        <v>527216</v>
      </c>
      <c r="AK89" s="431">
        <v>0</v>
      </c>
      <c r="AL89" s="431">
        <v>3146549</v>
      </c>
      <c r="AM89" s="431">
        <v>0</v>
      </c>
    </row>
    <row r="90" spans="1:39" s="155" customFormat="1" ht="12" x14ac:dyDescent="0.2">
      <c r="A90" s="168">
        <v>36</v>
      </c>
      <c r="B90" s="196">
        <v>76763</v>
      </c>
      <c r="C90" s="163" t="s">
        <v>682</v>
      </c>
      <c r="D90" s="432">
        <f t="shared" si="8"/>
        <v>5743737</v>
      </c>
      <c r="E90" s="431">
        <v>1181526</v>
      </c>
      <c r="F90" s="431">
        <v>71590</v>
      </c>
      <c r="G90" s="431">
        <v>691418</v>
      </c>
      <c r="H90" s="431">
        <v>0</v>
      </c>
      <c r="I90" s="431">
        <v>1123067</v>
      </c>
      <c r="J90" s="431">
        <v>109000</v>
      </c>
      <c r="K90" s="431">
        <v>431660</v>
      </c>
      <c r="L90" s="434"/>
      <c r="M90" s="431">
        <v>2850772</v>
      </c>
      <c r="N90" s="431">
        <v>0</v>
      </c>
      <c r="O90" s="431">
        <v>47712</v>
      </c>
      <c r="P90" s="432">
        <f t="shared" si="11"/>
        <v>5131837</v>
      </c>
      <c r="Q90" s="431">
        <v>1379769</v>
      </c>
      <c r="R90" s="431">
        <v>634850</v>
      </c>
      <c r="S90" s="431">
        <v>0</v>
      </c>
      <c r="T90" s="431">
        <v>0</v>
      </c>
      <c r="U90" s="431">
        <v>0</v>
      </c>
      <c r="V90" s="431">
        <v>0</v>
      </c>
      <c r="W90" s="431">
        <v>7561</v>
      </c>
      <c r="X90" s="431">
        <v>218948</v>
      </c>
      <c r="Y90" s="431">
        <v>9000</v>
      </c>
      <c r="Z90" s="431">
        <v>2885194</v>
      </c>
      <c r="AA90" s="431">
        <v>0</v>
      </c>
      <c r="AB90" s="431">
        <v>-3485</v>
      </c>
      <c r="AC90" s="431">
        <v>693313</v>
      </c>
      <c r="AD90" s="431">
        <v>187237</v>
      </c>
      <c r="AE90" s="431">
        <v>967494</v>
      </c>
      <c r="AF90" s="431">
        <v>7274</v>
      </c>
      <c r="AG90" s="431">
        <v>144443</v>
      </c>
      <c r="AH90" s="431">
        <v>293940</v>
      </c>
      <c r="AI90" s="431">
        <v>240691</v>
      </c>
      <c r="AJ90" s="431">
        <v>94177</v>
      </c>
      <c r="AK90" s="431">
        <v>0</v>
      </c>
      <c r="AL90" s="431">
        <v>2503268</v>
      </c>
      <c r="AM90" s="431">
        <v>0</v>
      </c>
    </row>
    <row r="91" spans="1:39" s="155" customFormat="1" ht="12" x14ac:dyDescent="0.2">
      <c r="A91" s="168">
        <v>37</v>
      </c>
      <c r="B91" s="196">
        <v>77579</v>
      </c>
      <c r="C91" s="163" t="s">
        <v>683</v>
      </c>
      <c r="D91" s="432">
        <f t="shared" si="8"/>
        <v>5049224</v>
      </c>
      <c r="E91" s="431">
        <v>1365559</v>
      </c>
      <c r="F91" s="431">
        <v>100377</v>
      </c>
      <c r="G91" s="431">
        <v>817067</v>
      </c>
      <c r="H91" s="431">
        <v>0</v>
      </c>
      <c r="I91" s="431">
        <v>1320137</v>
      </c>
      <c r="J91" s="431">
        <v>195000</v>
      </c>
      <c r="K91" s="431">
        <v>553680</v>
      </c>
      <c r="L91" s="434"/>
      <c r="M91" s="431">
        <v>1588448</v>
      </c>
      <c r="N91" s="431">
        <v>0</v>
      </c>
      <c r="O91" s="431">
        <v>26400</v>
      </c>
      <c r="P91" s="432">
        <f t="shared" si="11"/>
        <v>5075683</v>
      </c>
      <c r="Q91" s="431">
        <v>1703621</v>
      </c>
      <c r="R91" s="431">
        <v>1032686</v>
      </c>
      <c r="S91" s="431">
        <v>0</v>
      </c>
      <c r="T91" s="431">
        <v>0</v>
      </c>
      <c r="U91" s="431">
        <v>0</v>
      </c>
      <c r="V91" s="431">
        <v>0</v>
      </c>
      <c r="W91" s="431">
        <v>0</v>
      </c>
      <c r="X91" s="431">
        <v>206245</v>
      </c>
      <c r="Y91" s="431">
        <v>50652</v>
      </c>
      <c r="Z91" s="431">
        <v>2152084</v>
      </c>
      <c r="AA91" s="431">
        <v>0</v>
      </c>
      <c r="AB91" s="431">
        <v>-69605</v>
      </c>
      <c r="AC91" s="431">
        <v>1232503</v>
      </c>
      <c r="AD91" s="431">
        <v>35431</v>
      </c>
      <c r="AE91" s="431">
        <v>1114677</v>
      </c>
      <c r="AF91" s="431">
        <v>0</v>
      </c>
      <c r="AG91" s="431">
        <v>178108</v>
      </c>
      <c r="AH91" s="431">
        <v>376208</v>
      </c>
      <c r="AI91" s="431">
        <v>24391</v>
      </c>
      <c r="AJ91" s="431">
        <v>33000</v>
      </c>
      <c r="AK91" s="431">
        <v>0</v>
      </c>
      <c r="AL91" s="431">
        <v>1949405</v>
      </c>
      <c r="AM91" s="431">
        <v>131960</v>
      </c>
    </row>
    <row r="92" spans="1:39" s="155" customFormat="1" ht="12" x14ac:dyDescent="0.2">
      <c r="A92" s="168">
        <v>38</v>
      </c>
      <c r="B92" s="196">
        <v>76807</v>
      </c>
      <c r="C92" s="163" t="s">
        <v>684</v>
      </c>
      <c r="D92" s="432">
        <f t="shared" si="8"/>
        <v>10136425</v>
      </c>
      <c r="E92" s="431">
        <v>1985986</v>
      </c>
      <c r="F92" s="431">
        <v>321755</v>
      </c>
      <c r="G92" s="431">
        <v>538545</v>
      </c>
      <c r="H92" s="431">
        <v>0</v>
      </c>
      <c r="I92" s="431">
        <v>2297314</v>
      </c>
      <c r="J92" s="431">
        <v>283000</v>
      </c>
      <c r="K92" s="431">
        <v>726510</v>
      </c>
      <c r="L92" s="434"/>
      <c r="M92" s="431">
        <v>4455965</v>
      </c>
      <c r="N92" s="431">
        <v>375250</v>
      </c>
      <c r="O92" s="431">
        <v>12400</v>
      </c>
      <c r="P92" s="432">
        <f t="shared" si="11"/>
        <v>10905332</v>
      </c>
      <c r="Q92" s="431">
        <v>2473297</v>
      </c>
      <c r="R92" s="431">
        <v>1447835</v>
      </c>
      <c r="S92" s="431">
        <v>0</v>
      </c>
      <c r="T92" s="431">
        <v>0</v>
      </c>
      <c r="U92" s="431">
        <v>0</v>
      </c>
      <c r="V92" s="431">
        <v>0</v>
      </c>
      <c r="W92" s="431">
        <v>553857</v>
      </c>
      <c r="X92" s="431">
        <v>513172</v>
      </c>
      <c r="Y92" s="431">
        <v>125500</v>
      </c>
      <c r="Z92" s="431">
        <v>5792671</v>
      </c>
      <c r="AA92" s="431">
        <v>0</v>
      </c>
      <c r="AB92" s="431">
        <v>-1000</v>
      </c>
      <c r="AC92" s="431">
        <v>1427145</v>
      </c>
      <c r="AD92" s="431">
        <v>62874</v>
      </c>
      <c r="AE92" s="431">
        <v>1641195</v>
      </c>
      <c r="AF92" s="431">
        <v>0</v>
      </c>
      <c r="AG92" s="431">
        <v>346077</v>
      </c>
      <c r="AH92" s="431">
        <v>918602</v>
      </c>
      <c r="AI92" s="431">
        <v>778748</v>
      </c>
      <c r="AJ92" s="431">
        <v>94313</v>
      </c>
      <c r="AK92" s="431">
        <v>0</v>
      </c>
      <c r="AL92" s="431">
        <v>5636378</v>
      </c>
      <c r="AM92" s="431">
        <v>0</v>
      </c>
    </row>
    <row r="93" spans="1:39" s="155" customFormat="1" ht="12" x14ac:dyDescent="0.2">
      <c r="A93" s="168">
        <v>39</v>
      </c>
      <c r="B93" s="196">
        <v>76932</v>
      </c>
      <c r="C93" s="163" t="s">
        <v>685</v>
      </c>
      <c r="D93" s="432">
        <f t="shared" si="8"/>
        <v>2919998</v>
      </c>
      <c r="E93" s="431">
        <v>1531188</v>
      </c>
      <c r="F93" s="431">
        <v>478050</v>
      </c>
      <c r="G93" s="431">
        <v>492260</v>
      </c>
      <c r="H93" s="431">
        <v>0</v>
      </c>
      <c r="I93" s="431">
        <v>731400</v>
      </c>
      <c r="J93" s="431">
        <v>68800</v>
      </c>
      <c r="K93" s="431">
        <v>272180</v>
      </c>
      <c r="L93" s="434"/>
      <c r="M93" s="431">
        <v>82058</v>
      </c>
      <c r="N93" s="431">
        <v>201225</v>
      </c>
      <c r="O93" s="431">
        <v>33147</v>
      </c>
      <c r="P93" s="432">
        <f t="shared" si="11"/>
        <v>2990288</v>
      </c>
      <c r="Q93" s="431">
        <v>1014419</v>
      </c>
      <c r="R93" s="431">
        <v>630973</v>
      </c>
      <c r="S93" s="431">
        <v>0</v>
      </c>
      <c r="T93" s="431">
        <v>0</v>
      </c>
      <c r="U93" s="431">
        <v>0</v>
      </c>
      <c r="V93" s="431">
        <v>0</v>
      </c>
      <c r="W93" s="431">
        <v>176264</v>
      </c>
      <c r="X93" s="431">
        <v>189280</v>
      </c>
      <c r="Y93" s="431">
        <v>0</v>
      </c>
      <c r="Z93" s="431">
        <v>991917</v>
      </c>
      <c r="AA93" s="431">
        <v>0</v>
      </c>
      <c r="AB93" s="431">
        <v>-12565</v>
      </c>
      <c r="AC93" s="431">
        <v>1320883</v>
      </c>
      <c r="AD93" s="431">
        <v>52821</v>
      </c>
      <c r="AE93" s="431">
        <v>624200</v>
      </c>
      <c r="AF93" s="431">
        <v>89900</v>
      </c>
      <c r="AG93" s="431">
        <v>188102</v>
      </c>
      <c r="AH93" s="431">
        <v>304582</v>
      </c>
      <c r="AI93" s="431">
        <v>209360</v>
      </c>
      <c r="AJ93" s="431">
        <v>15872</v>
      </c>
      <c r="AK93" s="431">
        <v>0</v>
      </c>
      <c r="AL93" s="431">
        <v>68800</v>
      </c>
      <c r="AM93" s="431">
        <v>115768</v>
      </c>
    </row>
    <row r="94" spans="1:39" s="155" customFormat="1" ht="12" x14ac:dyDescent="0.2">
      <c r="A94" s="168">
        <v>40</v>
      </c>
      <c r="B94" s="196">
        <v>76969</v>
      </c>
      <c r="C94" s="163" t="s">
        <v>686</v>
      </c>
      <c r="D94" s="432">
        <f t="shared" si="8"/>
        <v>16757543</v>
      </c>
      <c r="E94" s="431">
        <v>4816191</v>
      </c>
      <c r="F94" s="431">
        <v>1018211</v>
      </c>
      <c r="G94" s="431">
        <v>886753</v>
      </c>
      <c r="H94" s="431">
        <v>0</v>
      </c>
      <c r="I94" s="431">
        <v>6813288</v>
      </c>
      <c r="J94" s="431">
        <v>317400</v>
      </c>
      <c r="K94" s="431">
        <v>2073580</v>
      </c>
      <c r="L94" s="434"/>
      <c r="M94" s="431">
        <v>2656072</v>
      </c>
      <c r="N94" s="431">
        <v>0</v>
      </c>
      <c r="O94" s="431">
        <v>81012</v>
      </c>
      <c r="P94" s="432">
        <f t="shared" si="11"/>
        <v>14089540</v>
      </c>
      <c r="Q94" s="431">
        <v>6706803</v>
      </c>
      <c r="R94" s="431">
        <v>2363619</v>
      </c>
      <c r="S94" s="431">
        <v>0</v>
      </c>
      <c r="T94" s="431">
        <v>0</v>
      </c>
      <c r="U94" s="431">
        <v>0</v>
      </c>
      <c r="V94" s="431">
        <v>0</v>
      </c>
      <c r="W94" s="431">
        <v>0</v>
      </c>
      <c r="X94" s="431">
        <v>625522</v>
      </c>
      <c r="Y94" s="431">
        <v>328403</v>
      </c>
      <c r="Z94" s="431">
        <v>4155765</v>
      </c>
      <c r="AA94" s="431">
        <v>0</v>
      </c>
      <c r="AB94" s="431">
        <v>-90572</v>
      </c>
      <c r="AC94" s="431">
        <v>1146350</v>
      </c>
      <c r="AD94" s="431">
        <v>181594</v>
      </c>
      <c r="AE94" s="431">
        <v>7107887</v>
      </c>
      <c r="AF94" s="431">
        <v>966</v>
      </c>
      <c r="AG94" s="431">
        <v>109298</v>
      </c>
      <c r="AH94" s="431">
        <v>1007291</v>
      </c>
      <c r="AI94" s="431">
        <v>1945208</v>
      </c>
      <c r="AJ94" s="431">
        <v>214745</v>
      </c>
      <c r="AK94" s="431">
        <v>0</v>
      </c>
      <c r="AL94" s="431">
        <v>2376201</v>
      </c>
      <c r="AM94" s="431">
        <v>0</v>
      </c>
    </row>
    <row r="95" spans="1:39" s="155" customFormat="1" ht="12" x14ac:dyDescent="0.2">
      <c r="A95" s="168">
        <v>41</v>
      </c>
      <c r="B95" s="196">
        <v>76996</v>
      </c>
      <c r="C95" s="163" t="s">
        <v>687</v>
      </c>
      <c r="D95" s="432">
        <f t="shared" si="8"/>
        <v>7332856</v>
      </c>
      <c r="E95" s="431">
        <v>2194067</v>
      </c>
      <c r="F95" s="431">
        <v>337303</v>
      </c>
      <c r="G95" s="431">
        <v>619956</v>
      </c>
      <c r="H95" s="431">
        <v>0</v>
      </c>
      <c r="I95" s="431">
        <v>1933840</v>
      </c>
      <c r="J95" s="431">
        <v>0</v>
      </c>
      <c r="K95" s="431">
        <v>1244080</v>
      </c>
      <c r="L95" s="431"/>
      <c r="M95" s="431">
        <v>1923621</v>
      </c>
      <c r="N95" s="431">
        <v>0</v>
      </c>
      <c r="O95" s="431">
        <v>37248</v>
      </c>
      <c r="P95" s="432">
        <f t="shared" si="11"/>
        <v>6307761</v>
      </c>
      <c r="Q95" s="431">
        <v>2103257</v>
      </c>
      <c r="R95" s="431">
        <v>1448751</v>
      </c>
      <c r="S95" s="431">
        <v>0</v>
      </c>
      <c r="T95" s="431">
        <v>0</v>
      </c>
      <c r="U95" s="431">
        <v>0</v>
      </c>
      <c r="V95" s="431">
        <v>19112</v>
      </c>
      <c r="W95" s="431">
        <v>0</v>
      </c>
      <c r="X95" s="431">
        <v>349716</v>
      </c>
      <c r="Y95" s="431">
        <v>64054</v>
      </c>
      <c r="Z95" s="431">
        <v>2338124</v>
      </c>
      <c r="AA95" s="431">
        <v>0</v>
      </c>
      <c r="AB95" s="431">
        <v>-15253</v>
      </c>
      <c r="AC95" s="431">
        <v>760551</v>
      </c>
      <c r="AD95" s="431">
        <v>230356</v>
      </c>
      <c r="AE95" s="431">
        <v>1885948</v>
      </c>
      <c r="AF95" s="431">
        <v>0</v>
      </c>
      <c r="AG95" s="431">
        <v>188929</v>
      </c>
      <c r="AH95" s="431">
        <v>499533</v>
      </c>
      <c r="AI95" s="431">
        <v>519959</v>
      </c>
      <c r="AJ95" s="431">
        <v>165145</v>
      </c>
      <c r="AK95" s="431">
        <v>0</v>
      </c>
      <c r="AL95" s="431">
        <v>2025416</v>
      </c>
      <c r="AM95" s="431">
        <v>31924</v>
      </c>
    </row>
    <row r="96" spans="1:39" s="155" customFormat="1" ht="12" x14ac:dyDescent="0.2">
      <c r="A96" s="168">
        <v>42</v>
      </c>
      <c r="B96" s="196">
        <v>77587</v>
      </c>
      <c r="C96" s="163" t="s">
        <v>688</v>
      </c>
      <c r="D96" s="432">
        <f t="shared" si="8"/>
        <v>3472684</v>
      </c>
      <c r="E96" s="431">
        <v>1293796</v>
      </c>
      <c r="F96" s="431">
        <v>57389</v>
      </c>
      <c r="G96" s="431">
        <v>891516</v>
      </c>
      <c r="H96" s="431">
        <v>0</v>
      </c>
      <c r="I96" s="431">
        <v>956573</v>
      </c>
      <c r="J96" s="431">
        <v>199600</v>
      </c>
      <c r="K96" s="431">
        <v>355440</v>
      </c>
      <c r="L96" s="431"/>
      <c r="M96" s="431">
        <v>645063</v>
      </c>
      <c r="N96" s="431">
        <v>0</v>
      </c>
      <c r="O96" s="431">
        <v>22212</v>
      </c>
      <c r="P96" s="432">
        <f t="shared" si="11"/>
        <v>3494508</v>
      </c>
      <c r="Q96" s="431">
        <v>1188727</v>
      </c>
      <c r="R96" s="431">
        <v>775365</v>
      </c>
      <c r="S96" s="431">
        <v>0</v>
      </c>
      <c r="T96" s="431">
        <v>0</v>
      </c>
      <c r="U96" s="431">
        <v>0</v>
      </c>
      <c r="V96" s="431">
        <v>7586</v>
      </c>
      <c r="W96" s="431">
        <v>0</v>
      </c>
      <c r="X96" s="431">
        <v>195275</v>
      </c>
      <c r="Y96" s="431">
        <v>0</v>
      </c>
      <c r="Z96" s="431">
        <v>1327555</v>
      </c>
      <c r="AA96" s="431">
        <v>0</v>
      </c>
      <c r="AB96" s="431">
        <v>0</v>
      </c>
      <c r="AC96" s="431">
        <v>876887</v>
      </c>
      <c r="AD96" s="431">
        <v>75399</v>
      </c>
      <c r="AE96" s="431">
        <v>1069457</v>
      </c>
      <c r="AF96" s="431">
        <v>0</v>
      </c>
      <c r="AG96" s="431">
        <v>24988</v>
      </c>
      <c r="AH96" s="431">
        <v>195275</v>
      </c>
      <c r="AI96" s="431">
        <v>196999</v>
      </c>
      <c r="AJ96" s="431">
        <v>55811</v>
      </c>
      <c r="AK96" s="431">
        <v>0</v>
      </c>
      <c r="AL96" s="431">
        <v>999692</v>
      </c>
      <c r="AM96" s="431">
        <v>0</v>
      </c>
    </row>
    <row r="97" spans="1:39" s="155" customFormat="1" ht="12" x14ac:dyDescent="0.2">
      <c r="A97" s="168">
        <v>43</v>
      </c>
      <c r="B97" s="196">
        <v>77028</v>
      </c>
      <c r="C97" s="163" t="s">
        <v>689</v>
      </c>
      <c r="D97" s="432">
        <f t="shared" si="8"/>
        <v>3356757</v>
      </c>
      <c r="E97" s="431">
        <v>1263816</v>
      </c>
      <c r="F97" s="431">
        <v>75276</v>
      </c>
      <c r="G97" s="431">
        <v>904668</v>
      </c>
      <c r="H97" s="431">
        <v>0</v>
      </c>
      <c r="I97" s="431">
        <v>1137000</v>
      </c>
      <c r="J97" s="431">
        <v>419800</v>
      </c>
      <c r="K97" s="431">
        <v>477450</v>
      </c>
      <c r="L97" s="431"/>
      <c r="M97" s="431">
        <v>25505</v>
      </c>
      <c r="N97" s="431">
        <v>0</v>
      </c>
      <c r="O97" s="431">
        <v>33186</v>
      </c>
      <c r="P97" s="432">
        <f t="shared" si="11"/>
        <v>3029483</v>
      </c>
      <c r="Q97" s="431">
        <v>1349385</v>
      </c>
      <c r="R97" s="431">
        <v>819090</v>
      </c>
      <c r="S97" s="431">
        <v>0</v>
      </c>
      <c r="T97" s="431">
        <v>0</v>
      </c>
      <c r="U97" s="431">
        <v>0</v>
      </c>
      <c r="V97" s="431">
        <v>0</v>
      </c>
      <c r="W97" s="431">
        <v>0</v>
      </c>
      <c r="X97" s="431">
        <v>102828</v>
      </c>
      <c r="Y97" s="431">
        <v>25000</v>
      </c>
      <c r="Z97" s="431">
        <v>733180</v>
      </c>
      <c r="AA97" s="431">
        <v>0</v>
      </c>
      <c r="AB97" s="431">
        <v>0</v>
      </c>
      <c r="AC97" s="431">
        <v>553009</v>
      </c>
      <c r="AD97" s="431">
        <v>98114</v>
      </c>
      <c r="AE97" s="431">
        <v>1045605</v>
      </c>
      <c r="AF97" s="431">
        <v>0</v>
      </c>
      <c r="AG97" s="431">
        <v>48680</v>
      </c>
      <c r="AH97" s="431">
        <v>238532</v>
      </c>
      <c r="AI97" s="431">
        <v>60823</v>
      </c>
      <c r="AJ97" s="431">
        <v>38692</v>
      </c>
      <c r="AK97" s="431">
        <v>0</v>
      </c>
      <c r="AL97" s="431">
        <v>946028</v>
      </c>
      <c r="AM97" s="431">
        <v>0</v>
      </c>
    </row>
    <row r="98" spans="1:39" s="155" customFormat="1" ht="12" x14ac:dyDescent="0.2">
      <c r="A98" s="168">
        <v>44</v>
      </c>
      <c r="B98" s="196">
        <v>77561</v>
      </c>
      <c r="C98" s="163" t="s">
        <v>690</v>
      </c>
      <c r="D98" s="432">
        <f t="shared" si="8"/>
        <v>5780901</v>
      </c>
      <c r="E98" s="431">
        <v>1259720</v>
      </c>
      <c r="F98" s="431">
        <v>73083</v>
      </c>
      <c r="G98" s="431">
        <v>892456</v>
      </c>
      <c r="H98" s="431">
        <v>0</v>
      </c>
      <c r="I98" s="431">
        <v>975654</v>
      </c>
      <c r="J98" s="431">
        <v>0</v>
      </c>
      <c r="K98" s="431">
        <v>439350</v>
      </c>
      <c r="L98" s="431"/>
      <c r="M98" s="431">
        <v>1899078</v>
      </c>
      <c r="N98" s="431">
        <v>0</v>
      </c>
      <c r="O98" s="431">
        <v>1207099</v>
      </c>
      <c r="P98" s="432">
        <f t="shared" si="11"/>
        <v>7342550</v>
      </c>
      <c r="Q98" s="431">
        <v>1242874</v>
      </c>
      <c r="R98" s="431">
        <v>574423</v>
      </c>
      <c r="S98" s="431">
        <v>22977</v>
      </c>
      <c r="T98" s="431">
        <v>0</v>
      </c>
      <c r="U98" s="431">
        <v>0</v>
      </c>
      <c r="V98" s="431">
        <v>6077</v>
      </c>
      <c r="W98" s="431">
        <v>0</v>
      </c>
      <c r="X98" s="431">
        <v>114960</v>
      </c>
      <c r="Y98" s="431">
        <v>15780</v>
      </c>
      <c r="Z98" s="431">
        <v>4970696</v>
      </c>
      <c r="AA98" s="431">
        <v>399840</v>
      </c>
      <c r="AB98" s="431">
        <v>-5077</v>
      </c>
      <c r="AC98" s="431">
        <v>616525</v>
      </c>
      <c r="AD98" s="431">
        <v>14754</v>
      </c>
      <c r="AE98" s="431">
        <v>823812</v>
      </c>
      <c r="AF98" s="431">
        <v>0</v>
      </c>
      <c r="AG98" s="431">
        <v>27100</v>
      </c>
      <c r="AH98" s="431">
        <v>242486</v>
      </c>
      <c r="AI98" s="431">
        <v>239966</v>
      </c>
      <c r="AJ98" s="431">
        <v>2851066</v>
      </c>
      <c r="AK98" s="431">
        <v>0</v>
      </c>
      <c r="AL98" s="431">
        <v>2526841</v>
      </c>
      <c r="AM98" s="431">
        <v>0</v>
      </c>
    </row>
    <row r="99" spans="1:39" s="155" customFormat="1" ht="12" x14ac:dyDescent="0.2">
      <c r="A99" s="168">
        <v>45</v>
      </c>
      <c r="B99" s="196">
        <v>77082</v>
      </c>
      <c r="C99" s="163" t="s">
        <v>691</v>
      </c>
      <c r="D99" s="432">
        <f t="shared" si="8"/>
        <v>5130774</v>
      </c>
      <c r="E99" s="431">
        <v>1483996</v>
      </c>
      <c r="F99" s="431">
        <v>132077</v>
      </c>
      <c r="G99" s="431">
        <v>588081</v>
      </c>
      <c r="H99" s="431">
        <v>0</v>
      </c>
      <c r="I99" s="431">
        <v>1130208</v>
      </c>
      <c r="J99" s="431">
        <v>179300</v>
      </c>
      <c r="K99" s="431">
        <v>354150</v>
      </c>
      <c r="L99" s="431"/>
      <c r="M99" s="431">
        <v>1956708</v>
      </c>
      <c r="N99" s="431">
        <v>0</v>
      </c>
      <c r="O99" s="431">
        <v>26412</v>
      </c>
      <c r="P99" s="432">
        <f t="shared" si="11"/>
        <v>5047013</v>
      </c>
      <c r="Q99" s="431">
        <v>1301720</v>
      </c>
      <c r="R99" s="431">
        <v>709827</v>
      </c>
      <c r="S99" s="431">
        <v>0</v>
      </c>
      <c r="T99" s="431">
        <v>0</v>
      </c>
      <c r="U99" s="431">
        <v>0</v>
      </c>
      <c r="V99" s="431">
        <v>0</v>
      </c>
      <c r="W99" s="431">
        <v>0</v>
      </c>
      <c r="X99" s="431">
        <v>185972</v>
      </c>
      <c r="Y99" s="431">
        <v>17442</v>
      </c>
      <c r="Z99" s="431">
        <v>2846680</v>
      </c>
      <c r="AA99" s="431">
        <v>0</v>
      </c>
      <c r="AB99" s="431">
        <v>-14628</v>
      </c>
      <c r="AC99" s="431">
        <v>508235</v>
      </c>
      <c r="AD99" s="431">
        <v>49876</v>
      </c>
      <c r="AE99" s="431">
        <v>1140647</v>
      </c>
      <c r="AF99" s="431">
        <v>92071</v>
      </c>
      <c r="AG99" s="431">
        <v>323637</v>
      </c>
      <c r="AH99" s="431">
        <v>241952</v>
      </c>
      <c r="AI99" s="431">
        <v>252680</v>
      </c>
      <c r="AJ99" s="431">
        <v>14136</v>
      </c>
      <c r="AK99" s="431">
        <v>0</v>
      </c>
      <c r="AL99" s="431">
        <v>2336095</v>
      </c>
      <c r="AM99" s="431">
        <v>87684</v>
      </c>
    </row>
    <row r="100" spans="1:39" s="155" customFormat="1" ht="12" x14ac:dyDescent="0.2">
      <c r="A100" s="168">
        <v>46</v>
      </c>
      <c r="B100" s="196">
        <v>77153</v>
      </c>
      <c r="C100" s="163" t="s">
        <v>692</v>
      </c>
      <c r="D100" s="432">
        <f t="shared" si="8"/>
        <v>11353703</v>
      </c>
      <c r="E100" s="431">
        <v>2697884</v>
      </c>
      <c r="F100" s="431">
        <v>380318</v>
      </c>
      <c r="G100" s="431">
        <v>441324</v>
      </c>
      <c r="H100" s="431">
        <v>0</v>
      </c>
      <c r="I100" s="431">
        <v>1936424</v>
      </c>
      <c r="J100" s="431">
        <v>219900</v>
      </c>
      <c r="K100" s="431">
        <v>1074320</v>
      </c>
      <c r="L100" s="431"/>
      <c r="M100" s="431">
        <v>1262354</v>
      </c>
      <c r="N100" s="431">
        <v>4129247</v>
      </c>
      <c r="O100" s="431">
        <v>33574</v>
      </c>
      <c r="P100" s="432">
        <f t="shared" si="11"/>
        <v>15606674</v>
      </c>
      <c r="Q100" s="431">
        <v>2360030</v>
      </c>
      <c r="R100" s="431">
        <v>2252363</v>
      </c>
      <c r="S100" s="431">
        <v>12650</v>
      </c>
      <c r="T100" s="431">
        <v>0</v>
      </c>
      <c r="U100" s="431">
        <v>0</v>
      </c>
      <c r="V100" s="431">
        <v>0</v>
      </c>
      <c r="W100" s="431">
        <v>10183397</v>
      </c>
      <c r="X100" s="431">
        <v>256003</v>
      </c>
      <c r="Y100" s="431">
        <v>123403</v>
      </c>
      <c r="Z100" s="431">
        <v>367862</v>
      </c>
      <c r="AA100" s="431">
        <v>55000</v>
      </c>
      <c r="AB100" s="431">
        <v>-4034</v>
      </c>
      <c r="AC100" s="431">
        <v>1316303</v>
      </c>
      <c r="AD100" s="431">
        <v>174947</v>
      </c>
      <c r="AE100" s="431">
        <v>1803169</v>
      </c>
      <c r="AF100" s="431">
        <v>43438</v>
      </c>
      <c r="AG100" s="431">
        <v>2989363</v>
      </c>
      <c r="AH100" s="431">
        <v>497778</v>
      </c>
      <c r="AI100" s="431">
        <v>738807</v>
      </c>
      <c r="AJ100" s="431">
        <v>6568273</v>
      </c>
      <c r="AK100" s="431">
        <v>0</v>
      </c>
      <c r="AL100" s="431">
        <v>1474596</v>
      </c>
      <c r="AM100" s="431">
        <v>0</v>
      </c>
    </row>
    <row r="101" spans="1:39" s="155" customFormat="1" ht="12" x14ac:dyDescent="0.2">
      <c r="A101" s="168">
        <v>47</v>
      </c>
      <c r="B101" s="196">
        <v>77126</v>
      </c>
      <c r="C101" s="163" t="s">
        <v>693</v>
      </c>
      <c r="D101" s="432">
        <f t="shared" si="8"/>
        <v>5688203</v>
      </c>
      <c r="E101" s="431">
        <v>1568750</v>
      </c>
      <c r="F101" s="431">
        <v>267499</v>
      </c>
      <c r="G101" s="431">
        <v>627105</v>
      </c>
      <c r="H101" s="431">
        <v>0</v>
      </c>
      <c r="I101" s="431">
        <v>1243400</v>
      </c>
      <c r="J101" s="431">
        <v>198000</v>
      </c>
      <c r="K101" s="431">
        <v>383740</v>
      </c>
      <c r="L101" s="431"/>
      <c r="M101" s="431">
        <v>2144829</v>
      </c>
      <c r="N101" s="431">
        <v>119340</v>
      </c>
      <c r="O101" s="431">
        <v>30144</v>
      </c>
      <c r="P101" s="432">
        <f t="shared" si="11"/>
        <v>5983739</v>
      </c>
      <c r="Q101" s="431">
        <v>1524873</v>
      </c>
      <c r="R101" s="431">
        <v>1083947</v>
      </c>
      <c r="S101" s="431">
        <v>0</v>
      </c>
      <c r="T101" s="431">
        <v>0</v>
      </c>
      <c r="U101" s="431">
        <v>0</v>
      </c>
      <c r="V101" s="431">
        <v>0</v>
      </c>
      <c r="W101" s="431">
        <v>0</v>
      </c>
      <c r="X101" s="431">
        <v>285618</v>
      </c>
      <c r="Y101" s="431">
        <v>0</v>
      </c>
      <c r="Z101" s="431">
        <v>3093816</v>
      </c>
      <c r="AA101" s="431">
        <v>0</v>
      </c>
      <c r="AB101" s="431">
        <v>-4515</v>
      </c>
      <c r="AC101" s="431">
        <v>745899</v>
      </c>
      <c r="AD101" s="431">
        <v>66853</v>
      </c>
      <c r="AE101" s="431">
        <v>1140947</v>
      </c>
      <c r="AF101" s="431">
        <v>0</v>
      </c>
      <c r="AG101" s="431">
        <v>42256</v>
      </c>
      <c r="AH101" s="431">
        <v>440631</v>
      </c>
      <c r="AI101" s="431">
        <v>410383</v>
      </c>
      <c r="AJ101" s="431">
        <v>38815</v>
      </c>
      <c r="AK101" s="431">
        <v>0</v>
      </c>
      <c r="AL101" s="431">
        <v>2907788</v>
      </c>
      <c r="AM101" s="431">
        <v>190167</v>
      </c>
    </row>
    <row r="102" spans="1:39" s="155" customFormat="1" ht="12" x14ac:dyDescent="0.2">
      <c r="A102" s="168">
        <v>48</v>
      </c>
      <c r="B102" s="196">
        <v>77180</v>
      </c>
      <c r="C102" s="163" t="s">
        <v>694</v>
      </c>
      <c r="D102" s="432">
        <f t="shared" si="8"/>
        <v>10341390</v>
      </c>
      <c r="E102" s="431">
        <v>2050329</v>
      </c>
      <c r="F102" s="431">
        <v>784227</v>
      </c>
      <c r="G102" s="431">
        <v>266619</v>
      </c>
      <c r="H102" s="431">
        <v>0</v>
      </c>
      <c r="I102" s="431">
        <v>2411347</v>
      </c>
      <c r="J102" s="431">
        <v>160000</v>
      </c>
      <c r="K102" s="431">
        <v>614680</v>
      </c>
      <c r="L102" s="431"/>
      <c r="M102" s="431">
        <v>4195728</v>
      </c>
      <c r="N102" s="431">
        <v>826764</v>
      </c>
      <c r="O102" s="431">
        <v>82542</v>
      </c>
      <c r="P102" s="432">
        <f t="shared" si="11"/>
        <v>10979218</v>
      </c>
      <c r="Q102" s="431">
        <v>2651481</v>
      </c>
      <c r="R102" s="431">
        <v>1060633</v>
      </c>
      <c r="S102" s="431">
        <v>0</v>
      </c>
      <c r="T102" s="431">
        <v>0</v>
      </c>
      <c r="U102" s="431">
        <v>0</v>
      </c>
      <c r="V102" s="431">
        <v>0</v>
      </c>
      <c r="W102" s="431">
        <v>1172271</v>
      </c>
      <c r="X102" s="431">
        <v>175448</v>
      </c>
      <c r="Y102" s="431">
        <v>20000</v>
      </c>
      <c r="Z102" s="431">
        <v>6024844</v>
      </c>
      <c r="AA102" s="431">
        <v>0</v>
      </c>
      <c r="AB102" s="431">
        <v>-125459</v>
      </c>
      <c r="AC102" s="431">
        <v>603040</v>
      </c>
      <c r="AD102" s="431">
        <v>800</v>
      </c>
      <c r="AE102" s="431">
        <v>2479074</v>
      </c>
      <c r="AF102" s="431">
        <v>780</v>
      </c>
      <c r="AG102" s="431">
        <v>1210932</v>
      </c>
      <c r="AH102" s="431">
        <v>445692</v>
      </c>
      <c r="AI102" s="431">
        <v>315536</v>
      </c>
      <c r="AJ102" s="431">
        <v>113948</v>
      </c>
      <c r="AK102" s="431">
        <v>0</v>
      </c>
      <c r="AL102" s="431">
        <v>5809416</v>
      </c>
      <c r="AM102" s="431">
        <v>0</v>
      </c>
    </row>
    <row r="103" spans="1:39" s="155" customFormat="1" ht="12" x14ac:dyDescent="0.2">
      <c r="A103" s="168">
        <v>49</v>
      </c>
      <c r="B103" s="196">
        <v>77224</v>
      </c>
      <c r="C103" s="163" t="s">
        <v>695</v>
      </c>
      <c r="D103" s="432">
        <f t="shared" si="8"/>
        <v>6581002</v>
      </c>
      <c r="E103" s="431">
        <v>2106415</v>
      </c>
      <c r="F103" s="431">
        <v>502728</v>
      </c>
      <c r="G103" s="431">
        <v>748723</v>
      </c>
      <c r="H103" s="431">
        <v>0</v>
      </c>
      <c r="I103" s="431">
        <v>2678021</v>
      </c>
      <c r="J103" s="431">
        <v>0</v>
      </c>
      <c r="K103" s="431">
        <v>1141530</v>
      </c>
      <c r="L103" s="431"/>
      <c r="M103" s="431">
        <v>187282</v>
      </c>
      <c r="N103" s="431">
        <v>380214</v>
      </c>
      <c r="O103" s="431">
        <v>87540</v>
      </c>
      <c r="P103" s="432">
        <f t="shared" si="11"/>
        <v>6207588</v>
      </c>
      <c r="Q103" s="431">
        <v>2862978</v>
      </c>
      <c r="R103" s="431">
        <v>1335469</v>
      </c>
      <c r="S103" s="431">
        <v>0</v>
      </c>
      <c r="T103" s="431">
        <v>0</v>
      </c>
      <c r="U103" s="431">
        <v>0</v>
      </c>
      <c r="V103" s="431">
        <v>67430</v>
      </c>
      <c r="W103" s="431">
        <v>1126977</v>
      </c>
      <c r="X103" s="431">
        <v>329224</v>
      </c>
      <c r="Y103" s="431">
        <v>0</v>
      </c>
      <c r="Z103" s="431">
        <v>528319</v>
      </c>
      <c r="AA103" s="431">
        <v>0</v>
      </c>
      <c r="AB103" s="431">
        <v>-42809</v>
      </c>
      <c r="AC103" s="431">
        <v>1097674</v>
      </c>
      <c r="AD103" s="431">
        <v>158274</v>
      </c>
      <c r="AE103" s="431">
        <v>3804249</v>
      </c>
      <c r="AF103" s="431">
        <v>0</v>
      </c>
      <c r="AG103" s="431">
        <v>47433</v>
      </c>
      <c r="AH103" s="431">
        <v>528541</v>
      </c>
      <c r="AI103" s="431">
        <v>462969</v>
      </c>
      <c r="AJ103" s="431">
        <v>0</v>
      </c>
      <c r="AK103" s="431">
        <v>0</v>
      </c>
      <c r="AL103" s="431">
        <v>108448</v>
      </c>
      <c r="AM103" s="431">
        <v>0</v>
      </c>
    </row>
    <row r="104" spans="1:39" s="155" customFormat="1" ht="12" x14ac:dyDescent="0.2">
      <c r="A104" s="168">
        <v>50</v>
      </c>
      <c r="B104" s="196">
        <v>77260</v>
      </c>
      <c r="C104" s="163" t="s">
        <v>696</v>
      </c>
      <c r="D104" s="432">
        <f t="shared" si="8"/>
        <v>7510898</v>
      </c>
      <c r="E104" s="431">
        <v>1372825</v>
      </c>
      <c r="F104" s="431">
        <v>47295</v>
      </c>
      <c r="G104" s="431">
        <v>806029</v>
      </c>
      <c r="H104" s="431">
        <v>0</v>
      </c>
      <c r="I104" s="431">
        <v>672601</v>
      </c>
      <c r="J104" s="431">
        <v>0</v>
      </c>
      <c r="K104" s="431">
        <v>395850</v>
      </c>
      <c r="L104" s="431"/>
      <c r="M104" s="431">
        <v>3061379</v>
      </c>
      <c r="N104" s="431">
        <v>1974799</v>
      </c>
      <c r="O104" s="431">
        <v>33444</v>
      </c>
      <c r="P104" s="432">
        <f t="shared" si="11"/>
        <v>5653575</v>
      </c>
      <c r="Q104" s="431">
        <v>919178</v>
      </c>
      <c r="R104" s="431">
        <v>664793</v>
      </c>
      <c r="S104" s="431">
        <v>0</v>
      </c>
      <c r="T104" s="431">
        <v>0</v>
      </c>
      <c r="U104" s="431">
        <v>0</v>
      </c>
      <c r="V104" s="431">
        <v>0</v>
      </c>
      <c r="W104" s="431">
        <v>678072</v>
      </c>
      <c r="X104" s="431">
        <v>77539</v>
      </c>
      <c r="Y104" s="431">
        <v>40000</v>
      </c>
      <c r="Z104" s="431">
        <v>3276813</v>
      </c>
      <c r="AA104" s="431">
        <v>0</v>
      </c>
      <c r="AB104" s="431">
        <v>-2820</v>
      </c>
      <c r="AC104" s="431">
        <v>540543</v>
      </c>
      <c r="AD104" s="431">
        <v>46805</v>
      </c>
      <c r="AE104" s="431">
        <v>600784</v>
      </c>
      <c r="AF104" s="431">
        <v>18230</v>
      </c>
      <c r="AG104" s="431">
        <v>676897</v>
      </c>
      <c r="AH104" s="431">
        <v>133772</v>
      </c>
      <c r="AI104" s="431">
        <v>1156306</v>
      </c>
      <c r="AJ104" s="431">
        <v>15624</v>
      </c>
      <c r="AK104" s="431">
        <v>0</v>
      </c>
      <c r="AL104" s="431">
        <v>2404202</v>
      </c>
      <c r="AM104" s="431">
        <v>60412</v>
      </c>
    </row>
    <row r="105" spans="1:39" s="155" customFormat="1" ht="12" x14ac:dyDescent="0.2">
      <c r="A105" s="168">
        <v>51</v>
      </c>
      <c r="B105" s="196">
        <v>77288</v>
      </c>
      <c r="C105" s="163" t="s">
        <v>697</v>
      </c>
      <c r="D105" s="432">
        <f t="shared" si="8"/>
        <v>6111966</v>
      </c>
      <c r="E105" s="431">
        <v>1339057</v>
      </c>
      <c r="F105" s="431">
        <v>131292</v>
      </c>
      <c r="G105" s="431">
        <v>896214</v>
      </c>
      <c r="H105" s="431">
        <v>0</v>
      </c>
      <c r="I105" s="431">
        <v>873518</v>
      </c>
      <c r="J105" s="431">
        <v>41000</v>
      </c>
      <c r="K105" s="431">
        <v>427020</v>
      </c>
      <c r="L105" s="431"/>
      <c r="M105" s="431">
        <v>2409199</v>
      </c>
      <c r="N105" s="431">
        <v>974980</v>
      </c>
      <c r="O105" s="431">
        <v>47192</v>
      </c>
      <c r="P105" s="432">
        <f t="shared" si="11"/>
        <v>7036477</v>
      </c>
      <c r="Q105" s="431">
        <v>1113802</v>
      </c>
      <c r="R105" s="431">
        <v>606777</v>
      </c>
      <c r="S105" s="431">
        <v>0</v>
      </c>
      <c r="T105" s="431">
        <v>0</v>
      </c>
      <c r="U105" s="431">
        <v>0</v>
      </c>
      <c r="V105" s="431">
        <v>0</v>
      </c>
      <c r="W105" s="431">
        <v>2610780</v>
      </c>
      <c r="X105" s="431">
        <v>183533</v>
      </c>
      <c r="Y105" s="431">
        <v>0</v>
      </c>
      <c r="Z105" s="431">
        <v>2526569</v>
      </c>
      <c r="AA105" s="431">
        <v>0</v>
      </c>
      <c r="AB105" s="431">
        <v>-4984</v>
      </c>
      <c r="AC105" s="431">
        <v>635745</v>
      </c>
      <c r="AD105" s="431">
        <v>84424</v>
      </c>
      <c r="AE105" s="431">
        <v>711517</v>
      </c>
      <c r="AF105" s="431">
        <v>17348</v>
      </c>
      <c r="AG105" s="431">
        <v>36815</v>
      </c>
      <c r="AH105" s="431">
        <v>276716</v>
      </c>
      <c r="AI105" s="431">
        <v>102944</v>
      </c>
      <c r="AJ105" s="431">
        <v>17974</v>
      </c>
      <c r="AK105" s="431">
        <v>0</v>
      </c>
      <c r="AL105" s="431">
        <v>5152994</v>
      </c>
      <c r="AM105" s="431">
        <v>0</v>
      </c>
    </row>
    <row r="106" spans="1:39" s="155" customFormat="1" ht="12" x14ac:dyDescent="0.2">
      <c r="A106" s="168">
        <v>52</v>
      </c>
      <c r="B106" s="196">
        <v>77601</v>
      </c>
      <c r="C106" s="163" t="s">
        <v>698</v>
      </c>
      <c r="D106" s="432">
        <f t="shared" si="8"/>
        <v>2587120</v>
      </c>
      <c r="E106" s="431">
        <v>1295682</v>
      </c>
      <c r="F106" s="431">
        <v>58754</v>
      </c>
      <c r="G106" s="431">
        <v>985459</v>
      </c>
      <c r="H106" s="431">
        <v>0</v>
      </c>
      <c r="I106" s="431">
        <v>794217</v>
      </c>
      <c r="J106" s="431">
        <v>80323</v>
      </c>
      <c r="K106" s="431">
        <v>395030</v>
      </c>
      <c r="L106" s="431"/>
      <c r="M106" s="431">
        <v>63393</v>
      </c>
      <c r="N106" s="431">
        <v>0</v>
      </c>
      <c r="O106" s="431">
        <v>-41525</v>
      </c>
      <c r="P106" s="432">
        <f t="shared" si="11"/>
        <v>2496148</v>
      </c>
      <c r="Q106" s="431">
        <v>967041</v>
      </c>
      <c r="R106" s="431">
        <v>486681</v>
      </c>
      <c r="S106" s="431">
        <v>0</v>
      </c>
      <c r="T106" s="431">
        <v>0</v>
      </c>
      <c r="U106" s="431">
        <v>0</v>
      </c>
      <c r="V106" s="431">
        <v>1291</v>
      </c>
      <c r="W106" s="431">
        <v>0</v>
      </c>
      <c r="X106" s="431">
        <v>108369</v>
      </c>
      <c r="Y106" s="431">
        <v>6951</v>
      </c>
      <c r="Z106" s="431">
        <v>926087</v>
      </c>
      <c r="AA106" s="431">
        <v>0</v>
      </c>
      <c r="AB106" s="431">
        <v>-272</v>
      </c>
      <c r="AC106" s="431">
        <v>369509</v>
      </c>
      <c r="AD106" s="431">
        <v>14790</v>
      </c>
      <c r="AE106" s="431">
        <v>669424</v>
      </c>
      <c r="AF106" s="431">
        <v>0</v>
      </c>
      <c r="AG106" s="431">
        <v>0</v>
      </c>
      <c r="AH106" s="431">
        <v>205414</v>
      </c>
      <c r="AI106" s="431">
        <v>402533</v>
      </c>
      <c r="AJ106" s="431">
        <v>33291</v>
      </c>
      <c r="AK106" s="431">
        <v>0</v>
      </c>
      <c r="AL106" s="431">
        <v>780844</v>
      </c>
      <c r="AM106" s="431">
        <v>20343</v>
      </c>
    </row>
    <row r="107" spans="1:39" s="155" customFormat="1" ht="12" x14ac:dyDescent="0.2">
      <c r="A107" s="168">
        <v>53</v>
      </c>
      <c r="B107" s="196">
        <v>75114</v>
      </c>
      <c r="C107" s="163" t="s">
        <v>699</v>
      </c>
      <c r="D107" s="432">
        <f t="shared" si="8"/>
        <v>6344474</v>
      </c>
      <c r="E107" s="431">
        <v>3339168</v>
      </c>
      <c r="F107" s="431">
        <v>1157739</v>
      </c>
      <c r="G107" s="431">
        <v>148918</v>
      </c>
      <c r="H107" s="431">
        <v>0</v>
      </c>
      <c r="I107" s="431">
        <v>1587028</v>
      </c>
      <c r="J107" s="431">
        <v>14986</v>
      </c>
      <c r="K107" s="431">
        <v>571210</v>
      </c>
      <c r="L107" s="431"/>
      <c r="M107" s="431">
        <v>232851</v>
      </c>
      <c r="N107" s="431">
        <v>570839</v>
      </c>
      <c r="O107" s="431">
        <v>28392</v>
      </c>
      <c r="P107" s="432">
        <f t="shared" si="11"/>
        <v>5750530</v>
      </c>
      <c r="Q107" s="431">
        <v>1913991</v>
      </c>
      <c r="R107" s="431">
        <v>1509587</v>
      </c>
      <c r="S107" s="431">
        <v>0</v>
      </c>
      <c r="T107" s="431">
        <v>0</v>
      </c>
      <c r="U107" s="431">
        <v>0</v>
      </c>
      <c r="V107" s="431">
        <v>81007</v>
      </c>
      <c r="W107" s="431">
        <v>560475</v>
      </c>
      <c r="X107" s="431">
        <v>166375</v>
      </c>
      <c r="Y107" s="431">
        <v>96509</v>
      </c>
      <c r="Z107" s="431">
        <v>1442813</v>
      </c>
      <c r="AA107" s="431">
        <v>0</v>
      </c>
      <c r="AB107" s="431">
        <v>-20227</v>
      </c>
      <c r="AC107" s="431">
        <v>826098</v>
      </c>
      <c r="AD107" s="431">
        <v>66619</v>
      </c>
      <c r="AE107" s="431">
        <v>1800077</v>
      </c>
      <c r="AF107" s="431">
        <v>0</v>
      </c>
      <c r="AG107" s="431">
        <v>382895</v>
      </c>
      <c r="AH107" s="431">
        <v>496656</v>
      </c>
      <c r="AI107" s="431">
        <v>501602</v>
      </c>
      <c r="AJ107" s="431">
        <v>266175</v>
      </c>
      <c r="AK107" s="431">
        <v>0</v>
      </c>
      <c r="AL107" s="431">
        <v>670812</v>
      </c>
      <c r="AM107" s="431">
        <v>739596</v>
      </c>
    </row>
    <row r="108" spans="1:39" s="155" customFormat="1" ht="12" x14ac:dyDescent="0.2">
      <c r="A108" s="168">
        <v>54</v>
      </c>
      <c r="B108" s="196">
        <v>77313</v>
      </c>
      <c r="C108" s="163" t="s">
        <v>700</v>
      </c>
      <c r="D108" s="432">
        <f t="shared" si="8"/>
        <v>6094470</v>
      </c>
      <c r="E108" s="431">
        <v>1913965</v>
      </c>
      <c r="F108" s="431">
        <v>302511</v>
      </c>
      <c r="G108" s="431">
        <v>751457</v>
      </c>
      <c r="H108" s="431">
        <v>0</v>
      </c>
      <c r="I108" s="431">
        <v>2862373</v>
      </c>
      <c r="J108" s="431">
        <v>117000</v>
      </c>
      <c r="K108" s="431">
        <v>1139040</v>
      </c>
      <c r="L108" s="431"/>
      <c r="M108" s="431">
        <v>28390</v>
      </c>
      <c r="N108" s="431">
        <v>0</v>
      </c>
      <c r="O108" s="431">
        <v>33702</v>
      </c>
      <c r="P108" s="432">
        <f t="shared" si="11"/>
        <v>5738921</v>
      </c>
      <c r="Q108" s="431">
        <v>2948018</v>
      </c>
      <c r="R108" s="431">
        <v>995084</v>
      </c>
      <c r="S108" s="431">
        <v>0</v>
      </c>
      <c r="T108" s="431">
        <v>0</v>
      </c>
      <c r="U108" s="431">
        <v>0</v>
      </c>
      <c r="V108" s="431">
        <v>23410</v>
      </c>
      <c r="W108" s="431">
        <v>0</v>
      </c>
      <c r="X108" s="431">
        <v>402661</v>
      </c>
      <c r="Y108" s="431">
        <v>51984</v>
      </c>
      <c r="Z108" s="431">
        <v>1334021</v>
      </c>
      <c r="AA108" s="431">
        <v>0</v>
      </c>
      <c r="AB108" s="431">
        <v>-16257</v>
      </c>
      <c r="AC108" s="431">
        <v>646480</v>
      </c>
      <c r="AD108" s="431">
        <v>163654</v>
      </c>
      <c r="AE108" s="431">
        <v>2714441</v>
      </c>
      <c r="AF108" s="431">
        <v>6655</v>
      </c>
      <c r="AG108" s="431">
        <v>92818</v>
      </c>
      <c r="AH108" s="431">
        <v>478443</v>
      </c>
      <c r="AI108" s="431">
        <v>162328</v>
      </c>
      <c r="AJ108" s="431">
        <v>107880</v>
      </c>
      <c r="AK108" s="431">
        <v>0</v>
      </c>
      <c r="AL108" s="431">
        <v>1366222</v>
      </c>
      <c r="AM108" s="431">
        <v>0</v>
      </c>
    </row>
    <row r="109" spans="1:39" s="155" customFormat="1" ht="12" x14ac:dyDescent="0.2">
      <c r="A109" s="168">
        <v>55</v>
      </c>
      <c r="B109" s="196">
        <v>77331</v>
      </c>
      <c r="C109" s="163" t="s">
        <v>701</v>
      </c>
      <c r="D109" s="432">
        <f t="shared" si="8"/>
        <v>11842010</v>
      </c>
      <c r="E109" s="431">
        <v>3720653</v>
      </c>
      <c r="F109" s="431">
        <v>1153000</v>
      </c>
      <c r="G109" s="431">
        <v>623028</v>
      </c>
      <c r="H109" s="431">
        <v>0</v>
      </c>
      <c r="I109" s="431">
        <v>2792682</v>
      </c>
      <c r="J109" s="431">
        <v>132000</v>
      </c>
      <c r="K109" s="431">
        <v>1479070</v>
      </c>
      <c r="L109" s="431"/>
      <c r="M109" s="431">
        <v>2011395</v>
      </c>
      <c r="N109" s="431">
        <v>1662866</v>
      </c>
      <c r="O109" s="431">
        <v>43344</v>
      </c>
      <c r="P109" s="432">
        <f t="shared" si="11"/>
        <v>9836368</v>
      </c>
      <c r="Q109" s="431">
        <v>3150091</v>
      </c>
      <c r="R109" s="431">
        <v>1652932</v>
      </c>
      <c r="S109" s="431">
        <v>3346</v>
      </c>
      <c r="T109" s="431">
        <v>0</v>
      </c>
      <c r="U109" s="431">
        <v>0</v>
      </c>
      <c r="V109" s="431">
        <v>7200</v>
      </c>
      <c r="W109" s="431">
        <v>194370</v>
      </c>
      <c r="X109" s="431">
        <v>396768</v>
      </c>
      <c r="Y109" s="431">
        <v>210945</v>
      </c>
      <c r="Z109" s="431">
        <v>4239354</v>
      </c>
      <c r="AA109" s="431">
        <v>0</v>
      </c>
      <c r="AB109" s="431">
        <v>-18638</v>
      </c>
      <c r="AC109" s="431">
        <v>1389720</v>
      </c>
      <c r="AD109" s="431">
        <v>73380</v>
      </c>
      <c r="AE109" s="431">
        <v>2427062</v>
      </c>
      <c r="AF109" s="431">
        <v>0</v>
      </c>
      <c r="AG109" s="431">
        <v>418632</v>
      </c>
      <c r="AH109" s="431">
        <v>640557</v>
      </c>
      <c r="AI109" s="431">
        <v>1648374</v>
      </c>
      <c r="AJ109" s="431">
        <v>938923</v>
      </c>
      <c r="AK109" s="431">
        <v>0</v>
      </c>
      <c r="AL109" s="431">
        <v>2259849</v>
      </c>
      <c r="AM109" s="431">
        <v>39871</v>
      </c>
    </row>
    <row r="110" spans="1:39" s="155" customFormat="1" ht="12" x14ac:dyDescent="0.2">
      <c r="A110" s="168">
        <v>56</v>
      </c>
      <c r="B110" s="196">
        <v>77377</v>
      </c>
      <c r="C110" s="163" t="s">
        <v>702</v>
      </c>
      <c r="D110" s="432">
        <f t="shared" si="8"/>
        <v>3983400</v>
      </c>
      <c r="E110" s="431">
        <v>1589009</v>
      </c>
      <c r="F110" s="431">
        <v>115605</v>
      </c>
      <c r="G110" s="431">
        <v>585667</v>
      </c>
      <c r="H110" s="431">
        <v>0</v>
      </c>
      <c r="I110" s="431">
        <v>876109</v>
      </c>
      <c r="J110" s="431">
        <v>0</v>
      </c>
      <c r="K110" s="431">
        <v>645240</v>
      </c>
      <c r="L110" s="431"/>
      <c r="M110" s="431">
        <v>273639</v>
      </c>
      <c r="N110" s="431">
        <v>583737</v>
      </c>
      <c r="O110" s="431">
        <v>15666</v>
      </c>
      <c r="P110" s="432">
        <f t="shared" si="11"/>
        <v>4581485</v>
      </c>
      <c r="Q110" s="431">
        <v>1371262</v>
      </c>
      <c r="R110" s="431">
        <v>1442261</v>
      </c>
      <c r="S110" s="431">
        <v>0</v>
      </c>
      <c r="T110" s="431">
        <v>0</v>
      </c>
      <c r="U110" s="431">
        <v>0</v>
      </c>
      <c r="V110" s="431">
        <v>0</v>
      </c>
      <c r="W110" s="431">
        <v>754908</v>
      </c>
      <c r="X110" s="431">
        <v>158142</v>
      </c>
      <c r="Y110" s="431">
        <v>15000</v>
      </c>
      <c r="Z110" s="431">
        <v>841244</v>
      </c>
      <c r="AA110" s="431">
        <v>0</v>
      </c>
      <c r="AB110" s="431">
        <v>-1332</v>
      </c>
      <c r="AC110" s="431">
        <v>913127</v>
      </c>
      <c r="AD110" s="431">
        <v>71293</v>
      </c>
      <c r="AE110" s="431">
        <v>769704</v>
      </c>
      <c r="AF110" s="431">
        <v>85602</v>
      </c>
      <c r="AG110" s="431">
        <v>935874</v>
      </c>
      <c r="AH110" s="431">
        <v>226663</v>
      </c>
      <c r="AI110" s="431">
        <v>1245258</v>
      </c>
      <c r="AJ110" s="431">
        <v>160623</v>
      </c>
      <c r="AK110" s="431">
        <v>0</v>
      </c>
      <c r="AL110" s="431">
        <v>102776</v>
      </c>
      <c r="AM110" s="431">
        <v>70565</v>
      </c>
    </row>
    <row r="111" spans="1:39" s="155" customFormat="1" ht="12" x14ac:dyDescent="0.2">
      <c r="A111" s="168">
        <v>57</v>
      </c>
      <c r="B111" s="196">
        <v>77402</v>
      </c>
      <c r="C111" s="163" t="s">
        <v>703</v>
      </c>
      <c r="D111" s="432">
        <f t="shared" si="8"/>
        <v>10328071</v>
      </c>
      <c r="E111" s="431">
        <v>2622267</v>
      </c>
      <c r="F111" s="431">
        <v>284013</v>
      </c>
      <c r="G111" s="431">
        <v>937905</v>
      </c>
      <c r="H111" s="431">
        <v>0</v>
      </c>
      <c r="I111" s="431">
        <v>3034189</v>
      </c>
      <c r="J111" s="431">
        <v>414200</v>
      </c>
      <c r="K111" s="431">
        <v>1680600</v>
      </c>
      <c r="L111" s="431"/>
      <c r="M111" s="431">
        <v>1587032</v>
      </c>
      <c r="N111" s="431">
        <v>941327</v>
      </c>
      <c r="O111" s="431">
        <v>48456</v>
      </c>
      <c r="P111" s="432">
        <f t="shared" si="11"/>
        <v>7799686</v>
      </c>
      <c r="Q111" s="431">
        <v>3502782</v>
      </c>
      <c r="R111" s="431">
        <v>1396744</v>
      </c>
      <c r="S111" s="431">
        <v>0</v>
      </c>
      <c r="T111" s="431">
        <v>0</v>
      </c>
      <c r="U111" s="431">
        <v>0</v>
      </c>
      <c r="V111" s="431">
        <v>0</v>
      </c>
      <c r="W111" s="431">
        <v>13080</v>
      </c>
      <c r="X111" s="431">
        <v>308317</v>
      </c>
      <c r="Y111" s="431">
        <v>255765</v>
      </c>
      <c r="Z111" s="431">
        <v>2322998</v>
      </c>
      <c r="AA111" s="431">
        <v>0</v>
      </c>
      <c r="AB111" s="431">
        <v>0</v>
      </c>
      <c r="AC111" s="431">
        <v>1055040</v>
      </c>
      <c r="AD111" s="431">
        <v>143639</v>
      </c>
      <c r="AE111" s="431">
        <v>2786954</v>
      </c>
      <c r="AF111" s="431">
        <v>15372</v>
      </c>
      <c r="AG111" s="431">
        <v>346338</v>
      </c>
      <c r="AH111" s="431">
        <v>794796</v>
      </c>
      <c r="AI111" s="431">
        <v>125589</v>
      </c>
      <c r="AJ111" s="431">
        <v>209960</v>
      </c>
      <c r="AK111" s="431">
        <v>0</v>
      </c>
      <c r="AL111" s="431">
        <v>2286973</v>
      </c>
      <c r="AM111" s="431">
        <v>35025</v>
      </c>
    </row>
    <row r="112" spans="1:39" s="155" customFormat="1" ht="12" x14ac:dyDescent="0.2">
      <c r="A112" s="168">
        <v>58</v>
      </c>
      <c r="B112" s="196">
        <v>77475</v>
      </c>
      <c r="C112" s="163" t="s">
        <v>704</v>
      </c>
      <c r="D112" s="432">
        <f t="shared" si="8"/>
        <v>8438686</v>
      </c>
      <c r="E112" s="431">
        <v>1793972</v>
      </c>
      <c r="F112" s="431">
        <v>131600</v>
      </c>
      <c r="G112" s="431">
        <v>710601</v>
      </c>
      <c r="H112" s="431">
        <v>0</v>
      </c>
      <c r="I112" s="431">
        <v>1708219</v>
      </c>
      <c r="J112" s="431">
        <v>226900</v>
      </c>
      <c r="K112" s="431">
        <v>1000020</v>
      </c>
      <c r="L112" s="431"/>
      <c r="M112" s="431">
        <v>2033130</v>
      </c>
      <c r="N112" s="431">
        <v>1649165</v>
      </c>
      <c r="O112" s="431">
        <v>27280</v>
      </c>
      <c r="P112" s="432">
        <f t="shared" si="11"/>
        <v>7377316</v>
      </c>
      <c r="Q112" s="431">
        <v>1887727</v>
      </c>
      <c r="R112" s="431">
        <v>1258439</v>
      </c>
      <c r="S112" s="431">
        <v>0</v>
      </c>
      <c r="T112" s="431">
        <v>0</v>
      </c>
      <c r="U112" s="431">
        <v>138641</v>
      </c>
      <c r="V112" s="431">
        <v>0</v>
      </c>
      <c r="W112" s="431">
        <v>167374</v>
      </c>
      <c r="X112" s="431">
        <v>351664</v>
      </c>
      <c r="Y112" s="431">
        <v>200000</v>
      </c>
      <c r="Z112" s="431">
        <v>3373471</v>
      </c>
      <c r="AA112" s="431">
        <v>0</v>
      </c>
      <c r="AB112" s="431">
        <v>0</v>
      </c>
      <c r="AC112" s="431">
        <v>848368</v>
      </c>
      <c r="AD112" s="431">
        <v>50834</v>
      </c>
      <c r="AE112" s="431">
        <v>1681767</v>
      </c>
      <c r="AF112" s="431">
        <v>12184</v>
      </c>
      <c r="AG112" s="431">
        <v>478882</v>
      </c>
      <c r="AH112" s="431">
        <v>480123</v>
      </c>
      <c r="AI112" s="431">
        <v>168624</v>
      </c>
      <c r="AJ112" s="431">
        <v>3009401</v>
      </c>
      <c r="AK112" s="431">
        <v>0</v>
      </c>
      <c r="AL112" s="431">
        <v>616363</v>
      </c>
      <c r="AM112" s="431">
        <v>30770</v>
      </c>
    </row>
    <row r="113" spans="1:39" s="155" customFormat="1" ht="12" x14ac:dyDescent="0.2">
      <c r="A113" s="168">
        <v>59</v>
      </c>
      <c r="B113" s="196">
        <v>75150</v>
      </c>
      <c r="C113" s="163" t="s">
        <v>705</v>
      </c>
      <c r="D113" s="432">
        <f t="shared" si="8"/>
        <v>10537182</v>
      </c>
      <c r="E113" s="431">
        <v>6453140</v>
      </c>
      <c r="F113" s="431">
        <v>2888610</v>
      </c>
      <c r="G113" s="431">
        <v>143122</v>
      </c>
      <c r="H113" s="431">
        <v>0</v>
      </c>
      <c r="I113" s="431">
        <v>2099657</v>
      </c>
      <c r="J113" s="431">
        <v>169300</v>
      </c>
      <c r="K113" s="431">
        <v>321360</v>
      </c>
      <c r="L113" s="431"/>
      <c r="M113" s="431">
        <v>1467331</v>
      </c>
      <c r="N113" s="431">
        <v>0</v>
      </c>
      <c r="O113" s="431">
        <v>26394</v>
      </c>
      <c r="P113" s="432">
        <f t="shared" si="11"/>
        <v>10058921</v>
      </c>
      <c r="Q113" s="431">
        <v>2581172</v>
      </c>
      <c r="R113" s="431">
        <v>2837992</v>
      </c>
      <c r="S113" s="431">
        <v>0</v>
      </c>
      <c r="T113" s="431">
        <v>0</v>
      </c>
      <c r="U113" s="431">
        <v>0</v>
      </c>
      <c r="V113" s="431">
        <v>191371</v>
      </c>
      <c r="W113" s="431">
        <v>0</v>
      </c>
      <c r="X113" s="431">
        <v>157637</v>
      </c>
      <c r="Y113" s="431">
        <v>252225</v>
      </c>
      <c r="Z113" s="431">
        <v>4038524</v>
      </c>
      <c r="AA113" s="431">
        <v>0</v>
      </c>
      <c r="AB113" s="431">
        <v>0</v>
      </c>
      <c r="AC113" s="431">
        <v>1452337</v>
      </c>
      <c r="AD113" s="431">
        <v>47024</v>
      </c>
      <c r="AE113" s="431">
        <v>3542640</v>
      </c>
      <c r="AF113" s="431">
        <v>0</v>
      </c>
      <c r="AG113" s="431">
        <v>366705</v>
      </c>
      <c r="AH113" s="431">
        <v>345474</v>
      </c>
      <c r="AI113" s="431">
        <v>1685449</v>
      </c>
      <c r="AJ113" s="431">
        <v>1822097</v>
      </c>
      <c r="AK113" s="431">
        <v>0</v>
      </c>
      <c r="AL113" s="431">
        <v>797195</v>
      </c>
      <c r="AM113" s="431">
        <v>0</v>
      </c>
    </row>
    <row r="114" spans="1:39" s="155" customFormat="1" ht="12" x14ac:dyDescent="0.2">
      <c r="A114" s="168">
        <v>60</v>
      </c>
      <c r="B114" s="196">
        <v>77509</v>
      </c>
      <c r="C114" s="163" t="s">
        <v>706</v>
      </c>
      <c r="D114" s="432">
        <f t="shared" si="8"/>
        <v>7424704</v>
      </c>
      <c r="E114" s="431">
        <v>1350915</v>
      </c>
      <c r="F114" s="431">
        <v>98258</v>
      </c>
      <c r="G114" s="431">
        <v>697994</v>
      </c>
      <c r="H114" s="431">
        <v>0</v>
      </c>
      <c r="I114" s="431">
        <v>1004977</v>
      </c>
      <c r="J114" s="431">
        <v>390000</v>
      </c>
      <c r="K114" s="431">
        <v>325190</v>
      </c>
      <c r="L114" s="431"/>
      <c r="M114" s="431">
        <v>3966764</v>
      </c>
      <c r="N114" s="431">
        <v>341160</v>
      </c>
      <c r="O114" s="431">
        <v>45698</v>
      </c>
      <c r="P114" s="432">
        <f t="shared" si="11"/>
        <v>7268873</v>
      </c>
      <c r="Q114" s="431">
        <v>1205780</v>
      </c>
      <c r="R114" s="431">
        <v>551673</v>
      </c>
      <c r="S114" s="431">
        <v>0</v>
      </c>
      <c r="T114" s="431">
        <v>0</v>
      </c>
      <c r="U114" s="431">
        <v>0</v>
      </c>
      <c r="V114" s="431">
        <v>0</v>
      </c>
      <c r="W114" s="431">
        <v>441122</v>
      </c>
      <c r="X114" s="431">
        <v>182699</v>
      </c>
      <c r="Y114" s="431">
        <v>80000</v>
      </c>
      <c r="Z114" s="431">
        <v>4807636</v>
      </c>
      <c r="AA114" s="431">
        <v>0</v>
      </c>
      <c r="AB114" s="431">
        <v>-37</v>
      </c>
      <c r="AC114" s="431">
        <v>572761</v>
      </c>
      <c r="AD114" s="431">
        <v>97018</v>
      </c>
      <c r="AE114" s="431">
        <v>1000653</v>
      </c>
      <c r="AF114" s="431">
        <v>31969</v>
      </c>
      <c r="AG114" s="431">
        <v>94132</v>
      </c>
      <c r="AH114" s="431">
        <v>226699</v>
      </c>
      <c r="AI114" s="431">
        <v>555021</v>
      </c>
      <c r="AJ114" s="431">
        <v>231136</v>
      </c>
      <c r="AK114" s="431">
        <v>0</v>
      </c>
      <c r="AL114" s="431">
        <v>4427576</v>
      </c>
      <c r="AM114" s="431">
        <v>31908</v>
      </c>
    </row>
    <row r="115" spans="1:39" s="155" customFormat="1" ht="12" x14ac:dyDescent="0.2">
      <c r="A115" s="168">
        <v>61</v>
      </c>
      <c r="B115" s="563">
        <v>77536</v>
      </c>
      <c r="C115" s="163" t="s">
        <v>707</v>
      </c>
      <c r="D115" s="432">
        <f t="shared" si="8"/>
        <v>2715871</v>
      </c>
      <c r="E115" s="431">
        <v>1304314</v>
      </c>
      <c r="F115" s="431">
        <v>71932</v>
      </c>
      <c r="G115" s="431">
        <v>861455</v>
      </c>
      <c r="H115" s="431">
        <v>0</v>
      </c>
      <c r="I115" s="431">
        <v>889692</v>
      </c>
      <c r="J115" s="431">
        <v>0</v>
      </c>
      <c r="K115" s="431">
        <v>465730</v>
      </c>
      <c r="L115" s="431"/>
      <c r="M115" s="431">
        <v>19607</v>
      </c>
      <c r="N115" s="431">
        <v>0</v>
      </c>
      <c r="O115" s="431">
        <v>36528</v>
      </c>
      <c r="P115" s="432">
        <f t="shared" si="11"/>
        <v>2332379</v>
      </c>
      <c r="Q115" s="431">
        <v>1115153</v>
      </c>
      <c r="R115" s="431">
        <v>822258</v>
      </c>
      <c r="S115" s="431">
        <v>0</v>
      </c>
      <c r="T115" s="431">
        <v>0</v>
      </c>
      <c r="U115" s="431">
        <v>0</v>
      </c>
      <c r="V115" s="431">
        <v>0</v>
      </c>
      <c r="W115" s="431">
        <v>0</v>
      </c>
      <c r="X115" s="431">
        <v>141711</v>
      </c>
      <c r="Y115" s="431">
        <v>50000</v>
      </c>
      <c r="Z115" s="431">
        <v>203257</v>
      </c>
      <c r="AA115" s="431">
        <v>0</v>
      </c>
      <c r="AB115" s="431">
        <v>0</v>
      </c>
      <c r="AC115" s="431">
        <v>685639</v>
      </c>
      <c r="AD115" s="431">
        <v>30259</v>
      </c>
      <c r="AE115" s="431">
        <v>853546</v>
      </c>
      <c r="AF115" s="431">
        <v>50593</v>
      </c>
      <c r="AG115" s="431">
        <v>87876</v>
      </c>
      <c r="AH115" s="431">
        <v>152211</v>
      </c>
      <c r="AI115" s="431">
        <v>281841</v>
      </c>
      <c r="AJ115" s="431">
        <v>30236</v>
      </c>
      <c r="AK115" s="431">
        <v>0</v>
      </c>
      <c r="AL115" s="431">
        <v>145803</v>
      </c>
      <c r="AM115" s="431">
        <v>14375</v>
      </c>
    </row>
    <row r="116" spans="1:39" s="155" customFormat="1" ht="12" hidden="1" x14ac:dyDescent="0.2">
      <c r="A116" s="168">
        <v>62</v>
      </c>
      <c r="B116" s="168"/>
      <c r="C116" s="172"/>
      <c r="D116" s="432">
        <f t="shared" si="8"/>
        <v>0</v>
      </c>
      <c r="E116" s="431"/>
      <c r="F116" s="431"/>
      <c r="G116" s="431"/>
      <c r="H116" s="431"/>
      <c r="I116" s="431"/>
      <c r="J116" s="431"/>
      <c r="K116" s="431"/>
      <c r="L116" s="431"/>
      <c r="M116" s="431"/>
      <c r="N116" s="431"/>
      <c r="O116" s="431"/>
      <c r="P116" s="432">
        <f t="shared" si="11"/>
        <v>0</v>
      </c>
      <c r="Q116" s="431"/>
      <c r="R116" s="431"/>
      <c r="S116" s="431"/>
      <c r="T116" s="431"/>
      <c r="U116" s="431"/>
      <c r="V116" s="431"/>
      <c r="W116" s="431"/>
      <c r="X116" s="431"/>
      <c r="Y116" s="431"/>
      <c r="Z116" s="468"/>
      <c r="AA116" s="431"/>
      <c r="AB116" s="431"/>
      <c r="AC116" s="468"/>
      <c r="AD116" s="431"/>
      <c r="AE116" s="431"/>
      <c r="AF116" s="431"/>
      <c r="AG116" s="431"/>
      <c r="AH116" s="431"/>
      <c r="AI116" s="468"/>
      <c r="AJ116" s="468"/>
      <c r="AK116" s="431"/>
      <c r="AL116" s="431"/>
      <c r="AM116" s="431"/>
    </row>
    <row r="117" spans="1:39" s="155" customFormat="1" ht="12" hidden="1" x14ac:dyDescent="0.2">
      <c r="A117" s="168">
        <v>63</v>
      </c>
      <c r="B117" s="168"/>
      <c r="C117" s="182"/>
      <c r="D117" s="432">
        <f t="shared" si="8"/>
        <v>0</v>
      </c>
      <c r="E117" s="431"/>
      <c r="F117" s="431"/>
      <c r="G117" s="431"/>
      <c r="H117" s="431"/>
      <c r="I117" s="431"/>
      <c r="J117" s="431"/>
      <c r="K117" s="431"/>
      <c r="L117" s="431"/>
      <c r="M117" s="431"/>
      <c r="N117" s="431"/>
      <c r="O117" s="431"/>
      <c r="P117" s="432">
        <f t="shared" si="11"/>
        <v>0</v>
      </c>
      <c r="Q117" s="431"/>
      <c r="R117" s="431"/>
      <c r="S117" s="431"/>
      <c r="T117" s="431"/>
      <c r="U117" s="431"/>
      <c r="V117" s="431"/>
      <c r="W117" s="431"/>
      <c r="X117" s="431"/>
      <c r="Y117" s="431"/>
      <c r="Z117" s="468"/>
      <c r="AA117" s="431"/>
      <c r="AB117" s="431"/>
      <c r="AC117" s="468"/>
      <c r="AD117" s="431"/>
      <c r="AE117" s="431"/>
      <c r="AF117" s="431"/>
      <c r="AG117" s="431"/>
      <c r="AH117" s="431"/>
      <c r="AI117" s="468"/>
      <c r="AJ117" s="468"/>
      <c r="AK117" s="431"/>
      <c r="AL117" s="431"/>
      <c r="AM117" s="431"/>
    </row>
    <row r="118" spans="1:39" s="155" customFormat="1" ht="12" hidden="1" x14ac:dyDescent="0.2">
      <c r="A118" s="168">
        <v>64</v>
      </c>
      <c r="B118" s="168"/>
      <c r="C118" s="172"/>
      <c r="D118" s="432">
        <f t="shared" ref="D118:D143" si="12">E118+SUM(H118:O118)</f>
        <v>0</v>
      </c>
      <c r="E118" s="431"/>
      <c r="F118" s="431"/>
      <c r="G118" s="431"/>
      <c r="H118" s="431"/>
      <c r="I118" s="431"/>
      <c r="J118" s="431"/>
      <c r="K118" s="431"/>
      <c r="L118" s="431"/>
      <c r="M118" s="431"/>
      <c r="N118" s="431"/>
      <c r="O118" s="431"/>
      <c r="P118" s="432">
        <f t="shared" si="11"/>
        <v>0</v>
      </c>
      <c r="Q118" s="431"/>
      <c r="R118" s="431"/>
      <c r="S118" s="431"/>
      <c r="T118" s="431"/>
      <c r="U118" s="431"/>
      <c r="V118" s="431"/>
      <c r="W118" s="431"/>
      <c r="X118" s="431"/>
      <c r="Y118" s="431"/>
      <c r="Z118" s="468"/>
      <c r="AA118" s="431"/>
      <c r="AB118" s="431"/>
      <c r="AC118" s="468"/>
      <c r="AD118" s="431"/>
      <c r="AE118" s="431"/>
      <c r="AF118" s="431"/>
      <c r="AG118" s="431"/>
      <c r="AH118" s="431"/>
      <c r="AI118" s="468"/>
      <c r="AJ118" s="468"/>
      <c r="AK118" s="431"/>
      <c r="AL118" s="431"/>
      <c r="AM118" s="431"/>
    </row>
    <row r="119" spans="1:39" s="155" customFormat="1" ht="12" hidden="1" x14ac:dyDescent="0.2">
      <c r="A119" s="168">
        <v>65</v>
      </c>
      <c r="B119" s="168"/>
      <c r="C119" s="172"/>
      <c r="D119" s="432">
        <f t="shared" si="12"/>
        <v>0</v>
      </c>
      <c r="E119" s="431"/>
      <c r="F119" s="431"/>
      <c r="G119" s="431"/>
      <c r="H119" s="431"/>
      <c r="I119" s="431"/>
      <c r="J119" s="431"/>
      <c r="K119" s="431"/>
      <c r="L119" s="431"/>
      <c r="M119" s="431"/>
      <c r="N119" s="431"/>
      <c r="O119" s="431"/>
      <c r="P119" s="432">
        <f t="shared" si="11"/>
        <v>0</v>
      </c>
      <c r="Q119" s="431"/>
      <c r="R119" s="431"/>
      <c r="S119" s="431"/>
      <c r="T119" s="431"/>
      <c r="U119" s="431"/>
      <c r="V119" s="431"/>
      <c r="W119" s="431"/>
      <c r="X119" s="431"/>
      <c r="Y119" s="431"/>
      <c r="Z119" s="468"/>
      <c r="AA119" s="431"/>
      <c r="AB119" s="431"/>
      <c r="AC119" s="468"/>
      <c r="AD119" s="431"/>
      <c r="AE119" s="431"/>
      <c r="AF119" s="431"/>
      <c r="AG119" s="431"/>
      <c r="AH119" s="431"/>
      <c r="AI119" s="468"/>
      <c r="AJ119" s="468"/>
      <c r="AK119" s="431"/>
      <c r="AL119" s="431"/>
      <c r="AM119" s="431"/>
    </row>
    <row r="120" spans="1:39" s="155" customFormat="1" ht="12" hidden="1" x14ac:dyDescent="0.2">
      <c r="A120" s="168">
        <v>66</v>
      </c>
      <c r="B120" s="168"/>
      <c r="C120" s="172"/>
      <c r="D120" s="432">
        <f t="shared" si="12"/>
        <v>0</v>
      </c>
      <c r="E120" s="431"/>
      <c r="F120" s="431"/>
      <c r="G120" s="431"/>
      <c r="H120" s="431"/>
      <c r="I120" s="431"/>
      <c r="J120" s="431"/>
      <c r="K120" s="431"/>
      <c r="L120" s="431"/>
      <c r="M120" s="431"/>
      <c r="N120" s="431"/>
      <c r="O120" s="431"/>
      <c r="P120" s="432">
        <f t="shared" si="11"/>
        <v>0</v>
      </c>
      <c r="Q120" s="431"/>
      <c r="R120" s="431"/>
      <c r="S120" s="431"/>
      <c r="T120" s="431"/>
      <c r="U120" s="431"/>
      <c r="V120" s="431"/>
      <c r="W120" s="431"/>
      <c r="X120" s="431"/>
      <c r="Y120" s="431"/>
      <c r="Z120" s="468"/>
      <c r="AA120" s="431"/>
      <c r="AB120" s="431"/>
      <c r="AC120" s="468"/>
      <c r="AD120" s="431"/>
      <c r="AE120" s="431"/>
      <c r="AF120" s="431"/>
      <c r="AG120" s="431"/>
      <c r="AH120" s="431"/>
      <c r="AI120" s="468"/>
      <c r="AJ120" s="468"/>
      <c r="AK120" s="431"/>
      <c r="AL120" s="431"/>
      <c r="AM120" s="431"/>
    </row>
    <row r="121" spans="1:39" s="155" customFormat="1" ht="12" hidden="1" x14ac:dyDescent="0.2">
      <c r="A121" s="168">
        <v>67</v>
      </c>
      <c r="B121" s="168"/>
      <c r="C121" s="172"/>
      <c r="D121" s="432">
        <f t="shared" si="12"/>
        <v>0</v>
      </c>
      <c r="E121" s="431"/>
      <c r="F121" s="431"/>
      <c r="G121" s="431"/>
      <c r="H121" s="431"/>
      <c r="I121" s="431"/>
      <c r="J121" s="431"/>
      <c r="K121" s="431"/>
      <c r="L121" s="431"/>
      <c r="M121" s="431"/>
      <c r="N121" s="431"/>
      <c r="O121" s="431"/>
      <c r="P121" s="432">
        <f t="shared" si="11"/>
        <v>0</v>
      </c>
      <c r="Q121" s="431"/>
      <c r="R121" s="431"/>
      <c r="S121" s="431"/>
      <c r="T121" s="431"/>
      <c r="U121" s="431"/>
      <c r="V121" s="431"/>
      <c r="W121" s="431"/>
      <c r="X121" s="431"/>
      <c r="Y121" s="431"/>
      <c r="Z121" s="468"/>
      <c r="AA121" s="431"/>
      <c r="AB121" s="431"/>
      <c r="AC121" s="468"/>
      <c r="AD121" s="431"/>
      <c r="AE121" s="431"/>
      <c r="AF121" s="431"/>
      <c r="AG121" s="431"/>
      <c r="AH121" s="431"/>
      <c r="AI121" s="468"/>
      <c r="AJ121" s="468"/>
      <c r="AK121" s="431"/>
      <c r="AL121" s="431"/>
      <c r="AM121" s="431"/>
    </row>
    <row r="122" spans="1:39" s="155" customFormat="1" ht="12" hidden="1" x14ac:dyDescent="0.2">
      <c r="A122" s="168">
        <v>68</v>
      </c>
      <c r="B122" s="168"/>
      <c r="C122" s="172"/>
      <c r="D122" s="432">
        <f t="shared" si="12"/>
        <v>0</v>
      </c>
      <c r="E122" s="431"/>
      <c r="F122" s="431"/>
      <c r="G122" s="431"/>
      <c r="H122" s="431"/>
      <c r="I122" s="431"/>
      <c r="J122" s="431"/>
      <c r="K122" s="431"/>
      <c r="L122" s="431"/>
      <c r="M122" s="431"/>
      <c r="N122" s="431"/>
      <c r="O122" s="431"/>
      <c r="P122" s="432">
        <f t="shared" si="11"/>
        <v>0</v>
      </c>
      <c r="Q122" s="431"/>
      <c r="R122" s="431"/>
      <c r="S122" s="431"/>
      <c r="T122" s="431"/>
      <c r="U122" s="431"/>
      <c r="V122" s="431"/>
      <c r="W122" s="431"/>
      <c r="X122" s="431"/>
      <c r="Y122" s="431"/>
      <c r="Z122" s="468"/>
      <c r="AA122" s="431"/>
      <c r="AB122" s="431"/>
      <c r="AC122" s="468"/>
      <c r="AD122" s="431"/>
      <c r="AE122" s="431"/>
      <c r="AF122" s="431"/>
      <c r="AG122" s="431"/>
      <c r="AH122" s="431"/>
      <c r="AI122" s="468"/>
      <c r="AJ122" s="468"/>
      <c r="AK122" s="431"/>
      <c r="AL122" s="431"/>
      <c r="AM122" s="431"/>
    </row>
    <row r="123" spans="1:39" s="155" customFormat="1" ht="12" hidden="1" x14ac:dyDescent="0.2">
      <c r="A123" s="168">
        <v>69</v>
      </c>
      <c r="B123" s="168"/>
      <c r="C123" s="172"/>
      <c r="D123" s="432">
        <f t="shared" si="12"/>
        <v>0</v>
      </c>
      <c r="E123" s="431"/>
      <c r="F123" s="431"/>
      <c r="G123" s="431"/>
      <c r="H123" s="431"/>
      <c r="I123" s="431"/>
      <c r="J123" s="431"/>
      <c r="K123" s="431"/>
      <c r="L123" s="431"/>
      <c r="M123" s="431"/>
      <c r="N123" s="431"/>
      <c r="O123" s="431"/>
      <c r="P123" s="432">
        <f t="shared" si="11"/>
        <v>0</v>
      </c>
      <c r="Q123" s="431"/>
      <c r="R123" s="431"/>
      <c r="S123" s="431"/>
      <c r="T123" s="431"/>
      <c r="U123" s="431"/>
      <c r="V123" s="431"/>
      <c r="W123" s="431"/>
      <c r="X123" s="431"/>
      <c r="Y123" s="431"/>
      <c r="Z123" s="468"/>
      <c r="AA123" s="431"/>
      <c r="AB123" s="431"/>
      <c r="AC123" s="468"/>
      <c r="AD123" s="431"/>
      <c r="AE123" s="431"/>
      <c r="AF123" s="431"/>
      <c r="AG123" s="431"/>
      <c r="AH123" s="431"/>
      <c r="AI123" s="468"/>
      <c r="AJ123" s="468"/>
      <c r="AK123" s="431"/>
      <c r="AL123" s="431"/>
      <c r="AM123" s="431"/>
    </row>
    <row r="124" spans="1:39" s="155" customFormat="1" ht="12" hidden="1" x14ac:dyDescent="0.2">
      <c r="A124" s="168">
        <v>70</v>
      </c>
      <c r="B124" s="168"/>
      <c r="C124" s="172"/>
      <c r="D124" s="432">
        <f t="shared" si="12"/>
        <v>0</v>
      </c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32">
        <f t="shared" si="11"/>
        <v>0</v>
      </c>
      <c r="Q124" s="431"/>
      <c r="R124" s="431"/>
      <c r="S124" s="431"/>
      <c r="T124" s="431"/>
      <c r="U124" s="431"/>
      <c r="V124" s="431"/>
      <c r="W124" s="431"/>
      <c r="X124" s="431"/>
      <c r="Y124" s="431"/>
      <c r="Z124" s="468"/>
      <c r="AA124" s="431"/>
      <c r="AB124" s="431"/>
      <c r="AC124" s="468"/>
      <c r="AD124" s="431"/>
      <c r="AE124" s="431"/>
      <c r="AF124" s="431"/>
      <c r="AG124" s="431"/>
      <c r="AH124" s="431"/>
      <c r="AI124" s="468"/>
      <c r="AJ124" s="468"/>
      <c r="AK124" s="431"/>
      <c r="AL124" s="431"/>
      <c r="AM124" s="431"/>
    </row>
    <row r="125" spans="1:39" s="155" customFormat="1" ht="12" hidden="1" x14ac:dyDescent="0.2">
      <c r="A125" s="168">
        <v>71</v>
      </c>
      <c r="B125" s="168"/>
      <c r="C125" s="172"/>
      <c r="D125" s="432">
        <f t="shared" si="12"/>
        <v>0</v>
      </c>
      <c r="E125" s="431"/>
      <c r="F125" s="431"/>
      <c r="G125" s="431"/>
      <c r="H125" s="431"/>
      <c r="I125" s="431"/>
      <c r="J125" s="431"/>
      <c r="K125" s="431"/>
      <c r="L125" s="431"/>
      <c r="M125" s="431"/>
      <c r="N125" s="431"/>
      <c r="O125" s="431"/>
      <c r="P125" s="432">
        <f t="shared" si="11"/>
        <v>0</v>
      </c>
      <c r="Q125" s="431"/>
      <c r="R125" s="431"/>
      <c r="S125" s="431"/>
      <c r="T125" s="431"/>
      <c r="U125" s="431"/>
      <c r="V125" s="431"/>
      <c r="W125" s="431"/>
      <c r="X125" s="431"/>
      <c r="Y125" s="431"/>
      <c r="Z125" s="468"/>
      <c r="AA125" s="431"/>
      <c r="AB125" s="431"/>
      <c r="AC125" s="468"/>
      <c r="AD125" s="431"/>
      <c r="AE125" s="431"/>
      <c r="AF125" s="431"/>
      <c r="AG125" s="431"/>
      <c r="AH125" s="431"/>
      <c r="AI125" s="468"/>
      <c r="AJ125" s="468"/>
      <c r="AK125" s="431"/>
      <c r="AL125" s="431"/>
      <c r="AM125" s="431"/>
    </row>
    <row r="126" spans="1:39" s="155" customFormat="1" ht="12" hidden="1" x14ac:dyDescent="0.2">
      <c r="A126" s="168">
        <v>72</v>
      </c>
      <c r="B126" s="168"/>
      <c r="C126" s="172"/>
      <c r="D126" s="432">
        <f t="shared" si="12"/>
        <v>0</v>
      </c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32">
        <f t="shared" si="11"/>
        <v>0</v>
      </c>
      <c r="Q126" s="431"/>
      <c r="R126" s="431"/>
      <c r="S126" s="431"/>
      <c r="T126" s="431"/>
      <c r="U126" s="431"/>
      <c r="V126" s="431"/>
      <c r="W126" s="431"/>
      <c r="X126" s="431"/>
      <c r="Y126" s="431"/>
      <c r="Z126" s="468"/>
      <c r="AA126" s="431"/>
      <c r="AB126" s="431"/>
      <c r="AC126" s="468"/>
      <c r="AD126" s="431"/>
      <c r="AE126" s="431"/>
      <c r="AF126" s="431"/>
      <c r="AG126" s="431"/>
      <c r="AH126" s="431"/>
      <c r="AI126" s="468"/>
      <c r="AJ126" s="468"/>
      <c r="AK126" s="431"/>
      <c r="AL126" s="431"/>
      <c r="AM126" s="431"/>
    </row>
    <row r="127" spans="1:39" s="155" customFormat="1" ht="12" hidden="1" x14ac:dyDescent="0.2">
      <c r="A127" s="168">
        <v>73</v>
      </c>
      <c r="B127" s="168"/>
      <c r="C127" s="172"/>
      <c r="D127" s="432">
        <f t="shared" si="12"/>
        <v>0</v>
      </c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32">
        <f t="shared" si="11"/>
        <v>0</v>
      </c>
      <c r="Q127" s="431"/>
      <c r="R127" s="431"/>
      <c r="S127" s="431"/>
      <c r="T127" s="431"/>
      <c r="U127" s="431"/>
      <c r="V127" s="431"/>
      <c r="W127" s="431"/>
      <c r="X127" s="431"/>
      <c r="Y127" s="431"/>
      <c r="Z127" s="468"/>
      <c r="AA127" s="431"/>
      <c r="AB127" s="431"/>
      <c r="AC127" s="468"/>
      <c r="AD127" s="431"/>
      <c r="AE127" s="431"/>
      <c r="AF127" s="431"/>
      <c r="AG127" s="431"/>
      <c r="AH127" s="431"/>
      <c r="AI127" s="468"/>
      <c r="AJ127" s="468"/>
      <c r="AK127" s="431"/>
      <c r="AL127" s="431"/>
      <c r="AM127" s="431"/>
    </row>
    <row r="128" spans="1:39" s="155" customFormat="1" ht="12" hidden="1" x14ac:dyDescent="0.2">
      <c r="A128" s="168">
        <v>74</v>
      </c>
      <c r="B128" s="168"/>
      <c r="C128" s="172"/>
      <c r="D128" s="432">
        <f t="shared" si="12"/>
        <v>0</v>
      </c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32">
        <f t="shared" si="11"/>
        <v>0</v>
      </c>
      <c r="Q128" s="431"/>
      <c r="R128" s="431"/>
      <c r="S128" s="431"/>
      <c r="T128" s="431"/>
      <c r="U128" s="431"/>
      <c r="V128" s="431"/>
      <c r="W128" s="431"/>
      <c r="X128" s="431"/>
      <c r="Y128" s="431"/>
      <c r="Z128" s="468"/>
      <c r="AA128" s="431"/>
      <c r="AB128" s="431"/>
      <c r="AC128" s="468"/>
      <c r="AD128" s="431"/>
      <c r="AE128" s="431"/>
      <c r="AF128" s="431"/>
      <c r="AG128" s="431"/>
      <c r="AH128" s="431"/>
      <c r="AI128" s="468"/>
      <c r="AJ128" s="468"/>
      <c r="AK128" s="431"/>
      <c r="AL128" s="431"/>
      <c r="AM128" s="431"/>
    </row>
    <row r="129" spans="1:39" s="155" customFormat="1" ht="12" hidden="1" x14ac:dyDescent="0.2">
      <c r="A129" s="168">
        <v>75</v>
      </c>
      <c r="B129" s="168"/>
      <c r="C129" s="172"/>
      <c r="D129" s="432">
        <f t="shared" si="12"/>
        <v>0</v>
      </c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32">
        <f t="shared" si="11"/>
        <v>0</v>
      </c>
      <c r="Q129" s="431"/>
      <c r="R129" s="431"/>
      <c r="S129" s="431"/>
      <c r="T129" s="431"/>
      <c r="U129" s="431"/>
      <c r="V129" s="431"/>
      <c r="W129" s="431"/>
      <c r="X129" s="431"/>
      <c r="Y129" s="431"/>
      <c r="Z129" s="468"/>
      <c r="AA129" s="431"/>
      <c r="AB129" s="431"/>
      <c r="AC129" s="468"/>
      <c r="AD129" s="431"/>
      <c r="AE129" s="431"/>
      <c r="AF129" s="431"/>
      <c r="AG129" s="431"/>
      <c r="AH129" s="431"/>
      <c r="AI129" s="468"/>
      <c r="AJ129" s="468"/>
      <c r="AK129" s="431"/>
      <c r="AL129" s="431"/>
      <c r="AM129" s="431"/>
    </row>
    <row r="130" spans="1:39" s="155" customFormat="1" ht="12" hidden="1" x14ac:dyDescent="0.2">
      <c r="A130" s="168">
        <v>76</v>
      </c>
      <c r="B130" s="168"/>
      <c r="C130" s="172"/>
      <c r="D130" s="432">
        <f t="shared" si="12"/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32">
        <f t="shared" si="11"/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</row>
    <row r="131" spans="1:39" s="155" customFormat="1" ht="12" hidden="1" x14ac:dyDescent="0.2">
      <c r="A131" s="168">
        <v>77</v>
      </c>
      <c r="B131" s="168"/>
      <c r="C131" s="172"/>
      <c r="D131" s="432">
        <f t="shared" si="12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2">
        <f t="shared" si="11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</row>
    <row r="132" spans="1:39" s="155" customFormat="1" ht="12" hidden="1" x14ac:dyDescent="0.2">
      <c r="A132" s="168">
        <v>78</v>
      </c>
      <c r="B132" s="168"/>
      <c r="C132" s="172"/>
      <c r="D132" s="432">
        <f t="shared" si="12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2">
        <f t="shared" si="11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</row>
    <row r="133" spans="1:39" s="155" customFormat="1" ht="12" hidden="1" x14ac:dyDescent="0.2">
      <c r="A133" s="168">
        <v>79</v>
      </c>
      <c r="B133" s="168"/>
      <c r="C133" s="172"/>
      <c r="D133" s="432">
        <f t="shared" si="12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si="11"/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155" customFormat="1" ht="12" hidden="1" x14ac:dyDescent="0.2">
      <c r="A134" s="168">
        <v>80</v>
      </c>
      <c r="B134" s="168"/>
      <c r="C134" s="172"/>
      <c r="D134" s="432">
        <f t="shared" si="12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si="11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155" customFormat="1" ht="12" hidden="1" x14ac:dyDescent="0.2">
      <c r="A135" s="168">
        <v>81</v>
      </c>
      <c r="B135" s="168"/>
      <c r="C135" s="172"/>
      <c r="D135" s="432">
        <f t="shared" si="12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11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155" customFormat="1" ht="12" hidden="1" x14ac:dyDescent="0.2">
      <c r="A136" s="168">
        <v>82</v>
      </c>
      <c r="B136" s="168"/>
      <c r="C136" s="172"/>
      <c r="D136" s="432">
        <f t="shared" si="12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11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155" customFormat="1" ht="12" hidden="1" x14ac:dyDescent="0.2">
      <c r="A137" s="168">
        <v>83</v>
      </c>
      <c r="B137" s="168"/>
      <c r="C137" s="172"/>
      <c r="D137" s="432">
        <f t="shared" si="12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11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68"/>
      <c r="C138" s="172"/>
      <c r="D138" s="432">
        <f t="shared" si="12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1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68"/>
      <c r="C139" s="172"/>
      <c r="D139" s="432">
        <f t="shared" si="12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1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68"/>
      <c r="C140" s="172"/>
      <c r="D140" s="432">
        <f t="shared" si="12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1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173"/>
      <c r="D141" s="432">
        <f t="shared" si="12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1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2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1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2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C9:AM10"/>
    <mergeCell ref="F10:G10"/>
    <mergeCell ref="A9:C12"/>
    <mergeCell ref="H9:H11"/>
    <mergeCell ref="I9:I11"/>
    <mergeCell ref="J9:J11"/>
    <mergeCell ref="K9:K11"/>
    <mergeCell ref="L9:L11"/>
    <mergeCell ref="A13:C13"/>
    <mergeCell ref="M9:M11"/>
    <mergeCell ref="N9:N11"/>
    <mergeCell ref="O9:O11"/>
    <mergeCell ref="Q9:Z10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/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960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736601094</v>
      </c>
      <c r="E14" s="432">
        <f>SUM(E15,E16,E33,E54)</f>
        <v>191768732</v>
      </c>
      <c r="F14" s="432">
        <f t="shared" ref="F14:O14" si="0">SUM(F15,F16,F33,F54)</f>
        <v>79229025</v>
      </c>
      <c r="G14" s="432">
        <f t="shared" si="0"/>
        <v>27655421</v>
      </c>
      <c r="H14" s="432">
        <f t="shared" si="0"/>
        <v>20792599</v>
      </c>
      <c r="I14" s="432">
        <f t="shared" si="0"/>
        <v>146373819</v>
      </c>
      <c r="J14" s="432">
        <f t="shared" si="0"/>
        <v>18700306</v>
      </c>
      <c r="K14" s="432">
        <f t="shared" si="0"/>
        <v>116975582</v>
      </c>
      <c r="L14" s="432">
        <f t="shared" si="0"/>
        <v>0</v>
      </c>
      <c r="M14" s="432">
        <f t="shared" si="0"/>
        <v>167297301</v>
      </c>
      <c r="N14" s="432">
        <f t="shared" si="0"/>
        <v>69266932</v>
      </c>
      <c r="O14" s="432">
        <f t="shared" si="0"/>
        <v>5425823</v>
      </c>
      <c r="P14" s="432">
        <f>IF(SUM(Q14:AB14)=SUM(AC14:AM14),SUM(Q14:AB14),"  EROARE ART/CAP")</f>
        <v>716137937</v>
      </c>
      <c r="Q14" s="432">
        <f t="shared" ref="Q14:AM14" si="1">Q15+Q16+Q33+Q54</f>
        <v>186225452</v>
      </c>
      <c r="R14" s="432">
        <f t="shared" si="1"/>
        <v>125006630</v>
      </c>
      <c r="S14" s="432">
        <f t="shared" si="1"/>
        <v>5814398</v>
      </c>
      <c r="T14" s="432">
        <f t="shared" si="1"/>
        <v>1220058</v>
      </c>
      <c r="U14" s="432">
        <f t="shared" si="1"/>
        <v>60849700</v>
      </c>
      <c r="V14" s="432">
        <f t="shared" si="1"/>
        <v>148965</v>
      </c>
      <c r="W14" s="432">
        <f t="shared" si="1"/>
        <v>100997859</v>
      </c>
      <c r="X14" s="432">
        <f t="shared" si="1"/>
        <v>24587914</v>
      </c>
      <c r="Y14" s="432">
        <f t="shared" si="1"/>
        <v>10422980</v>
      </c>
      <c r="Z14" s="432">
        <f t="shared" si="1"/>
        <v>192433495</v>
      </c>
      <c r="AA14" s="432">
        <f t="shared" si="1"/>
        <v>9238121</v>
      </c>
      <c r="AB14" s="432">
        <f t="shared" si="1"/>
        <v>-807635</v>
      </c>
      <c r="AC14" s="432">
        <f t="shared" si="1"/>
        <v>79723084</v>
      </c>
      <c r="AD14" s="432">
        <f t="shared" si="1"/>
        <v>6763151</v>
      </c>
      <c r="AE14" s="432">
        <f t="shared" si="1"/>
        <v>146536094</v>
      </c>
      <c r="AF14" s="432">
        <f t="shared" si="1"/>
        <v>12975284</v>
      </c>
      <c r="AG14" s="432">
        <f t="shared" si="1"/>
        <v>32957891</v>
      </c>
      <c r="AH14" s="432">
        <f t="shared" si="1"/>
        <v>106958884</v>
      </c>
      <c r="AI14" s="432">
        <f t="shared" si="1"/>
        <v>107299719</v>
      </c>
      <c r="AJ14" s="432">
        <f t="shared" si="1"/>
        <v>30768161</v>
      </c>
      <c r="AK14" s="432">
        <f t="shared" si="1"/>
        <v>5912037</v>
      </c>
      <c r="AL14" s="432">
        <f t="shared" si="1"/>
        <v>180941940</v>
      </c>
      <c r="AM14" s="432">
        <f t="shared" si="1"/>
        <v>5301692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187691915</v>
      </c>
      <c r="E15" s="432">
        <v>39125064</v>
      </c>
      <c r="F15" s="432">
        <v>16817485</v>
      </c>
      <c r="G15" s="432">
        <v>17158816</v>
      </c>
      <c r="H15" s="432">
        <v>20792599</v>
      </c>
      <c r="I15" s="432">
        <v>0</v>
      </c>
      <c r="J15" s="432">
        <v>4885000</v>
      </c>
      <c r="K15" s="432">
        <v>53268070</v>
      </c>
      <c r="L15" s="432">
        <v>0</v>
      </c>
      <c r="M15" s="432">
        <v>45495444</v>
      </c>
      <c r="N15" s="432">
        <v>23490613</v>
      </c>
      <c r="O15" s="432">
        <v>635125</v>
      </c>
      <c r="P15" s="432">
        <f>IF(SUM(Q15:AB15)=SUM(AC15:AM15),SUM(Q15:AB15),"  EROARE ART/CAP")</f>
        <v>170502322</v>
      </c>
      <c r="Q15" s="431">
        <v>22507548</v>
      </c>
      <c r="R15" s="434">
        <v>16129296</v>
      </c>
      <c r="S15" s="434">
        <v>2484747</v>
      </c>
      <c r="T15" s="434">
        <v>0</v>
      </c>
      <c r="U15" s="434">
        <v>59088082</v>
      </c>
      <c r="V15" s="434">
        <v>0</v>
      </c>
      <c r="W15" s="434">
        <v>44791192</v>
      </c>
      <c r="X15" s="469">
        <v>5180134</v>
      </c>
      <c r="Y15" s="434">
        <v>6051940</v>
      </c>
      <c r="Z15" s="431">
        <v>9316867</v>
      </c>
      <c r="AA15" s="431">
        <v>5076751</v>
      </c>
      <c r="AB15" s="431">
        <v>-124235</v>
      </c>
      <c r="AC15" s="445">
        <v>12098963</v>
      </c>
      <c r="AD15" s="431">
        <v>717599</v>
      </c>
      <c r="AE15" s="434">
        <v>7114587</v>
      </c>
      <c r="AF15" s="434">
        <v>12234476</v>
      </c>
      <c r="AG15" s="434">
        <v>13337247</v>
      </c>
      <c r="AH15" s="434">
        <v>63964550</v>
      </c>
      <c r="AI15" s="434">
        <v>3485087</v>
      </c>
      <c r="AJ15" s="434">
        <v>5291926</v>
      </c>
      <c r="AK15" s="434">
        <v>0</v>
      </c>
      <c r="AL15" s="434">
        <v>49306266</v>
      </c>
      <c r="AM15" s="434">
        <v>2951621</v>
      </c>
    </row>
    <row r="16" spans="1:39" s="155" customFormat="1" ht="12" x14ac:dyDescent="0.2">
      <c r="A16" s="156" t="s">
        <v>72</v>
      </c>
      <c r="B16" s="157"/>
      <c r="C16" s="159"/>
      <c r="D16" s="432">
        <f>E16+SUM(H16:O16)</f>
        <v>127627188</v>
      </c>
      <c r="E16" s="433">
        <f>SUM(E18:E32)</f>
        <v>64173783</v>
      </c>
      <c r="F16" s="433">
        <f t="shared" ref="F16:O16" si="2">SUM(F18:F32)</f>
        <v>31557499</v>
      </c>
      <c r="G16" s="433">
        <f t="shared" si="2"/>
        <v>428591</v>
      </c>
      <c r="H16" s="433">
        <f t="shared" si="2"/>
        <v>0</v>
      </c>
      <c r="I16" s="433">
        <f t="shared" si="2"/>
        <v>44349839</v>
      </c>
      <c r="J16" s="433">
        <f t="shared" si="2"/>
        <v>0</v>
      </c>
      <c r="K16" s="433">
        <f t="shared" si="2"/>
        <v>3152750</v>
      </c>
      <c r="L16" s="433">
        <f t="shared" si="2"/>
        <v>0</v>
      </c>
      <c r="M16" s="433">
        <f t="shared" si="2"/>
        <v>6481139</v>
      </c>
      <c r="N16" s="433">
        <f t="shared" si="2"/>
        <v>8644481</v>
      </c>
      <c r="O16" s="433">
        <f t="shared" si="2"/>
        <v>825196</v>
      </c>
      <c r="P16" s="432">
        <f t="shared" ref="P16:P54" si="3">IF(SUM(Q16:AB16)=SUM(AC16:AM16),SUM(Q16:AB16),"  EROARE ART/CAP")</f>
        <v>128885972</v>
      </c>
      <c r="Q16" s="432">
        <f>SUM(Q18:Q32)</f>
        <v>49095984</v>
      </c>
      <c r="R16" s="432">
        <f t="shared" ref="R16:AM16" si="4">SUM(R18:R32)</f>
        <v>38139376</v>
      </c>
      <c r="S16" s="432">
        <f t="shared" si="4"/>
        <v>2929330</v>
      </c>
      <c r="T16" s="432">
        <f t="shared" si="4"/>
        <v>1220058</v>
      </c>
      <c r="U16" s="432">
        <f t="shared" si="4"/>
        <v>1726618</v>
      </c>
      <c r="V16" s="432">
        <f t="shared" si="4"/>
        <v>0</v>
      </c>
      <c r="W16" s="432">
        <f t="shared" si="4"/>
        <v>9241365</v>
      </c>
      <c r="X16" s="432">
        <f t="shared" si="4"/>
        <v>7096131</v>
      </c>
      <c r="Y16" s="432">
        <f t="shared" si="4"/>
        <v>1768741</v>
      </c>
      <c r="Z16" s="432">
        <f t="shared" si="4"/>
        <v>14945804</v>
      </c>
      <c r="AA16" s="432">
        <f t="shared" si="4"/>
        <v>2877729</v>
      </c>
      <c r="AB16" s="432">
        <f t="shared" si="4"/>
        <v>-155164</v>
      </c>
      <c r="AC16" s="432">
        <f t="shared" si="4"/>
        <v>15603381</v>
      </c>
      <c r="AD16" s="432">
        <f t="shared" si="4"/>
        <v>3422002</v>
      </c>
      <c r="AE16" s="432">
        <f t="shared" si="4"/>
        <v>39674131</v>
      </c>
      <c r="AF16" s="432">
        <f t="shared" si="4"/>
        <v>0</v>
      </c>
      <c r="AG16" s="432">
        <f t="shared" si="4"/>
        <v>7868131</v>
      </c>
      <c r="AH16" s="432">
        <f t="shared" si="4"/>
        <v>14491956</v>
      </c>
      <c r="AI16" s="432">
        <f t="shared" si="4"/>
        <v>36431518</v>
      </c>
      <c r="AJ16" s="432">
        <f t="shared" si="4"/>
        <v>1115711</v>
      </c>
      <c r="AK16" s="432">
        <f t="shared" si="4"/>
        <v>5912037</v>
      </c>
      <c r="AL16" s="432">
        <f t="shared" si="4"/>
        <v>4367105</v>
      </c>
      <c r="AM16" s="432">
        <f t="shared" si="4"/>
        <v>0</v>
      </c>
    </row>
    <row r="17" spans="1:39" s="155" customFormat="1" ht="22.5" x14ac:dyDescent="0.2">
      <c r="A17" s="277" t="s">
        <v>2306</v>
      </c>
      <c r="B17" s="279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146">
        <v>1</v>
      </c>
      <c r="B18" s="498">
        <v>100530</v>
      </c>
      <c r="C18" s="568" t="s">
        <v>3239</v>
      </c>
      <c r="D18" s="432">
        <f>E18+SUM(H18:O18)</f>
        <v>127627188</v>
      </c>
      <c r="E18" s="452">
        <v>64173783</v>
      </c>
      <c r="F18" s="452">
        <v>31557499</v>
      </c>
      <c r="G18" s="452">
        <v>428591</v>
      </c>
      <c r="H18" s="452">
        <v>0</v>
      </c>
      <c r="I18" s="452">
        <v>44349839</v>
      </c>
      <c r="J18" s="452">
        <v>0</v>
      </c>
      <c r="K18" s="452">
        <v>3152750</v>
      </c>
      <c r="L18" s="452">
        <v>0</v>
      </c>
      <c r="M18" s="452">
        <v>6481139</v>
      </c>
      <c r="N18" s="452">
        <v>8644481</v>
      </c>
      <c r="O18" s="452">
        <v>825196</v>
      </c>
      <c r="P18" s="432">
        <f>IF(SUM(Q18:AB18)=SUM(AC18:AM18),SUM(Q18:AB18),"  EROARE ART/CAP")</f>
        <v>128885972</v>
      </c>
      <c r="Q18" s="435">
        <v>49095984</v>
      </c>
      <c r="R18" s="435">
        <v>38139376</v>
      </c>
      <c r="S18" s="435">
        <v>2929330</v>
      </c>
      <c r="T18" s="435">
        <v>1220058</v>
      </c>
      <c r="U18" s="435">
        <v>1726618</v>
      </c>
      <c r="V18" s="431">
        <v>0</v>
      </c>
      <c r="W18" s="431">
        <v>9241365</v>
      </c>
      <c r="X18" s="431">
        <v>7096131</v>
      </c>
      <c r="Y18" s="431">
        <v>1768741</v>
      </c>
      <c r="Z18" s="431">
        <v>14945804</v>
      </c>
      <c r="AA18" s="431">
        <v>2877729</v>
      </c>
      <c r="AB18" s="431">
        <v>-155164</v>
      </c>
      <c r="AC18" s="434">
        <v>15603381</v>
      </c>
      <c r="AD18" s="434">
        <v>3422002</v>
      </c>
      <c r="AE18" s="434">
        <v>39674131</v>
      </c>
      <c r="AF18" s="434">
        <v>0</v>
      </c>
      <c r="AG18" s="434">
        <v>7868131</v>
      </c>
      <c r="AH18" s="434">
        <v>14491956</v>
      </c>
      <c r="AI18" s="434">
        <v>36431518</v>
      </c>
      <c r="AJ18" s="434">
        <v>1115711</v>
      </c>
      <c r="AK18" s="434">
        <v>5912037</v>
      </c>
      <c r="AL18" s="434">
        <v>4367105</v>
      </c>
      <c r="AM18" s="434">
        <v>0</v>
      </c>
    </row>
    <row r="19" spans="1:39" s="155" customFormat="1" ht="12" hidden="1" x14ac:dyDescent="0.2">
      <c r="A19" s="146">
        <v>2</v>
      </c>
      <c r="B19" s="234"/>
      <c r="C19" s="569"/>
      <c r="D19" s="432">
        <f t="shared" ref="D19:D41" si="5">E19+SUM(H19:O19)</f>
        <v>0</v>
      </c>
      <c r="E19" s="434"/>
      <c r="F19" s="434"/>
      <c r="G19" s="434"/>
      <c r="H19" s="434"/>
      <c r="I19" s="434"/>
      <c r="J19" s="434"/>
      <c r="K19" s="434"/>
      <c r="L19" s="434"/>
      <c r="M19" s="434"/>
      <c r="N19" s="434"/>
      <c r="O19" s="434"/>
      <c r="P19" s="432">
        <f t="shared" si="3"/>
        <v>0</v>
      </c>
      <c r="Q19" s="435"/>
      <c r="R19" s="435"/>
      <c r="S19" s="435"/>
      <c r="T19" s="435"/>
      <c r="U19" s="435"/>
      <c r="V19" s="431"/>
      <c r="W19" s="431"/>
      <c r="X19" s="431"/>
      <c r="Y19" s="431"/>
      <c r="Z19" s="431"/>
      <c r="AA19" s="431"/>
      <c r="AB19" s="431"/>
      <c r="AC19" s="434"/>
      <c r="AD19" s="434"/>
      <c r="AE19" s="434"/>
      <c r="AF19" s="434"/>
      <c r="AG19" s="434"/>
      <c r="AH19" s="434"/>
      <c r="AI19" s="434"/>
      <c r="AJ19" s="434"/>
      <c r="AK19" s="434"/>
      <c r="AL19" s="434"/>
      <c r="AM19" s="434"/>
    </row>
    <row r="20" spans="1:39" s="155" customFormat="1" ht="12" hidden="1" x14ac:dyDescent="0.2">
      <c r="A20" s="146">
        <v>3</v>
      </c>
      <c r="B20" s="234"/>
      <c r="C20" s="259"/>
      <c r="D20" s="432">
        <f t="shared" si="5"/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2">
        <f t="shared" si="3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</row>
    <row r="21" spans="1:39" s="155" customFormat="1" ht="12" hidden="1" x14ac:dyDescent="0.2">
      <c r="A21" s="146">
        <v>4</v>
      </c>
      <c r="B21" s="146"/>
      <c r="C21" s="206"/>
      <c r="D21" s="432">
        <f t="shared" si="5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3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146">
        <v>5</v>
      </c>
      <c r="B22" s="146"/>
      <c r="C22" s="206"/>
      <c r="D22" s="432">
        <f t="shared" si="5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3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146"/>
      <c r="C23" s="206"/>
      <c r="D23" s="432">
        <f t="shared" si="5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3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46"/>
      <c r="C24" s="206"/>
      <c r="D24" s="432">
        <f t="shared" si="5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3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46"/>
      <c r="C25" s="206"/>
      <c r="D25" s="432">
        <f t="shared" si="5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3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46"/>
      <c r="C26" s="206"/>
      <c r="D26" s="432">
        <f t="shared" si="5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3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46"/>
      <c r="C27" s="206"/>
      <c r="D27" s="432">
        <f t="shared" si="5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3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46"/>
      <c r="C28" s="206"/>
      <c r="D28" s="432">
        <f t="shared" si="5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3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46"/>
      <c r="C29" s="206"/>
      <c r="D29" s="432">
        <f t="shared" si="5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3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46"/>
      <c r="C30" s="206"/>
      <c r="D30" s="432">
        <f t="shared" si="5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3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46"/>
      <c r="C31" s="206"/>
      <c r="D31" s="432">
        <f t="shared" si="5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3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46"/>
      <c r="C32" s="207"/>
      <c r="D32" s="432">
        <f t="shared" si="5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3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208"/>
      <c r="C33" s="164"/>
      <c r="D33" s="432">
        <f t="shared" si="5"/>
        <v>30933035</v>
      </c>
      <c r="E33" s="432">
        <f>SUM(E34:E53)</f>
        <v>13681862</v>
      </c>
      <c r="F33" s="432">
        <f t="shared" ref="F33:O33" si="6">SUM(F34:F53)</f>
        <v>5852997</v>
      </c>
      <c r="G33" s="432">
        <f t="shared" si="6"/>
        <v>417795</v>
      </c>
      <c r="H33" s="432">
        <f t="shared" si="6"/>
        <v>0</v>
      </c>
      <c r="I33" s="432">
        <f t="shared" si="6"/>
        <v>13013863</v>
      </c>
      <c r="J33" s="432">
        <f t="shared" si="6"/>
        <v>23587</v>
      </c>
      <c r="K33" s="432">
        <f t="shared" si="6"/>
        <v>2138100</v>
      </c>
      <c r="L33" s="432">
        <f t="shared" si="6"/>
        <v>0</v>
      </c>
      <c r="M33" s="432">
        <f t="shared" si="6"/>
        <v>2068423</v>
      </c>
      <c r="N33" s="432">
        <f t="shared" si="6"/>
        <v>0</v>
      </c>
      <c r="O33" s="432">
        <f t="shared" si="6"/>
        <v>7200</v>
      </c>
      <c r="P33" s="432">
        <f t="shared" si="3"/>
        <v>25616897</v>
      </c>
      <c r="Q33" s="432">
        <f>SUM(Q34:Q53)</f>
        <v>12767626</v>
      </c>
      <c r="R33" s="432">
        <f t="shared" ref="R33:AM33" si="7">SUM(R34:R53)</f>
        <v>6842285</v>
      </c>
      <c r="S33" s="432">
        <f t="shared" si="7"/>
        <v>0</v>
      </c>
      <c r="T33" s="432">
        <f t="shared" si="7"/>
        <v>0</v>
      </c>
      <c r="U33" s="432">
        <f t="shared" si="7"/>
        <v>35000</v>
      </c>
      <c r="V33" s="432">
        <f t="shared" si="7"/>
        <v>0</v>
      </c>
      <c r="W33" s="432">
        <f t="shared" si="7"/>
        <v>0</v>
      </c>
      <c r="X33" s="432">
        <f t="shared" si="7"/>
        <v>1240176</v>
      </c>
      <c r="Y33" s="432">
        <f t="shared" si="7"/>
        <v>473300</v>
      </c>
      <c r="Z33" s="432">
        <f t="shared" si="7"/>
        <v>4262076</v>
      </c>
      <c r="AA33" s="432">
        <f t="shared" si="7"/>
        <v>0</v>
      </c>
      <c r="AB33" s="432">
        <f t="shared" si="7"/>
        <v>-3566</v>
      </c>
      <c r="AC33" s="432">
        <f t="shared" si="7"/>
        <v>3449444</v>
      </c>
      <c r="AD33" s="432">
        <f t="shared" si="7"/>
        <v>176174</v>
      </c>
      <c r="AE33" s="432">
        <f t="shared" si="7"/>
        <v>11629571</v>
      </c>
      <c r="AF33" s="432">
        <f t="shared" si="7"/>
        <v>112170</v>
      </c>
      <c r="AG33" s="432">
        <f t="shared" si="7"/>
        <v>500716</v>
      </c>
      <c r="AH33" s="432">
        <f t="shared" si="7"/>
        <v>2111762</v>
      </c>
      <c r="AI33" s="432">
        <f t="shared" si="7"/>
        <v>3284464</v>
      </c>
      <c r="AJ33" s="432">
        <f t="shared" si="7"/>
        <v>382881</v>
      </c>
      <c r="AK33" s="432">
        <f t="shared" si="7"/>
        <v>0</v>
      </c>
      <c r="AL33" s="432">
        <f t="shared" si="7"/>
        <v>3903616</v>
      </c>
      <c r="AM33" s="432">
        <f t="shared" si="7"/>
        <v>66099</v>
      </c>
    </row>
    <row r="34" spans="1:39" s="155" customFormat="1" ht="12" x14ac:dyDescent="0.2">
      <c r="A34" s="146">
        <v>1</v>
      </c>
      <c r="B34" s="566">
        <v>104145</v>
      </c>
      <c r="C34" s="559" t="s">
        <v>2705</v>
      </c>
      <c r="D34" s="432">
        <f>E34+SUM(H34:O34)</f>
        <v>13151240</v>
      </c>
      <c r="E34" s="452">
        <v>5555808</v>
      </c>
      <c r="F34" s="452">
        <v>1796609</v>
      </c>
      <c r="G34" s="452">
        <v>288879</v>
      </c>
      <c r="H34" s="452">
        <v>0</v>
      </c>
      <c r="I34" s="452">
        <v>4168769</v>
      </c>
      <c r="J34" s="452">
        <v>0</v>
      </c>
      <c r="K34" s="452">
        <v>1439400</v>
      </c>
      <c r="L34" s="452">
        <v>0</v>
      </c>
      <c r="M34" s="452">
        <v>1980063</v>
      </c>
      <c r="N34" s="452">
        <v>0</v>
      </c>
      <c r="O34" s="452">
        <v>7200</v>
      </c>
      <c r="P34" s="432">
        <f>IF(SUM(Q34:AB34)=SUM(AC34:AM34),SUM(Q34:AB34),"  EROARE ART/CAP")</f>
        <v>12459690</v>
      </c>
      <c r="Q34" s="435">
        <v>4358511</v>
      </c>
      <c r="R34" s="435">
        <v>3644670</v>
      </c>
      <c r="S34" s="435">
        <v>0</v>
      </c>
      <c r="T34" s="435">
        <v>0</v>
      </c>
      <c r="U34" s="435">
        <v>0</v>
      </c>
      <c r="V34" s="431">
        <v>0</v>
      </c>
      <c r="W34" s="431">
        <v>0</v>
      </c>
      <c r="X34" s="431">
        <v>521541</v>
      </c>
      <c r="Y34" s="431">
        <v>400000</v>
      </c>
      <c r="Z34" s="431">
        <v>3535254</v>
      </c>
      <c r="AA34" s="431">
        <v>0</v>
      </c>
      <c r="AB34" s="431">
        <v>-286</v>
      </c>
      <c r="AC34" s="445">
        <v>2005937</v>
      </c>
      <c r="AD34" s="431">
        <v>146571</v>
      </c>
      <c r="AE34" s="435">
        <v>3516483</v>
      </c>
      <c r="AF34" s="435">
        <v>0</v>
      </c>
      <c r="AG34" s="435">
        <v>423002</v>
      </c>
      <c r="AH34" s="435">
        <v>817024</v>
      </c>
      <c r="AI34" s="435">
        <v>1726871</v>
      </c>
      <c r="AJ34" s="435">
        <v>0</v>
      </c>
      <c r="AK34" s="435">
        <v>0</v>
      </c>
      <c r="AL34" s="435">
        <v>3793802</v>
      </c>
      <c r="AM34" s="435">
        <v>30000</v>
      </c>
    </row>
    <row r="35" spans="1:39" s="155" customFormat="1" ht="12" x14ac:dyDescent="0.2">
      <c r="A35" s="146">
        <v>2</v>
      </c>
      <c r="B35" s="566">
        <v>101207</v>
      </c>
      <c r="C35" s="559" t="s">
        <v>3240</v>
      </c>
      <c r="D35" s="432">
        <f>E35+SUM(H35:O35)</f>
        <v>17781795</v>
      </c>
      <c r="E35" s="452">
        <v>8126054</v>
      </c>
      <c r="F35" s="452">
        <v>4056388</v>
      </c>
      <c r="G35" s="452">
        <v>128916</v>
      </c>
      <c r="H35" s="452">
        <v>0</v>
      </c>
      <c r="I35" s="452">
        <v>8845094</v>
      </c>
      <c r="J35" s="452">
        <v>23587</v>
      </c>
      <c r="K35" s="452">
        <v>698700</v>
      </c>
      <c r="L35" s="452">
        <v>0</v>
      </c>
      <c r="M35" s="452">
        <v>88360</v>
      </c>
      <c r="N35" s="452">
        <v>0</v>
      </c>
      <c r="O35" s="452">
        <v>0</v>
      </c>
      <c r="P35" s="432">
        <f>IF(SUM(Q35:AB35)=SUM(AC35:AM35),SUM(Q35:AB35),"  EROARE ART/CAP")</f>
        <v>13157207</v>
      </c>
      <c r="Q35" s="435">
        <v>8409115</v>
      </c>
      <c r="R35" s="435">
        <v>3197615</v>
      </c>
      <c r="S35" s="435">
        <v>0</v>
      </c>
      <c r="T35" s="435">
        <v>0</v>
      </c>
      <c r="U35" s="435">
        <v>35000</v>
      </c>
      <c r="V35" s="431">
        <v>0</v>
      </c>
      <c r="W35" s="431">
        <v>0</v>
      </c>
      <c r="X35" s="431">
        <v>718635</v>
      </c>
      <c r="Y35" s="431">
        <v>73300</v>
      </c>
      <c r="Z35" s="431">
        <v>726822</v>
      </c>
      <c r="AA35" s="431">
        <v>0</v>
      </c>
      <c r="AB35" s="431">
        <v>-3280</v>
      </c>
      <c r="AC35" s="445">
        <v>1443507</v>
      </c>
      <c r="AD35" s="435">
        <v>29603</v>
      </c>
      <c r="AE35" s="435">
        <v>8113088</v>
      </c>
      <c r="AF35" s="435">
        <v>112170</v>
      </c>
      <c r="AG35" s="435">
        <v>77714</v>
      </c>
      <c r="AH35" s="435">
        <v>1294738</v>
      </c>
      <c r="AI35" s="435">
        <v>1557593</v>
      </c>
      <c r="AJ35" s="435">
        <v>382881</v>
      </c>
      <c r="AK35" s="435">
        <v>0</v>
      </c>
      <c r="AL35" s="435">
        <v>109814</v>
      </c>
      <c r="AM35" s="435">
        <v>36099</v>
      </c>
    </row>
    <row r="36" spans="1:39" s="155" customFormat="1" ht="12" hidden="1" x14ac:dyDescent="0.2">
      <c r="A36" s="146">
        <v>3</v>
      </c>
      <c r="B36" s="567"/>
      <c r="C36" s="559"/>
      <c r="D36" s="432">
        <f t="shared" si="5"/>
        <v>0</v>
      </c>
      <c r="E36" s="435"/>
      <c r="F36" s="435"/>
      <c r="G36" s="435"/>
      <c r="H36" s="435"/>
      <c r="I36" s="435"/>
      <c r="J36" s="435"/>
      <c r="K36" s="435"/>
      <c r="L36" s="435"/>
      <c r="M36" s="435"/>
      <c r="N36" s="435"/>
      <c r="O36" s="435"/>
      <c r="P36" s="432">
        <f t="shared" si="3"/>
        <v>0</v>
      </c>
      <c r="Q36" s="435"/>
      <c r="R36" s="435"/>
      <c r="S36" s="435"/>
      <c r="T36" s="435"/>
      <c r="U36" s="435"/>
      <c r="V36" s="431"/>
      <c r="W36" s="431"/>
      <c r="X36" s="431"/>
      <c r="Y36" s="431"/>
      <c r="Z36" s="431"/>
      <c r="AA36" s="431"/>
      <c r="AB36" s="431"/>
      <c r="AC36" s="445"/>
      <c r="AD36" s="435"/>
      <c r="AE36" s="435"/>
      <c r="AF36" s="435"/>
      <c r="AG36" s="435"/>
      <c r="AH36" s="435"/>
      <c r="AI36" s="435"/>
      <c r="AJ36" s="435"/>
      <c r="AK36" s="435"/>
      <c r="AL36" s="435"/>
      <c r="AM36" s="435"/>
    </row>
    <row r="37" spans="1:39" s="155" customFormat="1" ht="12" hidden="1" x14ac:dyDescent="0.2">
      <c r="A37" s="146">
        <v>4</v>
      </c>
      <c r="B37" s="146"/>
      <c r="C37" s="172"/>
      <c r="D37" s="432">
        <f t="shared" si="5"/>
        <v>0</v>
      </c>
      <c r="E37" s="435"/>
      <c r="F37" s="435"/>
      <c r="G37" s="435"/>
      <c r="H37" s="435"/>
      <c r="I37" s="435"/>
      <c r="J37" s="435"/>
      <c r="K37" s="435"/>
      <c r="L37" s="435"/>
      <c r="M37" s="435"/>
      <c r="N37" s="435"/>
      <c r="O37" s="435"/>
      <c r="P37" s="432">
        <f t="shared" si="3"/>
        <v>0</v>
      </c>
      <c r="Q37" s="435"/>
      <c r="R37" s="435"/>
      <c r="S37" s="435"/>
      <c r="T37" s="435"/>
      <c r="U37" s="435"/>
      <c r="V37" s="431"/>
      <c r="W37" s="431"/>
      <c r="X37" s="431"/>
      <c r="Y37" s="431"/>
      <c r="Z37" s="431"/>
      <c r="AA37" s="431"/>
      <c r="AB37" s="431"/>
      <c r="AC37" s="445"/>
      <c r="AD37" s="435"/>
      <c r="AE37" s="435"/>
      <c r="AF37" s="435"/>
      <c r="AG37" s="435"/>
      <c r="AH37" s="435"/>
      <c r="AI37" s="435"/>
      <c r="AJ37" s="435"/>
      <c r="AK37" s="435"/>
      <c r="AL37" s="435"/>
      <c r="AM37" s="435"/>
    </row>
    <row r="38" spans="1:39" s="155" customFormat="1" ht="12" hidden="1" x14ac:dyDescent="0.2">
      <c r="A38" s="146">
        <v>5</v>
      </c>
      <c r="B38" s="146"/>
      <c r="C38" s="172"/>
      <c r="D38" s="432">
        <f t="shared" si="5"/>
        <v>0</v>
      </c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2">
        <f t="shared" si="3"/>
        <v>0</v>
      </c>
      <c r="Q38" s="435"/>
      <c r="R38" s="435"/>
      <c r="S38" s="435"/>
      <c r="T38" s="435"/>
      <c r="U38" s="435"/>
      <c r="V38" s="431"/>
      <c r="W38" s="431"/>
      <c r="X38" s="431"/>
      <c r="Y38" s="431"/>
      <c r="Z38" s="435"/>
      <c r="AA38" s="431"/>
      <c r="AB38" s="431"/>
      <c r="AC38" s="445"/>
      <c r="AD38" s="435"/>
      <c r="AE38" s="435"/>
      <c r="AF38" s="435"/>
      <c r="AG38" s="435"/>
      <c r="AH38" s="435"/>
      <c r="AI38" s="435"/>
      <c r="AJ38" s="435"/>
      <c r="AK38" s="435"/>
      <c r="AL38" s="435"/>
      <c r="AM38" s="435"/>
    </row>
    <row r="39" spans="1:39" s="155" customFormat="1" ht="12" hidden="1" x14ac:dyDescent="0.2">
      <c r="A39" s="146">
        <v>6</v>
      </c>
      <c r="B39" s="146"/>
      <c r="C39" s="172"/>
      <c r="D39" s="432">
        <f t="shared" si="5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3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</row>
    <row r="40" spans="1:39" s="155" customFormat="1" ht="12" hidden="1" x14ac:dyDescent="0.2">
      <c r="A40" s="146">
        <v>7</v>
      </c>
      <c r="B40" s="146"/>
      <c r="C40" s="182"/>
      <c r="D40" s="432">
        <f t="shared" si="5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3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155" customFormat="1" ht="12" hidden="1" x14ac:dyDescent="0.2">
      <c r="A41" s="146">
        <v>8</v>
      </c>
      <c r="B41" s="146"/>
      <c r="C41" s="173"/>
      <c r="D41" s="432">
        <f t="shared" si="5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3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146">
        <v>9</v>
      </c>
      <c r="B42" s="146"/>
      <c r="C42" s="206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3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146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3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46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3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46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3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46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3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46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3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46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3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46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3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46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3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46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3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46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3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46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3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4"/>
      <c r="C54" s="208"/>
      <c r="D54" s="432">
        <f t="shared" ref="D54:D117" si="8">E54+SUM(H54:O54)</f>
        <v>390348956</v>
      </c>
      <c r="E54" s="432">
        <f>SUM(E55:E143)</f>
        <v>74788023</v>
      </c>
      <c r="F54" s="432">
        <f t="shared" ref="F54:O54" si="9">SUM(F55:F143)</f>
        <v>25001044</v>
      </c>
      <c r="G54" s="432">
        <f t="shared" si="9"/>
        <v>9650219</v>
      </c>
      <c r="H54" s="432">
        <f t="shared" si="9"/>
        <v>0</v>
      </c>
      <c r="I54" s="432">
        <f t="shared" si="9"/>
        <v>89010117</v>
      </c>
      <c r="J54" s="432">
        <f t="shared" si="9"/>
        <v>13791719</v>
      </c>
      <c r="K54" s="432">
        <f t="shared" si="9"/>
        <v>58416662</v>
      </c>
      <c r="L54" s="432">
        <f t="shared" si="9"/>
        <v>0</v>
      </c>
      <c r="M54" s="432">
        <f t="shared" si="9"/>
        <v>113252295</v>
      </c>
      <c r="N54" s="432">
        <f t="shared" si="9"/>
        <v>37131838</v>
      </c>
      <c r="O54" s="432">
        <f t="shared" si="9"/>
        <v>3958302</v>
      </c>
      <c r="P54" s="432">
        <f t="shared" si="3"/>
        <v>391132746</v>
      </c>
      <c r="Q54" s="432">
        <f>SUM(Q55:Q143)</f>
        <v>101854294</v>
      </c>
      <c r="R54" s="432">
        <f t="shared" ref="R54:AM54" si="10">SUM(R55:R143)</f>
        <v>63895673</v>
      </c>
      <c r="S54" s="432">
        <f t="shared" si="10"/>
        <v>400321</v>
      </c>
      <c r="T54" s="432">
        <f t="shared" si="10"/>
        <v>0</v>
      </c>
      <c r="U54" s="432">
        <f t="shared" si="10"/>
        <v>0</v>
      </c>
      <c r="V54" s="432">
        <f t="shared" si="10"/>
        <v>148965</v>
      </c>
      <c r="W54" s="432">
        <f t="shared" si="10"/>
        <v>46965302</v>
      </c>
      <c r="X54" s="432">
        <f t="shared" si="10"/>
        <v>11071473</v>
      </c>
      <c r="Y54" s="432">
        <f t="shared" si="10"/>
        <v>2128999</v>
      </c>
      <c r="Z54" s="432">
        <f t="shared" si="10"/>
        <v>163908748</v>
      </c>
      <c r="AA54" s="432">
        <f t="shared" si="10"/>
        <v>1283641</v>
      </c>
      <c r="AB54" s="432">
        <f t="shared" si="10"/>
        <v>-524670</v>
      </c>
      <c r="AC54" s="432">
        <f t="shared" si="10"/>
        <v>48571296</v>
      </c>
      <c r="AD54" s="432">
        <f t="shared" si="10"/>
        <v>2447376</v>
      </c>
      <c r="AE54" s="432">
        <f t="shared" si="10"/>
        <v>88117805</v>
      </c>
      <c r="AF54" s="432">
        <f t="shared" si="10"/>
        <v>628638</v>
      </c>
      <c r="AG54" s="432">
        <f t="shared" si="10"/>
        <v>11251797</v>
      </c>
      <c r="AH54" s="432">
        <f t="shared" si="10"/>
        <v>26390616</v>
      </c>
      <c r="AI54" s="432">
        <f t="shared" si="10"/>
        <v>64098650</v>
      </c>
      <c r="AJ54" s="432">
        <f t="shared" si="10"/>
        <v>23977643</v>
      </c>
      <c r="AK54" s="432">
        <f t="shared" si="10"/>
        <v>0</v>
      </c>
      <c r="AL54" s="432">
        <f>SUM(AL55:AL143)</f>
        <v>123364953</v>
      </c>
      <c r="AM54" s="432">
        <f t="shared" si="10"/>
        <v>2283972</v>
      </c>
    </row>
    <row r="55" spans="1:39" s="155" customFormat="1" ht="12" x14ac:dyDescent="0.2">
      <c r="A55" s="168">
        <v>1</v>
      </c>
      <c r="B55" s="570">
        <v>100790</v>
      </c>
      <c r="C55" s="559" t="s">
        <v>1350</v>
      </c>
      <c r="D55" s="432">
        <f t="shared" ref="D55:D86" si="11">E55+SUM(H55:O55)</f>
        <v>7625710</v>
      </c>
      <c r="E55" s="434">
        <v>2846976</v>
      </c>
      <c r="F55" s="434">
        <v>1225212</v>
      </c>
      <c r="G55" s="434">
        <v>75099</v>
      </c>
      <c r="H55" s="434">
        <v>0</v>
      </c>
      <c r="I55" s="434">
        <v>2329637</v>
      </c>
      <c r="J55" s="434">
        <v>862000</v>
      </c>
      <c r="K55" s="434">
        <v>474230</v>
      </c>
      <c r="L55" s="434">
        <v>0</v>
      </c>
      <c r="M55" s="434">
        <v>1112867</v>
      </c>
      <c r="N55" s="434">
        <v>0</v>
      </c>
      <c r="O55" s="434">
        <v>0</v>
      </c>
      <c r="P55" s="432">
        <f t="shared" ref="P55:P86" si="12">IF(SUM(Q55:AB55)=SUM(AC55:AM55),SUM(Q55:AB55),"  EROARE ART/CAP")</f>
        <v>7075740</v>
      </c>
      <c r="Q55" s="431">
        <v>2585065</v>
      </c>
      <c r="R55" s="431">
        <v>2440654</v>
      </c>
      <c r="S55" s="431">
        <v>0</v>
      </c>
      <c r="T55" s="431">
        <v>0</v>
      </c>
      <c r="U55" s="431">
        <v>0</v>
      </c>
      <c r="V55" s="431">
        <v>0</v>
      </c>
      <c r="W55" s="431">
        <v>0</v>
      </c>
      <c r="X55" s="431">
        <v>415677</v>
      </c>
      <c r="Y55" s="431">
        <v>20570</v>
      </c>
      <c r="Z55" s="431">
        <v>1624174</v>
      </c>
      <c r="AA55" s="431">
        <v>0</v>
      </c>
      <c r="AB55" s="431">
        <v>-10400</v>
      </c>
      <c r="AC55" s="469">
        <v>1420901</v>
      </c>
      <c r="AD55" s="434">
        <v>29571</v>
      </c>
      <c r="AE55" s="434">
        <v>2162979</v>
      </c>
      <c r="AF55" s="434">
        <v>7117</v>
      </c>
      <c r="AG55" s="434">
        <v>18913</v>
      </c>
      <c r="AH55" s="434">
        <v>415277</v>
      </c>
      <c r="AI55" s="469">
        <v>2002147</v>
      </c>
      <c r="AJ55" s="469">
        <v>82792</v>
      </c>
      <c r="AK55" s="434">
        <v>0</v>
      </c>
      <c r="AL55" s="434">
        <v>824376</v>
      </c>
      <c r="AM55" s="434">
        <v>111667</v>
      </c>
    </row>
    <row r="56" spans="1:39" s="155" customFormat="1" ht="12" x14ac:dyDescent="0.2">
      <c r="A56" s="168">
        <v>2</v>
      </c>
      <c r="B56" s="570">
        <v>101010</v>
      </c>
      <c r="C56" s="559" t="s">
        <v>652</v>
      </c>
      <c r="D56" s="432">
        <f t="shared" si="11"/>
        <v>5325303</v>
      </c>
      <c r="E56" s="434">
        <v>1526453</v>
      </c>
      <c r="F56" s="434">
        <v>460550</v>
      </c>
      <c r="G56" s="434">
        <v>214720</v>
      </c>
      <c r="H56" s="434">
        <v>0</v>
      </c>
      <c r="I56" s="434">
        <v>2258021</v>
      </c>
      <c r="J56" s="434">
        <v>0</v>
      </c>
      <c r="K56" s="434">
        <v>1026140</v>
      </c>
      <c r="L56" s="434">
        <v>0</v>
      </c>
      <c r="M56" s="434">
        <v>447183</v>
      </c>
      <c r="N56" s="434">
        <v>0</v>
      </c>
      <c r="O56" s="434">
        <v>67506</v>
      </c>
      <c r="P56" s="432">
        <f t="shared" si="12"/>
        <v>5239316</v>
      </c>
      <c r="Q56" s="431">
        <v>2609020</v>
      </c>
      <c r="R56" s="431">
        <v>806172</v>
      </c>
      <c r="S56" s="431">
        <v>0</v>
      </c>
      <c r="T56" s="431">
        <v>0</v>
      </c>
      <c r="U56" s="431">
        <v>0</v>
      </c>
      <c r="V56" s="431">
        <v>0</v>
      </c>
      <c r="W56" s="431">
        <v>0</v>
      </c>
      <c r="X56" s="431">
        <v>416080</v>
      </c>
      <c r="Y56" s="431">
        <v>70339</v>
      </c>
      <c r="Z56" s="468">
        <v>1338029</v>
      </c>
      <c r="AA56" s="431">
        <v>0</v>
      </c>
      <c r="AB56" s="431">
        <v>-324</v>
      </c>
      <c r="AC56" s="469">
        <v>947260</v>
      </c>
      <c r="AD56" s="434">
        <v>0</v>
      </c>
      <c r="AE56" s="434">
        <v>1957762</v>
      </c>
      <c r="AF56" s="434">
        <v>64307</v>
      </c>
      <c r="AG56" s="434">
        <v>169961</v>
      </c>
      <c r="AH56" s="434">
        <v>699616</v>
      </c>
      <c r="AI56" s="469">
        <v>343868</v>
      </c>
      <c r="AJ56" s="469">
        <v>54835</v>
      </c>
      <c r="AK56" s="434">
        <v>0</v>
      </c>
      <c r="AL56" s="434">
        <v>1001707</v>
      </c>
      <c r="AM56" s="434">
        <v>0</v>
      </c>
    </row>
    <row r="57" spans="1:39" s="155" customFormat="1" ht="12" x14ac:dyDescent="0.2">
      <c r="A57" s="168">
        <v>3</v>
      </c>
      <c r="B57" s="570">
        <v>101172</v>
      </c>
      <c r="C57" s="237" t="s">
        <v>1351</v>
      </c>
      <c r="D57" s="432">
        <f t="shared" si="11"/>
        <v>12873996</v>
      </c>
      <c r="E57" s="434">
        <v>8029857</v>
      </c>
      <c r="F57" s="434">
        <v>4659813</v>
      </c>
      <c r="G57" s="434">
        <v>62664</v>
      </c>
      <c r="H57" s="434">
        <v>0</v>
      </c>
      <c r="I57" s="434">
        <v>2466088</v>
      </c>
      <c r="J57" s="434">
        <v>550000</v>
      </c>
      <c r="K57" s="434">
        <v>411650</v>
      </c>
      <c r="L57" s="434">
        <v>0</v>
      </c>
      <c r="M57" s="434">
        <v>1416401</v>
      </c>
      <c r="N57" s="434">
        <v>0</v>
      </c>
      <c r="O57" s="434">
        <v>0</v>
      </c>
      <c r="P57" s="432">
        <f t="shared" si="12"/>
        <v>13388443</v>
      </c>
      <c r="Q57" s="431">
        <v>2944012</v>
      </c>
      <c r="R57" s="431">
        <v>3323895</v>
      </c>
      <c r="S57" s="431">
        <v>0</v>
      </c>
      <c r="T57" s="431">
        <v>0</v>
      </c>
      <c r="U57" s="431">
        <v>0</v>
      </c>
      <c r="V57" s="431">
        <v>0</v>
      </c>
      <c r="W57" s="431">
        <v>0</v>
      </c>
      <c r="X57" s="431">
        <v>181820</v>
      </c>
      <c r="Y57" s="431">
        <v>604785</v>
      </c>
      <c r="Z57" s="431">
        <v>6338195</v>
      </c>
      <c r="AA57" s="431">
        <v>0</v>
      </c>
      <c r="AB57" s="431">
        <v>-4264</v>
      </c>
      <c r="AC57" s="468">
        <v>1181499</v>
      </c>
      <c r="AD57" s="431">
        <v>0</v>
      </c>
      <c r="AE57" s="431">
        <v>3104117</v>
      </c>
      <c r="AF57" s="431">
        <v>0</v>
      </c>
      <c r="AG57" s="431">
        <v>1299506</v>
      </c>
      <c r="AH57" s="431">
        <v>801072</v>
      </c>
      <c r="AI57" s="468">
        <v>1280669</v>
      </c>
      <c r="AJ57" s="468">
        <v>1625819</v>
      </c>
      <c r="AK57" s="431">
        <v>0</v>
      </c>
      <c r="AL57" s="431">
        <v>3341309</v>
      </c>
      <c r="AM57" s="431">
        <v>754452</v>
      </c>
    </row>
    <row r="58" spans="1:39" s="155" customFormat="1" ht="12" x14ac:dyDescent="0.2">
      <c r="A58" s="168">
        <v>4</v>
      </c>
      <c r="B58" s="570">
        <v>101387</v>
      </c>
      <c r="C58" s="559" t="s">
        <v>1352</v>
      </c>
      <c r="D58" s="432">
        <f t="shared" si="11"/>
        <v>7990287</v>
      </c>
      <c r="E58" s="434">
        <v>1286902</v>
      </c>
      <c r="F58" s="434">
        <v>316510</v>
      </c>
      <c r="G58" s="434">
        <v>155165</v>
      </c>
      <c r="H58" s="434">
        <v>0</v>
      </c>
      <c r="I58" s="434">
        <v>2294425</v>
      </c>
      <c r="J58" s="434">
        <v>500000</v>
      </c>
      <c r="K58" s="434">
        <v>949970</v>
      </c>
      <c r="L58" s="434">
        <v>0</v>
      </c>
      <c r="M58" s="434">
        <v>2958990</v>
      </c>
      <c r="N58" s="434">
        <v>0</v>
      </c>
      <c r="O58" s="434">
        <v>0</v>
      </c>
      <c r="P58" s="432">
        <f t="shared" si="12"/>
        <v>8636506</v>
      </c>
      <c r="Q58" s="431">
        <v>2792776</v>
      </c>
      <c r="R58" s="431">
        <v>2017570</v>
      </c>
      <c r="S58" s="431">
        <v>0</v>
      </c>
      <c r="T58" s="431">
        <v>0</v>
      </c>
      <c r="U58" s="431">
        <v>0</v>
      </c>
      <c r="V58" s="431">
        <v>0</v>
      </c>
      <c r="W58" s="431">
        <v>0</v>
      </c>
      <c r="X58" s="431">
        <v>96107</v>
      </c>
      <c r="Y58" s="431">
        <v>0</v>
      </c>
      <c r="Z58" s="468">
        <v>3730053</v>
      </c>
      <c r="AA58" s="431">
        <v>0</v>
      </c>
      <c r="AB58" s="431">
        <v>0</v>
      </c>
      <c r="AC58" s="469">
        <v>1080406</v>
      </c>
      <c r="AD58" s="434">
        <v>52894</v>
      </c>
      <c r="AE58" s="434">
        <v>1931189</v>
      </c>
      <c r="AF58" s="434">
        <v>0</v>
      </c>
      <c r="AG58" s="434">
        <v>421829</v>
      </c>
      <c r="AH58" s="434">
        <v>562598</v>
      </c>
      <c r="AI58" s="469">
        <v>278624</v>
      </c>
      <c r="AJ58" s="469">
        <v>50073</v>
      </c>
      <c r="AK58" s="434">
        <v>0</v>
      </c>
      <c r="AL58" s="434">
        <v>4193896</v>
      </c>
      <c r="AM58" s="434">
        <v>64997</v>
      </c>
    </row>
    <row r="59" spans="1:39" s="155" customFormat="1" ht="12" x14ac:dyDescent="0.2">
      <c r="A59" s="168">
        <v>5</v>
      </c>
      <c r="B59" s="570">
        <v>101528</v>
      </c>
      <c r="C59" s="559" t="s">
        <v>1353</v>
      </c>
      <c r="D59" s="432">
        <f t="shared" si="11"/>
        <v>4925195</v>
      </c>
      <c r="E59" s="434">
        <v>1033967</v>
      </c>
      <c r="F59" s="434">
        <v>110584</v>
      </c>
      <c r="G59" s="434">
        <v>220908</v>
      </c>
      <c r="H59" s="434">
        <v>0</v>
      </c>
      <c r="I59" s="434">
        <v>759765</v>
      </c>
      <c r="J59" s="434">
        <v>200000</v>
      </c>
      <c r="K59" s="434">
        <v>1100880</v>
      </c>
      <c r="L59" s="434">
        <v>0</v>
      </c>
      <c r="M59" s="434">
        <v>1536347</v>
      </c>
      <c r="N59" s="434">
        <v>284996</v>
      </c>
      <c r="O59" s="434">
        <v>9240</v>
      </c>
      <c r="P59" s="432">
        <f t="shared" si="12"/>
        <v>4883804</v>
      </c>
      <c r="Q59" s="431">
        <v>1079422</v>
      </c>
      <c r="R59" s="431">
        <v>945699</v>
      </c>
      <c r="S59" s="431">
        <v>0</v>
      </c>
      <c r="T59" s="431">
        <v>0</v>
      </c>
      <c r="U59" s="431">
        <v>0</v>
      </c>
      <c r="V59" s="431">
        <v>0</v>
      </c>
      <c r="W59" s="431">
        <v>78702</v>
      </c>
      <c r="X59" s="431">
        <v>77356</v>
      </c>
      <c r="Y59" s="431">
        <v>6000</v>
      </c>
      <c r="Z59" s="468">
        <v>2700115</v>
      </c>
      <c r="AA59" s="431">
        <v>0</v>
      </c>
      <c r="AB59" s="431">
        <v>-3490</v>
      </c>
      <c r="AC59" s="469">
        <v>1673028</v>
      </c>
      <c r="AD59" s="434">
        <v>0</v>
      </c>
      <c r="AE59" s="434">
        <v>601922</v>
      </c>
      <c r="AF59" s="434">
        <v>0</v>
      </c>
      <c r="AG59" s="434">
        <v>147207</v>
      </c>
      <c r="AH59" s="434">
        <v>215479</v>
      </c>
      <c r="AI59" s="469">
        <v>1124118</v>
      </c>
      <c r="AJ59" s="469">
        <v>0</v>
      </c>
      <c r="AK59" s="434">
        <v>0</v>
      </c>
      <c r="AL59" s="434">
        <v>1113319</v>
      </c>
      <c r="AM59" s="434">
        <v>8731</v>
      </c>
    </row>
    <row r="60" spans="1:39" s="155" customFormat="1" ht="12" x14ac:dyDescent="0.2">
      <c r="A60" s="168">
        <v>6</v>
      </c>
      <c r="B60" s="570">
        <v>101626</v>
      </c>
      <c r="C60" s="559" t="s">
        <v>1354</v>
      </c>
      <c r="D60" s="432">
        <f t="shared" si="11"/>
        <v>7499371</v>
      </c>
      <c r="E60" s="434">
        <v>1612033</v>
      </c>
      <c r="F60" s="434">
        <v>179552</v>
      </c>
      <c r="G60" s="434">
        <v>198537</v>
      </c>
      <c r="H60" s="434">
        <v>0</v>
      </c>
      <c r="I60" s="434">
        <v>1937113</v>
      </c>
      <c r="J60" s="434">
        <v>450000</v>
      </c>
      <c r="K60" s="434">
        <v>1067480</v>
      </c>
      <c r="L60" s="434">
        <v>0</v>
      </c>
      <c r="M60" s="469">
        <v>767681</v>
      </c>
      <c r="N60" s="469">
        <v>1638275</v>
      </c>
      <c r="O60" s="434">
        <v>26789</v>
      </c>
      <c r="P60" s="432">
        <f t="shared" si="12"/>
        <v>10208461</v>
      </c>
      <c r="Q60" s="431">
        <v>2267523</v>
      </c>
      <c r="R60" s="431">
        <v>847441</v>
      </c>
      <c r="S60" s="431">
        <v>0</v>
      </c>
      <c r="T60" s="431">
        <v>0</v>
      </c>
      <c r="U60" s="431">
        <v>0</v>
      </c>
      <c r="V60" s="431">
        <v>0</v>
      </c>
      <c r="W60" s="431">
        <v>3970261</v>
      </c>
      <c r="X60" s="431">
        <v>79727</v>
      </c>
      <c r="Y60" s="431">
        <v>0</v>
      </c>
      <c r="Z60" s="468">
        <v>3043801</v>
      </c>
      <c r="AA60" s="431">
        <v>0</v>
      </c>
      <c r="AB60" s="431">
        <v>-292</v>
      </c>
      <c r="AC60" s="469">
        <v>979028</v>
      </c>
      <c r="AD60" s="434">
        <v>9660</v>
      </c>
      <c r="AE60" s="434">
        <v>1611793</v>
      </c>
      <c r="AF60" s="434">
        <v>35730</v>
      </c>
      <c r="AG60" s="434">
        <v>97200</v>
      </c>
      <c r="AH60" s="434">
        <v>514821</v>
      </c>
      <c r="AI60" s="469">
        <v>622310</v>
      </c>
      <c r="AJ60" s="469">
        <v>30000</v>
      </c>
      <c r="AK60" s="434">
        <v>0</v>
      </c>
      <c r="AL60" s="434">
        <v>6307919</v>
      </c>
      <c r="AM60" s="434">
        <v>0</v>
      </c>
    </row>
    <row r="61" spans="1:39" s="155" customFormat="1" ht="12" x14ac:dyDescent="0.2">
      <c r="A61" s="168">
        <v>7</v>
      </c>
      <c r="B61" s="570">
        <v>101671</v>
      </c>
      <c r="C61" s="559" t="s">
        <v>1355</v>
      </c>
      <c r="D61" s="432">
        <f t="shared" si="11"/>
        <v>8059088</v>
      </c>
      <c r="E61" s="434">
        <v>2868273</v>
      </c>
      <c r="F61" s="434">
        <v>1322624</v>
      </c>
      <c r="G61" s="434">
        <v>121739</v>
      </c>
      <c r="H61" s="434">
        <v>0</v>
      </c>
      <c r="I61" s="434">
        <v>3930017</v>
      </c>
      <c r="J61" s="434">
        <v>100000</v>
      </c>
      <c r="K61" s="434">
        <v>539060</v>
      </c>
      <c r="L61" s="434">
        <v>0</v>
      </c>
      <c r="M61" s="434">
        <v>402410</v>
      </c>
      <c r="N61" s="434">
        <v>145775</v>
      </c>
      <c r="O61" s="434">
        <v>73553</v>
      </c>
      <c r="P61" s="432">
        <f t="shared" si="12"/>
        <v>7757301</v>
      </c>
      <c r="Q61" s="431">
        <v>3947037</v>
      </c>
      <c r="R61" s="431">
        <v>1436217</v>
      </c>
      <c r="S61" s="431">
        <v>0</v>
      </c>
      <c r="T61" s="431">
        <v>0</v>
      </c>
      <c r="U61" s="431">
        <v>0</v>
      </c>
      <c r="V61" s="431">
        <v>0</v>
      </c>
      <c r="W61" s="431">
        <v>190275</v>
      </c>
      <c r="X61" s="431">
        <v>353153</v>
      </c>
      <c r="Y61" s="431">
        <v>25540</v>
      </c>
      <c r="Z61" s="468">
        <v>1805079</v>
      </c>
      <c r="AA61" s="431">
        <v>0</v>
      </c>
      <c r="AB61" s="431">
        <v>0</v>
      </c>
      <c r="AC61" s="469">
        <v>1815099</v>
      </c>
      <c r="AD61" s="434">
        <v>52188</v>
      </c>
      <c r="AE61" s="434">
        <v>3390533</v>
      </c>
      <c r="AF61" s="434">
        <v>20074</v>
      </c>
      <c r="AG61" s="434">
        <v>569435</v>
      </c>
      <c r="AH61" s="434">
        <v>913658</v>
      </c>
      <c r="AI61" s="469">
        <v>223898</v>
      </c>
      <c r="AJ61" s="469">
        <v>61804</v>
      </c>
      <c r="AK61" s="434">
        <v>0</v>
      </c>
      <c r="AL61" s="434">
        <v>706919</v>
      </c>
      <c r="AM61" s="434">
        <v>3693</v>
      </c>
    </row>
    <row r="62" spans="1:39" s="155" customFormat="1" ht="12" x14ac:dyDescent="0.2">
      <c r="A62" s="168">
        <v>8</v>
      </c>
      <c r="B62" s="570">
        <v>101993</v>
      </c>
      <c r="C62" s="559" t="s">
        <v>1356</v>
      </c>
      <c r="D62" s="432">
        <f t="shared" si="11"/>
        <v>5309236</v>
      </c>
      <c r="E62" s="434">
        <v>706611</v>
      </c>
      <c r="F62" s="434">
        <v>348121</v>
      </c>
      <c r="G62" s="434">
        <v>132944</v>
      </c>
      <c r="H62" s="434">
        <v>0</v>
      </c>
      <c r="I62" s="434">
        <v>1741243</v>
      </c>
      <c r="J62" s="434">
        <v>247173</v>
      </c>
      <c r="K62" s="434">
        <v>886870</v>
      </c>
      <c r="L62" s="434">
        <v>0</v>
      </c>
      <c r="M62" s="434">
        <v>1681121</v>
      </c>
      <c r="N62" s="434">
        <v>0</v>
      </c>
      <c r="O62" s="434">
        <v>46218</v>
      </c>
      <c r="P62" s="432">
        <f t="shared" si="12"/>
        <v>6240771</v>
      </c>
      <c r="Q62" s="431">
        <v>1877527</v>
      </c>
      <c r="R62" s="431">
        <v>1051041</v>
      </c>
      <c r="S62" s="431">
        <v>0</v>
      </c>
      <c r="T62" s="431">
        <v>0</v>
      </c>
      <c r="U62" s="431">
        <v>0</v>
      </c>
      <c r="V62" s="431">
        <v>0</v>
      </c>
      <c r="W62" s="431">
        <v>968410</v>
      </c>
      <c r="X62" s="431">
        <v>196541</v>
      </c>
      <c r="Y62" s="431">
        <v>0</v>
      </c>
      <c r="Z62" s="468">
        <v>2147252</v>
      </c>
      <c r="AA62" s="431">
        <v>0</v>
      </c>
      <c r="AB62" s="431">
        <v>0</v>
      </c>
      <c r="AC62" s="469">
        <v>762185</v>
      </c>
      <c r="AD62" s="434">
        <v>1104</v>
      </c>
      <c r="AE62" s="434">
        <v>1456243</v>
      </c>
      <c r="AF62" s="434">
        <v>0</v>
      </c>
      <c r="AG62" s="434">
        <v>32771</v>
      </c>
      <c r="AH62" s="434">
        <v>366326</v>
      </c>
      <c r="AI62" s="469">
        <v>1207188</v>
      </c>
      <c r="AJ62" s="469">
        <v>31437</v>
      </c>
      <c r="AK62" s="434">
        <v>0</v>
      </c>
      <c r="AL62" s="434">
        <v>2360198</v>
      </c>
      <c r="AM62" s="434">
        <v>23319</v>
      </c>
    </row>
    <row r="63" spans="1:39" s="155" customFormat="1" ht="12" x14ac:dyDescent="0.2">
      <c r="A63" s="168">
        <v>9</v>
      </c>
      <c r="B63" s="570">
        <v>102080</v>
      </c>
      <c r="C63" s="559" t="s">
        <v>1357</v>
      </c>
      <c r="D63" s="432">
        <f t="shared" si="11"/>
        <v>11239169</v>
      </c>
      <c r="E63" s="434">
        <v>1311691</v>
      </c>
      <c r="F63" s="434">
        <v>229676</v>
      </c>
      <c r="G63" s="434">
        <v>229164</v>
      </c>
      <c r="H63" s="434">
        <v>0</v>
      </c>
      <c r="I63" s="434">
        <v>1505354</v>
      </c>
      <c r="J63" s="434">
        <v>400000</v>
      </c>
      <c r="K63" s="434">
        <v>2406452</v>
      </c>
      <c r="L63" s="434">
        <v>0</v>
      </c>
      <c r="M63" s="434">
        <v>4789874</v>
      </c>
      <c r="N63" s="434">
        <v>825798</v>
      </c>
      <c r="O63" s="434">
        <v>0</v>
      </c>
      <c r="P63" s="432">
        <f t="shared" si="12"/>
        <v>9524992</v>
      </c>
      <c r="Q63" s="431">
        <v>1958133</v>
      </c>
      <c r="R63" s="431">
        <v>1891370</v>
      </c>
      <c r="S63" s="431">
        <v>28480</v>
      </c>
      <c r="T63" s="431">
        <v>0</v>
      </c>
      <c r="U63" s="431">
        <v>0</v>
      </c>
      <c r="V63" s="431">
        <v>0</v>
      </c>
      <c r="W63" s="431">
        <v>770156</v>
      </c>
      <c r="X63" s="431">
        <v>63451</v>
      </c>
      <c r="Y63" s="431">
        <v>31443</v>
      </c>
      <c r="Z63" s="468">
        <v>4728339</v>
      </c>
      <c r="AA63" s="431">
        <v>53620</v>
      </c>
      <c r="AB63" s="431">
        <v>0</v>
      </c>
      <c r="AC63" s="469">
        <v>953401</v>
      </c>
      <c r="AD63" s="434">
        <v>422280</v>
      </c>
      <c r="AE63" s="434">
        <v>1299039</v>
      </c>
      <c r="AF63" s="434">
        <v>9311</v>
      </c>
      <c r="AG63" s="434">
        <v>163800</v>
      </c>
      <c r="AH63" s="434">
        <v>464807</v>
      </c>
      <c r="AI63" s="469">
        <v>1318750</v>
      </c>
      <c r="AJ63" s="469">
        <v>110447</v>
      </c>
      <c r="AK63" s="434">
        <v>0</v>
      </c>
      <c r="AL63" s="434">
        <v>4783157</v>
      </c>
      <c r="AM63" s="434">
        <v>0</v>
      </c>
    </row>
    <row r="64" spans="1:39" s="155" customFormat="1" ht="12" x14ac:dyDescent="0.2">
      <c r="A64" s="168">
        <v>10</v>
      </c>
      <c r="B64" s="570">
        <v>102115</v>
      </c>
      <c r="C64" s="559" t="s">
        <v>1358</v>
      </c>
      <c r="D64" s="432">
        <f t="shared" si="11"/>
        <v>16070577</v>
      </c>
      <c r="E64" s="434">
        <v>2330407</v>
      </c>
      <c r="F64" s="434">
        <v>935026</v>
      </c>
      <c r="G64" s="434">
        <v>203295</v>
      </c>
      <c r="H64" s="434">
        <v>0</v>
      </c>
      <c r="I64" s="434">
        <v>2976536</v>
      </c>
      <c r="J64" s="434">
        <v>0</v>
      </c>
      <c r="K64" s="434">
        <v>1171460</v>
      </c>
      <c r="L64" s="434">
        <v>0</v>
      </c>
      <c r="M64" s="434">
        <v>5411072</v>
      </c>
      <c r="N64" s="434">
        <v>2006310</v>
      </c>
      <c r="O64" s="434">
        <v>2174792</v>
      </c>
      <c r="P64" s="432">
        <f t="shared" si="12"/>
        <v>19580816</v>
      </c>
      <c r="Q64" s="431">
        <v>3021755</v>
      </c>
      <c r="R64" s="431">
        <v>1957183</v>
      </c>
      <c r="S64" s="431">
        <v>0</v>
      </c>
      <c r="T64" s="431">
        <v>0</v>
      </c>
      <c r="U64" s="431">
        <v>0</v>
      </c>
      <c r="V64" s="431">
        <v>0</v>
      </c>
      <c r="W64" s="431">
        <v>468399</v>
      </c>
      <c r="X64" s="431">
        <v>472126</v>
      </c>
      <c r="Y64" s="431">
        <v>35300</v>
      </c>
      <c r="Z64" s="468">
        <v>13626053</v>
      </c>
      <c r="AA64" s="431">
        <v>0</v>
      </c>
      <c r="AB64" s="431">
        <v>0</v>
      </c>
      <c r="AC64" s="469">
        <v>1246940</v>
      </c>
      <c r="AD64" s="434">
        <v>20839</v>
      </c>
      <c r="AE64" s="434">
        <v>3023401</v>
      </c>
      <c r="AF64" s="434">
        <v>0</v>
      </c>
      <c r="AG64" s="434">
        <v>109768</v>
      </c>
      <c r="AH64" s="434">
        <v>537144</v>
      </c>
      <c r="AI64" s="469">
        <v>6904774</v>
      </c>
      <c r="AJ64" s="469">
        <v>573200</v>
      </c>
      <c r="AK64" s="434">
        <v>0</v>
      </c>
      <c r="AL64" s="434">
        <v>7164750</v>
      </c>
      <c r="AM64" s="434">
        <v>0</v>
      </c>
    </row>
    <row r="65" spans="1:39" s="155" customFormat="1" ht="12" x14ac:dyDescent="0.2">
      <c r="A65" s="168">
        <v>11</v>
      </c>
      <c r="B65" s="570">
        <v>102357</v>
      </c>
      <c r="C65" s="559" t="s">
        <v>1359</v>
      </c>
      <c r="D65" s="432">
        <f t="shared" si="11"/>
        <v>14278940</v>
      </c>
      <c r="E65" s="434">
        <v>919404</v>
      </c>
      <c r="F65" s="434">
        <v>225848</v>
      </c>
      <c r="G65" s="434">
        <v>279543</v>
      </c>
      <c r="H65" s="434">
        <v>0</v>
      </c>
      <c r="I65" s="434">
        <v>2711785</v>
      </c>
      <c r="J65" s="434">
        <v>650000</v>
      </c>
      <c r="K65" s="434">
        <v>1479160</v>
      </c>
      <c r="L65" s="434">
        <v>0</v>
      </c>
      <c r="M65" s="434">
        <v>8518591</v>
      </c>
      <c r="N65" s="434">
        <v>0</v>
      </c>
      <c r="O65" s="434">
        <v>0</v>
      </c>
      <c r="P65" s="432">
        <f t="shared" si="12"/>
        <v>14287506</v>
      </c>
      <c r="Q65" s="431">
        <v>2975273</v>
      </c>
      <c r="R65" s="431">
        <v>1976615</v>
      </c>
      <c r="S65" s="431">
        <v>0</v>
      </c>
      <c r="T65" s="431">
        <v>0</v>
      </c>
      <c r="U65" s="431">
        <v>0</v>
      </c>
      <c r="V65" s="431">
        <v>0</v>
      </c>
      <c r="W65" s="431">
        <v>156287</v>
      </c>
      <c r="X65" s="431">
        <v>239823</v>
      </c>
      <c r="Y65" s="431">
        <v>21320</v>
      </c>
      <c r="Z65" s="468">
        <v>8918188</v>
      </c>
      <c r="AA65" s="431">
        <v>0</v>
      </c>
      <c r="AB65" s="431">
        <v>0</v>
      </c>
      <c r="AC65" s="469">
        <v>830786</v>
      </c>
      <c r="AD65" s="434">
        <v>65879</v>
      </c>
      <c r="AE65" s="434">
        <v>2863552</v>
      </c>
      <c r="AF65" s="434">
        <v>0</v>
      </c>
      <c r="AG65" s="434">
        <v>24531</v>
      </c>
      <c r="AH65" s="434">
        <v>628802</v>
      </c>
      <c r="AI65" s="469">
        <v>1434099</v>
      </c>
      <c r="AJ65" s="469">
        <v>84453</v>
      </c>
      <c r="AK65" s="434">
        <v>0</v>
      </c>
      <c r="AL65" s="434">
        <v>8355404</v>
      </c>
      <c r="AM65" s="434">
        <v>0</v>
      </c>
    </row>
    <row r="66" spans="1:39" s="155" customFormat="1" ht="12" x14ac:dyDescent="0.2">
      <c r="A66" s="168">
        <v>12</v>
      </c>
      <c r="B66" s="570">
        <v>102455</v>
      </c>
      <c r="C66" s="559" t="s">
        <v>1360</v>
      </c>
      <c r="D66" s="432">
        <f t="shared" si="11"/>
        <v>4516370</v>
      </c>
      <c r="E66" s="434">
        <v>1201824</v>
      </c>
      <c r="F66" s="434">
        <v>309930</v>
      </c>
      <c r="G66" s="434">
        <v>112953</v>
      </c>
      <c r="H66" s="434">
        <v>0</v>
      </c>
      <c r="I66" s="434">
        <v>1180280</v>
      </c>
      <c r="J66" s="434">
        <v>534000</v>
      </c>
      <c r="K66" s="434">
        <v>682560</v>
      </c>
      <c r="L66" s="434">
        <v>0</v>
      </c>
      <c r="M66" s="434">
        <v>917706</v>
      </c>
      <c r="N66" s="434">
        <v>0</v>
      </c>
      <c r="O66" s="434">
        <v>0</v>
      </c>
      <c r="P66" s="432">
        <f t="shared" si="12"/>
        <v>4596378</v>
      </c>
      <c r="Q66" s="431">
        <v>1346714</v>
      </c>
      <c r="R66" s="431">
        <v>1009663</v>
      </c>
      <c r="S66" s="431">
        <v>0</v>
      </c>
      <c r="T66" s="431">
        <v>0</v>
      </c>
      <c r="U66" s="431">
        <v>0</v>
      </c>
      <c r="V66" s="431">
        <v>0</v>
      </c>
      <c r="W66" s="431">
        <v>0</v>
      </c>
      <c r="X66" s="431">
        <v>216886</v>
      </c>
      <c r="Y66" s="431">
        <v>7880</v>
      </c>
      <c r="Z66" s="468">
        <v>2015235</v>
      </c>
      <c r="AA66" s="431">
        <v>0</v>
      </c>
      <c r="AB66" s="431">
        <v>0</v>
      </c>
      <c r="AC66" s="469">
        <v>642611</v>
      </c>
      <c r="AD66" s="434">
        <v>200</v>
      </c>
      <c r="AE66" s="434">
        <v>1023122</v>
      </c>
      <c r="AF66" s="434">
        <v>9871</v>
      </c>
      <c r="AG66" s="434">
        <v>43132</v>
      </c>
      <c r="AH66" s="434">
        <v>422617</v>
      </c>
      <c r="AI66" s="469">
        <v>1210435</v>
      </c>
      <c r="AJ66" s="469">
        <v>2279</v>
      </c>
      <c r="AK66" s="434">
        <v>0</v>
      </c>
      <c r="AL66" s="434">
        <v>1242111</v>
      </c>
      <c r="AM66" s="434">
        <v>0</v>
      </c>
    </row>
    <row r="67" spans="1:39" s="155" customFormat="1" ht="12" x14ac:dyDescent="0.2">
      <c r="A67" s="168">
        <v>13</v>
      </c>
      <c r="B67" s="570">
        <v>102810</v>
      </c>
      <c r="C67" s="559" t="s">
        <v>1361</v>
      </c>
      <c r="D67" s="432">
        <f t="shared" si="11"/>
        <v>13456175</v>
      </c>
      <c r="E67" s="434">
        <v>2056821</v>
      </c>
      <c r="F67" s="434">
        <v>574414</v>
      </c>
      <c r="G67" s="434">
        <v>413897</v>
      </c>
      <c r="H67" s="434">
        <v>0</v>
      </c>
      <c r="I67" s="434">
        <v>3808328</v>
      </c>
      <c r="J67" s="434">
        <v>550000</v>
      </c>
      <c r="K67" s="434">
        <v>1772870</v>
      </c>
      <c r="L67" s="434">
        <v>0</v>
      </c>
      <c r="M67" s="434">
        <v>5236782</v>
      </c>
      <c r="N67" s="434">
        <v>0</v>
      </c>
      <c r="O67" s="434">
        <v>31374</v>
      </c>
      <c r="P67" s="432">
        <f t="shared" si="12"/>
        <v>13090214</v>
      </c>
      <c r="Q67" s="431">
        <v>4072834</v>
      </c>
      <c r="R67" s="468">
        <v>2138384</v>
      </c>
      <c r="S67" s="431">
        <v>35504</v>
      </c>
      <c r="T67" s="431">
        <v>0</v>
      </c>
      <c r="U67" s="431">
        <v>0</v>
      </c>
      <c r="V67" s="431">
        <v>0</v>
      </c>
      <c r="W67" s="431">
        <v>409651</v>
      </c>
      <c r="X67" s="431">
        <v>295986</v>
      </c>
      <c r="Y67" s="431">
        <v>39980</v>
      </c>
      <c r="Z67" s="468">
        <v>6098303</v>
      </c>
      <c r="AA67" s="431">
        <v>42303</v>
      </c>
      <c r="AB67" s="431">
        <v>-42731</v>
      </c>
      <c r="AC67" s="469">
        <v>948308</v>
      </c>
      <c r="AD67" s="434">
        <v>22450</v>
      </c>
      <c r="AE67" s="434">
        <v>3556851</v>
      </c>
      <c r="AF67" s="434">
        <v>3559</v>
      </c>
      <c r="AG67" s="434">
        <v>64992</v>
      </c>
      <c r="AH67" s="434">
        <v>836431</v>
      </c>
      <c r="AI67" s="469">
        <v>383990</v>
      </c>
      <c r="AJ67" s="469">
        <v>190381</v>
      </c>
      <c r="AK67" s="434">
        <v>0</v>
      </c>
      <c r="AL67" s="434">
        <v>7083252</v>
      </c>
      <c r="AM67" s="434">
        <v>0</v>
      </c>
    </row>
    <row r="68" spans="1:39" s="155" customFormat="1" ht="12" x14ac:dyDescent="0.2">
      <c r="A68" s="168">
        <v>14</v>
      </c>
      <c r="B68" s="570">
        <v>102918</v>
      </c>
      <c r="C68" s="237" t="s">
        <v>1362</v>
      </c>
      <c r="D68" s="432">
        <f t="shared" si="11"/>
        <v>6849808</v>
      </c>
      <c r="E68" s="434">
        <v>2092562</v>
      </c>
      <c r="F68" s="434">
        <v>854115</v>
      </c>
      <c r="G68" s="434">
        <v>219558</v>
      </c>
      <c r="H68" s="434">
        <v>0</v>
      </c>
      <c r="I68" s="434">
        <v>2638344</v>
      </c>
      <c r="J68" s="434">
        <v>800000</v>
      </c>
      <c r="K68" s="434">
        <v>1025370</v>
      </c>
      <c r="L68" s="434">
        <v>0</v>
      </c>
      <c r="M68" s="434">
        <v>293532</v>
      </c>
      <c r="N68" s="434">
        <v>0</v>
      </c>
      <c r="O68" s="434">
        <v>0</v>
      </c>
      <c r="P68" s="432">
        <f t="shared" si="12"/>
        <v>6051129</v>
      </c>
      <c r="Q68" s="431">
        <v>2806367</v>
      </c>
      <c r="R68" s="468">
        <v>1346096</v>
      </c>
      <c r="S68" s="431">
        <v>0</v>
      </c>
      <c r="T68" s="431">
        <v>0</v>
      </c>
      <c r="U68" s="431">
        <v>0</v>
      </c>
      <c r="V68" s="431">
        <v>0</v>
      </c>
      <c r="W68" s="431">
        <v>0</v>
      </c>
      <c r="X68" s="431">
        <v>552229</v>
      </c>
      <c r="Y68" s="431">
        <v>840</v>
      </c>
      <c r="Z68" s="468">
        <v>1400251</v>
      </c>
      <c r="AA68" s="431">
        <v>0</v>
      </c>
      <c r="AB68" s="431">
        <v>-54654</v>
      </c>
      <c r="AC68" s="469">
        <v>938642</v>
      </c>
      <c r="AD68" s="434">
        <v>1883</v>
      </c>
      <c r="AE68" s="434">
        <v>1936364</v>
      </c>
      <c r="AF68" s="434">
        <v>30014</v>
      </c>
      <c r="AG68" s="434">
        <v>422988</v>
      </c>
      <c r="AH68" s="434">
        <v>1181115</v>
      </c>
      <c r="AI68" s="469">
        <v>589547</v>
      </c>
      <c r="AJ68" s="469">
        <v>85287</v>
      </c>
      <c r="AK68" s="434">
        <v>0</v>
      </c>
      <c r="AL68" s="434">
        <v>865289</v>
      </c>
      <c r="AM68" s="434">
        <v>0</v>
      </c>
    </row>
    <row r="69" spans="1:39" s="155" customFormat="1" ht="12" x14ac:dyDescent="0.2">
      <c r="A69" s="168">
        <v>15</v>
      </c>
      <c r="B69" s="570">
        <v>103096</v>
      </c>
      <c r="C69" s="559" t="s">
        <v>1363</v>
      </c>
      <c r="D69" s="432">
        <f t="shared" si="11"/>
        <v>17641601</v>
      </c>
      <c r="E69" s="434">
        <v>1383393</v>
      </c>
      <c r="F69" s="434">
        <v>245633</v>
      </c>
      <c r="G69" s="434">
        <v>341137</v>
      </c>
      <c r="H69" s="434">
        <v>0</v>
      </c>
      <c r="I69" s="434">
        <v>2487222</v>
      </c>
      <c r="J69" s="434">
        <v>488000</v>
      </c>
      <c r="K69" s="434">
        <v>5870080</v>
      </c>
      <c r="L69" s="434">
        <v>0</v>
      </c>
      <c r="M69" s="434">
        <v>7257834</v>
      </c>
      <c r="N69" s="434">
        <v>123700</v>
      </c>
      <c r="O69" s="434">
        <v>31372</v>
      </c>
      <c r="P69" s="432">
        <f t="shared" si="12"/>
        <v>13628854</v>
      </c>
      <c r="Q69" s="431">
        <v>2858388</v>
      </c>
      <c r="R69" s="431">
        <v>1436046</v>
      </c>
      <c r="S69" s="431">
        <v>0</v>
      </c>
      <c r="T69" s="431">
        <v>0</v>
      </c>
      <c r="U69" s="431">
        <v>0</v>
      </c>
      <c r="V69" s="431">
        <v>0</v>
      </c>
      <c r="W69" s="431">
        <v>196450</v>
      </c>
      <c r="X69" s="431">
        <v>204435</v>
      </c>
      <c r="Y69" s="431">
        <v>36438</v>
      </c>
      <c r="Z69" s="468">
        <v>8897147</v>
      </c>
      <c r="AA69" s="431">
        <v>0</v>
      </c>
      <c r="AB69" s="431">
        <v>-50</v>
      </c>
      <c r="AC69" s="469">
        <v>791478</v>
      </c>
      <c r="AD69" s="434">
        <v>25132</v>
      </c>
      <c r="AE69" s="434">
        <v>2047973</v>
      </c>
      <c r="AF69" s="434">
        <v>0</v>
      </c>
      <c r="AG69" s="434">
        <v>554078</v>
      </c>
      <c r="AH69" s="434">
        <v>713836</v>
      </c>
      <c r="AI69" s="469">
        <v>586605</v>
      </c>
      <c r="AJ69" s="469">
        <v>52299</v>
      </c>
      <c r="AK69" s="434">
        <v>0</v>
      </c>
      <c r="AL69" s="434">
        <v>8828922</v>
      </c>
      <c r="AM69" s="434">
        <v>28531</v>
      </c>
    </row>
    <row r="70" spans="1:39" s="155" customFormat="1" ht="12" x14ac:dyDescent="0.2">
      <c r="A70" s="168">
        <v>16</v>
      </c>
      <c r="B70" s="570">
        <v>103201</v>
      </c>
      <c r="C70" s="559" t="s">
        <v>1364</v>
      </c>
      <c r="D70" s="432">
        <f t="shared" si="11"/>
        <v>3152247</v>
      </c>
      <c r="E70" s="434">
        <v>1145070</v>
      </c>
      <c r="F70" s="434">
        <v>321706</v>
      </c>
      <c r="G70" s="434">
        <v>81966</v>
      </c>
      <c r="H70" s="434">
        <v>0</v>
      </c>
      <c r="I70" s="434">
        <v>1104927</v>
      </c>
      <c r="J70" s="434">
        <v>0</v>
      </c>
      <c r="K70" s="434">
        <v>560710</v>
      </c>
      <c r="L70" s="434">
        <v>0</v>
      </c>
      <c r="M70" s="434">
        <v>341540</v>
      </c>
      <c r="N70" s="434">
        <v>0</v>
      </c>
      <c r="O70" s="434">
        <v>0</v>
      </c>
      <c r="P70" s="432">
        <f t="shared" si="12"/>
        <v>3094681</v>
      </c>
      <c r="Q70" s="431">
        <v>1332682</v>
      </c>
      <c r="R70" s="431">
        <v>516649</v>
      </c>
      <c r="S70" s="431">
        <v>0</v>
      </c>
      <c r="T70" s="431">
        <v>0</v>
      </c>
      <c r="U70" s="431">
        <v>0</v>
      </c>
      <c r="V70" s="431">
        <v>0</v>
      </c>
      <c r="W70" s="431">
        <v>0</v>
      </c>
      <c r="X70" s="431">
        <v>202246</v>
      </c>
      <c r="Y70" s="431">
        <v>2200</v>
      </c>
      <c r="Z70" s="468">
        <v>1049406</v>
      </c>
      <c r="AA70" s="431">
        <v>0</v>
      </c>
      <c r="AB70" s="431">
        <v>-8502</v>
      </c>
      <c r="AC70" s="469">
        <v>476050</v>
      </c>
      <c r="AD70" s="434">
        <v>1452</v>
      </c>
      <c r="AE70" s="434">
        <v>829833</v>
      </c>
      <c r="AF70" s="434">
        <v>0</v>
      </c>
      <c r="AG70" s="434">
        <v>194728</v>
      </c>
      <c r="AH70" s="434">
        <v>448767</v>
      </c>
      <c r="AI70" s="469">
        <v>267100</v>
      </c>
      <c r="AJ70" s="469">
        <v>0</v>
      </c>
      <c r="AK70" s="434">
        <v>0</v>
      </c>
      <c r="AL70" s="434">
        <v>816162</v>
      </c>
      <c r="AM70" s="434">
        <v>60589</v>
      </c>
    </row>
    <row r="71" spans="1:39" s="155" customFormat="1" ht="12" x14ac:dyDescent="0.2">
      <c r="A71" s="168">
        <v>17</v>
      </c>
      <c r="B71" s="570">
        <v>103247</v>
      </c>
      <c r="C71" s="559" t="s">
        <v>1365</v>
      </c>
      <c r="D71" s="432">
        <f t="shared" si="11"/>
        <v>11679357</v>
      </c>
      <c r="E71" s="434">
        <v>2822796</v>
      </c>
      <c r="F71" s="434">
        <v>657343</v>
      </c>
      <c r="G71" s="434">
        <v>193729</v>
      </c>
      <c r="H71" s="434">
        <v>0</v>
      </c>
      <c r="I71" s="434">
        <v>2709172</v>
      </c>
      <c r="J71" s="434">
        <v>450000</v>
      </c>
      <c r="K71" s="434">
        <v>1997420</v>
      </c>
      <c r="L71" s="434">
        <v>0</v>
      </c>
      <c r="M71" s="434">
        <v>731266</v>
      </c>
      <c r="N71" s="434">
        <v>2798355</v>
      </c>
      <c r="O71" s="434">
        <v>170348</v>
      </c>
      <c r="P71" s="432">
        <f t="shared" si="12"/>
        <v>13520584</v>
      </c>
      <c r="Q71" s="431">
        <v>3090787</v>
      </c>
      <c r="R71" s="431">
        <v>4581146</v>
      </c>
      <c r="S71" s="431">
        <v>61830</v>
      </c>
      <c r="T71" s="431">
        <v>0</v>
      </c>
      <c r="U71" s="431">
        <v>0</v>
      </c>
      <c r="V71" s="431">
        <v>0</v>
      </c>
      <c r="W71" s="431">
        <v>4154312</v>
      </c>
      <c r="X71" s="431">
        <v>342990</v>
      </c>
      <c r="Y71" s="431">
        <v>0</v>
      </c>
      <c r="Z71" s="468">
        <v>1320049</v>
      </c>
      <c r="AA71" s="431">
        <v>0</v>
      </c>
      <c r="AB71" s="431">
        <v>-30530</v>
      </c>
      <c r="AC71" s="469">
        <v>2502585</v>
      </c>
      <c r="AD71" s="434">
        <v>6158</v>
      </c>
      <c r="AE71" s="434">
        <v>4885941</v>
      </c>
      <c r="AF71" s="434">
        <v>0</v>
      </c>
      <c r="AG71" s="434">
        <v>268579</v>
      </c>
      <c r="AH71" s="434">
        <v>516479</v>
      </c>
      <c r="AI71" s="469">
        <v>1113170</v>
      </c>
      <c r="AJ71" s="469">
        <v>540680</v>
      </c>
      <c r="AK71" s="434">
        <v>0</v>
      </c>
      <c r="AL71" s="434">
        <v>3686992</v>
      </c>
      <c r="AM71" s="434">
        <v>0</v>
      </c>
    </row>
    <row r="72" spans="1:39" s="155" customFormat="1" ht="12" x14ac:dyDescent="0.2">
      <c r="A72" s="168">
        <v>18</v>
      </c>
      <c r="B72" s="570">
        <v>103318</v>
      </c>
      <c r="C72" s="559" t="s">
        <v>1366</v>
      </c>
      <c r="D72" s="432">
        <f t="shared" si="11"/>
        <v>3567179</v>
      </c>
      <c r="E72" s="434">
        <v>1036829</v>
      </c>
      <c r="F72" s="434">
        <v>170754</v>
      </c>
      <c r="G72" s="434">
        <v>164151</v>
      </c>
      <c r="H72" s="434">
        <v>0</v>
      </c>
      <c r="I72" s="434">
        <v>1029766</v>
      </c>
      <c r="J72" s="434">
        <v>400000</v>
      </c>
      <c r="K72" s="434">
        <v>780040</v>
      </c>
      <c r="L72" s="434">
        <v>0</v>
      </c>
      <c r="M72" s="434">
        <v>150442</v>
      </c>
      <c r="N72" s="434">
        <v>120102</v>
      </c>
      <c r="O72" s="434">
        <v>50000</v>
      </c>
      <c r="P72" s="432">
        <f t="shared" si="12"/>
        <v>3469740</v>
      </c>
      <c r="Q72" s="431">
        <v>1335168</v>
      </c>
      <c r="R72" s="431">
        <v>727203</v>
      </c>
      <c r="S72" s="431">
        <v>0</v>
      </c>
      <c r="T72" s="431">
        <v>0</v>
      </c>
      <c r="U72" s="431">
        <v>0</v>
      </c>
      <c r="V72" s="431">
        <v>0</v>
      </c>
      <c r="W72" s="431">
        <v>156765</v>
      </c>
      <c r="X72" s="431">
        <v>165493</v>
      </c>
      <c r="Y72" s="431">
        <v>94000</v>
      </c>
      <c r="Z72" s="468">
        <v>1007989</v>
      </c>
      <c r="AA72" s="431">
        <v>0</v>
      </c>
      <c r="AB72" s="431">
        <v>-16878</v>
      </c>
      <c r="AC72" s="469">
        <v>654834</v>
      </c>
      <c r="AD72" s="434">
        <v>168932</v>
      </c>
      <c r="AE72" s="434">
        <v>827877</v>
      </c>
      <c r="AF72" s="434">
        <v>28880</v>
      </c>
      <c r="AG72" s="434">
        <v>206989</v>
      </c>
      <c r="AH72" s="434">
        <v>396695</v>
      </c>
      <c r="AI72" s="469">
        <v>348320</v>
      </c>
      <c r="AJ72" s="469">
        <v>75269</v>
      </c>
      <c r="AK72" s="434">
        <v>0</v>
      </c>
      <c r="AL72" s="434">
        <v>759964</v>
      </c>
      <c r="AM72" s="434">
        <v>1980</v>
      </c>
    </row>
    <row r="73" spans="1:39" s="155" customFormat="1" ht="12" x14ac:dyDescent="0.2">
      <c r="A73" s="168">
        <v>19</v>
      </c>
      <c r="B73" s="570">
        <v>103381</v>
      </c>
      <c r="C73" s="559" t="s">
        <v>1367</v>
      </c>
      <c r="D73" s="432">
        <f t="shared" si="11"/>
        <v>6409393</v>
      </c>
      <c r="E73" s="434">
        <v>604599</v>
      </c>
      <c r="F73" s="434">
        <v>86521</v>
      </c>
      <c r="G73" s="434">
        <v>214910</v>
      </c>
      <c r="H73" s="434">
        <v>0</v>
      </c>
      <c r="I73" s="434">
        <v>1136193</v>
      </c>
      <c r="J73" s="434">
        <v>0</v>
      </c>
      <c r="K73" s="434">
        <v>1114110</v>
      </c>
      <c r="L73" s="434">
        <v>0</v>
      </c>
      <c r="M73" s="434">
        <v>3534037</v>
      </c>
      <c r="N73" s="434">
        <v>0</v>
      </c>
      <c r="O73" s="434">
        <v>20454</v>
      </c>
      <c r="P73" s="432">
        <f t="shared" si="12"/>
        <v>6157182</v>
      </c>
      <c r="Q73" s="431">
        <v>1417582</v>
      </c>
      <c r="R73" s="431">
        <v>629246</v>
      </c>
      <c r="S73" s="431">
        <v>0</v>
      </c>
      <c r="T73" s="431">
        <v>0</v>
      </c>
      <c r="U73" s="431">
        <v>0</v>
      </c>
      <c r="V73" s="431">
        <v>0</v>
      </c>
      <c r="W73" s="431">
        <v>0</v>
      </c>
      <c r="X73" s="431">
        <v>199978</v>
      </c>
      <c r="Y73" s="431">
        <v>0</v>
      </c>
      <c r="Z73" s="468">
        <v>3910376</v>
      </c>
      <c r="AA73" s="431">
        <v>0</v>
      </c>
      <c r="AB73" s="431">
        <v>0</v>
      </c>
      <c r="AC73" s="469">
        <v>644111</v>
      </c>
      <c r="AD73" s="434">
        <v>0</v>
      </c>
      <c r="AE73" s="434">
        <v>869970</v>
      </c>
      <c r="AF73" s="434">
        <v>124598</v>
      </c>
      <c r="AG73" s="434">
        <v>60921</v>
      </c>
      <c r="AH73" s="434">
        <v>560936</v>
      </c>
      <c r="AI73" s="469">
        <v>1351776</v>
      </c>
      <c r="AJ73" s="469">
        <v>131919</v>
      </c>
      <c r="AK73" s="434">
        <v>0</v>
      </c>
      <c r="AL73" s="434">
        <v>2412951</v>
      </c>
      <c r="AM73" s="434">
        <v>0</v>
      </c>
    </row>
    <row r="74" spans="1:39" s="155" customFormat="1" ht="12" x14ac:dyDescent="0.2">
      <c r="A74" s="168">
        <v>20</v>
      </c>
      <c r="B74" s="570">
        <v>103363</v>
      </c>
      <c r="C74" s="559" t="s">
        <v>1368</v>
      </c>
      <c r="D74" s="432">
        <f t="shared" si="11"/>
        <v>4051422</v>
      </c>
      <c r="E74" s="434">
        <v>618016</v>
      </c>
      <c r="F74" s="434">
        <v>74669</v>
      </c>
      <c r="G74" s="434">
        <v>221907</v>
      </c>
      <c r="H74" s="434">
        <v>0</v>
      </c>
      <c r="I74" s="434">
        <v>1233149</v>
      </c>
      <c r="J74" s="434">
        <v>0</v>
      </c>
      <c r="K74" s="434">
        <v>1175080</v>
      </c>
      <c r="L74" s="434">
        <v>0</v>
      </c>
      <c r="M74" s="434">
        <v>994211</v>
      </c>
      <c r="N74" s="434">
        <v>0</v>
      </c>
      <c r="O74" s="434">
        <v>30966</v>
      </c>
      <c r="P74" s="432">
        <f t="shared" si="12"/>
        <v>4203831</v>
      </c>
      <c r="Q74" s="431">
        <v>1366214</v>
      </c>
      <c r="R74" s="431">
        <v>692169</v>
      </c>
      <c r="S74" s="431">
        <v>0</v>
      </c>
      <c r="T74" s="431">
        <v>0</v>
      </c>
      <c r="U74" s="431">
        <v>0</v>
      </c>
      <c r="V74" s="431">
        <v>0</v>
      </c>
      <c r="W74" s="431">
        <v>0</v>
      </c>
      <c r="X74" s="431">
        <v>220203</v>
      </c>
      <c r="Y74" s="431">
        <v>0</v>
      </c>
      <c r="Z74" s="468">
        <v>1925245</v>
      </c>
      <c r="AA74" s="431">
        <v>0</v>
      </c>
      <c r="AB74" s="431">
        <v>0</v>
      </c>
      <c r="AC74" s="469">
        <v>522809</v>
      </c>
      <c r="AD74" s="434">
        <v>1789</v>
      </c>
      <c r="AE74" s="434">
        <v>1025008</v>
      </c>
      <c r="AF74" s="434">
        <v>149464</v>
      </c>
      <c r="AG74" s="434">
        <v>151523</v>
      </c>
      <c r="AH74" s="434">
        <v>402871</v>
      </c>
      <c r="AI74" s="469">
        <v>672831</v>
      </c>
      <c r="AJ74" s="469">
        <v>30811</v>
      </c>
      <c r="AK74" s="434">
        <v>0</v>
      </c>
      <c r="AL74" s="434">
        <v>1246725</v>
      </c>
      <c r="AM74" s="434">
        <v>0</v>
      </c>
    </row>
    <row r="75" spans="1:39" s="155" customFormat="1" ht="12" x14ac:dyDescent="0.2">
      <c r="A75" s="168">
        <v>21</v>
      </c>
      <c r="B75" s="570">
        <v>103416</v>
      </c>
      <c r="C75" s="559" t="s">
        <v>1369</v>
      </c>
      <c r="D75" s="432">
        <f t="shared" si="11"/>
        <v>7161800</v>
      </c>
      <c r="E75" s="434">
        <v>1133718</v>
      </c>
      <c r="F75" s="434">
        <v>343872</v>
      </c>
      <c r="G75" s="434">
        <v>142870</v>
      </c>
      <c r="H75" s="434">
        <v>0</v>
      </c>
      <c r="I75" s="434">
        <v>1557483</v>
      </c>
      <c r="J75" s="434">
        <v>680000</v>
      </c>
      <c r="K75" s="434">
        <v>1184300</v>
      </c>
      <c r="L75" s="434">
        <v>0</v>
      </c>
      <c r="M75" s="434">
        <v>2606299</v>
      </c>
      <c r="N75" s="434">
        <v>0</v>
      </c>
      <c r="O75" s="434">
        <v>0</v>
      </c>
      <c r="P75" s="432">
        <f t="shared" si="12"/>
        <v>6980340</v>
      </c>
      <c r="Q75" s="431">
        <v>1948296</v>
      </c>
      <c r="R75" s="431">
        <v>1049192</v>
      </c>
      <c r="S75" s="431">
        <v>0</v>
      </c>
      <c r="T75" s="431">
        <v>0</v>
      </c>
      <c r="U75" s="431">
        <v>0</v>
      </c>
      <c r="V75" s="431">
        <v>0</v>
      </c>
      <c r="W75" s="431">
        <v>0</v>
      </c>
      <c r="X75" s="431">
        <v>50523</v>
      </c>
      <c r="Y75" s="431">
        <v>17340</v>
      </c>
      <c r="Z75" s="468">
        <v>3914989</v>
      </c>
      <c r="AA75" s="431">
        <v>0</v>
      </c>
      <c r="AB75" s="431">
        <v>0</v>
      </c>
      <c r="AC75" s="469">
        <v>608999</v>
      </c>
      <c r="AD75" s="434">
        <v>0</v>
      </c>
      <c r="AE75" s="434">
        <v>1477122</v>
      </c>
      <c r="AF75" s="434">
        <v>0</v>
      </c>
      <c r="AG75" s="434">
        <v>66864</v>
      </c>
      <c r="AH75" s="434">
        <v>468431</v>
      </c>
      <c r="AI75" s="469">
        <v>258579</v>
      </c>
      <c r="AJ75" s="469">
        <v>295997</v>
      </c>
      <c r="AK75" s="434">
        <v>0</v>
      </c>
      <c r="AL75" s="434">
        <v>3804348</v>
      </c>
      <c r="AM75" s="434">
        <v>0</v>
      </c>
    </row>
    <row r="76" spans="1:39" s="155" customFormat="1" ht="12" x14ac:dyDescent="0.2">
      <c r="A76" s="168">
        <v>22</v>
      </c>
      <c r="B76" s="570">
        <v>103489</v>
      </c>
      <c r="C76" s="559" t="s">
        <v>1370</v>
      </c>
      <c r="D76" s="432">
        <f t="shared" si="11"/>
        <v>3015319</v>
      </c>
      <c r="E76" s="434">
        <v>909572</v>
      </c>
      <c r="F76" s="434">
        <v>245862</v>
      </c>
      <c r="G76" s="434">
        <v>155935</v>
      </c>
      <c r="H76" s="434">
        <v>0</v>
      </c>
      <c r="I76" s="434">
        <v>1193025</v>
      </c>
      <c r="J76" s="434">
        <v>43000</v>
      </c>
      <c r="K76" s="434">
        <v>829310</v>
      </c>
      <c r="L76" s="434">
        <v>0</v>
      </c>
      <c r="M76" s="434">
        <v>40412</v>
      </c>
      <c r="N76" s="434">
        <v>0</v>
      </c>
      <c r="O76" s="434">
        <v>0</v>
      </c>
      <c r="P76" s="432">
        <f t="shared" si="12"/>
        <v>3014314</v>
      </c>
      <c r="Q76" s="431">
        <v>1490667</v>
      </c>
      <c r="R76" s="431">
        <v>979026</v>
      </c>
      <c r="S76" s="431">
        <v>0</v>
      </c>
      <c r="T76" s="431">
        <v>0</v>
      </c>
      <c r="U76" s="431">
        <v>0</v>
      </c>
      <c r="V76" s="431">
        <v>0</v>
      </c>
      <c r="W76" s="431">
        <v>0</v>
      </c>
      <c r="X76" s="431">
        <v>115068</v>
      </c>
      <c r="Y76" s="431">
        <v>9280</v>
      </c>
      <c r="Z76" s="468">
        <v>420273</v>
      </c>
      <c r="AA76" s="431">
        <v>0</v>
      </c>
      <c r="AB76" s="431">
        <v>0</v>
      </c>
      <c r="AC76" s="469">
        <v>1137954</v>
      </c>
      <c r="AD76" s="434">
        <v>62193</v>
      </c>
      <c r="AE76" s="434">
        <v>772495</v>
      </c>
      <c r="AF76" s="434">
        <v>21303</v>
      </c>
      <c r="AG76" s="434">
        <v>17126</v>
      </c>
      <c r="AH76" s="434">
        <v>469231</v>
      </c>
      <c r="AI76" s="469">
        <v>84040</v>
      </c>
      <c r="AJ76" s="469">
        <v>95000</v>
      </c>
      <c r="AK76" s="434">
        <v>0</v>
      </c>
      <c r="AL76" s="434">
        <v>354972</v>
      </c>
      <c r="AM76" s="434">
        <v>0</v>
      </c>
    </row>
    <row r="77" spans="1:39" s="155" customFormat="1" ht="12" x14ac:dyDescent="0.2">
      <c r="A77" s="168">
        <v>23</v>
      </c>
      <c r="B77" s="570">
        <v>103648</v>
      </c>
      <c r="C77" s="559" t="s">
        <v>1371</v>
      </c>
      <c r="D77" s="432">
        <f t="shared" si="11"/>
        <v>14987013</v>
      </c>
      <c r="E77" s="434">
        <v>1073349</v>
      </c>
      <c r="F77" s="434">
        <v>349401</v>
      </c>
      <c r="G77" s="434">
        <v>149937</v>
      </c>
      <c r="H77" s="434">
        <v>0</v>
      </c>
      <c r="I77" s="434">
        <v>2752836</v>
      </c>
      <c r="J77" s="434">
        <v>0</v>
      </c>
      <c r="K77" s="434">
        <v>834440</v>
      </c>
      <c r="L77" s="434">
        <v>0</v>
      </c>
      <c r="M77" s="434">
        <v>1285726</v>
      </c>
      <c r="N77" s="434">
        <v>9012102</v>
      </c>
      <c r="O77" s="434">
        <v>28560</v>
      </c>
      <c r="P77" s="432">
        <f t="shared" si="12"/>
        <v>14840859</v>
      </c>
      <c r="Q77" s="431">
        <v>2912408</v>
      </c>
      <c r="R77" s="431">
        <v>786624</v>
      </c>
      <c r="S77" s="431">
        <v>0</v>
      </c>
      <c r="T77" s="431">
        <v>0</v>
      </c>
      <c r="U77" s="431">
        <v>0</v>
      </c>
      <c r="V77" s="431">
        <v>0</v>
      </c>
      <c r="W77" s="431">
        <v>9045899</v>
      </c>
      <c r="X77" s="431">
        <v>107434</v>
      </c>
      <c r="Y77" s="431">
        <v>82482</v>
      </c>
      <c r="Z77" s="468">
        <v>1906012</v>
      </c>
      <c r="AA77" s="431">
        <v>0</v>
      </c>
      <c r="AB77" s="431">
        <v>0</v>
      </c>
      <c r="AC77" s="469">
        <v>828769</v>
      </c>
      <c r="AD77" s="434">
        <v>55350</v>
      </c>
      <c r="AE77" s="434">
        <v>10383792</v>
      </c>
      <c r="AF77" s="434">
        <v>0</v>
      </c>
      <c r="AG77" s="434">
        <v>85823</v>
      </c>
      <c r="AH77" s="434">
        <v>389260</v>
      </c>
      <c r="AI77" s="469">
        <v>1020822</v>
      </c>
      <c r="AJ77" s="469">
        <v>0</v>
      </c>
      <c r="AK77" s="434">
        <v>0</v>
      </c>
      <c r="AL77" s="434">
        <v>993322</v>
      </c>
      <c r="AM77" s="434">
        <v>1083721</v>
      </c>
    </row>
    <row r="78" spans="1:39" s="155" customFormat="1" ht="12" x14ac:dyDescent="0.2">
      <c r="A78" s="168">
        <v>24</v>
      </c>
      <c r="B78" s="570">
        <v>103700</v>
      </c>
      <c r="C78" s="559" t="s">
        <v>1372</v>
      </c>
      <c r="D78" s="432">
        <f t="shared" si="11"/>
        <v>5250638</v>
      </c>
      <c r="E78" s="434">
        <v>867223</v>
      </c>
      <c r="F78" s="434">
        <v>164453</v>
      </c>
      <c r="G78" s="434">
        <v>197917</v>
      </c>
      <c r="H78" s="434">
        <v>0</v>
      </c>
      <c r="I78" s="434">
        <v>866852</v>
      </c>
      <c r="J78" s="434">
        <v>900000</v>
      </c>
      <c r="K78" s="434">
        <v>960510</v>
      </c>
      <c r="L78" s="434">
        <v>0</v>
      </c>
      <c r="M78" s="434">
        <v>1656053</v>
      </c>
      <c r="N78" s="434">
        <v>0</v>
      </c>
      <c r="O78" s="434">
        <v>0</v>
      </c>
      <c r="P78" s="432">
        <f t="shared" si="12"/>
        <v>5238971</v>
      </c>
      <c r="Q78" s="431">
        <v>1079360</v>
      </c>
      <c r="R78" s="431">
        <v>848097</v>
      </c>
      <c r="S78" s="431">
        <v>0</v>
      </c>
      <c r="T78" s="431">
        <v>0</v>
      </c>
      <c r="U78" s="431">
        <v>0</v>
      </c>
      <c r="V78" s="431">
        <v>0</v>
      </c>
      <c r="W78" s="431">
        <v>0</v>
      </c>
      <c r="X78" s="431">
        <v>145698</v>
      </c>
      <c r="Y78" s="431">
        <v>75000</v>
      </c>
      <c r="Z78" s="468">
        <v>3090816</v>
      </c>
      <c r="AA78" s="431">
        <v>0</v>
      </c>
      <c r="AB78" s="431">
        <v>0</v>
      </c>
      <c r="AC78" s="469">
        <v>1061636</v>
      </c>
      <c r="AD78" s="434">
        <v>0</v>
      </c>
      <c r="AE78" s="434">
        <v>724853</v>
      </c>
      <c r="AF78" s="434">
        <v>0</v>
      </c>
      <c r="AG78" s="434">
        <v>133027</v>
      </c>
      <c r="AH78" s="434">
        <v>219197</v>
      </c>
      <c r="AI78" s="469">
        <v>1970794</v>
      </c>
      <c r="AJ78" s="469">
        <v>0</v>
      </c>
      <c r="AK78" s="434">
        <v>0</v>
      </c>
      <c r="AL78" s="434">
        <v>1129464</v>
      </c>
      <c r="AM78" s="434">
        <v>0</v>
      </c>
    </row>
    <row r="79" spans="1:39" s="155" customFormat="1" ht="12" x14ac:dyDescent="0.2">
      <c r="A79" s="168">
        <v>25</v>
      </c>
      <c r="B79" s="570">
        <v>103906</v>
      </c>
      <c r="C79" s="559" t="s">
        <v>1373</v>
      </c>
      <c r="D79" s="432">
        <f t="shared" si="11"/>
        <v>8336320</v>
      </c>
      <c r="E79" s="434">
        <v>1460263</v>
      </c>
      <c r="F79" s="434">
        <v>367425</v>
      </c>
      <c r="G79" s="434">
        <v>228644</v>
      </c>
      <c r="H79" s="434">
        <v>0</v>
      </c>
      <c r="I79" s="434">
        <v>1687184</v>
      </c>
      <c r="J79" s="434">
        <v>0</v>
      </c>
      <c r="K79" s="434">
        <v>1105470</v>
      </c>
      <c r="L79" s="434">
        <v>0</v>
      </c>
      <c r="M79" s="434">
        <v>3539255</v>
      </c>
      <c r="N79" s="434">
        <v>544148</v>
      </c>
      <c r="O79" s="434">
        <v>0</v>
      </c>
      <c r="P79" s="432">
        <f t="shared" si="12"/>
        <v>9285953</v>
      </c>
      <c r="Q79" s="431">
        <v>1950063</v>
      </c>
      <c r="R79" s="431">
        <v>1879023</v>
      </c>
      <c r="S79" s="431">
        <v>0</v>
      </c>
      <c r="T79" s="431">
        <v>0</v>
      </c>
      <c r="U79" s="431">
        <v>0</v>
      </c>
      <c r="V79" s="431">
        <v>0</v>
      </c>
      <c r="W79" s="431">
        <v>597689</v>
      </c>
      <c r="X79" s="431">
        <v>342657</v>
      </c>
      <c r="Y79" s="431">
        <v>65000</v>
      </c>
      <c r="Z79" s="468">
        <v>4451521</v>
      </c>
      <c r="AA79" s="431">
        <v>0</v>
      </c>
      <c r="AB79" s="431">
        <v>0</v>
      </c>
      <c r="AC79" s="469">
        <v>965673</v>
      </c>
      <c r="AD79" s="434">
        <v>189066</v>
      </c>
      <c r="AE79" s="434">
        <v>1685127</v>
      </c>
      <c r="AF79" s="434">
        <v>20669</v>
      </c>
      <c r="AG79" s="434">
        <v>235629</v>
      </c>
      <c r="AH79" s="434">
        <v>722027</v>
      </c>
      <c r="AI79" s="469">
        <v>1474005</v>
      </c>
      <c r="AJ79" s="469">
        <v>68618</v>
      </c>
      <c r="AK79" s="434">
        <v>0</v>
      </c>
      <c r="AL79" s="434">
        <v>3925139</v>
      </c>
      <c r="AM79" s="434">
        <v>0</v>
      </c>
    </row>
    <row r="80" spans="1:39" s="155" customFormat="1" ht="12" x14ac:dyDescent="0.2">
      <c r="A80" s="168">
        <v>26</v>
      </c>
      <c r="B80" s="570">
        <v>104001</v>
      </c>
      <c r="C80" s="559" t="s">
        <v>1374</v>
      </c>
      <c r="D80" s="432">
        <f t="shared" si="11"/>
        <v>10640898</v>
      </c>
      <c r="E80" s="434">
        <v>5166408</v>
      </c>
      <c r="F80" s="434">
        <v>2804059</v>
      </c>
      <c r="G80" s="434">
        <v>63863</v>
      </c>
      <c r="H80" s="434">
        <v>0</v>
      </c>
      <c r="I80" s="434">
        <v>1292445</v>
      </c>
      <c r="J80" s="434">
        <v>0</v>
      </c>
      <c r="K80" s="434">
        <v>1540020</v>
      </c>
      <c r="L80" s="434">
        <v>0</v>
      </c>
      <c r="M80" s="434">
        <v>2642025</v>
      </c>
      <c r="N80" s="434">
        <v>0</v>
      </c>
      <c r="O80" s="434">
        <v>0</v>
      </c>
      <c r="P80" s="432">
        <f t="shared" si="12"/>
        <v>6985342</v>
      </c>
      <c r="Q80" s="431">
        <v>1639497</v>
      </c>
      <c r="R80" s="431">
        <v>830304</v>
      </c>
      <c r="S80" s="431">
        <v>0</v>
      </c>
      <c r="T80" s="431">
        <v>0</v>
      </c>
      <c r="U80" s="431">
        <v>0</v>
      </c>
      <c r="V80" s="431">
        <v>0</v>
      </c>
      <c r="W80" s="431">
        <v>0</v>
      </c>
      <c r="X80" s="431">
        <v>99563</v>
      </c>
      <c r="Y80" s="431">
        <v>37985</v>
      </c>
      <c r="Z80" s="468">
        <v>4377993</v>
      </c>
      <c r="AA80" s="431">
        <v>0</v>
      </c>
      <c r="AB80" s="431">
        <v>0</v>
      </c>
      <c r="AC80" s="469">
        <v>729703</v>
      </c>
      <c r="AD80" s="434">
        <v>0</v>
      </c>
      <c r="AE80" s="434">
        <v>1263627</v>
      </c>
      <c r="AF80" s="434">
        <v>0</v>
      </c>
      <c r="AG80" s="434">
        <v>1634507</v>
      </c>
      <c r="AH80" s="434">
        <v>422292</v>
      </c>
      <c r="AI80" s="469">
        <v>2861380</v>
      </c>
      <c r="AJ80" s="469">
        <v>7008</v>
      </c>
      <c r="AK80" s="434">
        <v>0</v>
      </c>
      <c r="AL80" s="434">
        <v>66825</v>
      </c>
      <c r="AM80" s="434">
        <v>0</v>
      </c>
    </row>
    <row r="81" spans="1:39" s="155" customFormat="1" ht="12" x14ac:dyDescent="0.2">
      <c r="A81" s="168">
        <v>27</v>
      </c>
      <c r="B81" s="570">
        <v>104056</v>
      </c>
      <c r="C81" s="559" t="s">
        <v>1375</v>
      </c>
      <c r="D81" s="432">
        <f t="shared" si="11"/>
        <v>9244755</v>
      </c>
      <c r="E81" s="434">
        <v>1025948</v>
      </c>
      <c r="F81" s="434">
        <v>356180</v>
      </c>
      <c r="G81" s="434">
        <v>198477</v>
      </c>
      <c r="H81" s="434">
        <v>0</v>
      </c>
      <c r="I81" s="434">
        <v>1622316</v>
      </c>
      <c r="J81" s="434">
        <v>950000</v>
      </c>
      <c r="K81" s="434">
        <v>1049140</v>
      </c>
      <c r="L81" s="434">
        <v>0</v>
      </c>
      <c r="M81" s="434">
        <v>4385110</v>
      </c>
      <c r="N81" s="434">
        <v>165657</v>
      </c>
      <c r="O81" s="434">
        <v>46584</v>
      </c>
      <c r="P81" s="432">
        <f t="shared" si="12"/>
        <v>9433601</v>
      </c>
      <c r="Q81" s="431">
        <v>1782056</v>
      </c>
      <c r="R81" s="431">
        <v>973465</v>
      </c>
      <c r="S81" s="431">
        <v>0</v>
      </c>
      <c r="T81" s="431">
        <v>0</v>
      </c>
      <c r="U81" s="431">
        <v>0</v>
      </c>
      <c r="V81" s="431">
        <v>0</v>
      </c>
      <c r="W81" s="431">
        <v>97486</v>
      </c>
      <c r="X81" s="431">
        <v>342964</v>
      </c>
      <c r="Y81" s="431">
        <v>39730</v>
      </c>
      <c r="Z81" s="468">
        <v>6197900</v>
      </c>
      <c r="AA81" s="431">
        <v>0</v>
      </c>
      <c r="AB81" s="431">
        <v>0</v>
      </c>
      <c r="AC81" s="469">
        <v>936831</v>
      </c>
      <c r="AD81" s="434">
        <v>20839</v>
      </c>
      <c r="AE81" s="434">
        <v>1415900</v>
      </c>
      <c r="AF81" s="434">
        <v>0</v>
      </c>
      <c r="AG81" s="434">
        <v>172337</v>
      </c>
      <c r="AH81" s="434">
        <v>571651</v>
      </c>
      <c r="AI81" s="469">
        <v>2051706</v>
      </c>
      <c r="AJ81" s="469">
        <v>91061</v>
      </c>
      <c r="AK81" s="434">
        <v>0</v>
      </c>
      <c r="AL81" s="434">
        <v>4173276</v>
      </c>
      <c r="AM81" s="434">
        <v>0</v>
      </c>
    </row>
    <row r="82" spans="1:39" s="155" customFormat="1" ht="12" x14ac:dyDescent="0.2">
      <c r="A82" s="168">
        <v>28</v>
      </c>
      <c r="B82" s="570">
        <v>104127</v>
      </c>
      <c r="C82" s="559" t="s">
        <v>1376</v>
      </c>
      <c r="D82" s="432">
        <f t="shared" si="11"/>
        <v>7677746</v>
      </c>
      <c r="E82" s="434">
        <v>724410</v>
      </c>
      <c r="F82" s="434">
        <v>230739</v>
      </c>
      <c r="G82" s="434">
        <v>189920</v>
      </c>
      <c r="H82" s="434">
        <v>0</v>
      </c>
      <c r="I82" s="434">
        <v>1138176</v>
      </c>
      <c r="J82" s="434">
        <v>0</v>
      </c>
      <c r="K82" s="434">
        <v>1020300</v>
      </c>
      <c r="L82" s="434">
        <v>0</v>
      </c>
      <c r="M82" s="434">
        <v>4755561</v>
      </c>
      <c r="N82" s="434">
        <v>0</v>
      </c>
      <c r="O82" s="434">
        <v>39299</v>
      </c>
      <c r="P82" s="432">
        <f t="shared" si="12"/>
        <v>7672651</v>
      </c>
      <c r="Q82" s="431">
        <v>1330556</v>
      </c>
      <c r="R82" s="431">
        <v>1065042</v>
      </c>
      <c r="S82" s="431">
        <v>0</v>
      </c>
      <c r="T82" s="431">
        <v>0</v>
      </c>
      <c r="U82" s="431">
        <v>0</v>
      </c>
      <c r="V82" s="431">
        <v>0</v>
      </c>
      <c r="W82" s="431">
        <v>0</v>
      </c>
      <c r="X82" s="431">
        <v>212894</v>
      </c>
      <c r="Y82" s="431">
        <v>3597</v>
      </c>
      <c r="Z82" s="468">
        <v>5061219</v>
      </c>
      <c r="AA82" s="431">
        <v>0</v>
      </c>
      <c r="AB82" s="431">
        <v>-657</v>
      </c>
      <c r="AC82" s="469">
        <v>1042108</v>
      </c>
      <c r="AD82" s="434">
        <v>0</v>
      </c>
      <c r="AE82" s="434">
        <v>854671</v>
      </c>
      <c r="AF82" s="434">
        <v>24509</v>
      </c>
      <c r="AG82" s="434">
        <v>202250</v>
      </c>
      <c r="AH82" s="434">
        <v>587458</v>
      </c>
      <c r="AI82" s="469">
        <v>548245</v>
      </c>
      <c r="AJ82" s="469">
        <v>3968</v>
      </c>
      <c r="AK82" s="434">
        <v>0</v>
      </c>
      <c r="AL82" s="434">
        <v>4409442</v>
      </c>
      <c r="AM82" s="434">
        <v>0</v>
      </c>
    </row>
    <row r="83" spans="1:39" s="155" customFormat="1" ht="12" x14ac:dyDescent="0.2">
      <c r="A83" s="168">
        <v>29</v>
      </c>
      <c r="B83" s="570">
        <v>104234</v>
      </c>
      <c r="C83" s="559" t="s">
        <v>1377</v>
      </c>
      <c r="D83" s="432">
        <f t="shared" si="11"/>
        <v>7628315</v>
      </c>
      <c r="E83" s="434">
        <v>1064572</v>
      </c>
      <c r="F83" s="434">
        <v>461193</v>
      </c>
      <c r="G83" s="434">
        <v>94960</v>
      </c>
      <c r="H83" s="434">
        <v>0</v>
      </c>
      <c r="I83" s="434">
        <v>1353947</v>
      </c>
      <c r="J83" s="434">
        <v>0</v>
      </c>
      <c r="K83" s="434">
        <v>587200</v>
      </c>
      <c r="L83" s="434">
        <v>0</v>
      </c>
      <c r="M83" s="434">
        <v>4596096</v>
      </c>
      <c r="N83" s="434">
        <v>0</v>
      </c>
      <c r="O83" s="434">
        <v>26500</v>
      </c>
      <c r="P83" s="432">
        <f t="shared" si="12"/>
        <v>7766116</v>
      </c>
      <c r="Q83" s="431">
        <v>1593506</v>
      </c>
      <c r="R83" s="431">
        <v>836456</v>
      </c>
      <c r="S83" s="431">
        <v>0</v>
      </c>
      <c r="T83" s="431">
        <v>0</v>
      </c>
      <c r="U83" s="431">
        <v>0</v>
      </c>
      <c r="V83" s="431">
        <v>0</v>
      </c>
      <c r="W83" s="431">
        <v>0</v>
      </c>
      <c r="X83" s="431">
        <v>212622</v>
      </c>
      <c r="Y83" s="431">
        <v>48750</v>
      </c>
      <c r="Z83" s="468">
        <v>5075454</v>
      </c>
      <c r="AA83" s="431">
        <v>0</v>
      </c>
      <c r="AB83" s="431">
        <v>-672</v>
      </c>
      <c r="AC83" s="469">
        <v>618859</v>
      </c>
      <c r="AD83" s="434">
        <v>24324</v>
      </c>
      <c r="AE83" s="434">
        <v>1042343</v>
      </c>
      <c r="AF83" s="434">
        <v>0</v>
      </c>
      <c r="AG83" s="434">
        <v>71635</v>
      </c>
      <c r="AH83" s="434">
        <v>558173</v>
      </c>
      <c r="AI83" s="469">
        <v>471740</v>
      </c>
      <c r="AJ83" s="469">
        <v>51836</v>
      </c>
      <c r="AK83" s="434">
        <v>0</v>
      </c>
      <c r="AL83" s="434">
        <v>4927206</v>
      </c>
      <c r="AM83" s="434">
        <v>0</v>
      </c>
    </row>
    <row r="84" spans="1:39" s="155" customFormat="1" ht="12" x14ac:dyDescent="0.2">
      <c r="A84" s="168">
        <v>30</v>
      </c>
      <c r="B84" s="570">
        <v>104494</v>
      </c>
      <c r="C84" s="559" t="s">
        <v>1378</v>
      </c>
      <c r="D84" s="432">
        <f t="shared" si="11"/>
        <v>5579057</v>
      </c>
      <c r="E84" s="434">
        <v>1129807</v>
      </c>
      <c r="F84" s="434">
        <v>198230</v>
      </c>
      <c r="G84" s="434">
        <v>264119</v>
      </c>
      <c r="H84" s="434">
        <v>0</v>
      </c>
      <c r="I84" s="434">
        <v>2001644</v>
      </c>
      <c r="J84" s="434">
        <v>400000</v>
      </c>
      <c r="K84" s="434">
        <v>1329480</v>
      </c>
      <c r="L84" s="434">
        <v>0</v>
      </c>
      <c r="M84" s="434">
        <v>698949</v>
      </c>
      <c r="N84" s="434">
        <v>0</v>
      </c>
      <c r="O84" s="434">
        <v>19177</v>
      </c>
      <c r="P84" s="432">
        <f t="shared" si="12"/>
        <v>6699562</v>
      </c>
      <c r="Q84" s="431">
        <v>2129770</v>
      </c>
      <c r="R84" s="431">
        <v>794299</v>
      </c>
      <c r="S84" s="431">
        <v>0</v>
      </c>
      <c r="T84" s="431">
        <v>0</v>
      </c>
      <c r="U84" s="431">
        <v>0</v>
      </c>
      <c r="V84" s="431">
        <v>0</v>
      </c>
      <c r="W84" s="431">
        <v>0</v>
      </c>
      <c r="X84" s="431">
        <v>188008</v>
      </c>
      <c r="Y84" s="431">
        <v>68815</v>
      </c>
      <c r="Z84" s="468">
        <v>3518750</v>
      </c>
      <c r="AA84" s="431">
        <v>0</v>
      </c>
      <c r="AB84" s="431">
        <v>-80</v>
      </c>
      <c r="AC84" s="469">
        <v>694814</v>
      </c>
      <c r="AD84" s="434">
        <v>4960</v>
      </c>
      <c r="AE84" s="434">
        <v>1488591</v>
      </c>
      <c r="AF84" s="434">
        <v>0</v>
      </c>
      <c r="AG84" s="434">
        <v>419700</v>
      </c>
      <c r="AH84" s="434">
        <v>661330</v>
      </c>
      <c r="AI84" s="469">
        <v>1327989</v>
      </c>
      <c r="AJ84" s="469">
        <v>188913</v>
      </c>
      <c r="AK84" s="434">
        <v>0</v>
      </c>
      <c r="AL84" s="434">
        <v>1913265</v>
      </c>
      <c r="AM84" s="434">
        <v>0</v>
      </c>
    </row>
    <row r="85" spans="1:39" s="155" customFormat="1" ht="12" x14ac:dyDescent="0.2">
      <c r="A85" s="168">
        <v>31</v>
      </c>
      <c r="B85" s="570">
        <v>104528</v>
      </c>
      <c r="C85" s="559" t="s">
        <v>1379</v>
      </c>
      <c r="D85" s="432">
        <f t="shared" si="11"/>
        <v>3554611</v>
      </c>
      <c r="E85" s="434">
        <v>792813</v>
      </c>
      <c r="F85" s="434">
        <v>178603</v>
      </c>
      <c r="G85" s="434">
        <v>243638</v>
      </c>
      <c r="H85" s="434">
        <v>0</v>
      </c>
      <c r="I85" s="434">
        <v>1547163</v>
      </c>
      <c r="J85" s="434">
        <v>0</v>
      </c>
      <c r="K85" s="434">
        <v>1187710</v>
      </c>
      <c r="L85" s="434">
        <v>0</v>
      </c>
      <c r="M85" s="434">
        <v>26925</v>
      </c>
      <c r="N85" s="434">
        <v>0</v>
      </c>
      <c r="O85" s="434">
        <v>0</v>
      </c>
      <c r="P85" s="432">
        <f t="shared" si="12"/>
        <v>3664151</v>
      </c>
      <c r="Q85" s="431">
        <v>1689773</v>
      </c>
      <c r="R85" s="431">
        <v>859097</v>
      </c>
      <c r="S85" s="431">
        <v>0</v>
      </c>
      <c r="T85" s="431">
        <v>0</v>
      </c>
      <c r="U85" s="431">
        <v>0</v>
      </c>
      <c r="V85" s="431">
        <v>0</v>
      </c>
      <c r="W85" s="431">
        <v>0</v>
      </c>
      <c r="X85" s="431">
        <v>336468</v>
      </c>
      <c r="Y85" s="431">
        <v>47600</v>
      </c>
      <c r="Z85" s="468">
        <v>731213</v>
      </c>
      <c r="AA85" s="431">
        <v>0</v>
      </c>
      <c r="AB85" s="431">
        <v>0</v>
      </c>
      <c r="AC85" s="469">
        <v>782553</v>
      </c>
      <c r="AD85" s="434">
        <v>2117</v>
      </c>
      <c r="AE85" s="434">
        <v>998051</v>
      </c>
      <c r="AF85" s="434">
        <v>4102</v>
      </c>
      <c r="AG85" s="434">
        <v>87865</v>
      </c>
      <c r="AH85" s="434">
        <v>766632</v>
      </c>
      <c r="AI85" s="469">
        <v>359065</v>
      </c>
      <c r="AJ85" s="469">
        <v>67810</v>
      </c>
      <c r="AK85" s="434">
        <v>0</v>
      </c>
      <c r="AL85" s="434">
        <v>595956</v>
      </c>
      <c r="AM85" s="434">
        <v>0</v>
      </c>
    </row>
    <row r="86" spans="1:39" s="155" customFormat="1" ht="12" x14ac:dyDescent="0.2">
      <c r="A86" s="168">
        <v>32</v>
      </c>
      <c r="B86" s="570">
        <v>104699</v>
      </c>
      <c r="C86" s="559" t="s">
        <v>1380</v>
      </c>
      <c r="D86" s="432">
        <f t="shared" si="11"/>
        <v>8548896</v>
      </c>
      <c r="E86" s="434">
        <v>1405244</v>
      </c>
      <c r="F86" s="434">
        <v>357461</v>
      </c>
      <c r="G86" s="434">
        <v>194638</v>
      </c>
      <c r="H86" s="434">
        <v>0</v>
      </c>
      <c r="I86" s="434">
        <v>2567794</v>
      </c>
      <c r="J86" s="434">
        <v>0</v>
      </c>
      <c r="K86" s="434">
        <v>949780</v>
      </c>
      <c r="L86" s="434">
        <v>0</v>
      </c>
      <c r="M86" s="434">
        <v>778311</v>
      </c>
      <c r="N86" s="434">
        <v>2611818</v>
      </c>
      <c r="O86" s="434">
        <v>235949</v>
      </c>
      <c r="P86" s="432">
        <f t="shared" si="12"/>
        <v>12828821</v>
      </c>
      <c r="Q86" s="431">
        <v>2738931</v>
      </c>
      <c r="R86" s="431">
        <v>2655173</v>
      </c>
      <c r="S86" s="431">
        <v>4308</v>
      </c>
      <c r="T86" s="431">
        <v>0</v>
      </c>
      <c r="U86" s="431">
        <v>0</v>
      </c>
      <c r="V86" s="431">
        <v>148965</v>
      </c>
      <c r="W86" s="431">
        <v>5668934</v>
      </c>
      <c r="X86" s="431">
        <v>307419</v>
      </c>
      <c r="Y86" s="431">
        <v>62496</v>
      </c>
      <c r="Z86" s="468">
        <v>1223076</v>
      </c>
      <c r="AA86" s="431">
        <v>19519</v>
      </c>
      <c r="AB86" s="431">
        <v>0</v>
      </c>
      <c r="AC86" s="469">
        <v>1629356</v>
      </c>
      <c r="AD86" s="434">
        <v>0</v>
      </c>
      <c r="AE86" s="434">
        <v>1946975</v>
      </c>
      <c r="AF86" s="434">
        <v>0</v>
      </c>
      <c r="AG86" s="434">
        <v>225678</v>
      </c>
      <c r="AH86" s="434">
        <v>775277</v>
      </c>
      <c r="AI86" s="469">
        <v>6034586</v>
      </c>
      <c r="AJ86" s="469">
        <v>790405</v>
      </c>
      <c r="AK86" s="434">
        <v>0</v>
      </c>
      <c r="AL86" s="434">
        <v>1426544</v>
      </c>
      <c r="AM86" s="434">
        <v>0</v>
      </c>
    </row>
    <row r="87" spans="1:39" s="155" customFormat="1" ht="12" x14ac:dyDescent="0.2">
      <c r="A87" s="168">
        <v>33</v>
      </c>
      <c r="B87" s="570">
        <v>104724</v>
      </c>
      <c r="C87" s="559" t="s">
        <v>1381</v>
      </c>
      <c r="D87" s="432">
        <f t="shared" ref="D87:D105" si="13">E87+SUM(H87:O87)</f>
        <v>5135107</v>
      </c>
      <c r="E87" s="434">
        <v>2013708</v>
      </c>
      <c r="F87" s="434">
        <v>673217</v>
      </c>
      <c r="G87" s="434">
        <v>60745</v>
      </c>
      <c r="H87" s="434">
        <v>0</v>
      </c>
      <c r="I87" s="434">
        <v>1041000</v>
      </c>
      <c r="J87" s="434">
        <v>0</v>
      </c>
      <c r="K87" s="434">
        <v>256960</v>
      </c>
      <c r="L87" s="434">
        <v>0</v>
      </c>
      <c r="M87" s="434">
        <v>1648728</v>
      </c>
      <c r="N87" s="434">
        <v>169211</v>
      </c>
      <c r="O87" s="434">
        <v>5500</v>
      </c>
      <c r="P87" s="432">
        <f t="shared" ref="P87:P105" si="14">IF(SUM(Q87:AB87)=SUM(AC87:AM87),SUM(Q87:AB87),"  EROARE ART/CAP")</f>
        <v>5747237</v>
      </c>
      <c r="Q87" s="431">
        <v>1149572</v>
      </c>
      <c r="R87" s="431">
        <v>858126</v>
      </c>
      <c r="S87" s="431">
        <v>0</v>
      </c>
      <c r="T87" s="431">
        <v>0</v>
      </c>
      <c r="U87" s="431">
        <v>0</v>
      </c>
      <c r="V87" s="431">
        <v>0</v>
      </c>
      <c r="W87" s="431">
        <v>205060</v>
      </c>
      <c r="X87" s="431">
        <v>259703</v>
      </c>
      <c r="Y87" s="431">
        <v>85000</v>
      </c>
      <c r="Z87" s="468">
        <v>3301359</v>
      </c>
      <c r="AA87" s="431">
        <v>0</v>
      </c>
      <c r="AB87" s="431">
        <v>-111583</v>
      </c>
      <c r="AC87" s="469">
        <v>966304</v>
      </c>
      <c r="AD87" s="434">
        <v>152767</v>
      </c>
      <c r="AE87" s="434">
        <v>785559</v>
      </c>
      <c r="AF87" s="434">
        <v>0</v>
      </c>
      <c r="AG87" s="434">
        <v>309903</v>
      </c>
      <c r="AH87" s="434">
        <v>369717</v>
      </c>
      <c r="AI87" s="469">
        <v>693930</v>
      </c>
      <c r="AJ87" s="469">
        <v>111262</v>
      </c>
      <c r="AK87" s="434">
        <v>0</v>
      </c>
      <c r="AL87" s="434">
        <v>2357795</v>
      </c>
      <c r="AM87" s="434">
        <v>0</v>
      </c>
    </row>
    <row r="88" spans="1:39" s="155" customFormat="1" ht="12" x14ac:dyDescent="0.2">
      <c r="A88" s="168">
        <v>34</v>
      </c>
      <c r="B88" s="570">
        <v>104797</v>
      </c>
      <c r="C88" s="559" t="s">
        <v>1382</v>
      </c>
      <c r="D88" s="432">
        <f t="shared" si="13"/>
        <v>3474280</v>
      </c>
      <c r="E88" s="434">
        <v>739913</v>
      </c>
      <c r="F88" s="434">
        <v>168877</v>
      </c>
      <c r="G88" s="434">
        <v>182923</v>
      </c>
      <c r="H88" s="434">
        <v>0</v>
      </c>
      <c r="I88" s="434">
        <v>1171570</v>
      </c>
      <c r="J88" s="434">
        <v>0</v>
      </c>
      <c r="K88" s="434">
        <v>1025430</v>
      </c>
      <c r="L88" s="434">
        <v>0</v>
      </c>
      <c r="M88" s="434">
        <v>537367</v>
      </c>
      <c r="N88" s="434">
        <v>0</v>
      </c>
      <c r="O88" s="434">
        <v>0</v>
      </c>
      <c r="P88" s="432">
        <f t="shared" si="14"/>
        <v>3110885</v>
      </c>
      <c r="Q88" s="431">
        <v>1388310</v>
      </c>
      <c r="R88" s="431">
        <v>796639</v>
      </c>
      <c r="S88" s="431">
        <v>0</v>
      </c>
      <c r="T88" s="431">
        <v>0</v>
      </c>
      <c r="U88" s="431">
        <v>0</v>
      </c>
      <c r="V88" s="431">
        <v>0</v>
      </c>
      <c r="W88" s="431">
        <v>0</v>
      </c>
      <c r="X88" s="431">
        <v>198427</v>
      </c>
      <c r="Y88" s="431">
        <v>1480</v>
      </c>
      <c r="Z88" s="468">
        <v>726029</v>
      </c>
      <c r="AA88" s="431">
        <v>0</v>
      </c>
      <c r="AB88" s="431">
        <v>0</v>
      </c>
      <c r="AC88" s="469">
        <v>551013</v>
      </c>
      <c r="AD88" s="434">
        <v>2981</v>
      </c>
      <c r="AE88" s="434">
        <v>1078503</v>
      </c>
      <c r="AF88" s="434">
        <v>3523</v>
      </c>
      <c r="AG88" s="434">
        <v>16519</v>
      </c>
      <c r="AH88" s="434">
        <v>428560</v>
      </c>
      <c r="AI88" s="469">
        <v>321847</v>
      </c>
      <c r="AJ88" s="469">
        <v>15252</v>
      </c>
      <c r="AK88" s="434">
        <v>0</v>
      </c>
      <c r="AL88" s="434">
        <v>692687</v>
      </c>
      <c r="AM88" s="434">
        <v>0</v>
      </c>
    </row>
    <row r="89" spans="1:39" s="155" customFormat="1" ht="12" x14ac:dyDescent="0.2">
      <c r="A89" s="168">
        <v>35</v>
      </c>
      <c r="B89" s="570">
        <v>104840</v>
      </c>
      <c r="C89" s="559" t="s">
        <v>1383</v>
      </c>
      <c r="D89" s="432">
        <f t="shared" si="13"/>
        <v>8005189</v>
      </c>
      <c r="E89" s="434">
        <v>2333805</v>
      </c>
      <c r="F89" s="434">
        <v>1149084</v>
      </c>
      <c r="G89" s="434">
        <v>110254</v>
      </c>
      <c r="H89" s="434">
        <v>0</v>
      </c>
      <c r="I89" s="434">
        <v>3831198</v>
      </c>
      <c r="J89" s="434">
        <v>540000</v>
      </c>
      <c r="K89" s="434">
        <v>686080</v>
      </c>
      <c r="L89" s="434">
        <v>0</v>
      </c>
      <c r="M89" s="434">
        <v>55600</v>
      </c>
      <c r="N89" s="434">
        <v>0</v>
      </c>
      <c r="O89" s="434">
        <v>558506</v>
      </c>
      <c r="P89" s="432">
        <f t="shared" si="14"/>
        <v>7941784</v>
      </c>
      <c r="Q89" s="431">
        <v>4009946</v>
      </c>
      <c r="R89" s="431">
        <v>1824661</v>
      </c>
      <c r="S89" s="431">
        <v>242999</v>
      </c>
      <c r="T89" s="431">
        <v>0</v>
      </c>
      <c r="U89" s="431">
        <v>0</v>
      </c>
      <c r="V89" s="431">
        <v>0</v>
      </c>
      <c r="W89" s="431">
        <v>0</v>
      </c>
      <c r="X89" s="431">
        <v>364244</v>
      </c>
      <c r="Y89" s="431">
        <v>0</v>
      </c>
      <c r="Z89" s="468">
        <v>669934</v>
      </c>
      <c r="AA89" s="431">
        <v>830000</v>
      </c>
      <c r="AB89" s="431">
        <v>0</v>
      </c>
      <c r="AC89" s="469">
        <v>1518168</v>
      </c>
      <c r="AD89" s="434">
        <v>0</v>
      </c>
      <c r="AE89" s="434">
        <v>2972387</v>
      </c>
      <c r="AF89" s="434">
        <v>0</v>
      </c>
      <c r="AG89" s="434">
        <v>123886</v>
      </c>
      <c r="AH89" s="434">
        <v>1084372</v>
      </c>
      <c r="AI89" s="469">
        <v>737603</v>
      </c>
      <c r="AJ89" s="469">
        <v>755967</v>
      </c>
      <c r="AK89" s="434">
        <v>0</v>
      </c>
      <c r="AL89" s="434">
        <v>659375</v>
      </c>
      <c r="AM89" s="434">
        <v>90026</v>
      </c>
    </row>
    <row r="90" spans="1:39" s="155" customFormat="1" ht="12" x14ac:dyDescent="0.2">
      <c r="A90" s="168">
        <v>36</v>
      </c>
      <c r="B90" s="570">
        <v>104984</v>
      </c>
      <c r="C90" s="559" t="s">
        <v>1384</v>
      </c>
      <c r="D90" s="432">
        <f t="shared" si="13"/>
        <v>7408979</v>
      </c>
      <c r="E90" s="434">
        <v>667865</v>
      </c>
      <c r="F90" s="434">
        <v>87513</v>
      </c>
      <c r="G90" s="434">
        <v>183923</v>
      </c>
      <c r="H90" s="434">
        <v>0</v>
      </c>
      <c r="I90" s="434">
        <v>711717</v>
      </c>
      <c r="J90" s="434">
        <v>1350000</v>
      </c>
      <c r="K90" s="434">
        <v>1001290</v>
      </c>
      <c r="L90" s="434">
        <v>0</v>
      </c>
      <c r="M90" s="434">
        <v>3361826</v>
      </c>
      <c r="N90" s="434">
        <v>272066</v>
      </c>
      <c r="O90" s="434">
        <v>44215</v>
      </c>
      <c r="P90" s="432">
        <f t="shared" si="14"/>
        <v>7066031</v>
      </c>
      <c r="Q90" s="431">
        <v>983056</v>
      </c>
      <c r="R90" s="431">
        <v>1075984</v>
      </c>
      <c r="S90" s="431">
        <v>0</v>
      </c>
      <c r="T90" s="431">
        <v>0</v>
      </c>
      <c r="U90" s="431">
        <v>0</v>
      </c>
      <c r="V90" s="431">
        <v>0</v>
      </c>
      <c r="W90" s="431">
        <v>272066</v>
      </c>
      <c r="X90" s="431">
        <v>191189</v>
      </c>
      <c r="Y90" s="431">
        <v>25000</v>
      </c>
      <c r="Z90" s="468">
        <v>4742818</v>
      </c>
      <c r="AA90" s="431">
        <v>0</v>
      </c>
      <c r="AB90" s="431">
        <v>-224082</v>
      </c>
      <c r="AC90" s="469">
        <v>637100</v>
      </c>
      <c r="AD90" s="434">
        <v>8725</v>
      </c>
      <c r="AE90" s="434">
        <v>624377</v>
      </c>
      <c r="AF90" s="434">
        <v>0</v>
      </c>
      <c r="AG90" s="434">
        <v>115532</v>
      </c>
      <c r="AH90" s="434">
        <v>235295</v>
      </c>
      <c r="AI90" s="469">
        <v>2483744</v>
      </c>
      <c r="AJ90" s="469">
        <v>64285</v>
      </c>
      <c r="AK90" s="434">
        <v>0</v>
      </c>
      <c r="AL90" s="434">
        <v>2886974</v>
      </c>
      <c r="AM90" s="434">
        <v>9999</v>
      </c>
    </row>
    <row r="91" spans="1:39" s="155" customFormat="1" ht="12" x14ac:dyDescent="0.2">
      <c r="A91" s="168">
        <v>37</v>
      </c>
      <c r="B91" s="570">
        <v>105115</v>
      </c>
      <c r="C91" s="559" t="s">
        <v>1385</v>
      </c>
      <c r="D91" s="432">
        <f t="shared" si="13"/>
        <v>4754163</v>
      </c>
      <c r="E91" s="434">
        <v>863768</v>
      </c>
      <c r="F91" s="434">
        <v>326995</v>
      </c>
      <c r="G91" s="434">
        <v>163932</v>
      </c>
      <c r="H91" s="434">
        <v>0</v>
      </c>
      <c r="I91" s="434">
        <v>1409979</v>
      </c>
      <c r="J91" s="434">
        <v>350000</v>
      </c>
      <c r="K91" s="434">
        <v>950770</v>
      </c>
      <c r="L91" s="434">
        <v>0</v>
      </c>
      <c r="M91" s="434">
        <v>949313</v>
      </c>
      <c r="N91" s="434">
        <v>230333</v>
      </c>
      <c r="O91" s="434">
        <v>0</v>
      </c>
      <c r="P91" s="432">
        <f t="shared" si="14"/>
        <v>4534566</v>
      </c>
      <c r="Q91" s="431">
        <v>1534402</v>
      </c>
      <c r="R91" s="431">
        <v>1407653</v>
      </c>
      <c r="S91" s="431">
        <v>0</v>
      </c>
      <c r="T91" s="431">
        <v>0</v>
      </c>
      <c r="U91" s="431">
        <v>0</v>
      </c>
      <c r="V91" s="431">
        <v>0</v>
      </c>
      <c r="W91" s="431">
        <v>0</v>
      </c>
      <c r="X91" s="431">
        <v>286693</v>
      </c>
      <c r="Y91" s="431">
        <v>73650</v>
      </c>
      <c r="Z91" s="468">
        <v>1232168</v>
      </c>
      <c r="AA91" s="431">
        <v>0</v>
      </c>
      <c r="AB91" s="431">
        <v>0</v>
      </c>
      <c r="AC91" s="469">
        <v>1221038</v>
      </c>
      <c r="AD91" s="434">
        <v>10000</v>
      </c>
      <c r="AE91" s="434">
        <v>1068478</v>
      </c>
      <c r="AF91" s="434">
        <v>14709</v>
      </c>
      <c r="AG91" s="434">
        <v>135811</v>
      </c>
      <c r="AH91" s="434">
        <v>492368</v>
      </c>
      <c r="AI91" s="469">
        <v>98201</v>
      </c>
      <c r="AJ91" s="469">
        <v>99920</v>
      </c>
      <c r="AK91" s="434">
        <v>0</v>
      </c>
      <c r="AL91" s="434">
        <v>1394041</v>
      </c>
      <c r="AM91" s="434">
        <v>0</v>
      </c>
    </row>
    <row r="92" spans="1:39" s="155" customFormat="1" ht="12" x14ac:dyDescent="0.2">
      <c r="A92" s="168">
        <v>38</v>
      </c>
      <c r="B92" s="570">
        <v>100558</v>
      </c>
      <c r="C92" s="559" t="s">
        <v>1386</v>
      </c>
      <c r="D92" s="432">
        <f t="shared" si="13"/>
        <v>2833855</v>
      </c>
      <c r="E92" s="434">
        <v>679402</v>
      </c>
      <c r="F92" s="434">
        <v>140810</v>
      </c>
      <c r="G92" s="434">
        <v>195918</v>
      </c>
      <c r="H92" s="434">
        <v>0</v>
      </c>
      <c r="I92" s="434">
        <v>1063132</v>
      </c>
      <c r="J92" s="434">
        <v>0</v>
      </c>
      <c r="K92" s="434">
        <v>1023500</v>
      </c>
      <c r="L92" s="434">
        <v>0</v>
      </c>
      <c r="M92" s="434">
        <v>67821</v>
      </c>
      <c r="N92" s="434">
        <v>0</v>
      </c>
      <c r="O92" s="434">
        <v>0</v>
      </c>
      <c r="P92" s="432">
        <f t="shared" si="14"/>
        <v>2745307</v>
      </c>
      <c r="Q92" s="431">
        <v>1345264</v>
      </c>
      <c r="R92" s="431">
        <v>1000802</v>
      </c>
      <c r="S92" s="431">
        <v>0</v>
      </c>
      <c r="T92" s="431">
        <v>0</v>
      </c>
      <c r="U92" s="431">
        <v>0</v>
      </c>
      <c r="V92" s="431">
        <v>0</v>
      </c>
      <c r="W92" s="431">
        <v>0</v>
      </c>
      <c r="X92" s="431">
        <v>267658</v>
      </c>
      <c r="Y92" s="431">
        <v>27976</v>
      </c>
      <c r="Z92" s="468">
        <v>106969</v>
      </c>
      <c r="AA92" s="431">
        <v>0</v>
      </c>
      <c r="AB92" s="431">
        <v>-3362</v>
      </c>
      <c r="AC92" s="469">
        <v>765668</v>
      </c>
      <c r="AD92" s="434">
        <v>64113</v>
      </c>
      <c r="AE92" s="434">
        <v>935939</v>
      </c>
      <c r="AF92" s="434">
        <v>41939</v>
      </c>
      <c r="AG92" s="434">
        <v>162467</v>
      </c>
      <c r="AH92" s="434">
        <v>439915</v>
      </c>
      <c r="AI92" s="469">
        <v>158477</v>
      </c>
      <c r="AJ92" s="469">
        <v>96789</v>
      </c>
      <c r="AK92" s="434">
        <v>0</v>
      </c>
      <c r="AL92" s="434">
        <v>80000</v>
      </c>
      <c r="AM92" s="434">
        <v>0</v>
      </c>
    </row>
    <row r="93" spans="1:39" s="155" customFormat="1" ht="12" x14ac:dyDescent="0.2">
      <c r="A93" s="168">
        <v>39</v>
      </c>
      <c r="B93" s="570">
        <v>105302</v>
      </c>
      <c r="C93" s="559" t="s">
        <v>1387</v>
      </c>
      <c r="D93" s="432">
        <f t="shared" si="13"/>
        <v>3168620</v>
      </c>
      <c r="E93" s="434">
        <v>1133060</v>
      </c>
      <c r="F93" s="434">
        <v>230005</v>
      </c>
      <c r="G93" s="434">
        <v>145939</v>
      </c>
      <c r="H93" s="434">
        <v>0</v>
      </c>
      <c r="I93" s="434">
        <v>1130823</v>
      </c>
      <c r="J93" s="434">
        <v>49995</v>
      </c>
      <c r="K93" s="434">
        <v>793970</v>
      </c>
      <c r="L93" s="434">
        <v>0</v>
      </c>
      <c r="M93" s="434">
        <v>60772</v>
      </c>
      <c r="N93" s="434">
        <v>0</v>
      </c>
      <c r="O93" s="434">
        <v>0</v>
      </c>
      <c r="P93" s="432">
        <f t="shared" si="14"/>
        <v>2696038</v>
      </c>
      <c r="Q93" s="431">
        <v>1111794</v>
      </c>
      <c r="R93" s="431">
        <v>760625</v>
      </c>
      <c r="S93" s="431">
        <v>0</v>
      </c>
      <c r="T93" s="431">
        <v>0</v>
      </c>
      <c r="U93" s="431">
        <v>0</v>
      </c>
      <c r="V93" s="431">
        <v>0</v>
      </c>
      <c r="W93" s="431">
        <v>0</v>
      </c>
      <c r="X93" s="431">
        <v>369651</v>
      </c>
      <c r="Y93" s="431">
        <v>5000</v>
      </c>
      <c r="Z93" s="468">
        <v>448968</v>
      </c>
      <c r="AA93" s="431">
        <v>0</v>
      </c>
      <c r="AB93" s="431">
        <v>0</v>
      </c>
      <c r="AC93" s="469">
        <v>679773</v>
      </c>
      <c r="AD93" s="434">
        <v>5049</v>
      </c>
      <c r="AE93" s="434">
        <v>971646</v>
      </c>
      <c r="AF93" s="434">
        <v>0</v>
      </c>
      <c r="AG93" s="434">
        <v>49145</v>
      </c>
      <c r="AH93" s="434">
        <v>392379</v>
      </c>
      <c r="AI93" s="469">
        <v>218845</v>
      </c>
      <c r="AJ93" s="469">
        <v>21153</v>
      </c>
      <c r="AK93" s="434">
        <v>0</v>
      </c>
      <c r="AL93" s="434">
        <v>358048</v>
      </c>
      <c r="AM93" s="434">
        <v>0</v>
      </c>
    </row>
    <row r="94" spans="1:39" s="155" customFormat="1" ht="12" x14ac:dyDescent="0.2">
      <c r="A94" s="168">
        <v>40</v>
      </c>
      <c r="B94" s="570">
        <v>105357</v>
      </c>
      <c r="C94" s="559" t="s">
        <v>1388</v>
      </c>
      <c r="D94" s="432">
        <f t="shared" si="13"/>
        <v>4978695</v>
      </c>
      <c r="E94" s="434">
        <v>601562</v>
      </c>
      <c r="F94" s="434">
        <v>115513</v>
      </c>
      <c r="G94" s="434">
        <v>219908</v>
      </c>
      <c r="H94" s="434">
        <v>0</v>
      </c>
      <c r="I94" s="434">
        <v>810387</v>
      </c>
      <c r="J94" s="434">
        <v>0</v>
      </c>
      <c r="K94" s="434">
        <v>1135200</v>
      </c>
      <c r="L94" s="434">
        <v>0</v>
      </c>
      <c r="M94" s="434">
        <v>2274446</v>
      </c>
      <c r="N94" s="434">
        <v>128678</v>
      </c>
      <c r="O94" s="434">
        <v>28422</v>
      </c>
      <c r="P94" s="432">
        <f t="shared" si="14"/>
        <v>4697714</v>
      </c>
      <c r="Q94" s="431">
        <v>1186450</v>
      </c>
      <c r="R94" s="431">
        <v>913053</v>
      </c>
      <c r="S94" s="431">
        <v>0</v>
      </c>
      <c r="T94" s="431">
        <v>0</v>
      </c>
      <c r="U94" s="431">
        <v>0</v>
      </c>
      <c r="V94" s="431">
        <v>0</v>
      </c>
      <c r="W94" s="431">
        <v>167958</v>
      </c>
      <c r="X94" s="431">
        <v>72482</v>
      </c>
      <c r="Y94" s="431">
        <v>59698</v>
      </c>
      <c r="Z94" s="468">
        <v>2298073</v>
      </c>
      <c r="AA94" s="431">
        <v>0</v>
      </c>
      <c r="AB94" s="431">
        <v>0</v>
      </c>
      <c r="AC94" s="469">
        <v>834379</v>
      </c>
      <c r="AD94" s="434">
        <v>185428</v>
      </c>
      <c r="AE94" s="434">
        <v>583606</v>
      </c>
      <c r="AF94" s="434">
        <v>0</v>
      </c>
      <c r="AG94" s="434">
        <v>40000</v>
      </c>
      <c r="AH94" s="434">
        <v>332256</v>
      </c>
      <c r="AI94" s="469">
        <v>274385</v>
      </c>
      <c r="AJ94" s="469">
        <v>67809</v>
      </c>
      <c r="AK94" s="434">
        <v>0</v>
      </c>
      <c r="AL94" s="434">
        <v>2379851</v>
      </c>
      <c r="AM94" s="434">
        <v>0</v>
      </c>
    </row>
    <row r="95" spans="1:39" s="155" customFormat="1" ht="12" x14ac:dyDescent="0.2">
      <c r="A95" s="168">
        <v>41</v>
      </c>
      <c r="B95" s="570">
        <v>154718</v>
      </c>
      <c r="C95" s="559" t="s">
        <v>1389</v>
      </c>
      <c r="D95" s="432">
        <f t="shared" si="13"/>
        <v>5850534</v>
      </c>
      <c r="E95" s="431">
        <v>960081</v>
      </c>
      <c r="F95" s="431">
        <v>230528</v>
      </c>
      <c r="G95" s="431">
        <v>124948</v>
      </c>
      <c r="H95" s="431">
        <v>0</v>
      </c>
      <c r="I95" s="431">
        <v>994232</v>
      </c>
      <c r="J95" s="431">
        <v>0</v>
      </c>
      <c r="K95" s="431">
        <v>733020</v>
      </c>
      <c r="L95" s="431">
        <v>0</v>
      </c>
      <c r="M95" s="431">
        <v>3106568</v>
      </c>
      <c r="N95" s="431">
        <v>0</v>
      </c>
      <c r="O95" s="431">
        <v>56633</v>
      </c>
      <c r="P95" s="432">
        <f t="shared" si="14"/>
        <v>5935907</v>
      </c>
      <c r="Q95" s="431">
        <v>1177679</v>
      </c>
      <c r="R95" s="431">
        <v>789543</v>
      </c>
      <c r="S95" s="431">
        <v>0</v>
      </c>
      <c r="T95" s="431">
        <v>0</v>
      </c>
      <c r="U95" s="431">
        <v>0</v>
      </c>
      <c r="V95" s="431">
        <v>0</v>
      </c>
      <c r="W95" s="431">
        <v>0</v>
      </c>
      <c r="X95" s="431">
        <v>239224</v>
      </c>
      <c r="Y95" s="431">
        <v>31480</v>
      </c>
      <c r="Z95" s="468">
        <v>3697981</v>
      </c>
      <c r="AA95" s="431">
        <v>0</v>
      </c>
      <c r="AB95" s="431">
        <v>0</v>
      </c>
      <c r="AC95" s="468">
        <v>521949</v>
      </c>
      <c r="AD95" s="431">
        <v>61777</v>
      </c>
      <c r="AE95" s="431">
        <v>852963</v>
      </c>
      <c r="AF95" s="431">
        <v>3850</v>
      </c>
      <c r="AG95" s="431">
        <v>294383</v>
      </c>
      <c r="AH95" s="431">
        <v>312723</v>
      </c>
      <c r="AI95" s="468">
        <v>522375</v>
      </c>
      <c r="AJ95" s="468">
        <v>40908</v>
      </c>
      <c r="AK95" s="431">
        <v>0</v>
      </c>
      <c r="AL95" s="431">
        <v>3321705</v>
      </c>
      <c r="AM95" s="431">
        <v>3274</v>
      </c>
    </row>
    <row r="96" spans="1:39" s="155" customFormat="1" ht="12" x14ac:dyDescent="0.2">
      <c r="A96" s="168">
        <v>42</v>
      </c>
      <c r="B96" s="570">
        <v>105632</v>
      </c>
      <c r="C96" s="559" t="s">
        <v>1390</v>
      </c>
      <c r="D96" s="432">
        <f t="shared" si="13"/>
        <v>27562743</v>
      </c>
      <c r="E96" s="431">
        <v>1923469</v>
      </c>
      <c r="F96" s="431">
        <v>410150</v>
      </c>
      <c r="G96" s="431">
        <v>310840</v>
      </c>
      <c r="H96" s="431">
        <v>0</v>
      </c>
      <c r="I96" s="431">
        <v>3271976</v>
      </c>
      <c r="J96" s="431">
        <v>0</v>
      </c>
      <c r="K96" s="431">
        <v>1409490</v>
      </c>
      <c r="L96" s="431">
        <v>0</v>
      </c>
      <c r="M96" s="431">
        <v>20957808</v>
      </c>
      <c r="N96" s="431">
        <v>0</v>
      </c>
      <c r="O96" s="431">
        <v>0</v>
      </c>
      <c r="P96" s="432">
        <f t="shared" si="14"/>
        <v>27190731</v>
      </c>
      <c r="Q96" s="431">
        <v>3422654</v>
      </c>
      <c r="R96" s="431">
        <v>1360046</v>
      </c>
      <c r="S96" s="431">
        <v>0</v>
      </c>
      <c r="T96" s="431">
        <v>0</v>
      </c>
      <c r="U96" s="431">
        <v>0</v>
      </c>
      <c r="V96" s="431">
        <v>0</v>
      </c>
      <c r="W96" s="431">
        <v>0</v>
      </c>
      <c r="X96" s="431">
        <v>216804</v>
      </c>
      <c r="Y96" s="431">
        <v>32280</v>
      </c>
      <c r="Z96" s="468">
        <v>22158947</v>
      </c>
      <c r="AA96" s="431">
        <v>0</v>
      </c>
      <c r="AB96" s="431">
        <v>0</v>
      </c>
      <c r="AC96" s="468">
        <v>1739750</v>
      </c>
      <c r="AD96" s="431">
        <v>8166</v>
      </c>
      <c r="AE96" s="431">
        <v>2767933</v>
      </c>
      <c r="AF96" s="431">
        <v>0</v>
      </c>
      <c r="AG96" s="431">
        <v>230467</v>
      </c>
      <c r="AH96" s="431">
        <v>732400</v>
      </c>
      <c r="AI96" s="468">
        <v>12885062</v>
      </c>
      <c r="AJ96" s="468">
        <v>100</v>
      </c>
      <c r="AK96" s="431">
        <v>0</v>
      </c>
      <c r="AL96" s="431">
        <v>8787860</v>
      </c>
      <c r="AM96" s="431">
        <v>38993</v>
      </c>
    </row>
    <row r="97" spans="1:39" s="155" customFormat="1" ht="12" x14ac:dyDescent="0.2">
      <c r="A97" s="168">
        <v>43</v>
      </c>
      <c r="B97" s="570">
        <v>105785</v>
      </c>
      <c r="C97" s="559" t="s">
        <v>1391</v>
      </c>
      <c r="D97" s="432">
        <f t="shared" si="13"/>
        <v>4741626</v>
      </c>
      <c r="E97" s="431">
        <v>713293</v>
      </c>
      <c r="F97" s="431">
        <v>139113</v>
      </c>
      <c r="G97" s="431">
        <v>220608</v>
      </c>
      <c r="H97" s="431">
        <v>0</v>
      </c>
      <c r="I97" s="431">
        <v>1213192</v>
      </c>
      <c r="J97" s="431">
        <v>0</v>
      </c>
      <c r="K97" s="431">
        <v>1332530</v>
      </c>
      <c r="L97" s="431">
        <v>0</v>
      </c>
      <c r="M97" s="431">
        <v>1459965</v>
      </c>
      <c r="N97" s="431">
        <v>0</v>
      </c>
      <c r="O97" s="431">
        <v>22646</v>
      </c>
      <c r="P97" s="432">
        <f t="shared" si="14"/>
        <v>5586374</v>
      </c>
      <c r="Q97" s="431">
        <v>1607965</v>
      </c>
      <c r="R97" s="431">
        <v>1239701</v>
      </c>
      <c r="S97" s="431">
        <v>0</v>
      </c>
      <c r="T97" s="431">
        <v>0</v>
      </c>
      <c r="U97" s="431">
        <v>0</v>
      </c>
      <c r="V97" s="431">
        <v>0</v>
      </c>
      <c r="W97" s="431">
        <v>1083384</v>
      </c>
      <c r="X97" s="431">
        <v>55438</v>
      </c>
      <c r="Y97" s="431">
        <v>16000</v>
      </c>
      <c r="Z97" s="468">
        <v>1583886</v>
      </c>
      <c r="AA97" s="431">
        <v>0</v>
      </c>
      <c r="AB97" s="431">
        <v>0</v>
      </c>
      <c r="AC97" s="468">
        <v>1196482</v>
      </c>
      <c r="AD97" s="431">
        <v>0</v>
      </c>
      <c r="AE97" s="431">
        <v>988729</v>
      </c>
      <c r="AF97" s="431">
        <v>0</v>
      </c>
      <c r="AG97" s="431">
        <v>156439</v>
      </c>
      <c r="AH97" s="431">
        <v>318865</v>
      </c>
      <c r="AI97" s="468">
        <v>1188961</v>
      </c>
      <c r="AJ97" s="468">
        <v>60000</v>
      </c>
      <c r="AK97" s="431">
        <v>0</v>
      </c>
      <c r="AL97" s="431">
        <v>1676898</v>
      </c>
      <c r="AM97" s="431">
        <v>0</v>
      </c>
    </row>
    <row r="98" spans="1:39" s="155" customFormat="1" ht="12" x14ac:dyDescent="0.2">
      <c r="A98" s="168">
        <v>44</v>
      </c>
      <c r="B98" s="570">
        <v>105883</v>
      </c>
      <c r="C98" s="559" t="s">
        <v>1392</v>
      </c>
      <c r="D98" s="432">
        <f t="shared" si="13"/>
        <v>6234305</v>
      </c>
      <c r="E98" s="431">
        <v>1468433</v>
      </c>
      <c r="F98" s="431">
        <v>215218</v>
      </c>
      <c r="G98" s="431">
        <v>411178</v>
      </c>
      <c r="H98" s="431">
        <v>0</v>
      </c>
      <c r="I98" s="431">
        <v>2029460</v>
      </c>
      <c r="J98" s="431">
        <v>47551</v>
      </c>
      <c r="K98" s="431">
        <v>1737990</v>
      </c>
      <c r="L98" s="431">
        <v>0</v>
      </c>
      <c r="M98" s="431">
        <v>359185</v>
      </c>
      <c r="N98" s="431">
        <v>563077</v>
      </c>
      <c r="O98" s="431">
        <v>28609</v>
      </c>
      <c r="P98" s="432">
        <f t="shared" si="14"/>
        <v>5424116</v>
      </c>
      <c r="Q98" s="431">
        <v>2518089</v>
      </c>
      <c r="R98" s="431">
        <v>1438980</v>
      </c>
      <c r="S98" s="431">
        <v>0</v>
      </c>
      <c r="T98" s="431">
        <v>0</v>
      </c>
      <c r="U98" s="431">
        <v>0</v>
      </c>
      <c r="V98" s="431">
        <v>0</v>
      </c>
      <c r="W98" s="431">
        <v>1060576</v>
      </c>
      <c r="X98" s="431">
        <v>150173</v>
      </c>
      <c r="Y98" s="431">
        <v>79440</v>
      </c>
      <c r="Z98" s="468">
        <v>176858</v>
      </c>
      <c r="AA98" s="431">
        <v>0</v>
      </c>
      <c r="AB98" s="431">
        <v>0</v>
      </c>
      <c r="AC98" s="468">
        <v>1022014</v>
      </c>
      <c r="AD98" s="431">
        <v>3560</v>
      </c>
      <c r="AE98" s="431">
        <v>1954163</v>
      </c>
      <c r="AF98" s="431">
        <v>0</v>
      </c>
      <c r="AG98" s="431">
        <v>118252</v>
      </c>
      <c r="AH98" s="431">
        <v>493738</v>
      </c>
      <c r="AI98" s="468">
        <v>480334</v>
      </c>
      <c r="AJ98" s="468">
        <v>18591</v>
      </c>
      <c r="AK98" s="431">
        <v>0</v>
      </c>
      <c r="AL98" s="431">
        <v>1333464</v>
      </c>
      <c r="AM98" s="431">
        <v>0</v>
      </c>
    </row>
    <row r="99" spans="1:39" s="155" customFormat="1" ht="12" x14ac:dyDescent="0.2">
      <c r="A99" s="168">
        <v>45</v>
      </c>
      <c r="B99" s="570">
        <v>105918</v>
      </c>
      <c r="C99" s="559" t="s">
        <v>1393</v>
      </c>
      <c r="D99" s="432">
        <f t="shared" si="13"/>
        <v>2875842</v>
      </c>
      <c r="E99" s="431">
        <v>690197</v>
      </c>
      <c r="F99" s="431">
        <v>200318</v>
      </c>
      <c r="G99" s="431">
        <v>204914</v>
      </c>
      <c r="H99" s="431">
        <v>0</v>
      </c>
      <c r="I99" s="431">
        <v>1034930</v>
      </c>
      <c r="J99" s="431">
        <v>0</v>
      </c>
      <c r="K99" s="431">
        <v>1113620</v>
      </c>
      <c r="L99" s="431">
        <v>0</v>
      </c>
      <c r="M99" s="431">
        <v>37095</v>
      </c>
      <c r="N99" s="431">
        <v>0</v>
      </c>
      <c r="O99" s="431">
        <v>0</v>
      </c>
      <c r="P99" s="432">
        <f t="shared" si="14"/>
        <v>2869263</v>
      </c>
      <c r="Q99" s="431">
        <v>1334498</v>
      </c>
      <c r="R99" s="431">
        <v>563923</v>
      </c>
      <c r="S99" s="431">
        <v>0</v>
      </c>
      <c r="T99" s="431">
        <v>0</v>
      </c>
      <c r="U99" s="431">
        <v>0</v>
      </c>
      <c r="V99" s="431">
        <v>0</v>
      </c>
      <c r="W99" s="431">
        <v>0</v>
      </c>
      <c r="X99" s="431">
        <v>228239</v>
      </c>
      <c r="Y99" s="431">
        <v>35500</v>
      </c>
      <c r="Z99" s="468">
        <v>707103</v>
      </c>
      <c r="AA99" s="431">
        <v>0</v>
      </c>
      <c r="AB99" s="431">
        <v>0</v>
      </c>
      <c r="AC99" s="468">
        <v>765631</v>
      </c>
      <c r="AD99" s="431">
        <v>44747</v>
      </c>
      <c r="AE99" s="431">
        <v>804828</v>
      </c>
      <c r="AF99" s="431">
        <v>11109</v>
      </c>
      <c r="AG99" s="431">
        <v>215268</v>
      </c>
      <c r="AH99" s="431">
        <v>375245</v>
      </c>
      <c r="AI99" s="468">
        <v>166885</v>
      </c>
      <c r="AJ99" s="468">
        <v>77896</v>
      </c>
      <c r="AK99" s="431">
        <v>0</v>
      </c>
      <c r="AL99" s="431">
        <v>407654</v>
      </c>
      <c r="AM99" s="431">
        <v>0</v>
      </c>
    </row>
    <row r="100" spans="1:39" s="155" customFormat="1" ht="12" x14ac:dyDescent="0.2">
      <c r="A100" s="168">
        <v>46</v>
      </c>
      <c r="B100" s="570">
        <v>105981</v>
      </c>
      <c r="C100" s="559" t="s">
        <v>1394</v>
      </c>
      <c r="D100" s="432">
        <f t="shared" si="13"/>
        <v>6285856</v>
      </c>
      <c r="E100" s="431">
        <v>2065636</v>
      </c>
      <c r="F100" s="431">
        <v>732860</v>
      </c>
      <c r="G100" s="431">
        <v>120709</v>
      </c>
      <c r="H100" s="431">
        <v>0</v>
      </c>
      <c r="I100" s="431">
        <v>2692511</v>
      </c>
      <c r="J100" s="431">
        <v>300000</v>
      </c>
      <c r="K100" s="431">
        <v>679760</v>
      </c>
      <c r="L100" s="431">
        <v>0</v>
      </c>
      <c r="M100" s="431">
        <v>268231</v>
      </c>
      <c r="N100" s="431">
        <v>264718</v>
      </c>
      <c r="O100" s="431">
        <v>15000</v>
      </c>
      <c r="P100" s="432">
        <f t="shared" si="14"/>
        <v>6145382</v>
      </c>
      <c r="Q100" s="431">
        <v>2926881</v>
      </c>
      <c r="R100" s="431">
        <v>1387302</v>
      </c>
      <c r="S100" s="431">
        <v>4450</v>
      </c>
      <c r="T100" s="431">
        <v>0</v>
      </c>
      <c r="U100" s="431">
        <v>0</v>
      </c>
      <c r="V100" s="431">
        <v>0</v>
      </c>
      <c r="W100" s="431">
        <v>521447</v>
      </c>
      <c r="X100" s="431">
        <v>241390</v>
      </c>
      <c r="Y100" s="431">
        <v>33200</v>
      </c>
      <c r="Z100" s="468">
        <v>744070</v>
      </c>
      <c r="AA100" s="431">
        <v>288199</v>
      </c>
      <c r="AB100" s="431">
        <v>-1557</v>
      </c>
      <c r="AC100" s="468">
        <v>1012664</v>
      </c>
      <c r="AD100" s="431">
        <v>378554</v>
      </c>
      <c r="AE100" s="431">
        <v>2978929</v>
      </c>
      <c r="AF100" s="431">
        <v>0</v>
      </c>
      <c r="AG100" s="431">
        <v>54201</v>
      </c>
      <c r="AH100" s="431">
        <v>680364</v>
      </c>
      <c r="AI100" s="468">
        <v>319981</v>
      </c>
      <c r="AJ100" s="468">
        <v>179856</v>
      </c>
      <c r="AK100" s="431">
        <v>0</v>
      </c>
      <c r="AL100" s="431">
        <v>540833</v>
      </c>
      <c r="AM100" s="431">
        <v>0</v>
      </c>
    </row>
    <row r="101" spans="1:39" s="155" customFormat="1" ht="12" x14ac:dyDescent="0.2">
      <c r="A101" s="168">
        <v>47</v>
      </c>
      <c r="B101" s="570">
        <v>179739</v>
      </c>
      <c r="C101" s="559" t="s">
        <v>1395</v>
      </c>
      <c r="D101" s="432">
        <f t="shared" si="13"/>
        <v>19855938</v>
      </c>
      <c r="E101" s="431">
        <v>939819</v>
      </c>
      <c r="F101" s="431">
        <v>207257</v>
      </c>
      <c r="G101" s="431">
        <v>162932</v>
      </c>
      <c r="H101" s="431">
        <v>0</v>
      </c>
      <c r="I101" s="431">
        <v>932289</v>
      </c>
      <c r="J101" s="431">
        <v>0</v>
      </c>
      <c r="K101" s="431">
        <v>997690</v>
      </c>
      <c r="L101" s="431">
        <v>0</v>
      </c>
      <c r="M101" s="431">
        <v>1715519</v>
      </c>
      <c r="N101" s="431">
        <v>15226719</v>
      </c>
      <c r="O101" s="431">
        <v>43902</v>
      </c>
      <c r="P101" s="432">
        <f t="shared" si="14"/>
        <v>19696330</v>
      </c>
      <c r="Q101" s="431">
        <v>1150786</v>
      </c>
      <c r="R101" s="468">
        <v>494192</v>
      </c>
      <c r="S101" s="431">
        <v>22750</v>
      </c>
      <c r="T101" s="431">
        <v>0</v>
      </c>
      <c r="U101" s="431">
        <v>0</v>
      </c>
      <c r="V101" s="431">
        <v>0</v>
      </c>
      <c r="W101" s="431">
        <v>16725135</v>
      </c>
      <c r="X101" s="431">
        <v>221610</v>
      </c>
      <c r="Y101" s="431">
        <v>17970</v>
      </c>
      <c r="Z101" s="468">
        <v>1013887</v>
      </c>
      <c r="AA101" s="431">
        <v>50000</v>
      </c>
      <c r="AB101" s="431">
        <v>0</v>
      </c>
      <c r="AC101" s="468">
        <v>661959</v>
      </c>
      <c r="AD101" s="431">
        <v>181194</v>
      </c>
      <c r="AE101" s="431">
        <v>733181</v>
      </c>
      <c r="AF101" s="431">
        <v>0</v>
      </c>
      <c r="AG101" s="431">
        <v>427868</v>
      </c>
      <c r="AH101" s="431">
        <v>447776</v>
      </c>
      <c r="AI101" s="468">
        <v>407799</v>
      </c>
      <c r="AJ101" s="468">
        <v>16676593</v>
      </c>
      <c r="AK101" s="431">
        <v>0</v>
      </c>
      <c r="AL101" s="431">
        <v>159960</v>
      </c>
      <c r="AM101" s="431">
        <v>0</v>
      </c>
    </row>
    <row r="102" spans="1:39" s="155" customFormat="1" ht="12" x14ac:dyDescent="0.2">
      <c r="A102" s="168">
        <v>48</v>
      </c>
      <c r="B102" s="570">
        <v>179748</v>
      </c>
      <c r="C102" s="559" t="s">
        <v>1396</v>
      </c>
      <c r="D102" s="432">
        <f t="shared" si="13"/>
        <v>3934383</v>
      </c>
      <c r="E102" s="431">
        <v>538975</v>
      </c>
      <c r="F102" s="431">
        <v>75524</v>
      </c>
      <c r="G102" s="431">
        <v>237900</v>
      </c>
      <c r="H102" s="431">
        <v>0</v>
      </c>
      <c r="I102" s="431">
        <v>1129870</v>
      </c>
      <c r="J102" s="431">
        <v>1000000</v>
      </c>
      <c r="K102" s="468">
        <v>1255450</v>
      </c>
      <c r="L102" s="431">
        <v>0</v>
      </c>
      <c r="M102" s="431">
        <v>1696</v>
      </c>
      <c r="N102" s="431">
        <v>0</v>
      </c>
      <c r="O102" s="431">
        <v>8392</v>
      </c>
      <c r="P102" s="432">
        <f t="shared" si="14"/>
        <v>2544540</v>
      </c>
      <c r="Q102" s="431">
        <v>1372164</v>
      </c>
      <c r="R102" s="431">
        <v>672378</v>
      </c>
      <c r="S102" s="431">
        <v>0</v>
      </c>
      <c r="T102" s="431">
        <v>0</v>
      </c>
      <c r="U102" s="431">
        <v>0</v>
      </c>
      <c r="V102" s="431">
        <v>0</v>
      </c>
      <c r="W102" s="431">
        <v>0</v>
      </c>
      <c r="X102" s="431">
        <v>8206</v>
      </c>
      <c r="Y102" s="431">
        <v>2295</v>
      </c>
      <c r="Z102" s="468">
        <v>489497</v>
      </c>
      <c r="AA102" s="431">
        <v>0</v>
      </c>
      <c r="AB102" s="431">
        <v>0</v>
      </c>
      <c r="AC102" s="468">
        <v>508985</v>
      </c>
      <c r="AD102" s="431">
        <v>90483</v>
      </c>
      <c r="AE102" s="431">
        <v>1039683</v>
      </c>
      <c r="AF102" s="431">
        <v>0</v>
      </c>
      <c r="AG102" s="431">
        <v>169820</v>
      </c>
      <c r="AH102" s="431">
        <v>181116</v>
      </c>
      <c r="AI102" s="468">
        <v>222017</v>
      </c>
      <c r="AJ102" s="468">
        <v>24000</v>
      </c>
      <c r="AK102" s="431">
        <v>0</v>
      </c>
      <c r="AL102" s="431">
        <v>308436</v>
      </c>
      <c r="AM102" s="431">
        <v>0</v>
      </c>
    </row>
    <row r="103" spans="1:39" s="155" customFormat="1" ht="12" x14ac:dyDescent="0.2">
      <c r="A103" s="168">
        <v>49</v>
      </c>
      <c r="B103" s="570">
        <v>179757</v>
      </c>
      <c r="C103" s="559" t="s">
        <v>1397</v>
      </c>
      <c r="D103" s="432">
        <f t="shared" si="13"/>
        <v>3465129</v>
      </c>
      <c r="E103" s="431">
        <v>923609</v>
      </c>
      <c r="F103" s="431">
        <v>333780</v>
      </c>
      <c r="G103" s="431">
        <v>146938</v>
      </c>
      <c r="H103" s="431">
        <v>0</v>
      </c>
      <c r="I103" s="431">
        <v>852145</v>
      </c>
      <c r="J103" s="431">
        <v>0</v>
      </c>
      <c r="K103" s="431">
        <v>821590</v>
      </c>
      <c r="L103" s="431">
        <v>0</v>
      </c>
      <c r="M103" s="431">
        <v>849989</v>
      </c>
      <c r="N103" s="431">
        <v>0</v>
      </c>
      <c r="O103" s="431">
        <v>17796</v>
      </c>
      <c r="P103" s="432">
        <f t="shared" si="14"/>
        <v>2889853</v>
      </c>
      <c r="Q103" s="431">
        <v>1148178</v>
      </c>
      <c r="R103" s="431">
        <v>611885</v>
      </c>
      <c r="S103" s="431">
        <v>0</v>
      </c>
      <c r="T103" s="431">
        <v>0</v>
      </c>
      <c r="U103" s="431">
        <v>0</v>
      </c>
      <c r="V103" s="431">
        <v>0</v>
      </c>
      <c r="W103" s="431">
        <v>0</v>
      </c>
      <c r="X103" s="431">
        <v>60108</v>
      </c>
      <c r="Y103" s="431">
        <v>18500</v>
      </c>
      <c r="Z103" s="468">
        <v>1051182</v>
      </c>
      <c r="AA103" s="431">
        <v>0</v>
      </c>
      <c r="AB103" s="431">
        <v>0</v>
      </c>
      <c r="AC103" s="468">
        <v>626694</v>
      </c>
      <c r="AD103" s="431">
        <v>0</v>
      </c>
      <c r="AE103" s="431">
        <v>751283</v>
      </c>
      <c r="AF103" s="431">
        <v>0</v>
      </c>
      <c r="AG103" s="431">
        <v>13500</v>
      </c>
      <c r="AH103" s="431">
        <v>248997</v>
      </c>
      <c r="AI103" s="468">
        <v>305209</v>
      </c>
      <c r="AJ103" s="468">
        <v>35189</v>
      </c>
      <c r="AK103" s="431">
        <v>0</v>
      </c>
      <c r="AL103" s="431">
        <v>908981</v>
      </c>
      <c r="AM103" s="431">
        <v>0</v>
      </c>
    </row>
    <row r="104" spans="1:39" s="155" customFormat="1" ht="12" x14ac:dyDescent="0.2">
      <c r="A104" s="168">
        <v>50</v>
      </c>
      <c r="B104" s="570">
        <v>179766</v>
      </c>
      <c r="C104" s="559" t="s">
        <v>1398</v>
      </c>
      <c r="D104" s="432">
        <f t="shared" si="13"/>
        <v>2523387</v>
      </c>
      <c r="E104" s="431">
        <v>514727</v>
      </c>
      <c r="F104" s="431">
        <v>62119</v>
      </c>
      <c r="G104" s="431">
        <v>245897</v>
      </c>
      <c r="H104" s="431">
        <v>0</v>
      </c>
      <c r="I104" s="431">
        <v>813374</v>
      </c>
      <c r="J104" s="431">
        <v>0</v>
      </c>
      <c r="K104" s="431">
        <v>1180790</v>
      </c>
      <c r="L104" s="431">
        <v>0</v>
      </c>
      <c r="M104" s="431">
        <v>14496</v>
      </c>
      <c r="N104" s="431">
        <v>0</v>
      </c>
      <c r="O104" s="431">
        <v>0</v>
      </c>
      <c r="P104" s="432">
        <f t="shared" si="14"/>
        <v>2433040</v>
      </c>
      <c r="Q104" s="431">
        <v>1135467</v>
      </c>
      <c r="R104" s="431">
        <v>614007</v>
      </c>
      <c r="S104" s="431">
        <v>0</v>
      </c>
      <c r="T104" s="431">
        <v>0</v>
      </c>
      <c r="U104" s="431">
        <v>0</v>
      </c>
      <c r="V104" s="431">
        <v>0</v>
      </c>
      <c r="W104" s="431">
        <v>0</v>
      </c>
      <c r="X104" s="431">
        <v>73429</v>
      </c>
      <c r="Y104" s="431">
        <v>25000</v>
      </c>
      <c r="Z104" s="468">
        <v>585137</v>
      </c>
      <c r="AA104" s="431">
        <v>0</v>
      </c>
      <c r="AB104" s="431">
        <v>0</v>
      </c>
      <c r="AC104" s="468">
        <v>652886</v>
      </c>
      <c r="AD104" s="431">
        <v>0</v>
      </c>
      <c r="AE104" s="431">
        <v>705828</v>
      </c>
      <c r="AF104" s="431">
        <v>0</v>
      </c>
      <c r="AG104" s="431">
        <v>20000</v>
      </c>
      <c r="AH104" s="431">
        <v>302180</v>
      </c>
      <c r="AI104" s="468">
        <v>707133</v>
      </c>
      <c r="AJ104" s="468">
        <v>17856</v>
      </c>
      <c r="AK104" s="431">
        <v>0</v>
      </c>
      <c r="AL104" s="431">
        <v>27157</v>
      </c>
      <c r="AM104" s="431">
        <v>0</v>
      </c>
    </row>
    <row r="105" spans="1:39" s="155" customFormat="1" ht="12" x14ac:dyDescent="0.2">
      <c r="A105" s="168">
        <v>51</v>
      </c>
      <c r="B105" s="570">
        <v>179775</v>
      </c>
      <c r="C105" s="559" t="s">
        <v>1399</v>
      </c>
      <c r="D105" s="432">
        <f t="shared" si="13"/>
        <v>3114533</v>
      </c>
      <c r="E105" s="431">
        <v>828890</v>
      </c>
      <c r="F105" s="431">
        <v>136084</v>
      </c>
      <c r="G105" s="431">
        <v>216909</v>
      </c>
      <c r="H105" s="431">
        <v>0</v>
      </c>
      <c r="I105" s="431">
        <v>1058102</v>
      </c>
      <c r="J105" s="431">
        <v>0</v>
      </c>
      <c r="K105" s="431">
        <v>1212280</v>
      </c>
      <c r="L105" s="431">
        <v>0</v>
      </c>
      <c r="M105" s="431">
        <v>15261</v>
      </c>
      <c r="N105" s="431">
        <v>0</v>
      </c>
      <c r="O105" s="431">
        <v>0</v>
      </c>
      <c r="P105" s="432">
        <f t="shared" si="14"/>
        <v>2830718</v>
      </c>
      <c r="Q105" s="431">
        <v>1381977</v>
      </c>
      <c r="R105" s="431">
        <v>759916</v>
      </c>
      <c r="S105" s="431">
        <v>0</v>
      </c>
      <c r="T105" s="431">
        <v>0</v>
      </c>
      <c r="U105" s="431">
        <v>0</v>
      </c>
      <c r="V105" s="431">
        <v>0</v>
      </c>
      <c r="W105" s="431">
        <v>0</v>
      </c>
      <c r="X105" s="431">
        <v>113180</v>
      </c>
      <c r="Y105" s="431">
        <v>4820</v>
      </c>
      <c r="Z105" s="468">
        <v>581387</v>
      </c>
      <c r="AA105" s="431">
        <v>0</v>
      </c>
      <c r="AB105" s="431">
        <v>-10562</v>
      </c>
      <c r="AC105" s="468">
        <v>639623</v>
      </c>
      <c r="AD105" s="431">
        <v>8572</v>
      </c>
      <c r="AE105" s="431">
        <v>1060774</v>
      </c>
      <c r="AF105" s="431">
        <v>0</v>
      </c>
      <c r="AG105" s="431">
        <v>223044</v>
      </c>
      <c r="AH105" s="431">
        <v>312044</v>
      </c>
      <c r="AI105" s="468">
        <v>178692</v>
      </c>
      <c r="AJ105" s="468">
        <v>139816</v>
      </c>
      <c r="AK105" s="431">
        <v>0</v>
      </c>
      <c r="AL105" s="431">
        <v>268153</v>
      </c>
      <c r="AM105" s="431">
        <v>0</v>
      </c>
    </row>
    <row r="106" spans="1:39" s="155" customFormat="1" ht="12" hidden="1" x14ac:dyDescent="0.2">
      <c r="A106" s="168">
        <v>52</v>
      </c>
      <c r="B106" s="168"/>
      <c r="C106" s="559"/>
      <c r="D106" s="432">
        <f t="shared" si="8"/>
        <v>0</v>
      </c>
      <c r="E106" s="431"/>
      <c r="F106" s="431"/>
      <c r="G106" s="431"/>
      <c r="H106" s="431"/>
      <c r="I106" s="431"/>
      <c r="J106" s="431"/>
      <c r="K106" s="431"/>
      <c r="L106" s="431"/>
      <c r="M106" s="431"/>
      <c r="N106" s="431"/>
      <c r="O106" s="431"/>
      <c r="P106" s="432">
        <f t="shared" ref="P106:P142" si="15">IF(SUM(Q106:AB106)=SUM(AC106:AM106),SUM(Q106:AB106),"  EROARE ART/CAP")</f>
        <v>0</v>
      </c>
      <c r="Q106" s="431"/>
      <c r="R106" s="431"/>
      <c r="S106" s="431"/>
      <c r="T106" s="431"/>
      <c r="U106" s="431"/>
      <c r="V106" s="431"/>
      <c r="W106" s="431"/>
      <c r="X106" s="431"/>
      <c r="Y106" s="431"/>
      <c r="Z106" s="468"/>
      <c r="AA106" s="431"/>
      <c r="AB106" s="431"/>
      <c r="AC106" s="468"/>
      <c r="AD106" s="431"/>
      <c r="AE106" s="431"/>
      <c r="AF106" s="431"/>
      <c r="AG106" s="431"/>
      <c r="AH106" s="431"/>
      <c r="AI106" s="468"/>
      <c r="AJ106" s="468"/>
      <c r="AK106" s="431"/>
      <c r="AL106" s="431"/>
      <c r="AM106" s="431"/>
    </row>
    <row r="107" spans="1:39" s="155" customFormat="1" ht="12" hidden="1" x14ac:dyDescent="0.2">
      <c r="A107" s="168">
        <v>53</v>
      </c>
      <c r="B107" s="168"/>
      <c r="C107" s="559"/>
      <c r="D107" s="432">
        <f t="shared" si="8"/>
        <v>0</v>
      </c>
      <c r="E107" s="431"/>
      <c r="F107" s="431"/>
      <c r="G107" s="431"/>
      <c r="H107" s="431"/>
      <c r="I107" s="431"/>
      <c r="J107" s="431"/>
      <c r="K107" s="431"/>
      <c r="L107" s="431"/>
      <c r="M107" s="431"/>
      <c r="N107" s="431"/>
      <c r="O107" s="431"/>
      <c r="P107" s="432">
        <f t="shared" si="15"/>
        <v>0</v>
      </c>
      <c r="Q107" s="431"/>
      <c r="R107" s="431"/>
      <c r="S107" s="431"/>
      <c r="T107" s="431"/>
      <c r="U107" s="431"/>
      <c r="V107" s="431"/>
      <c r="W107" s="431"/>
      <c r="X107" s="431"/>
      <c r="Y107" s="431"/>
      <c r="Z107" s="468"/>
      <c r="AA107" s="431"/>
      <c r="AB107" s="431"/>
      <c r="AC107" s="468"/>
      <c r="AD107" s="431"/>
      <c r="AE107" s="431"/>
      <c r="AF107" s="431"/>
      <c r="AG107" s="431"/>
      <c r="AH107" s="431"/>
      <c r="AI107" s="468"/>
      <c r="AJ107" s="468"/>
      <c r="AK107" s="431"/>
      <c r="AL107" s="431"/>
      <c r="AM107" s="431"/>
    </row>
    <row r="108" spans="1:39" s="155" customFormat="1" ht="12" hidden="1" x14ac:dyDescent="0.2">
      <c r="A108" s="168">
        <v>54</v>
      </c>
      <c r="B108" s="168"/>
      <c r="C108" s="237"/>
      <c r="D108" s="432">
        <f t="shared" si="8"/>
        <v>0</v>
      </c>
      <c r="E108" s="431"/>
      <c r="F108" s="431"/>
      <c r="G108" s="431"/>
      <c r="H108" s="431"/>
      <c r="I108" s="431"/>
      <c r="J108" s="431"/>
      <c r="K108" s="431"/>
      <c r="L108" s="431"/>
      <c r="M108" s="431"/>
      <c r="N108" s="431"/>
      <c r="O108" s="431"/>
      <c r="P108" s="432">
        <f t="shared" si="15"/>
        <v>0</v>
      </c>
      <c r="Q108" s="431"/>
      <c r="R108" s="431"/>
      <c r="S108" s="431"/>
      <c r="T108" s="431"/>
      <c r="U108" s="431"/>
      <c r="V108" s="431"/>
      <c r="W108" s="431"/>
      <c r="X108" s="431"/>
      <c r="Y108" s="431"/>
      <c r="Z108" s="468"/>
      <c r="AA108" s="431"/>
      <c r="AB108" s="431"/>
      <c r="AC108" s="468"/>
      <c r="AD108" s="431"/>
      <c r="AE108" s="431"/>
      <c r="AF108" s="431"/>
      <c r="AG108" s="431"/>
      <c r="AH108" s="431"/>
      <c r="AI108" s="468"/>
      <c r="AJ108" s="468"/>
      <c r="AK108" s="431"/>
      <c r="AL108" s="431"/>
      <c r="AM108" s="431"/>
    </row>
    <row r="109" spans="1:39" s="155" customFormat="1" ht="12" hidden="1" x14ac:dyDescent="0.2">
      <c r="A109" s="168">
        <v>55</v>
      </c>
      <c r="B109" s="168"/>
      <c r="C109" s="559"/>
      <c r="D109" s="432">
        <f t="shared" si="8"/>
        <v>0</v>
      </c>
      <c r="E109" s="431"/>
      <c r="F109" s="431"/>
      <c r="G109" s="431"/>
      <c r="H109" s="431"/>
      <c r="I109" s="431"/>
      <c r="J109" s="431"/>
      <c r="K109" s="431"/>
      <c r="L109" s="431"/>
      <c r="M109" s="431"/>
      <c r="N109" s="431"/>
      <c r="O109" s="431"/>
      <c r="P109" s="432">
        <f t="shared" si="15"/>
        <v>0</v>
      </c>
      <c r="Q109" s="431"/>
      <c r="R109" s="431"/>
      <c r="S109" s="431"/>
      <c r="T109" s="431"/>
      <c r="U109" s="431"/>
      <c r="V109" s="431"/>
      <c r="W109" s="431"/>
      <c r="X109" s="431"/>
      <c r="Y109" s="431"/>
      <c r="Z109" s="468"/>
      <c r="AA109" s="431"/>
      <c r="AB109" s="431"/>
      <c r="AC109" s="468"/>
      <c r="AD109" s="431"/>
      <c r="AE109" s="431"/>
      <c r="AF109" s="431"/>
      <c r="AG109" s="431"/>
      <c r="AH109" s="431"/>
      <c r="AI109" s="468"/>
      <c r="AJ109" s="468"/>
      <c r="AK109" s="431"/>
      <c r="AL109" s="431"/>
      <c r="AM109" s="431"/>
    </row>
    <row r="110" spans="1:39" s="155" customFormat="1" ht="12" hidden="1" x14ac:dyDescent="0.2">
      <c r="A110" s="168">
        <v>56</v>
      </c>
      <c r="B110" s="168"/>
      <c r="C110" s="559"/>
      <c r="D110" s="432">
        <f t="shared" si="8"/>
        <v>0</v>
      </c>
      <c r="E110" s="431"/>
      <c r="F110" s="431"/>
      <c r="G110" s="431"/>
      <c r="H110" s="431"/>
      <c r="I110" s="431"/>
      <c r="J110" s="431"/>
      <c r="K110" s="431"/>
      <c r="L110" s="431"/>
      <c r="M110" s="431"/>
      <c r="N110" s="431"/>
      <c r="O110" s="431"/>
      <c r="P110" s="432">
        <f t="shared" si="15"/>
        <v>0</v>
      </c>
      <c r="Q110" s="431"/>
      <c r="R110" s="431"/>
      <c r="S110" s="431"/>
      <c r="T110" s="431"/>
      <c r="U110" s="431"/>
      <c r="V110" s="431"/>
      <c r="W110" s="431"/>
      <c r="X110" s="431"/>
      <c r="Y110" s="431"/>
      <c r="Z110" s="468"/>
      <c r="AA110" s="431"/>
      <c r="AB110" s="431"/>
      <c r="AC110" s="468"/>
      <c r="AD110" s="431"/>
      <c r="AE110" s="431"/>
      <c r="AF110" s="431"/>
      <c r="AG110" s="431"/>
      <c r="AH110" s="431"/>
      <c r="AI110" s="468"/>
      <c r="AJ110" s="468"/>
      <c r="AK110" s="431"/>
      <c r="AL110" s="431"/>
      <c r="AM110" s="431"/>
    </row>
    <row r="111" spans="1:39" s="155" customFormat="1" ht="12" hidden="1" x14ac:dyDescent="0.2">
      <c r="A111" s="168">
        <v>57</v>
      </c>
      <c r="B111" s="168"/>
      <c r="C111" s="559"/>
      <c r="D111" s="432">
        <f t="shared" si="8"/>
        <v>0</v>
      </c>
      <c r="E111" s="431"/>
      <c r="F111" s="431"/>
      <c r="G111" s="431"/>
      <c r="H111" s="431"/>
      <c r="I111" s="431"/>
      <c r="J111" s="431"/>
      <c r="K111" s="431"/>
      <c r="L111" s="431"/>
      <c r="M111" s="431"/>
      <c r="N111" s="431"/>
      <c r="O111" s="431"/>
      <c r="P111" s="432">
        <f t="shared" si="15"/>
        <v>0</v>
      </c>
      <c r="Q111" s="431"/>
      <c r="R111" s="431"/>
      <c r="S111" s="431"/>
      <c r="T111" s="431"/>
      <c r="U111" s="431"/>
      <c r="V111" s="431"/>
      <c r="W111" s="431"/>
      <c r="X111" s="431"/>
      <c r="Y111" s="431"/>
      <c r="Z111" s="468"/>
      <c r="AA111" s="431"/>
      <c r="AB111" s="431"/>
      <c r="AC111" s="468"/>
      <c r="AD111" s="431"/>
      <c r="AE111" s="431"/>
      <c r="AF111" s="431"/>
      <c r="AG111" s="431"/>
      <c r="AH111" s="431"/>
      <c r="AI111" s="468"/>
      <c r="AJ111" s="468"/>
      <c r="AK111" s="431"/>
      <c r="AL111" s="431"/>
      <c r="AM111" s="431"/>
    </row>
    <row r="112" spans="1:39" s="155" customFormat="1" ht="12" hidden="1" x14ac:dyDescent="0.2">
      <c r="A112" s="168">
        <v>58</v>
      </c>
      <c r="B112" s="168"/>
      <c r="C112" s="559"/>
      <c r="D112" s="432">
        <f t="shared" si="8"/>
        <v>0</v>
      </c>
      <c r="E112" s="431"/>
      <c r="F112" s="431"/>
      <c r="G112" s="431"/>
      <c r="H112" s="431"/>
      <c r="I112" s="431"/>
      <c r="J112" s="431"/>
      <c r="K112" s="431"/>
      <c r="L112" s="431"/>
      <c r="M112" s="431"/>
      <c r="N112" s="431"/>
      <c r="O112" s="431"/>
      <c r="P112" s="432">
        <f t="shared" si="15"/>
        <v>0</v>
      </c>
      <c r="Q112" s="431"/>
      <c r="R112" s="468"/>
      <c r="S112" s="431"/>
      <c r="T112" s="431"/>
      <c r="U112" s="431"/>
      <c r="V112" s="431"/>
      <c r="W112" s="431"/>
      <c r="X112" s="431"/>
      <c r="Y112" s="431"/>
      <c r="Z112" s="468"/>
      <c r="AA112" s="431"/>
      <c r="AB112" s="431"/>
      <c r="AC112" s="468"/>
      <c r="AD112" s="431"/>
      <c r="AE112" s="431"/>
      <c r="AF112" s="431"/>
      <c r="AG112" s="431"/>
      <c r="AH112" s="431"/>
      <c r="AI112" s="468"/>
      <c r="AJ112" s="468"/>
      <c r="AK112" s="431"/>
      <c r="AL112" s="431"/>
      <c r="AM112" s="431"/>
    </row>
    <row r="113" spans="1:39" s="155" customFormat="1" ht="12" hidden="1" x14ac:dyDescent="0.2">
      <c r="A113" s="168">
        <v>59</v>
      </c>
      <c r="B113" s="168"/>
      <c r="C113" s="559"/>
      <c r="D113" s="432">
        <f t="shared" si="8"/>
        <v>0</v>
      </c>
      <c r="E113" s="431"/>
      <c r="F113" s="431"/>
      <c r="G113" s="431"/>
      <c r="H113" s="431"/>
      <c r="I113" s="431"/>
      <c r="J113" s="431"/>
      <c r="K113" s="431"/>
      <c r="L113" s="431"/>
      <c r="M113" s="431"/>
      <c r="N113" s="431"/>
      <c r="O113" s="431"/>
      <c r="P113" s="432">
        <f t="shared" si="15"/>
        <v>0</v>
      </c>
      <c r="Q113" s="431"/>
      <c r="R113" s="431"/>
      <c r="S113" s="431"/>
      <c r="T113" s="431"/>
      <c r="U113" s="431"/>
      <c r="V113" s="431"/>
      <c r="W113" s="431"/>
      <c r="X113" s="431"/>
      <c r="Y113" s="431"/>
      <c r="Z113" s="468"/>
      <c r="AA113" s="431"/>
      <c r="AB113" s="431"/>
      <c r="AC113" s="468"/>
      <c r="AD113" s="431"/>
      <c r="AE113" s="431"/>
      <c r="AF113" s="431"/>
      <c r="AG113" s="431"/>
      <c r="AH113" s="431"/>
      <c r="AI113" s="468"/>
      <c r="AJ113" s="468"/>
      <c r="AK113" s="431"/>
      <c r="AL113" s="431"/>
      <c r="AM113" s="431"/>
    </row>
    <row r="114" spans="1:39" s="155" customFormat="1" ht="12" hidden="1" x14ac:dyDescent="0.2">
      <c r="A114" s="168">
        <v>60</v>
      </c>
      <c r="B114" s="168"/>
      <c r="C114" s="237"/>
      <c r="D114" s="432">
        <f t="shared" si="8"/>
        <v>0</v>
      </c>
      <c r="E114" s="431"/>
      <c r="F114" s="431"/>
      <c r="G114" s="431"/>
      <c r="H114" s="431"/>
      <c r="I114" s="431"/>
      <c r="J114" s="431"/>
      <c r="K114" s="431"/>
      <c r="L114" s="431"/>
      <c r="M114" s="431"/>
      <c r="N114" s="431"/>
      <c r="O114" s="431"/>
      <c r="P114" s="432">
        <f t="shared" si="15"/>
        <v>0</v>
      </c>
      <c r="Q114" s="431"/>
      <c r="R114" s="431"/>
      <c r="S114" s="431"/>
      <c r="T114" s="431"/>
      <c r="U114" s="431"/>
      <c r="V114" s="431"/>
      <c r="W114" s="431"/>
      <c r="X114" s="431"/>
      <c r="Y114" s="431"/>
      <c r="Z114" s="468"/>
      <c r="AA114" s="431"/>
      <c r="AB114" s="431"/>
      <c r="AC114" s="468"/>
      <c r="AD114" s="431"/>
      <c r="AE114" s="431"/>
      <c r="AF114" s="431"/>
      <c r="AG114" s="431"/>
      <c r="AH114" s="431"/>
      <c r="AI114" s="468"/>
      <c r="AJ114" s="468"/>
      <c r="AK114" s="431"/>
      <c r="AL114" s="431"/>
      <c r="AM114" s="431"/>
    </row>
    <row r="115" spans="1:39" s="155" customFormat="1" ht="12" hidden="1" x14ac:dyDescent="0.2">
      <c r="A115" s="168">
        <v>61</v>
      </c>
      <c r="B115" s="168"/>
      <c r="C115" s="559"/>
      <c r="D115" s="432">
        <f t="shared" si="8"/>
        <v>0</v>
      </c>
      <c r="E115" s="431"/>
      <c r="F115" s="431"/>
      <c r="G115" s="431"/>
      <c r="H115" s="431"/>
      <c r="I115" s="431"/>
      <c r="J115" s="431"/>
      <c r="K115" s="431"/>
      <c r="L115" s="431"/>
      <c r="M115" s="431"/>
      <c r="N115" s="431"/>
      <c r="O115" s="431"/>
      <c r="P115" s="432">
        <f t="shared" si="15"/>
        <v>0</v>
      </c>
      <c r="Q115" s="431"/>
      <c r="R115" s="431"/>
      <c r="S115" s="431"/>
      <c r="T115" s="431"/>
      <c r="U115" s="431"/>
      <c r="V115" s="431"/>
      <c r="W115" s="431"/>
      <c r="X115" s="431"/>
      <c r="Y115" s="431"/>
      <c r="Z115" s="468"/>
      <c r="AA115" s="431"/>
      <c r="AB115" s="431"/>
      <c r="AC115" s="468"/>
      <c r="AD115" s="431"/>
      <c r="AE115" s="431"/>
      <c r="AF115" s="431"/>
      <c r="AG115" s="431"/>
      <c r="AH115" s="431"/>
      <c r="AI115" s="468"/>
      <c r="AJ115" s="468"/>
      <c r="AK115" s="431"/>
      <c r="AL115" s="431"/>
      <c r="AM115" s="431"/>
    </row>
    <row r="116" spans="1:39" s="155" customFormat="1" ht="12" hidden="1" x14ac:dyDescent="0.2">
      <c r="A116" s="168">
        <v>62</v>
      </c>
      <c r="B116" s="168"/>
      <c r="C116" s="172"/>
      <c r="D116" s="432">
        <f t="shared" si="8"/>
        <v>0</v>
      </c>
      <c r="E116" s="431"/>
      <c r="F116" s="431"/>
      <c r="G116" s="431"/>
      <c r="H116" s="431"/>
      <c r="I116" s="431"/>
      <c r="J116" s="431"/>
      <c r="K116" s="431"/>
      <c r="L116" s="431"/>
      <c r="M116" s="431"/>
      <c r="N116" s="431"/>
      <c r="O116" s="431"/>
      <c r="P116" s="432">
        <f t="shared" si="15"/>
        <v>0</v>
      </c>
      <c r="Q116" s="431"/>
      <c r="R116" s="431"/>
      <c r="S116" s="431"/>
      <c r="T116" s="431"/>
      <c r="U116" s="431"/>
      <c r="V116" s="431"/>
      <c r="W116" s="431"/>
      <c r="X116" s="431"/>
      <c r="Y116" s="431"/>
      <c r="Z116" s="468"/>
      <c r="AA116" s="431"/>
      <c r="AB116" s="431"/>
      <c r="AC116" s="468"/>
      <c r="AD116" s="431"/>
      <c r="AE116" s="431"/>
      <c r="AF116" s="431"/>
      <c r="AG116" s="431"/>
      <c r="AH116" s="431"/>
      <c r="AI116" s="468"/>
      <c r="AJ116" s="468"/>
      <c r="AK116" s="431"/>
      <c r="AL116" s="431"/>
      <c r="AM116" s="431"/>
    </row>
    <row r="117" spans="1:39" s="155" customFormat="1" ht="12" hidden="1" x14ac:dyDescent="0.2">
      <c r="A117" s="168">
        <v>63</v>
      </c>
      <c r="B117" s="168"/>
      <c r="C117" s="182"/>
      <c r="D117" s="432">
        <f t="shared" si="8"/>
        <v>0</v>
      </c>
      <c r="E117" s="431"/>
      <c r="F117" s="431"/>
      <c r="G117" s="431"/>
      <c r="H117" s="431"/>
      <c r="I117" s="431"/>
      <c r="J117" s="431"/>
      <c r="K117" s="431"/>
      <c r="L117" s="431"/>
      <c r="M117" s="431"/>
      <c r="N117" s="431"/>
      <c r="O117" s="431"/>
      <c r="P117" s="432">
        <f t="shared" si="15"/>
        <v>0</v>
      </c>
      <c r="Q117" s="431"/>
      <c r="R117" s="431"/>
      <c r="S117" s="431"/>
      <c r="T117" s="431"/>
      <c r="U117" s="431"/>
      <c r="V117" s="431"/>
      <c r="W117" s="431"/>
      <c r="X117" s="431"/>
      <c r="Y117" s="431"/>
      <c r="Z117" s="468"/>
      <c r="AA117" s="431"/>
      <c r="AB117" s="431"/>
      <c r="AC117" s="468"/>
      <c r="AD117" s="431"/>
      <c r="AE117" s="431"/>
      <c r="AF117" s="431"/>
      <c r="AG117" s="431"/>
      <c r="AH117" s="431"/>
      <c r="AI117" s="468"/>
      <c r="AJ117" s="468"/>
      <c r="AK117" s="431"/>
      <c r="AL117" s="431"/>
      <c r="AM117" s="431"/>
    </row>
    <row r="118" spans="1:39" s="155" customFormat="1" ht="12" hidden="1" x14ac:dyDescent="0.2">
      <c r="A118" s="168">
        <v>64</v>
      </c>
      <c r="B118" s="168"/>
      <c r="C118" s="172"/>
      <c r="D118" s="432">
        <f t="shared" ref="D118:D143" si="16">E118+SUM(H118:O118)</f>
        <v>0</v>
      </c>
      <c r="E118" s="431"/>
      <c r="F118" s="431"/>
      <c r="G118" s="431"/>
      <c r="H118" s="431"/>
      <c r="I118" s="431"/>
      <c r="J118" s="431"/>
      <c r="K118" s="431"/>
      <c r="L118" s="431"/>
      <c r="M118" s="431"/>
      <c r="N118" s="431"/>
      <c r="O118" s="431"/>
      <c r="P118" s="432">
        <f t="shared" si="15"/>
        <v>0</v>
      </c>
      <c r="Q118" s="431"/>
      <c r="R118" s="431"/>
      <c r="S118" s="431"/>
      <c r="T118" s="431"/>
      <c r="U118" s="431"/>
      <c r="V118" s="431"/>
      <c r="W118" s="431"/>
      <c r="X118" s="431"/>
      <c r="Y118" s="431"/>
      <c r="Z118" s="468"/>
      <c r="AA118" s="431"/>
      <c r="AB118" s="431"/>
      <c r="AC118" s="468"/>
      <c r="AD118" s="431"/>
      <c r="AE118" s="431"/>
      <c r="AF118" s="431"/>
      <c r="AG118" s="431"/>
      <c r="AH118" s="431"/>
      <c r="AI118" s="468"/>
      <c r="AJ118" s="468"/>
      <c r="AK118" s="431"/>
      <c r="AL118" s="431"/>
      <c r="AM118" s="431"/>
    </row>
    <row r="119" spans="1:39" s="155" customFormat="1" ht="12" hidden="1" x14ac:dyDescent="0.2">
      <c r="A119" s="168">
        <v>65</v>
      </c>
      <c r="B119" s="168"/>
      <c r="C119" s="172"/>
      <c r="D119" s="432">
        <f t="shared" si="16"/>
        <v>0</v>
      </c>
      <c r="E119" s="431"/>
      <c r="F119" s="431"/>
      <c r="G119" s="431"/>
      <c r="H119" s="431"/>
      <c r="I119" s="431"/>
      <c r="J119" s="431"/>
      <c r="K119" s="431"/>
      <c r="L119" s="431"/>
      <c r="M119" s="431"/>
      <c r="N119" s="431"/>
      <c r="O119" s="431"/>
      <c r="P119" s="432">
        <f t="shared" si="15"/>
        <v>0</v>
      </c>
      <c r="Q119" s="431"/>
      <c r="R119" s="431"/>
      <c r="S119" s="431"/>
      <c r="T119" s="431"/>
      <c r="U119" s="431"/>
      <c r="V119" s="431"/>
      <c r="W119" s="431"/>
      <c r="X119" s="431"/>
      <c r="Y119" s="431"/>
      <c r="Z119" s="468"/>
      <c r="AA119" s="431"/>
      <c r="AB119" s="431"/>
      <c r="AC119" s="468"/>
      <c r="AD119" s="431"/>
      <c r="AE119" s="431"/>
      <c r="AF119" s="431"/>
      <c r="AG119" s="431"/>
      <c r="AH119" s="431"/>
      <c r="AI119" s="468"/>
      <c r="AJ119" s="468"/>
      <c r="AK119" s="431"/>
      <c r="AL119" s="431"/>
      <c r="AM119" s="431"/>
    </row>
    <row r="120" spans="1:39" s="155" customFormat="1" ht="12" hidden="1" x14ac:dyDescent="0.2">
      <c r="A120" s="168">
        <v>66</v>
      </c>
      <c r="B120" s="168"/>
      <c r="C120" s="172"/>
      <c r="D120" s="432">
        <f t="shared" si="16"/>
        <v>0</v>
      </c>
      <c r="E120" s="431"/>
      <c r="F120" s="431"/>
      <c r="G120" s="431"/>
      <c r="H120" s="431"/>
      <c r="I120" s="431"/>
      <c r="J120" s="431"/>
      <c r="K120" s="431"/>
      <c r="L120" s="431"/>
      <c r="M120" s="431"/>
      <c r="N120" s="431"/>
      <c r="O120" s="431"/>
      <c r="P120" s="432">
        <f t="shared" si="15"/>
        <v>0</v>
      </c>
      <c r="Q120" s="431"/>
      <c r="R120" s="431"/>
      <c r="S120" s="431"/>
      <c r="T120" s="431"/>
      <c r="U120" s="431"/>
      <c r="V120" s="431"/>
      <c r="W120" s="431"/>
      <c r="X120" s="431"/>
      <c r="Y120" s="431"/>
      <c r="Z120" s="468"/>
      <c r="AA120" s="431"/>
      <c r="AB120" s="431"/>
      <c r="AC120" s="468"/>
      <c r="AD120" s="431"/>
      <c r="AE120" s="431"/>
      <c r="AF120" s="431"/>
      <c r="AG120" s="431"/>
      <c r="AH120" s="431"/>
      <c r="AI120" s="468"/>
      <c r="AJ120" s="468"/>
      <c r="AK120" s="431"/>
      <c r="AL120" s="431"/>
      <c r="AM120" s="431"/>
    </row>
    <row r="121" spans="1:39" s="155" customFormat="1" ht="12" hidden="1" x14ac:dyDescent="0.2">
      <c r="A121" s="168">
        <v>67</v>
      </c>
      <c r="B121" s="168"/>
      <c r="C121" s="172"/>
      <c r="D121" s="432">
        <f t="shared" si="16"/>
        <v>0</v>
      </c>
      <c r="E121" s="431"/>
      <c r="F121" s="431"/>
      <c r="G121" s="431"/>
      <c r="H121" s="431"/>
      <c r="I121" s="431"/>
      <c r="J121" s="431"/>
      <c r="K121" s="431"/>
      <c r="L121" s="431"/>
      <c r="M121" s="431"/>
      <c r="N121" s="431"/>
      <c r="O121" s="431"/>
      <c r="P121" s="432">
        <f t="shared" si="15"/>
        <v>0</v>
      </c>
      <c r="Q121" s="431"/>
      <c r="R121" s="431"/>
      <c r="S121" s="431"/>
      <c r="T121" s="431"/>
      <c r="U121" s="431"/>
      <c r="V121" s="431"/>
      <c r="W121" s="431"/>
      <c r="X121" s="431"/>
      <c r="Y121" s="431"/>
      <c r="Z121" s="468"/>
      <c r="AA121" s="431"/>
      <c r="AB121" s="431"/>
      <c r="AC121" s="468"/>
      <c r="AD121" s="431"/>
      <c r="AE121" s="431"/>
      <c r="AF121" s="431"/>
      <c r="AG121" s="431"/>
      <c r="AH121" s="431"/>
      <c r="AI121" s="468"/>
      <c r="AJ121" s="468"/>
      <c r="AK121" s="431"/>
      <c r="AL121" s="431"/>
      <c r="AM121" s="431"/>
    </row>
    <row r="122" spans="1:39" s="155" customFormat="1" ht="12" hidden="1" x14ac:dyDescent="0.2">
      <c r="A122" s="168">
        <v>68</v>
      </c>
      <c r="B122" s="168"/>
      <c r="C122" s="172"/>
      <c r="D122" s="432">
        <f t="shared" si="16"/>
        <v>0</v>
      </c>
      <c r="E122" s="431"/>
      <c r="F122" s="431"/>
      <c r="G122" s="431"/>
      <c r="H122" s="431"/>
      <c r="I122" s="431"/>
      <c r="J122" s="431"/>
      <c r="K122" s="431"/>
      <c r="L122" s="431"/>
      <c r="M122" s="431"/>
      <c r="N122" s="431"/>
      <c r="O122" s="431"/>
      <c r="P122" s="432">
        <f t="shared" si="15"/>
        <v>0</v>
      </c>
      <c r="Q122" s="431"/>
      <c r="R122" s="431"/>
      <c r="S122" s="431"/>
      <c r="T122" s="431"/>
      <c r="U122" s="431"/>
      <c r="V122" s="431"/>
      <c r="W122" s="431"/>
      <c r="X122" s="431"/>
      <c r="Y122" s="431"/>
      <c r="Z122" s="468"/>
      <c r="AA122" s="431"/>
      <c r="AB122" s="431"/>
      <c r="AC122" s="468"/>
      <c r="AD122" s="431"/>
      <c r="AE122" s="431"/>
      <c r="AF122" s="431"/>
      <c r="AG122" s="431"/>
      <c r="AH122" s="431"/>
      <c r="AI122" s="468"/>
      <c r="AJ122" s="468"/>
      <c r="AK122" s="431"/>
      <c r="AL122" s="431"/>
      <c r="AM122" s="431"/>
    </row>
    <row r="123" spans="1:39" s="155" customFormat="1" ht="12" hidden="1" x14ac:dyDescent="0.2">
      <c r="A123" s="168">
        <v>69</v>
      </c>
      <c r="B123" s="168"/>
      <c r="C123" s="172"/>
      <c r="D123" s="432">
        <f t="shared" si="16"/>
        <v>0</v>
      </c>
      <c r="E123" s="431"/>
      <c r="F123" s="431"/>
      <c r="G123" s="431"/>
      <c r="H123" s="431"/>
      <c r="I123" s="431"/>
      <c r="J123" s="431"/>
      <c r="K123" s="431"/>
      <c r="L123" s="431"/>
      <c r="M123" s="431"/>
      <c r="N123" s="431"/>
      <c r="O123" s="431"/>
      <c r="P123" s="432">
        <f t="shared" si="15"/>
        <v>0</v>
      </c>
      <c r="Q123" s="431"/>
      <c r="R123" s="431"/>
      <c r="S123" s="431"/>
      <c r="T123" s="431"/>
      <c r="U123" s="431"/>
      <c r="V123" s="431"/>
      <c r="W123" s="431"/>
      <c r="X123" s="431"/>
      <c r="Y123" s="431"/>
      <c r="Z123" s="468"/>
      <c r="AA123" s="431"/>
      <c r="AB123" s="431"/>
      <c r="AC123" s="468"/>
      <c r="AD123" s="431"/>
      <c r="AE123" s="431"/>
      <c r="AF123" s="431"/>
      <c r="AG123" s="431"/>
      <c r="AH123" s="431"/>
      <c r="AI123" s="468"/>
      <c r="AJ123" s="468"/>
      <c r="AK123" s="431"/>
      <c r="AL123" s="431"/>
      <c r="AM123" s="431"/>
    </row>
    <row r="124" spans="1:39" s="155" customFormat="1" ht="12" hidden="1" x14ac:dyDescent="0.2">
      <c r="A124" s="168">
        <v>70</v>
      </c>
      <c r="B124" s="168"/>
      <c r="C124" s="172"/>
      <c r="D124" s="432">
        <f t="shared" si="16"/>
        <v>0</v>
      </c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32">
        <f t="shared" si="15"/>
        <v>0</v>
      </c>
      <c r="Q124" s="431"/>
      <c r="R124" s="431"/>
      <c r="S124" s="431"/>
      <c r="T124" s="431"/>
      <c r="U124" s="431"/>
      <c r="V124" s="431"/>
      <c r="W124" s="431"/>
      <c r="X124" s="431"/>
      <c r="Y124" s="431"/>
      <c r="Z124" s="468"/>
      <c r="AA124" s="431"/>
      <c r="AB124" s="431"/>
      <c r="AC124" s="468"/>
      <c r="AD124" s="431"/>
      <c r="AE124" s="431"/>
      <c r="AF124" s="431"/>
      <c r="AG124" s="431"/>
      <c r="AH124" s="431"/>
      <c r="AI124" s="468"/>
      <c r="AJ124" s="468"/>
      <c r="AK124" s="431"/>
      <c r="AL124" s="431"/>
      <c r="AM124" s="431"/>
    </row>
    <row r="125" spans="1:39" s="155" customFormat="1" ht="12" hidden="1" x14ac:dyDescent="0.2">
      <c r="A125" s="168">
        <v>71</v>
      </c>
      <c r="B125" s="168"/>
      <c r="C125" s="172"/>
      <c r="D125" s="432">
        <f t="shared" si="16"/>
        <v>0</v>
      </c>
      <c r="E125" s="431"/>
      <c r="F125" s="431"/>
      <c r="G125" s="431"/>
      <c r="H125" s="431"/>
      <c r="I125" s="431"/>
      <c r="J125" s="431"/>
      <c r="K125" s="431"/>
      <c r="L125" s="431"/>
      <c r="M125" s="431"/>
      <c r="N125" s="431"/>
      <c r="O125" s="431"/>
      <c r="P125" s="432">
        <f t="shared" si="15"/>
        <v>0</v>
      </c>
      <c r="Q125" s="431"/>
      <c r="R125" s="431"/>
      <c r="S125" s="431"/>
      <c r="T125" s="431"/>
      <c r="U125" s="431"/>
      <c r="V125" s="431"/>
      <c r="W125" s="431"/>
      <c r="X125" s="431"/>
      <c r="Y125" s="431"/>
      <c r="Z125" s="468"/>
      <c r="AA125" s="431"/>
      <c r="AB125" s="431"/>
      <c r="AC125" s="468"/>
      <c r="AD125" s="431"/>
      <c r="AE125" s="431"/>
      <c r="AF125" s="431"/>
      <c r="AG125" s="431"/>
      <c r="AH125" s="431"/>
      <c r="AI125" s="468"/>
      <c r="AJ125" s="468"/>
      <c r="AK125" s="431"/>
      <c r="AL125" s="431"/>
      <c r="AM125" s="431"/>
    </row>
    <row r="126" spans="1:39" s="155" customFormat="1" ht="12" hidden="1" x14ac:dyDescent="0.2">
      <c r="A126" s="168">
        <v>72</v>
      </c>
      <c r="B126" s="168"/>
      <c r="C126" s="172"/>
      <c r="D126" s="432">
        <f t="shared" si="16"/>
        <v>0</v>
      </c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32">
        <f t="shared" si="15"/>
        <v>0</v>
      </c>
      <c r="Q126" s="431"/>
      <c r="R126" s="431"/>
      <c r="S126" s="431"/>
      <c r="T126" s="431"/>
      <c r="U126" s="431"/>
      <c r="V126" s="431"/>
      <c r="W126" s="431"/>
      <c r="X126" s="431"/>
      <c r="Y126" s="431"/>
      <c r="Z126" s="468"/>
      <c r="AA126" s="431"/>
      <c r="AB126" s="431"/>
      <c r="AC126" s="468"/>
      <c r="AD126" s="431"/>
      <c r="AE126" s="431"/>
      <c r="AF126" s="431"/>
      <c r="AG126" s="431"/>
      <c r="AH126" s="431"/>
      <c r="AI126" s="468"/>
      <c r="AJ126" s="468"/>
      <c r="AK126" s="431"/>
      <c r="AL126" s="431"/>
      <c r="AM126" s="431"/>
    </row>
    <row r="127" spans="1:39" s="155" customFormat="1" ht="12" hidden="1" x14ac:dyDescent="0.2">
      <c r="A127" s="168">
        <v>73</v>
      </c>
      <c r="B127" s="168"/>
      <c r="C127" s="172"/>
      <c r="D127" s="432">
        <f t="shared" si="16"/>
        <v>0</v>
      </c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32">
        <f t="shared" si="15"/>
        <v>0</v>
      </c>
      <c r="Q127" s="431"/>
      <c r="R127" s="431"/>
      <c r="S127" s="431"/>
      <c r="T127" s="431"/>
      <c r="U127" s="431"/>
      <c r="V127" s="431"/>
      <c r="W127" s="431"/>
      <c r="X127" s="431"/>
      <c r="Y127" s="431"/>
      <c r="Z127" s="468"/>
      <c r="AA127" s="431"/>
      <c r="AB127" s="431"/>
      <c r="AC127" s="468"/>
      <c r="AD127" s="431"/>
      <c r="AE127" s="431"/>
      <c r="AF127" s="431"/>
      <c r="AG127" s="431"/>
      <c r="AH127" s="431"/>
      <c r="AI127" s="468"/>
      <c r="AJ127" s="468"/>
      <c r="AK127" s="431"/>
      <c r="AL127" s="431"/>
      <c r="AM127" s="431"/>
    </row>
    <row r="128" spans="1:39" s="155" customFormat="1" ht="12" hidden="1" x14ac:dyDescent="0.2">
      <c r="A128" s="168">
        <v>74</v>
      </c>
      <c r="B128" s="168"/>
      <c r="C128" s="172"/>
      <c r="D128" s="432">
        <f t="shared" si="16"/>
        <v>0</v>
      </c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32">
        <f t="shared" si="15"/>
        <v>0</v>
      </c>
      <c r="Q128" s="431"/>
      <c r="R128" s="431"/>
      <c r="S128" s="431"/>
      <c r="T128" s="431"/>
      <c r="U128" s="431"/>
      <c r="V128" s="431"/>
      <c r="W128" s="431"/>
      <c r="X128" s="431"/>
      <c r="Y128" s="431"/>
      <c r="Z128" s="468"/>
      <c r="AA128" s="431"/>
      <c r="AB128" s="431"/>
      <c r="AC128" s="468"/>
      <c r="AD128" s="431"/>
      <c r="AE128" s="431"/>
      <c r="AF128" s="431"/>
      <c r="AG128" s="431"/>
      <c r="AH128" s="431"/>
      <c r="AI128" s="468"/>
      <c r="AJ128" s="468"/>
      <c r="AK128" s="431"/>
      <c r="AL128" s="431"/>
      <c r="AM128" s="431"/>
    </row>
    <row r="129" spans="1:39" s="155" customFormat="1" ht="12" hidden="1" x14ac:dyDescent="0.2">
      <c r="A129" s="168">
        <v>75</v>
      </c>
      <c r="B129" s="168"/>
      <c r="C129" s="172"/>
      <c r="D129" s="432">
        <f t="shared" si="16"/>
        <v>0</v>
      </c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32">
        <f t="shared" si="15"/>
        <v>0</v>
      </c>
      <c r="Q129" s="431"/>
      <c r="R129" s="431"/>
      <c r="S129" s="431"/>
      <c r="T129" s="431"/>
      <c r="U129" s="431"/>
      <c r="V129" s="431"/>
      <c r="W129" s="431"/>
      <c r="X129" s="431"/>
      <c r="Y129" s="431"/>
      <c r="Z129" s="468"/>
      <c r="AA129" s="431"/>
      <c r="AB129" s="431"/>
      <c r="AC129" s="468"/>
      <c r="AD129" s="431"/>
      <c r="AE129" s="431"/>
      <c r="AF129" s="431"/>
      <c r="AG129" s="431"/>
      <c r="AH129" s="431"/>
      <c r="AI129" s="468"/>
      <c r="AJ129" s="468"/>
      <c r="AK129" s="431"/>
      <c r="AL129" s="431"/>
      <c r="AM129" s="431"/>
    </row>
    <row r="130" spans="1:39" s="155" customFormat="1" ht="12" hidden="1" x14ac:dyDescent="0.2">
      <c r="A130" s="168">
        <v>76</v>
      </c>
      <c r="B130" s="168"/>
      <c r="C130" s="172"/>
      <c r="D130" s="432">
        <f t="shared" si="16"/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32">
        <f t="shared" si="15"/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</row>
    <row r="131" spans="1:39" s="155" customFormat="1" ht="12" hidden="1" x14ac:dyDescent="0.2">
      <c r="A131" s="168">
        <v>77</v>
      </c>
      <c r="B131" s="168"/>
      <c r="C131" s="172"/>
      <c r="D131" s="432">
        <f t="shared" si="16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2">
        <f t="shared" si="15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</row>
    <row r="132" spans="1:39" s="155" customFormat="1" ht="12" hidden="1" x14ac:dyDescent="0.2">
      <c r="A132" s="168">
        <v>78</v>
      </c>
      <c r="B132" s="168"/>
      <c r="C132" s="172"/>
      <c r="D132" s="432">
        <f t="shared" si="16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2">
        <f t="shared" si="15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</row>
    <row r="133" spans="1:39" s="155" customFormat="1" ht="12" hidden="1" x14ac:dyDescent="0.2">
      <c r="A133" s="168">
        <v>79</v>
      </c>
      <c r="B133" s="168"/>
      <c r="C133" s="172"/>
      <c r="D133" s="432">
        <f t="shared" si="16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si="15"/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155" customFormat="1" ht="12" hidden="1" x14ac:dyDescent="0.2">
      <c r="A134" s="168">
        <v>80</v>
      </c>
      <c r="B134" s="168"/>
      <c r="C134" s="172"/>
      <c r="D134" s="432">
        <f t="shared" si="16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si="15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155" customFormat="1" ht="12" hidden="1" x14ac:dyDescent="0.2">
      <c r="A135" s="168">
        <v>81</v>
      </c>
      <c r="B135" s="168"/>
      <c r="C135" s="172"/>
      <c r="D135" s="432">
        <f t="shared" si="16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15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155" customFormat="1" ht="12" hidden="1" x14ac:dyDescent="0.2">
      <c r="A136" s="168">
        <v>82</v>
      </c>
      <c r="B136" s="168"/>
      <c r="C136" s="172"/>
      <c r="D136" s="432">
        <f t="shared" si="16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15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155" customFormat="1" ht="12" hidden="1" x14ac:dyDescent="0.2">
      <c r="A137" s="168">
        <v>83</v>
      </c>
      <c r="B137" s="168"/>
      <c r="C137" s="172"/>
      <c r="D137" s="432">
        <f t="shared" si="16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15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68"/>
      <c r="C138" s="172"/>
      <c r="D138" s="432">
        <f t="shared" si="16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5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68"/>
      <c r="C139" s="172"/>
      <c r="D139" s="432">
        <f t="shared" si="16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5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68"/>
      <c r="C140" s="172"/>
      <c r="D140" s="432">
        <f t="shared" si="16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5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173"/>
      <c r="D141" s="432">
        <f t="shared" si="16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5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6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5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6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961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937188659</v>
      </c>
      <c r="E14" s="432">
        <f>SUM(E15,E16,E33,E54)</f>
        <v>330755342</v>
      </c>
      <c r="F14" s="432">
        <f t="shared" ref="F14:O14" si="0">SUM(F15,F16,F33,F54)</f>
        <v>160976904</v>
      </c>
      <c r="G14" s="432">
        <f t="shared" si="0"/>
        <v>56190058</v>
      </c>
      <c r="H14" s="432">
        <f t="shared" si="0"/>
        <v>37902121</v>
      </c>
      <c r="I14" s="432">
        <f t="shared" si="0"/>
        <v>257093840</v>
      </c>
      <c r="J14" s="432">
        <f t="shared" si="0"/>
        <v>19360998</v>
      </c>
      <c r="K14" s="432">
        <f t="shared" si="0"/>
        <v>93192450</v>
      </c>
      <c r="L14" s="432">
        <f t="shared" si="0"/>
        <v>0</v>
      </c>
      <c r="M14" s="432">
        <f t="shared" si="0"/>
        <v>144841827</v>
      </c>
      <c r="N14" s="432">
        <f t="shared" si="0"/>
        <v>49315195</v>
      </c>
      <c r="O14" s="432">
        <f t="shared" si="0"/>
        <v>4726886</v>
      </c>
      <c r="P14" s="432">
        <f>IF(SUM(Q14:AB14)=SUM(AC14:AM14),SUM(Q14:AB14),"  EROARE ART/CAP")</f>
        <v>923922229</v>
      </c>
      <c r="Q14" s="432">
        <f t="shared" ref="Q14:AM14" si="1">Q15+Q16+Q33+Q54</f>
        <v>366205861</v>
      </c>
      <c r="R14" s="432">
        <f t="shared" si="1"/>
        <v>177817524</v>
      </c>
      <c r="S14" s="432">
        <f t="shared" si="1"/>
        <v>1583157</v>
      </c>
      <c r="T14" s="432">
        <f t="shared" si="1"/>
        <v>9834850</v>
      </c>
      <c r="U14" s="432">
        <f t="shared" si="1"/>
        <v>27556437</v>
      </c>
      <c r="V14" s="432">
        <f t="shared" si="1"/>
        <v>1583842</v>
      </c>
      <c r="W14" s="432">
        <f t="shared" si="1"/>
        <v>86461752</v>
      </c>
      <c r="X14" s="432">
        <f t="shared" si="1"/>
        <v>69017754</v>
      </c>
      <c r="Y14" s="432">
        <f t="shared" si="1"/>
        <v>12314682</v>
      </c>
      <c r="Z14" s="432">
        <f t="shared" si="1"/>
        <v>158956479</v>
      </c>
      <c r="AA14" s="432">
        <f t="shared" si="1"/>
        <v>13855974</v>
      </c>
      <c r="AB14" s="432">
        <f t="shared" si="1"/>
        <v>-1266083</v>
      </c>
      <c r="AC14" s="432">
        <f t="shared" si="1"/>
        <v>134434498</v>
      </c>
      <c r="AD14" s="432">
        <f t="shared" si="1"/>
        <v>8649156</v>
      </c>
      <c r="AE14" s="432">
        <f t="shared" si="1"/>
        <v>272832453</v>
      </c>
      <c r="AF14" s="432">
        <f t="shared" si="1"/>
        <v>34952136</v>
      </c>
      <c r="AG14" s="432">
        <f t="shared" si="1"/>
        <v>43704888</v>
      </c>
      <c r="AH14" s="432">
        <f t="shared" si="1"/>
        <v>127921972</v>
      </c>
      <c r="AI14" s="432">
        <f t="shared" si="1"/>
        <v>82473810</v>
      </c>
      <c r="AJ14" s="432">
        <f t="shared" si="1"/>
        <v>32568214</v>
      </c>
      <c r="AK14" s="432">
        <f t="shared" si="1"/>
        <v>3481927</v>
      </c>
      <c r="AL14" s="432">
        <f t="shared" si="1"/>
        <v>178558802</v>
      </c>
      <c r="AM14" s="432">
        <f t="shared" si="1"/>
        <v>4344373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228493947</v>
      </c>
      <c r="E15" s="431">
        <v>63197245</v>
      </c>
      <c r="F15" s="431">
        <v>34169628</v>
      </c>
      <c r="G15" s="431">
        <v>27168085</v>
      </c>
      <c r="H15" s="431">
        <v>37902121</v>
      </c>
      <c r="I15" s="431">
        <v>0</v>
      </c>
      <c r="J15" s="431">
        <v>10500000</v>
      </c>
      <c r="K15" s="431">
        <v>25596881</v>
      </c>
      <c r="L15" s="431">
        <v>0</v>
      </c>
      <c r="M15" s="431">
        <v>73008548</v>
      </c>
      <c r="N15" s="431">
        <v>18264662</v>
      </c>
      <c r="O15" s="431">
        <v>24490</v>
      </c>
      <c r="P15" s="451">
        <f>IF(SUM(Q15:AB15)=SUM(AC15:AM15),SUM(Q15:AB15),"  EROARE ART/CAP")</f>
        <v>226926546</v>
      </c>
      <c r="Q15" s="431">
        <v>43915387</v>
      </c>
      <c r="R15" s="431">
        <v>25252380</v>
      </c>
      <c r="S15" s="431">
        <v>603000</v>
      </c>
      <c r="T15" s="431">
        <v>0</v>
      </c>
      <c r="U15" s="431">
        <v>17790257</v>
      </c>
      <c r="V15" s="431">
        <v>18000</v>
      </c>
      <c r="W15" s="431">
        <v>48826521</v>
      </c>
      <c r="X15" s="431">
        <v>52327044</v>
      </c>
      <c r="Y15" s="431">
        <v>5707803</v>
      </c>
      <c r="Z15" s="431">
        <v>29627410</v>
      </c>
      <c r="AA15" s="431">
        <v>3008592</v>
      </c>
      <c r="AB15" s="431">
        <v>-149848</v>
      </c>
      <c r="AC15" s="431">
        <v>21413313</v>
      </c>
      <c r="AD15" s="431">
        <v>384987</v>
      </c>
      <c r="AE15" s="431">
        <v>15684303</v>
      </c>
      <c r="AF15" s="431">
        <v>19829561</v>
      </c>
      <c r="AG15" s="431">
        <v>13932560</v>
      </c>
      <c r="AH15" s="431">
        <v>82432420</v>
      </c>
      <c r="AI15" s="431">
        <v>1245433</v>
      </c>
      <c r="AJ15" s="431">
        <v>700395</v>
      </c>
      <c r="AK15" s="431">
        <v>0</v>
      </c>
      <c r="AL15" s="431">
        <v>69950247</v>
      </c>
      <c r="AM15" s="431">
        <v>1353327</v>
      </c>
    </row>
    <row r="16" spans="1:39" s="155" customFormat="1" ht="12" x14ac:dyDescent="0.2">
      <c r="A16" s="156" t="s">
        <v>72</v>
      </c>
      <c r="B16" s="157"/>
      <c r="C16" s="159"/>
      <c r="D16" s="432">
        <f>E16+SUM(H16:O16)</f>
        <v>250316186</v>
      </c>
      <c r="E16" s="433">
        <f>SUM(E18:E32)</f>
        <v>118133189</v>
      </c>
      <c r="F16" s="433">
        <f t="shared" ref="F16:O16" si="2">SUM(F18:F32)</f>
        <v>63888176</v>
      </c>
      <c r="G16" s="433">
        <f t="shared" si="2"/>
        <v>2079526</v>
      </c>
      <c r="H16" s="433">
        <f t="shared" si="2"/>
        <v>0</v>
      </c>
      <c r="I16" s="433">
        <f t="shared" si="2"/>
        <v>112201766</v>
      </c>
      <c r="J16" s="433">
        <f t="shared" si="2"/>
        <v>174000</v>
      </c>
      <c r="K16" s="433">
        <f t="shared" si="2"/>
        <v>7697654</v>
      </c>
      <c r="L16" s="433">
        <f t="shared" si="2"/>
        <v>0</v>
      </c>
      <c r="M16" s="433">
        <f t="shared" si="2"/>
        <v>6171319</v>
      </c>
      <c r="N16" s="433">
        <f t="shared" si="2"/>
        <v>5835067</v>
      </c>
      <c r="O16" s="433">
        <f t="shared" si="2"/>
        <v>103191</v>
      </c>
      <c r="P16" s="432">
        <f t="shared" ref="P16:P54" si="3">IF(SUM(Q16:AB16)=SUM(AC16:AM16),SUM(Q16:AB16),"  EROARE ART/CAP")</f>
        <v>249477554</v>
      </c>
      <c r="Q16" s="432">
        <f>SUM(Q18:Q32)</f>
        <v>126951558</v>
      </c>
      <c r="R16" s="432">
        <f t="shared" ref="R16:AM16" si="4">SUM(R18:R32)</f>
        <v>64084821</v>
      </c>
      <c r="S16" s="432">
        <f t="shared" si="4"/>
        <v>729220</v>
      </c>
      <c r="T16" s="432">
        <f t="shared" si="4"/>
        <v>9834850</v>
      </c>
      <c r="U16" s="432">
        <f t="shared" si="4"/>
        <v>3850643</v>
      </c>
      <c r="V16" s="432">
        <f t="shared" si="4"/>
        <v>1206931</v>
      </c>
      <c r="W16" s="432">
        <f t="shared" si="4"/>
        <v>7474717</v>
      </c>
      <c r="X16" s="432">
        <f t="shared" si="4"/>
        <v>4342990</v>
      </c>
      <c r="Y16" s="432">
        <f t="shared" si="4"/>
        <v>408997</v>
      </c>
      <c r="Z16" s="432">
        <f t="shared" si="4"/>
        <v>22634996</v>
      </c>
      <c r="AA16" s="432">
        <f t="shared" si="4"/>
        <v>8228196</v>
      </c>
      <c r="AB16" s="432">
        <f t="shared" si="4"/>
        <v>-270365</v>
      </c>
      <c r="AC16" s="432">
        <f t="shared" si="4"/>
        <v>27288087</v>
      </c>
      <c r="AD16" s="432">
        <f t="shared" si="4"/>
        <v>3702236</v>
      </c>
      <c r="AE16" s="432">
        <f t="shared" si="4"/>
        <v>108769302</v>
      </c>
      <c r="AF16" s="432">
        <f t="shared" si="4"/>
        <v>2265427</v>
      </c>
      <c r="AG16" s="432">
        <f t="shared" si="4"/>
        <v>14677242</v>
      </c>
      <c r="AH16" s="432">
        <f t="shared" si="4"/>
        <v>13943079</v>
      </c>
      <c r="AI16" s="432">
        <f t="shared" si="4"/>
        <v>33251849</v>
      </c>
      <c r="AJ16" s="432">
        <f t="shared" si="4"/>
        <v>15253202</v>
      </c>
      <c r="AK16" s="432">
        <f t="shared" si="4"/>
        <v>3419153</v>
      </c>
      <c r="AL16" s="432">
        <f t="shared" si="4"/>
        <v>26907977</v>
      </c>
      <c r="AM16" s="432">
        <f t="shared" si="4"/>
        <v>0</v>
      </c>
    </row>
    <row r="17" spans="1:39" s="155" customFormat="1" ht="22.5" x14ac:dyDescent="0.2">
      <c r="A17" s="277" t="s">
        <v>2306</v>
      </c>
      <c r="B17" s="562" t="s">
        <v>74</v>
      </c>
      <c r="C17" s="236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146">
        <v>1</v>
      </c>
      <c r="B18" s="571">
        <v>77812</v>
      </c>
      <c r="C18" s="167" t="s">
        <v>2113</v>
      </c>
      <c r="D18" s="451">
        <f t="shared" ref="D18:D19" si="5">E18+SUM(H18:O18)</f>
        <v>206186117</v>
      </c>
      <c r="E18" s="431">
        <v>101630557</v>
      </c>
      <c r="F18" s="431">
        <v>54593507</v>
      </c>
      <c r="G18" s="431">
        <v>188875</v>
      </c>
      <c r="H18" s="431">
        <v>0</v>
      </c>
      <c r="I18" s="431">
        <v>94424073</v>
      </c>
      <c r="J18" s="431">
        <v>60000</v>
      </c>
      <c r="K18" s="431">
        <v>1310654</v>
      </c>
      <c r="L18" s="431">
        <v>0</v>
      </c>
      <c r="M18" s="431">
        <v>4615434</v>
      </c>
      <c r="N18" s="431">
        <v>4042208</v>
      </c>
      <c r="O18" s="431">
        <v>103191</v>
      </c>
      <c r="P18" s="451">
        <f t="shared" ref="P18:P19" si="6">IF(SUM(Q18:AB18)=SUM(AC18:AM18),SUM(Q18:AB18),"  EROARE ART/CAP")</f>
        <v>205381439</v>
      </c>
      <c r="Q18" s="431">
        <v>103688404</v>
      </c>
      <c r="R18" s="431">
        <v>51127765</v>
      </c>
      <c r="S18" s="431">
        <v>288599</v>
      </c>
      <c r="T18" s="431">
        <v>9584850</v>
      </c>
      <c r="U18" s="431">
        <v>3082666</v>
      </c>
      <c r="V18" s="431">
        <v>1176568</v>
      </c>
      <c r="W18" s="431">
        <v>4882787</v>
      </c>
      <c r="X18" s="431">
        <v>3745249</v>
      </c>
      <c r="Y18" s="431">
        <v>32242</v>
      </c>
      <c r="Z18" s="431">
        <v>21899855</v>
      </c>
      <c r="AA18" s="431">
        <v>5992743</v>
      </c>
      <c r="AB18" s="431">
        <v>-120289</v>
      </c>
      <c r="AC18" s="431">
        <v>21292845</v>
      </c>
      <c r="AD18" s="431">
        <v>1622551</v>
      </c>
      <c r="AE18" s="431">
        <v>91869699</v>
      </c>
      <c r="AF18" s="431">
        <v>1113413</v>
      </c>
      <c r="AG18" s="431">
        <v>11840185</v>
      </c>
      <c r="AH18" s="431">
        <v>11913885</v>
      </c>
      <c r="AI18" s="431">
        <v>28093766</v>
      </c>
      <c r="AJ18" s="431">
        <v>13693448</v>
      </c>
      <c r="AK18" s="431">
        <v>0</v>
      </c>
      <c r="AL18" s="431">
        <v>23941647</v>
      </c>
      <c r="AM18" s="431">
        <v>0</v>
      </c>
    </row>
    <row r="19" spans="1:39" s="155" customFormat="1" ht="12" x14ac:dyDescent="0.2">
      <c r="A19" s="146">
        <v>2</v>
      </c>
      <c r="B19" s="571">
        <v>78141</v>
      </c>
      <c r="C19" s="167" t="s">
        <v>2114</v>
      </c>
      <c r="D19" s="451">
        <f t="shared" si="5"/>
        <v>44130069</v>
      </c>
      <c r="E19" s="431">
        <v>16502632</v>
      </c>
      <c r="F19" s="431">
        <v>9294669</v>
      </c>
      <c r="G19" s="431">
        <v>1890651</v>
      </c>
      <c r="H19" s="431">
        <v>0</v>
      </c>
      <c r="I19" s="431">
        <v>17777693</v>
      </c>
      <c r="J19" s="431">
        <v>114000</v>
      </c>
      <c r="K19" s="431">
        <v>6387000</v>
      </c>
      <c r="L19" s="431">
        <v>0</v>
      </c>
      <c r="M19" s="431">
        <v>1555885</v>
      </c>
      <c r="N19" s="431">
        <v>1792859</v>
      </c>
      <c r="O19" s="431">
        <v>0</v>
      </c>
      <c r="P19" s="451">
        <f t="shared" si="6"/>
        <v>44096115</v>
      </c>
      <c r="Q19" s="431">
        <v>23263154</v>
      </c>
      <c r="R19" s="431">
        <v>12957056</v>
      </c>
      <c r="S19" s="431">
        <v>440621</v>
      </c>
      <c r="T19" s="431">
        <v>250000</v>
      </c>
      <c r="U19" s="431">
        <v>767977</v>
      </c>
      <c r="V19" s="431">
        <v>30363</v>
      </c>
      <c r="W19" s="431">
        <v>2591930</v>
      </c>
      <c r="X19" s="431">
        <v>597741</v>
      </c>
      <c r="Y19" s="431">
        <v>376755</v>
      </c>
      <c r="Z19" s="431">
        <v>735141</v>
      </c>
      <c r="AA19" s="431">
        <v>2235453</v>
      </c>
      <c r="AB19" s="431">
        <v>-150076</v>
      </c>
      <c r="AC19" s="431">
        <v>5995242</v>
      </c>
      <c r="AD19" s="431">
        <v>2079685</v>
      </c>
      <c r="AE19" s="431">
        <v>16899603</v>
      </c>
      <c r="AF19" s="431">
        <v>1152014</v>
      </c>
      <c r="AG19" s="431">
        <v>2837057</v>
      </c>
      <c r="AH19" s="431">
        <v>2029194</v>
      </c>
      <c r="AI19" s="431">
        <v>5158083</v>
      </c>
      <c r="AJ19" s="431">
        <v>1559754</v>
      </c>
      <c r="AK19" s="431">
        <v>3419153</v>
      </c>
      <c r="AL19" s="431">
        <v>2966330</v>
      </c>
      <c r="AM19" s="431">
        <v>0</v>
      </c>
    </row>
    <row r="20" spans="1:39" s="155" customFormat="1" ht="12" hidden="1" x14ac:dyDescent="0.2">
      <c r="A20" s="146">
        <v>3</v>
      </c>
      <c r="B20" s="565"/>
      <c r="C20" s="162"/>
      <c r="D20" s="432">
        <f t="shared" ref="D20:D41" si="7">E20+SUM(H20:O20)</f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2">
        <f t="shared" si="3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</row>
    <row r="21" spans="1:39" s="155" customFormat="1" ht="12" hidden="1" x14ac:dyDescent="0.2">
      <c r="A21" s="146">
        <v>4</v>
      </c>
      <c r="B21" s="565"/>
      <c r="C21" s="162"/>
      <c r="D21" s="432">
        <f t="shared" si="7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3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146">
        <v>5</v>
      </c>
      <c r="B22" s="565"/>
      <c r="C22" s="162"/>
      <c r="D22" s="432">
        <f t="shared" si="7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3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565"/>
      <c r="C23" s="162"/>
      <c r="D23" s="432">
        <f t="shared" si="7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3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46"/>
      <c r="C24" s="206"/>
      <c r="D24" s="432">
        <f t="shared" si="7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3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46"/>
      <c r="C25" s="206"/>
      <c r="D25" s="432">
        <f t="shared" si="7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3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46"/>
      <c r="C26" s="206"/>
      <c r="D26" s="432">
        <f t="shared" si="7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3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46"/>
      <c r="C27" s="206"/>
      <c r="D27" s="432">
        <f t="shared" si="7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3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46"/>
      <c r="C28" s="206"/>
      <c r="D28" s="432">
        <f t="shared" si="7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3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46"/>
      <c r="C29" s="206"/>
      <c r="D29" s="432">
        <f t="shared" si="7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3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46"/>
      <c r="C30" s="206"/>
      <c r="D30" s="432">
        <f t="shared" si="7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3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46"/>
      <c r="C31" s="206"/>
      <c r="D31" s="432">
        <f t="shared" si="7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3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46"/>
      <c r="C32" s="207"/>
      <c r="D32" s="432">
        <f t="shared" si="7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3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4"/>
      <c r="C33" s="208"/>
      <c r="D33" s="432">
        <f t="shared" si="7"/>
        <v>122992621</v>
      </c>
      <c r="E33" s="432">
        <f>SUM(E34:E53)</f>
        <v>54739268</v>
      </c>
      <c r="F33" s="432">
        <f t="shared" ref="F33:O33" si="8">SUM(F34:F53)</f>
        <v>28630821</v>
      </c>
      <c r="G33" s="432">
        <f t="shared" si="8"/>
        <v>4156268</v>
      </c>
      <c r="H33" s="432">
        <f t="shared" si="8"/>
        <v>0</v>
      </c>
      <c r="I33" s="432">
        <f t="shared" si="8"/>
        <v>40905390</v>
      </c>
      <c r="J33" s="432">
        <f t="shared" si="8"/>
        <v>916000</v>
      </c>
      <c r="K33" s="432">
        <f t="shared" si="8"/>
        <v>8732800</v>
      </c>
      <c r="L33" s="432">
        <f t="shared" si="8"/>
        <v>0</v>
      </c>
      <c r="M33" s="432">
        <f t="shared" si="8"/>
        <v>8522154</v>
      </c>
      <c r="N33" s="432">
        <f t="shared" si="8"/>
        <v>8827982</v>
      </c>
      <c r="O33" s="432">
        <f t="shared" si="8"/>
        <v>349027</v>
      </c>
      <c r="P33" s="432">
        <f t="shared" si="3"/>
        <v>120397390</v>
      </c>
      <c r="Q33" s="432">
        <f>SUM(Q34:Q53)</f>
        <v>53190171</v>
      </c>
      <c r="R33" s="432">
        <f t="shared" ref="R33:AM33" si="9">SUM(R34:R53)</f>
        <v>23957206</v>
      </c>
      <c r="S33" s="432">
        <f t="shared" si="9"/>
        <v>45171</v>
      </c>
      <c r="T33" s="432">
        <f t="shared" si="9"/>
        <v>0</v>
      </c>
      <c r="U33" s="432">
        <f t="shared" si="9"/>
        <v>5832072</v>
      </c>
      <c r="V33" s="432">
        <f t="shared" si="9"/>
        <v>0</v>
      </c>
      <c r="W33" s="432">
        <f t="shared" si="9"/>
        <v>15558206</v>
      </c>
      <c r="X33" s="432">
        <f t="shared" si="9"/>
        <v>2241613</v>
      </c>
      <c r="Y33" s="432">
        <f t="shared" si="9"/>
        <v>4477670</v>
      </c>
      <c r="Z33" s="432">
        <f t="shared" si="9"/>
        <v>15085211</v>
      </c>
      <c r="AA33" s="432">
        <f t="shared" si="9"/>
        <v>214012</v>
      </c>
      <c r="AB33" s="432">
        <f t="shared" si="9"/>
        <v>-203942</v>
      </c>
      <c r="AC33" s="432">
        <f t="shared" si="9"/>
        <v>17424433</v>
      </c>
      <c r="AD33" s="432">
        <f t="shared" si="9"/>
        <v>2706899</v>
      </c>
      <c r="AE33" s="432">
        <f t="shared" si="9"/>
        <v>49488455</v>
      </c>
      <c r="AF33" s="432">
        <f t="shared" si="9"/>
        <v>11596375</v>
      </c>
      <c r="AG33" s="432">
        <f t="shared" si="9"/>
        <v>5739819</v>
      </c>
      <c r="AH33" s="432">
        <f t="shared" si="9"/>
        <v>8033756</v>
      </c>
      <c r="AI33" s="432">
        <f t="shared" si="9"/>
        <v>10223610</v>
      </c>
      <c r="AJ33" s="432">
        <f t="shared" si="9"/>
        <v>3524778</v>
      </c>
      <c r="AK33" s="432">
        <f t="shared" si="9"/>
        <v>62774</v>
      </c>
      <c r="AL33" s="432">
        <f t="shared" si="9"/>
        <v>11006264</v>
      </c>
      <c r="AM33" s="432">
        <f t="shared" si="9"/>
        <v>590227</v>
      </c>
    </row>
    <row r="34" spans="1:39" s="155" customFormat="1" ht="12" x14ac:dyDescent="0.2">
      <c r="A34" s="146">
        <v>1</v>
      </c>
      <c r="B34" s="571">
        <v>78258</v>
      </c>
      <c r="C34" s="167" t="s">
        <v>2115</v>
      </c>
      <c r="D34" s="451">
        <f t="shared" ref="D34:D40" si="10">E34+SUM(H34:O34)</f>
        <v>15764279</v>
      </c>
      <c r="E34" s="431">
        <v>5489268</v>
      </c>
      <c r="F34" s="431">
        <v>1634991</v>
      </c>
      <c r="G34" s="431">
        <v>922841</v>
      </c>
      <c r="H34" s="431">
        <v>0</v>
      </c>
      <c r="I34" s="431">
        <v>4897496</v>
      </c>
      <c r="J34" s="431">
        <v>198000</v>
      </c>
      <c r="K34" s="431">
        <v>1703000</v>
      </c>
      <c r="L34" s="431">
        <v>0</v>
      </c>
      <c r="M34" s="431">
        <v>3066724</v>
      </c>
      <c r="N34" s="431">
        <v>299138</v>
      </c>
      <c r="O34" s="431">
        <v>110653</v>
      </c>
      <c r="P34" s="451">
        <f t="shared" ref="P34:P40" si="11">IF(SUM(Q34:AB34)=SUM(AC34:AM34),SUM(Q34:AB34),"  EROARE ART/CAP")</f>
        <v>15899294</v>
      </c>
      <c r="Q34" s="431">
        <v>7323319</v>
      </c>
      <c r="R34" s="431">
        <v>2979760</v>
      </c>
      <c r="S34" s="431">
        <v>0</v>
      </c>
      <c r="T34" s="431">
        <v>0</v>
      </c>
      <c r="U34" s="431">
        <v>2697862</v>
      </c>
      <c r="V34" s="431">
        <v>0</v>
      </c>
      <c r="W34" s="431">
        <v>535255</v>
      </c>
      <c r="X34" s="431">
        <v>416982</v>
      </c>
      <c r="Y34" s="431">
        <v>108100</v>
      </c>
      <c r="Z34" s="431">
        <v>1946676</v>
      </c>
      <c r="AA34" s="431">
        <v>0</v>
      </c>
      <c r="AB34" s="431">
        <v>-108660</v>
      </c>
      <c r="AC34" s="431">
        <v>3714755</v>
      </c>
      <c r="AD34" s="431">
        <v>0</v>
      </c>
      <c r="AE34" s="431">
        <v>4862211</v>
      </c>
      <c r="AF34" s="431">
        <v>2698667</v>
      </c>
      <c r="AG34" s="431">
        <v>225108</v>
      </c>
      <c r="AH34" s="431">
        <v>810752</v>
      </c>
      <c r="AI34" s="431">
        <v>1282327</v>
      </c>
      <c r="AJ34" s="431">
        <v>834266</v>
      </c>
      <c r="AK34" s="431">
        <v>0</v>
      </c>
      <c r="AL34" s="431">
        <v>1418697</v>
      </c>
      <c r="AM34" s="431">
        <v>52511</v>
      </c>
    </row>
    <row r="35" spans="1:39" s="155" customFormat="1" ht="12" x14ac:dyDescent="0.2">
      <c r="A35" s="146">
        <v>2</v>
      </c>
      <c r="B35" s="571">
        <v>78329</v>
      </c>
      <c r="C35" s="167" t="s">
        <v>2116</v>
      </c>
      <c r="D35" s="451">
        <f t="shared" si="10"/>
        <v>14678914</v>
      </c>
      <c r="E35" s="431">
        <v>6323768</v>
      </c>
      <c r="F35" s="431">
        <v>3183060</v>
      </c>
      <c r="G35" s="431">
        <v>178139</v>
      </c>
      <c r="H35" s="431">
        <v>0</v>
      </c>
      <c r="I35" s="431">
        <v>6054979</v>
      </c>
      <c r="J35" s="431">
        <v>331000</v>
      </c>
      <c r="K35" s="431">
        <v>1466890</v>
      </c>
      <c r="L35" s="431">
        <v>0</v>
      </c>
      <c r="M35" s="431">
        <v>491127</v>
      </c>
      <c r="N35" s="431">
        <v>0</v>
      </c>
      <c r="O35" s="431">
        <v>11150</v>
      </c>
      <c r="P35" s="451">
        <f t="shared" si="11"/>
        <v>14658688</v>
      </c>
      <c r="Q35" s="431">
        <v>7999553</v>
      </c>
      <c r="R35" s="431">
        <v>2910988</v>
      </c>
      <c r="S35" s="431">
        <v>9381</v>
      </c>
      <c r="T35" s="431">
        <v>0</v>
      </c>
      <c r="U35" s="431">
        <v>995020</v>
      </c>
      <c r="V35" s="431">
        <v>0</v>
      </c>
      <c r="W35" s="431">
        <v>0</v>
      </c>
      <c r="X35" s="431">
        <v>355185</v>
      </c>
      <c r="Y35" s="431">
        <v>242188</v>
      </c>
      <c r="Z35" s="431">
        <v>2119864</v>
      </c>
      <c r="AA35" s="431">
        <v>33459</v>
      </c>
      <c r="AB35" s="431">
        <v>-6950</v>
      </c>
      <c r="AC35" s="431">
        <v>2834922</v>
      </c>
      <c r="AD35" s="431">
        <v>549098</v>
      </c>
      <c r="AE35" s="431">
        <v>5648586</v>
      </c>
      <c r="AF35" s="431">
        <v>1110243</v>
      </c>
      <c r="AG35" s="431">
        <v>579544</v>
      </c>
      <c r="AH35" s="431">
        <v>941440</v>
      </c>
      <c r="AI35" s="431">
        <v>1141570</v>
      </c>
      <c r="AJ35" s="431">
        <v>49299</v>
      </c>
      <c r="AK35" s="431">
        <v>0</v>
      </c>
      <c r="AL35" s="431">
        <v>1803986</v>
      </c>
      <c r="AM35" s="431">
        <v>0</v>
      </c>
    </row>
    <row r="36" spans="1:39" s="155" customFormat="1" ht="12" x14ac:dyDescent="0.2">
      <c r="A36" s="146">
        <v>3</v>
      </c>
      <c r="B36" s="571">
        <v>78454</v>
      </c>
      <c r="C36" s="167" t="s">
        <v>2117</v>
      </c>
      <c r="D36" s="451">
        <f t="shared" si="10"/>
        <v>10438446</v>
      </c>
      <c r="E36" s="431">
        <v>5483830</v>
      </c>
      <c r="F36" s="431">
        <v>3293019</v>
      </c>
      <c r="G36" s="431">
        <v>530829</v>
      </c>
      <c r="H36" s="431">
        <v>0</v>
      </c>
      <c r="I36" s="431">
        <v>3916094</v>
      </c>
      <c r="J36" s="431">
        <v>51000</v>
      </c>
      <c r="K36" s="431">
        <v>952370</v>
      </c>
      <c r="L36" s="431">
        <v>0</v>
      </c>
      <c r="M36" s="431">
        <v>21652</v>
      </c>
      <c r="N36" s="431">
        <v>0</v>
      </c>
      <c r="O36" s="431">
        <v>13500</v>
      </c>
      <c r="P36" s="451">
        <f t="shared" si="11"/>
        <v>9963721</v>
      </c>
      <c r="Q36" s="431">
        <v>4962556</v>
      </c>
      <c r="R36" s="431">
        <v>2207629</v>
      </c>
      <c r="S36" s="431">
        <v>0</v>
      </c>
      <c r="T36" s="431">
        <v>0</v>
      </c>
      <c r="U36" s="431">
        <v>274338</v>
      </c>
      <c r="V36" s="431">
        <v>0</v>
      </c>
      <c r="W36" s="431">
        <v>0</v>
      </c>
      <c r="X36" s="431">
        <v>138918</v>
      </c>
      <c r="Y36" s="431">
        <v>93174</v>
      </c>
      <c r="Z36" s="431">
        <v>2290214</v>
      </c>
      <c r="AA36" s="431">
        <v>0</v>
      </c>
      <c r="AB36" s="431">
        <v>-3108</v>
      </c>
      <c r="AC36" s="431">
        <v>1368052</v>
      </c>
      <c r="AD36" s="431">
        <v>253991</v>
      </c>
      <c r="AE36" s="431">
        <v>4959637</v>
      </c>
      <c r="AF36" s="431">
        <v>467582</v>
      </c>
      <c r="AG36" s="431">
        <v>940635</v>
      </c>
      <c r="AH36" s="431">
        <v>455857</v>
      </c>
      <c r="AI36" s="431">
        <v>1226016</v>
      </c>
      <c r="AJ36" s="431">
        <v>0</v>
      </c>
      <c r="AK36" s="431">
        <v>0</v>
      </c>
      <c r="AL36" s="431">
        <v>291951</v>
      </c>
      <c r="AM36" s="431">
        <v>0</v>
      </c>
    </row>
    <row r="37" spans="1:39" s="155" customFormat="1" ht="12" x14ac:dyDescent="0.2">
      <c r="A37" s="146">
        <v>4</v>
      </c>
      <c r="B37" s="571">
        <v>82895</v>
      </c>
      <c r="C37" s="167" t="s">
        <v>2118</v>
      </c>
      <c r="D37" s="451">
        <f t="shared" si="10"/>
        <v>24463218</v>
      </c>
      <c r="E37" s="431">
        <v>15582057</v>
      </c>
      <c r="F37" s="431">
        <v>10323206</v>
      </c>
      <c r="G37" s="431">
        <v>49363</v>
      </c>
      <c r="H37" s="431">
        <v>0</v>
      </c>
      <c r="I37" s="431">
        <v>7625797</v>
      </c>
      <c r="J37" s="431">
        <v>0</v>
      </c>
      <c r="K37" s="431">
        <v>278780</v>
      </c>
      <c r="L37" s="431">
        <v>0</v>
      </c>
      <c r="M37" s="431">
        <v>220024</v>
      </c>
      <c r="N37" s="431">
        <v>756560</v>
      </c>
      <c r="O37" s="431">
        <v>0</v>
      </c>
      <c r="P37" s="451">
        <f t="shared" si="11"/>
        <v>24714555</v>
      </c>
      <c r="Q37" s="431">
        <v>10991579</v>
      </c>
      <c r="R37" s="431">
        <v>8416333</v>
      </c>
      <c r="S37" s="431">
        <v>35790</v>
      </c>
      <c r="T37" s="431">
        <v>0</v>
      </c>
      <c r="U37" s="431">
        <v>988648</v>
      </c>
      <c r="V37" s="431">
        <v>0</v>
      </c>
      <c r="W37" s="431">
        <v>1481218</v>
      </c>
      <c r="X37" s="431">
        <v>301621</v>
      </c>
      <c r="Y37" s="431">
        <v>585000</v>
      </c>
      <c r="Z37" s="431">
        <v>1910330</v>
      </c>
      <c r="AA37" s="431">
        <v>78350</v>
      </c>
      <c r="AB37" s="431">
        <v>-74314</v>
      </c>
      <c r="AC37" s="431">
        <v>4031955</v>
      </c>
      <c r="AD37" s="431">
        <v>1397008</v>
      </c>
      <c r="AE37" s="431">
        <v>7926210</v>
      </c>
      <c r="AF37" s="431">
        <v>2473500</v>
      </c>
      <c r="AG37" s="431">
        <v>2246525</v>
      </c>
      <c r="AH37" s="431">
        <v>2196161</v>
      </c>
      <c r="AI37" s="431">
        <v>895068</v>
      </c>
      <c r="AJ37" s="431">
        <v>1476461</v>
      </c>
      <c r="AK37" s="431">
        <v>62774</v>
      </c>
      <c r="AL37" s="431">
        <v>2008893</v>
      </c>
      <c r="AM37" s="431">
        <v>0</v>
      </c>
    </row>
    <row r="38" spans="1:39" s="155" customFormat="1" ht="12" x14ac:dyDescent="0.2">
      <c r="A38" s="146">
        <v>5</v>
      </c>
      <c r="B38" s="571">
        <v>79308</v>
      </c>
      <c r="C38" s="167" t="s">
        <v>2119</v>
      </c>
      <c r="D38" s="451">
        <f t="shared" si="10"/>
        <v>18856653</v>
      </c>
      <c r="E38" s="431">
        <v>5806340</v>
      </c>
      <c r="F38" s="431">
        <v>2351532</v>
      </c>
      <c r="G38" s="431">
        <v>677467</v>
      </c>
      <c r="H38" s="431">
        <v>0</v>
      </c>
      <c r="I38" s="431">
        <v>5980628</v>
      </c>
      <c r="J38" s="431">
        <v>108000</v>
      </c>
      <c r="K38" s="431">
        <v>1253700</v>
      </c>
      <c r="L38" s="431">
        <v>0</v>
      </c>
      <c r="M38" s="431">
        <v>2479546</v>
      </c>
      <c r="N38" s="431">
        <v>3228439</v>
      </c>
      <c r="O38" s="431">
        <v>0</v>
      </c>
      <c r="P38" s="451">
        <f t="shared" si="11"/>
        <v>18571193</v>
      </c>
      <c r="Q38" s="431">
        <v>7226161</v>
      </c>
      <c r="R38" s="431">
        <v>1681982</v>
      </c>
      <c r="S38" s="431">
        <v>0</v>
      </c>
      <c r="T38" s="431">
        <v>0</v>
      </c>
      <c r="U38" s="431">
        <v>253898</v>
      </c>
      <c r="V38" s="431">
        <v>0</v>
      </c>
      <c r="W38" s="431">
        <v>6999120</v>
      </c>
      <c r="X38" s="431">
        <v>435180</v>
      </c>
      <c r="Y38" s="431">
        <v>111300</v>
      </c>
      <c r="Z38" s="431">
        <v>1874462</v>
      </c>
      <c r="AA38" s="431">
        <v>0</v>
      </c>
      <c r="AB38" s="431">
        <v>-10910</v>
      </c>
      <c r="AC38" s="431">
        <v>1513035</v>
      </c>
      <c r="AD38" s="431">
        <v>227109</v>
      </c>
      <c r="AE38" s="431">
        <v>8711137</v>
      </c>
      <c r="AF38" s="431">
        <v>4309956</v>
      </c>
      <c r="AG38" s="431">
        <v>469571</v>
      </c>
      <c r="AH38" s="431">
        <v>1058327</v>
      </c>
      <c r="AI38" s="431">
        <v>1156638</v>
      </c>
      <c r="AJ38" s="431">
        <v>2008</v>
      </c>
      <c r="AK38" s="431">
        <v>0</v>
      </c>
      <c r="AL38" s="431">
        <v>1123412</v>
      </c>
      <c r="AM38" s="431">
        <v>0</v>
      </c>
    </row>
    <row r="39" spans="1:39" s="155" customFormat="1" ht="12" x14ac:dyDescent="0.2">
      <c r="A39" s="146">
        <v>6</v>
      </c>
      <c r="B39" s="571">
        <v>82430</v>
      </c>
      <c r="C39" s="167" t="s">
        <v>2120</v>
      </c>
      <c r="D39" s="451">
        <f t="shared" si="10"/>
        <v>12596300</v>
      </c>
      <c r="E39" s="431">
        <v>4785847</v>
      </c>
      <c r="F39" s="431">
        <v>1000042</v>
      </c>
      <c r="G39" s="431">
        <v>1721528</v>
      </c>
      <c r="H39" s="431">
        <v>0</v>
      </c>
      <c r="I39" s="431">
        <v>4714972</v>
      </c>
      <c r="J39" s="431">
        <v>194000</v>
      </c>
      <c r="K39" s="431">
        <v>2830420</v>
      </c>
      <c r="L39" s="431">
        <v>0</v>
      </c>
      <c r="M39" s="431">
        <v>71061</v>
      </c>
      <c r="N39" s="431">
        <v>0</v>
      </c>
      <c r="O39" s="431">
        <v>0</v>
      </c>
      <c r="P39" s="451">
        <f t="shared" si="11"/>
        <v>11700062</v>
      </c>
      <c r="Q39" s="431">
        <v>5698342</v>
      </c>
      <c r="R39" s="431">
        <v>1492185</v>
      </c>
      <c r="S39" s="431">
        <v>0</v>
      </c>
      <c r="T39" s="431">
        <v>0</v>
      </c>
      <c r="U39" s="431">
        <v>0</v>
      </c>
      <c r="V39" s="431">
        <v>0</v>
      </c>
      <c r="W39" s="431">
        <v>492337</v>
      </c>
      <c r="X39" s="431">
        <v>286025</v>
      </c>
      <c r="Y39" s="431">
        <v>50000</v>
      </c>
      <c r="Z39" s="431">
        <v>3681173</v>
      </c>
      <c r="AA39" s="431">
        <v>0</v>
      </c>
      <c r="AB39" s="431">
        <v>0</v>
      </c>
      <c r="AC39" s="431">
        <v>1517358</v>
      </c>
      <c r="AD39" s="431">
        <v>0</v>
      </c>
      <c r="AE39" s="431">
        <v>3706997</v>
      </c>
      <c r="AF39" s="431">
        <v>25231</v>
      </c>
      <c r="AG39" s="431">
        <v>162648</v>
      </c>
      <c r="AH39" s="431">
        <v>1361544</v>
      </c>
      <c r="AI39" s="431">
        <v>847996</v>
      </c>
      <c r="AJ39" s="431">
        <v>249153</v>
      </c>
      <c r="AK39" s="431">
        <v>0</v>
      </c>
      <c r="AL39" s="431">
        <v>3291419</v>
      </c>
      <c r="AM39" s="431">
        <v>537716</v>
      </c>
    </row>
    <row r="40" spans="1:39" s="155" customFormat="1" ht="12" x14ac:dyDescent="0.2">
      <c r="A40" s="146">
        <v>7</v>
      </c>
      <c r="B40" s="571">
        <v>82617</v>
      </c>
      <c r="C40" s="167" t="s">
        <v>2121</v>
      </c>
      <c r="D40" s="451">
        <f t="shared" si="10"/>
        <v>26194811</v>
      </c>
      <c r="E40" s="431">
        <v>11268158</v>
      </c>
      <c r="F40" s="431">
        <v>6844971</v>
      </c>
      <c r="G40" s="431">
        <v>76101</v>
      </c>
      <c r="H40" s="431">
        <v>0</v>
      </c>
      <c r="I40" s="431">
        <v>7715424</v>
      </c>
      <c r="J40" s="431">
        <v>34000</v>
      </c>
      <c r="K40" s="431">
        <v>247640</v>
      </c>
      <c r="L40" s="431">
        <v>0</v>
      </c>
      <c r="M40" s="431">
        <v>2172020</v>
      </c>
      <c r="N40" s="431">
        <v>4543845</v>
      </c>
      <c r="O40" s="431">
        <v>213724</v>
      </c>
      <c r="P40" s="451">
        <f t="shared" si="11"/>
        <v>24889877</v>
      </c>
      <c r="Q40" s="431">
        <v>8988661</v>
      </c>
      <c r="R40" s="431">
        <v>4268329</v>
      </c>
      <c r="S40" s="431">
        <v>0</v>
      </c>
      <c r="T40" s="431">
        <v>0</v>
      </c>
      <c r="U40" s="431">
        <v>622306</v>
      </c>
      <c r="V40" s="431">
        <v>0</v>
      </c>
      <c r="W40" s="431">
        <v>6050276</v>
      </c>
      <c r="X40" s="431">
        <v>307702</v>
      </c>
      <c r="Y40" s="431">
        <v>3287908</v>
      </c>
      <c r="Z40" s="431">
        <v>1262492</v>
      </c>
      <c r="AA40" s="431">
        <v>102203</v>
      </c>
      <c r="AB40" s="431">
        <v>0</v>
      </c>
      <c r="AC40" s="431">
        <v>2444356</v>
      </c>
      <c r="AD40" s="431">
        <v>279693</v>
      </c>
      <c r="AE40" s="431">
        <v>13673677</v>
      </c>
      <c r="AF40" s="431">
        <v>511196</v>
      </c>
      <c r="AG40" s="431">
        <v>1115788</v>
      </c>
      <c r="AH40" s="431">
        <v>1209675</v>
      </c>
      <c r="AI40" s="431">
        <v>3673995</v>
      </c>
      <c r="AJ40" s="431">
        <v>913591</v>
      </c>
      <c r="AK40" s="431">
        <v>0</v>
      </c>
      <c r="AL40" s="431">
        <v>1067906</v>
      </c>
      <c r="AM40" s="431">
        <v>0</v>
      </c>
    </row>
    <row r="41" spans="1:39" s="155" customFormat="1" ht="12" hidden="1" x14ac:dyDescent="0.2">
      <c r="A41" s="146">
        <v>8</v>
      </c>
      <c r="B41" s="565"/>
      <c r="C41" s="166"/>
      <c r="D41" s="432">
        <f t="shared" si="7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3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146">
        <v>9</v>
      </c>
      <c r="B42" s="565"/>
      <c r="C42" s="162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3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146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3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46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3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46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3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46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3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46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3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46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3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46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3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46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3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46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3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46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3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46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3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4"/>
      <c r="C54" s="208"/>
      <c r="D54" s="432">
        <f t="shared" ref="D54:D117" si="12">E54+SUM(H54:O54)</f>
        <v>335385905</v>
      </c>
      <c r="E54" s="432">
        <f>SUM(E55:E143)</f>
        <v>94685640</v>
      </c>
      <c r="F54" s="432">
        <f t="shared" ref="F54:O54" si="13">SUM(F55:F143)</f>
        <v>34288279</v>
      </c>
      <c r="G54" s="432">
        <f t="shared" si="13"/>
        <v>22786179</v>
      </c>
      <c r="H54" s="432">
        <f t="shared" si="13"/>
        <v>0</v>
      </c>
      <c r="I54" s="432">
        <f t="shared" si="13"/>
        <v>103986684</v>
      </c>
      <c r="J54" s="432">
        <f t="shared" si="13"/>
        <v>7770998</v>
      </c>
      <c r="K54" s="432">
        <f t="shared" si="13"/>
        <v>51165115</v>
      </c>
      <c r="L54" s="432">
        <f t="shared" si="13"/>
        <v>0</v>
      </c>
      <c r="M54" s="432">
        <f t="shared" si="13"/>
        <v>57139806</v>
      </c>
      <c r="N54" s="432">
        <f t="shared" si="13"/>
        <v>16387484</v>
      </c>
      <c r="O54" s="432">
        <f t="shared" si="13"/>
        <v>4250178</v>
      </c>
      <c r="P54" s="432">
        <f t="shared" si="3"/>
        <v>327120739</v>
      </c>
      <c r="Q54" s="432">
        <f>SUM(Q55:Q143)</f>
        <v>142148745</v>
      </c>
      <c r="R54" s="432">
        <f t="shared" ref="R54:AM54" si="14">SUM(R55:R143)</f>
        <v>64523117</v>
      </c>
      <c r="S54" s="432">
        <f t="shared" si="14"/>
        <v>205766</v>
      </c>
      <c r="T54" s="432">
        <f t="shared" si="14"/>
        <v>0</v>
      </c>
      <c r="U54" s="432">
        <f t="shared" si="14"/>
        <v>83465</v>
      </c>
      <c r="V54" s="432">
        <f t="shared" si="14"/>
        <v>358911</v>
      </c>
      <c r="W54" s="432">
        <f t="shared" si="14"/>
        <v>14602308</v>
      </c>
      <c r="X54" s="432">
        <f t="shared" si="14"/>
        <v>10106107</v>
      </c>
      <c r="Y54" s="432">
        <f t="shared" si="14"/>
        <v>1720212</v>
      </c>
      <c r="Z54" s="432">
        <f t="shared" si="14"/>
        <v>91608862</v>
      </c>
      <c r="AA54" s="432">
        <f t="shared" si="14"/>
        <v>2405174</v>
      </c>
      <c r="AB54" s="432">
        <f t="shared" si="14"/>
        <v>-641928</v>
      </c>
      <c r="AC54" s="432">
        <f t="shared" si="14"/>
        <v>68308665</v>
      </c>
      <c r="AD54" s="432">
        <f t="shared" si="14"/>
        <v>1855034</v>
      </c>
      <c r="AE54" s="432">
        <f t="shared" si="14"/>
        <v>98890393</v>
      </c>
      <c r="AF54" s="432">
        <f t="shared" si="14"/>
        <v>1260773</v>
      </c>
      <c r="AG54" s="432">
        <f t="shared" si="14"/>
        <v>9355267</v>
      </c>
      <c r="AH54" s="432">
        <f t="shared" si="14"/>
        <v>23512717</v>
      </c>
      <c r="AI54" s="432">
        <f t="shared" si="14"/>
        <v>37752918</v>
      </c>
      <c r="AJ54" s="432">
        <f t="shared" si="14"/>
        <v>13089839</v>
      </c>
      <c r="AK54" s="432">
        <f t="shared" si="14"/>
        <v>0</v>
      </c>
      <c r="AL54" s="432">
        <f>SUM(AL55:AL143)</f>
        <v>70694314</v>
      </c>
      <c r="AM54" s="432">
        <f t="shared" si="14"/>
        <v>2400819</v>
      </c>
    </row>
    <row r="55" spans="1:39" s="155" customFormat="1" ht="12" x14ac:dyDescent="0.2">
      <c r="A55" s="168">
        <v>1</v>
      </c>
      <c r="B55" s="228">
        <v>78472</v>
      </c>
      <c r="C55" s="559" t="s">
        <v>2122</v>
      </c>
      <c r="D55" s="451">
        <f t="shared" ref="D55:D115" si="15">E55+SUM(H55:O55)</f>
        <v>3590227</v>
      </c>
      <c r="E55" s="431">
        <v>956601</v>
      </c>
      <c r="F55" s="431">
        <v>222161</v>
      </c>
      <c r="G55" s="431">
        <v>342954</v>
      </c>
      <c r="H55" s="431">
        <v>0</v>
      </c>
      <c r="I55" s="431">
        <v>1430450</v>
      </c>
      <c r="J55" s="431">
        <v>145000</v>
      </c>
      <c r="K55" s="431">
        <v>685170</v>
      </c>
      <c r="L55" s="431">
        <v>0</v>
      </c>
      <c r="M55" s="431">
        <v>373006</v>
      </c>
      <c r="N55" s="431">
        <v>0</v>
      </c>
      <c r="O55" s="431">
        <v>0</v>
      </c>
      <c r="P55" s="451">
        <f t="shared" ref="P55:P115" si="16">IF(SUM(Q55:AB55)=SUM(AC55:AM55),SUM(Q55:AB55),"  EROARE ART/CAP")</f>
        <v>3455272</v>
      </c>
      <c r="Q55" s="431">
        <v>1987447</v>
      </c>
      <c r="R55" s="431">
        <v>846921</v>
      </c>
      <c r="S55" s="431">
        <v>0</v>
      </c>
      <c r="T55" s="431">
        <v>0</v>
      </c>
      <c r="U55" s="431">
        <v>0</v>
      </c>
      <c r="V55" s="431">
        <v>0</v>
      </c>
      <c r="W55" s="431">
        <v>0</v>
      </c>
      <c r="X55" s="431">
        <v>107769</v>
      </c>
      <c r="Y55" s="431">
        <v>30000</v>
      </c>
      <c r="Z55" s="431">
        <v>500678</v>
      </c>
      <c r="AA55" s="431">
        <v>0</v>
      </c>
      <c r="AB55" s="431">
        <v>-17543</v>
      </c>
      <c r="AC55" s="431">
        <v>791674</v>
      </c>
      <c r="AD55" s="431">
        <v>0</v>
      </c>
      <c r="AE55" s="431">
        <v>1229093</v>
      </c>
      <c r="AF55" s="431">
        <v>25206</v>
      </c>
      <c r="AG55" s="431">
        <v>66056</v>
      </c>
      <c r="AH55" s="431">
        <v>400827</v>
      </c>
      <c r="AI55" s="431">
        <v>700822</v>
      </c>
      <c r="AJ55" s="431">
        <v>17692</v>
      </c>
      <c r="AK55" s="431">
        <v>0</v>
      </c>
      <c r="AL55" s="431">
        <v>223902</v>
      </c>
      <c r="AM55" s="431">
        <v>0</v>
      </c>
    </row>
    <row r="56" spans="1:39" s="155" customFormat="1" ht="12" x14ac:dyDescent="0.2">
      <c r="A56" s="168">
        <v>2</v>
      </c>
      <c r="B56" s="228">
        <v>78542</v>
      </c>
      <c r="C56" s="559" t="s">
        <v>2123</v>
      </c>
      <c r="D56" s="451">
        <f t="shared" si="15"/>
        <v>4177669</v>
      </c>
      <c r="E56" s="431">
        <v>976581</v>
      </c>
      <c r="F56" s="431">
        <v>143551</v>
      </c>
      <c r="G56" s="431">
        <v>444801</v>
      </c>
      <c r="H56" s="431">
        <v>0</v>
      </c>
      <c r="I56" s="431">
        <v>1222663</v>
      </c>
      <c r="J56" s="431">
        <v>131000</v>
      </c>
      <c r="K56" s="431">
        <v>997940</v>
      </c>
      <c r="L56" s="431">
        <v>0</v>
      </c>
      <c r="M56" s="431">
        <v>193563</v>
      </c>
      <c r="N56" s="431">
        <v>655922</v>
      </c>
      <c r="O56" s="431">
        <v>0</v>
      </c>
      <c r="P56" s="451">
        <f t="shared" si="16"/>
        <v>4871680</v>
      </c>
      <c r="Q56" s="431">
        <v>1909470</v>
      </c>
      <c r="R56" s="431">
        <v>1069342</v>
      </c>
      <c r="S56" s="431">
        <v>39000</v>
      </c>
      <c r="T56" s="431">
        <v>0</v>
      </c>
      <c r="U56" s="431">
        <v>0</v>
      </c>
      <c r="V56" s="431">
        <v>0</v>
      </c>
      <c r="W56" s="431">
        <v>1529764</v>
      </c>
      <c r="X56" s="431">
        <v>71974</v>
      </c>
      <c r="Y56" s="431">
        <v>4000</v>
      </c>
      <c r="Z56" s="431">
        <v>200130</v>
      </c>
      <c r="AA56" s="431">
        <v>48000</v>
      </c>
      <c r="AB56" s="431">
        <v>0</v>
      </c>
      <c r="AC56" s="431">
        <v>1613297</v>
      </c>
      <c r="AD56" s="431">
        <v>0</v>
      </c>
      <c r="AE56" s="431">
        <v>1168808</v>
      </c>
      <c r="AF56" s="431">
        <v>0</v>
      </c>
      <c r="AG56" s="431">
        <v>348424</v>
      </c>
      <c r="AH56" s="431">
        <v>221684</v>
      </c>
      <c r="AI56" s="431">
        <v>174758</v>
      </c>
      <c r="AJ56" s="431">
        <v>60883</v>
      </c>
      <c r="AK56" s="431">
        <v>0</v>
      </c>
      <c r="AL56" s="431">
        <v>1283826</v>
      </c>
      <c r="AM56" s="431">
        <v>0</v>
      </c>
    </row>
    <row r="57" spans="1:39" s="155" customFormat="1" ht="12" x14ac:dyDescent="0.2">
      <c r="A57" s="168">
        <v>3</v>
      </c>
      <c r="B57" s="228">
        <v>78604</v>
      </c>
      <c r="C57" s="237" t="s">
        <v>2124</v>
      </c>
      <c r="D57" s="451">
        <f t="shared" si="15"/>
        <v>5890643</v>
      </c>
      <c r="E57" s="431">
        <v>1280822</v>
      </c>
      <c r="F57" s="431">
        <v>337193</v>
      </c>
      <c r="G57" s="431">
        <v>460195</v>
      </c>
      <c r="H57" s="431">
        <v>0</v>
      </c>
      <c r="I57" s="431">
        <v>1840513</v>
      </c>
      <c r="J57" s="431">
        <v>170000</v>
      </c>
      <c r="K57" s="431">
        <v>1034060</v>
      </c>
      <c r="L57" s="431">
        <v>0</v>
      </c>
      <c r="M57" s="431">
        <v>1565248</v>
      </c>
      <c r="N57" s="431">
        <v>0</v>
      </c>
      <c r="O57" s="431">
        <v>0</v>
      </c>
      <c r="P57" s="451">
        <f t="shared" si="16"/>
        <v>5256397</v>
      </c>
      <c r="Q57" s="431">
        <v>2578486</v>
      </c>
      <c r="R57" s="431">
        <v>734678</v>
      </c>
      <c r="S57" s="431">
        <v>0</v>
      </c>
      <c r="T57" s="431">
        <v>0</v>
      </c>
      <c r="U57" s="431">
        <v>0</v>
      </c>
      <c r="V57" s="431">
        <v>118</v>
      </c>
      <c r="W57" s="431">
        <v>0</v>
      </c>
      <c r="X57" s="431">
        <v>270841</v>
      </c>
      <c r="Y57" s="431">
        <v>15000</v>
      </c>
      <c r="Z57" s="431">
        <v>1660856</v>
      </c>
      <c r="AA57" s="431">
        <v>0</v>
      </c>
      <c r="AB57" s="431">
        <v>-3582</v>
      </c>
      <c r="AC57" s="431">
        <v>1267758</v>
      </c>
      <c r="AD57" s="431">
        <v>0</v>
      </c>
      <c r="AE57" s="431">
        <v>1665851</v>
      </c>
      <c r="AF57" s="431">
        <v>23261</v>
      </c>
      <c r="AG57" s="431">
        <v>43510</v>
      </c>
      <c r="AH57" s="431">
        <v>347748</v>
      </c>
      <c r="AI57" s="431">
        <v>198554</v>
      </c>
      <c r="AJ57" s="431">
        <v>9836</v>
      </c>
      <c r="AK57" s="431">
        <v>0</v>
      </c>
      <c r="AL57" s="431">
        <v>1699879</v>
      </c>
      <c r="AM57" s="431">
        <v>0</v>
      </c>
    </row>
    <row r="58" spans="1:39" s="155" customFormat="1" ht="12" x14ac:dyDescent="0.2">
      <c r="A58" s="168">
        <v>4</v>
      </c>
      <c r="B58" s="228">
        <v>78668</v>
      </c>
      <c r="C58" s="559" t="s">
        <v>2125</v>
      </c>
      <c r="D58" s="451">
        <f t="shared" si="15"/>
        <v>2192363</v>
      </c>
      <c r="E58" s="431">
        <v>805851</v>
      </c>
      <c r="F58" s="431">
        <v>106156</v>
      </c>
      <c r="G58" s="431">
        <v>513233</v>
      </c>
      <c r="H58" s="431">
        <v>0</v>
      </c>
      <c r="I58" s="431">
        <v>512676</v>
      </c>
      <c r="J58" s="431">
        <v>33000</v>
      </c>
      <c r="K58" s="431">
        <v>807290</v>
      </c>
      <c r="L58" s="431">
        <v>0</v>
      </c>
      <c r="M58" s="431">
        <v>33546</v>
      </c>
      <c r="N58" s="431">
        <v>0</v>
      </c>
      <c r="O58" s="431">
        <v>0</v>
      </c>
      <c r="P58" s="451">
        <f t="shared" si="16"/>
        <v>2147684</v>
      </c>
      <c r="Q58" s="431">
        <v>1003374</v>
      </c>
      <c r="R58" s="431">
        <v>679702</v>
      </c>
      <c r="S58" s="431">
        <v>0</v>
      </c>
      <c r="T58" s="431">
        <v>0</v>
      </c>
      <c r="U58" s="431">
        <v>0</v>
      </c>
      <c r="V58" s="431">
        <v>0</v>
      </c>
      <c r="W58" s="431">
        <v>0</v>
      </c>
      <c r="X58" s="431">
        <v>151698</v>
      </c>
      <c r="Y58" s="431">
        <v>0</v>
      </c>
      <c r="Z58" s="431">
        <v>312910</v>
      </c>
      <c r="AA58" s="431">
        <v>0</v>
      </c>
      <c r="AB58" s="431">
        <v>0</v>
      </c>
      <c r="AC58" s="431">
        <v>777906</v>
      </c>
      <c r="AD58" s="431">
        <v>0</v>
      </c>
      <c r="AE58" s="431">
        <v>496424</v>
      </c>
      <c r="AF58" s="431">
        <v>30433</v>
      </c>
      <c r="AG58" s="431">
        <v>154550</v>
      </c>
      <c r="AH58" s="431">
        <v>151698</v>
      </c>
      <c r="AI58" s="431">
        <v>196785</v>
      </c>
      <c r="AJ58" s="431">
        <v>87528</v>
      </c>
      <c r="AK58" s="431">
        <v>0</v>
      </c>
      <c r="AL58" s="431">
        <v>185597</v>
      </c>
      <c r="AM58" s="431">
        <v>66763</v>
      </c>
    </row>
    <row r="59" spans="1:39" s="155" customFormat="1" ht="12" x14ac:dyDescent="0.2">
      <c r="A59" s="168">
        <v>5</v>
      </c>
      <c r="B59" s="228">
        <v>78711</v>
      </c>
      <c r="C59" s="559" t="s">
        <v>2126</v>
      </c>
      <c r="D59" s="451">
        <f t="shared" si="15"/>
        <v>9062709</v>
      </c>
      <c r="E59" s="431">
        <v>3000239</v>
      </c>
      <c r="F59" s="431">
        <v>424511</v>
      </c>
      <c r="G59" s="431">
        <v>314339</v>
      </c>
      <c r="H59" s="431">
        <v>0</v>
      </c>
      <c r="I59" s="431">
        <v>3433986</v>
      </c>
      <c r="J59" s="431">
        <v>203000</v>
      </c>
      <c r="K59" s="431">
        <v>905700</v>
      </c>
      <c r="L59" s="431">
        <v>0</v>
      </c>
      <c r="M59" s="431">
        <v>1058210</v>
      </c>
      <c r="N59" s="431">
        <v>461574</v>
      </c>
      <c r="O59" s="431">
        <v>0</v>
      </c>
      <c r="P59" s="451">
        <f t="shared" si="16"/>
        <v>9956202</v>
      </c>
      <c r="Q59" s="431">
        <v>4268391</v>
      </c>
      <c r="R59" s="431">
        <v>1470653</v>
      </c>
      <c r="S59" s="431">
        <v>0</v>
      </c>
      <c r="T59" s="431">
        <v>0</v>
      </c>
      <c r="U59" s="431">
        <v>0</v>
      </c>
      <c r="V59" s="431">
        <v>0</v>
      </c>
      <c r="W59" s="431">
        <v>1448106</v>
      </c>
      <c r="X59" s="431">
        <v>221829</v>
      </c>
      <c r="Y59" s="431">
        <v>185278</v>
      </c>
      <c r="Z59" s="431">
        <v>2361945</v>
      </c>
      <c r="AA59" s="431">
        <v>0</v>
      </c>
      <c r="AB59" s="431">
        <v>0</v>
      </c>
      <c r="AC59" s="431">
        <v>1384644</v>
      </c>
      <c r="AD59" s="431">
        <v>88837</v>
      </c>
      <c r="AE59" s="431">
        <v>3696793</v>
      </c>
      <c r="AF59" s="431">
        <v>0</v>
      </c>
      <c r="AG59" s="431">
        <v>543368</v>
      </c>
      <c r="AH59" s="431">
        <v>476287</v>
      </c>
      <c r="AI59" s="431">
        <v>1524220</v>
      </c>
      <c r="AJ59" s="431">
        <v>215698</v>
      </c>
      <c r="AK59" s="431">
        <v>0</v>
      </c>
      <c r="AL59" s="431">
        <v>2026355</v>
      </c>
      <c r="AM59" s="431">
        <v>0</v>
      </c>
    </row>
    <row r="60" spans="1:39" s="155" customFormat="1" ht="12" x14ac:dyDescent="0.2">
      <c r="A60" s="168">
        <v>6</v>
      </c>
      <c r="B60" s="228">
        <v>78748</v>
      </c>
      <c r="C60" s="559" t="s">
        <v>2127</v>
      </c>
      <c r="D60" s="451">
        <f t="shared" si="15"/>
        <v>4159438</v>
      </c>
      <c r="E60" s="431">
        <v>1024166</v>
      </c>
      <c r="F60" s="431">
        <v>103014</v>
      </c>
      <c r="G60" s="431">
        <v>458488</v>
      </c>
      <c r="H60" s="431">
        <v>0</v>
      </c>
      <c r="I60" s="431">
        <v>1055668</v>
      </c>
      <c r="J60" s="431">
        <v>178000</v>
      </c>
      <c r="K60" s="431">
        <v>809230</v>
      </c>
      <c r="L60" s="431">
        <v>0</v>
      </c>
      <c r="M60" s="431">
        <v>1092374</v>
      </c>
      <c r="N60" s="431">
        <v>0</v>
      </c>
      <c r="O60" s="431">
        <v>0</v>
      </c>
      <c r="P60" s="451">
        <f t="shared" si="16"/>
        <v>4157237</v>
      </c>
      <c r="Q60" s="431">
        <v>1568568</v>
      </c>
      <c r="R60" s="431">
        <v>1000227</v>
      </c>
      <c r="S60" s="431">
        <v>0</v>
      </c>
      <c r="T60" s="431">
        <v>0</v>
      </c>
      <c r="U60" s="431">
        <v>0</v>
      </c>
      <c r="V60" s="431">
        <v>0</v>
      </c>
      <c r="W60" s="431">
        <v>0</v>
      </c>
      <c r="X60" s="431">
        <v>113467</v>
      </c>
      <c r="Y60" s="431">
        <v>31000</v>
      </c>
      <c r="Z60" s="431">
        <v>1445153</v>
      </c>
      <c r="AA60" s="431">
        <v>0</v>
      </c>
      <c r="AB60" s="431">
        <v>-1178</v>
      </c>
      <c r="AC60" s="431">
        <v>1046483</v>
      </c>
      <c r="AD60" s="431">
        <v>0</v>
      </c>
      <c r="AE60" s="431">
        <v>872077</v>
      </c>
      <c r="AF60" s="431">
        <v>0</v>
      </c>
      <c r="AG60" s="431">
        <v>138796</v>
      </c>
      <c r="AH60" s="431">
        <v>279264</v>
      </c>
      <c r="AI60" s="431">
        <v>303039</v>
      </c>
      <c r="AJ60" s="431">
        <v>81815</v>
      </c>
      <c r="AK60" s="431">
        <v>0</v>
      </c>
      <c r="AL60" s="431">
        <v>1435763</v>
      </c>
      <c r="AM60" s="431">
        <v>0</v>
      </c>
    </row>
    <row r="61" spans="1:39" s="155" customFormat="1" ht="12" x14ac:dyDescent="0.2">
      <c r="A61" s="168">
        <v>7</v>
      </c>
      <c r="B61" s="228">
        <v>78828</v>
      </c>
      <c r="C61" s="559" t="s">
        <v>818</v>
      </c>
      <c r="D61" s="451">
        <f t="shared" si="15"/>
        <v>3518631</v>
      </c>
      <c r="E61" s="431">
        <v>1414567</v>
      </c>
      <c r="F61" s="431">
        <v>453827</v>
      </c>
      <c r="G61" s="431">
        <v>285455</v>
      </c>
      <c r="H61" s="431">
        <v>0</v>
      </c>
      <c r="I61" s="431">
        <v>778355</v>
      </c>
      <c r="J61" s="431">
        <v>26000</v>
      </c>
      <c r="K61" s="431">
        <v>495210</v>
      </c>
      <c r="L61" s="431">
        <v>0</v>
      </c>
      <c r="M61" s="431">
        <v>714499</v>
      </c>
      <c r="N61" s="431">
        <v>0</v>
      </c>
      <c r="O61" s="431">
        <v>90000</v>
      </c>
      <c r="P61" s="451">
        <f t="shared" si="16"/>
        <v>3727999</v>
      </c>
      <c r="Q61" s="431">
        <v>1252662</v>
      </c>
      <c r="R61" s="431">
        <v>850060</v>
      </c>
      <c r="S61" s="431">
        <v>0</v>
      </c>
      <c r="T61" s="431">
        <v>0</v>
      </c>
      <c r="U61" s="431">
        <v>0</v>
      </c>
      <c r="V61" s="431">
        <v>0</v>
      </c>
      <c r="W61" s="431">
        <v>0</v>
      </c>
      <c r="X61" s="431">
        <v>88567</v>
      </c>
      <c r="Y61" s="431">
        <v>0</v>
      </c>
      <c r="Z61" s="431">
        <v>1536710</v>
      </c>
      <c r="AA61" s="431">
        <v>0</v>
      </c>
      <c r="AB61" s="431">
        <v>0</v>
      </c>
      <c r="AC61" s="431">
        <v>829669</v>
      </c>
      <c r="AD61" s="431">
        <v>0</v>
      </c>
      <c r="AE61" s="431">
        <v>696489</v>
      </c>
      <c r="AF61" s="431">
        <v>0</v>
      </c>
      <c r="AG61" s="431">
        <v>271761</v>
      </c>
      <c r="AH61" s="431">
        <v>202280</v>
      </c>
      <c r="AI61" s="431">
        <v>202735</v>
      </c>
      <c r="AJ61" s="431">
        <v>876057</v>
      </c>
      <c r="AK61" s="431">
        <v>0</v>
      </c>
      <c r="AL61" s="431">
        <v>649008</v>
      </c>
      <c r="AM61" s="431">
        <v>0</v>
      </c>
    </row>
    <row r="62" spans="1:39" s="155" customFormat="1" ht="12" x14ac:dyDescent="0.2">
      <c r="A62" s="168">
        <v>8</v>
      </c>
      <c r="B62" s="228">
        <v>78873</v>
      </c>
      <c r="C62" s="559" t="s">
        <v>2128</v>
      </c>
      <c r="D62" s="451">
        <f t="shared" si="15"/>
        <v>5170292</v>
      </c>
      <c r="E62" s="431">
        <v>1068269</v>
      </c>
      <c r="F62" s="431">
        <v>170119</v>
      </c>
      <c r="G62" s="431">
        <v>415589</v>
      </c>
      <c r="H62" s="431">
        <v>0</v>
      </c>
      <c r="I62" s="431">
        <v>1795101</v>
      </c>
      <c r="J62" s="431">
        <v>249000</v>
      </c>
      <c r="K62" s="431">
        <v>877060</v>
      </c>
      <c r="L62" s="431">
        <v>0</v>
      </c>
      <c r="M62" s="431">
        <v>1047758</v>
      </c>
      <c r="N62" s="431">
        <v>133104</v>
      </c>
      <c r="O62" s="431">
        <v>0</v>
      </c>
      <c r="P62" s="451">
        <f t="shared" si="16"/>
        <v>4631658</v>
      </c>
      <c r="Q62" s="431">
        <v>2439110</v>
      </c>
      <c r="R62" s="431">
        <v>591916</v>
      </c>
      <c r="S62" s="431">
        <v>0</v>
      </c>
      <c r="T62" s="431">
        <v>0</v>
      </c>
      <c r="U62" s="431">
        <v>0</v>
      </c>
      <c r="V62" s="431">
        <v>0</v>
      </c>
      <c r="W62" s="431">
        <v>130481</v>
      </c>
      <c r="X62" s="431">
        <v>173763</v>
      </c>
      <c r="Y62" s="431">
        <v>6500</v>
      </c>
      <c r="Z62" s="431">
        <v>1290556</v>
      </c>
      <c r="AA62" s="431">
        <v>0</v>
      </c>
      <c r="AB62" s="431">
        <v>-668</v>
      </c>
      <c r="AC62" s="431">
        <v>878058</v>
      </c>
      <c r="AD62" s="431">
        <v>52450</v>
      </c>
      <c r="AE62" s="431">
        <v>1516368</v>
      </c>
      <c r="AF62" s="431">
        <v>0</v>
      </c>
      <c r="AG62" s="431">
        <v>227126</v>
      </c>
      <c r="AH62" s="431">
        <v>459577</v>
      </c>
      <c r="AI62" s="431">
        <v>215627</v>
      </c>
      <c r="AJ62" s="431">
        <v>7740</v>
      </c>
      <c r="AK62" s="431">
        <v>0</v>
      </c>
      <c r="AL62" s="431">
        <v>1267453</v>
      </c>
      <c r="AM62" s="431">
        <v>7259</v>
      </c>
    </row>
    <row r="63" spans="1:39" s="155" customFormat="1" ht="12" x14ac:dyDescent="0.2">
      <c r="A63" s="168">
        <v>9</v>
      </c>
      <c r="B63" s="228">
        <v>78926</v>
      </c>
      <c r="C63" s="559" t="s">
        <v>2129</v>
      </c>
      <c r="D63" s="451">
        <f t="shared" si="15"/>
        <v>6560864</v>
      </c>
      <c r="E63" s="431">
        <v>828819</v>
      </c>
      <c r="F63" s="431">
        <v>74809</v>
      </c>
      <c r="G63" s="431">
        <v>473151</v>
      </c>
      <c r="H63" s="431">
        <v>0</v>
      </c>
      <c r="I63" s="431">
        <v>1084985</v>
      </c>
      <c r="J63" s="431">
        <v>188000</v>
      </c>
      <c r="K63" s="431">
        <v>1244530</v>
      </c>
      <c r="L63" s="431">
        <v>0</v>
      </c>
      <c r="M63" s="431">
        <v>3214530</v>
      </c>
      <c r="N63" s="431">
        <v>0</v>
      </c>
      <c r="O63" s="431">
        <v>0</v>
      </c>
      <c r="P63" s="451">
        <f t="shared" si="16"/>
        <v>6498642</v>
      </c>
      <c r="Q63" s="431">
        <v>1438346</v>
      </c>
      <c r="R63" s="431">
        <v>1428322</v>
      </c>
      <c r="S63" s="431">
        <v>0</v>
      </c>
      <c r="T63" s="431">
        <v>0</v>
      </c>
      <c r="U63" s="431">
        <v>0</v>
      </c>
      <c r="V63" s="431">
        <v>0</v>
      </c>
      <c r="W63" s="431">
        <v>0</v>
      </c>
      <c r="X63" s="431">
        <v>204778</v>
      </c>
      <c r="Y63" s="431">
        <v>0</v>
      </c>
      <c r="Z63" s="431">
        <v>3428206</v>
      </c>
      <c r="AA63" s="431">
        <v>0</v>
      </c>
      <c r="AB63" s="431">
        <v>-1010</v>
      </c>
      <c r="AC63" s="431">
        <v>1437547</v>
      </c>
      <c r="AD63" s="431">
        <v>0</v>
      </c>
      <c r="AE63" s="431">
        <v>789424</v>
      </c>
      <c r="AF63" s="431">
        <v>0</v>
      </c>
      <c r="AG63" s="431">
        <v>19843</v>
      </c>
      <c r="AH63" s="431">
        <v>448818</v>
      </c>
      <c r="AI63" s="431">
        <v>352998</v>
      </c>
      <c r="AJ63" s="431">
        <v>607798</v>
      </c>
      <c r="AK63" s="431">
        <v>0</v>
      </c>
      <c r="AL63" s="431">
        <v>2842214</v>
      </c>
      <c r="AM63" s="431">
        <v>0</v>
      </c>
    </row>
    <row r="64" spans="1:39" s="155" customFormat="1" ht="12" x14ac:dyDescent="0.2">
      <c r="A64" s="168">
        <v>10</v>
      </c>
      <c r="B64" s="228">
        <v>79004</v>
      </c>
      <c r="C64" s="559" t="s">
        <v>2130</v>
      </c>
      <c r="D64" s="451">
        <f t="shared" si="15"/>
        <v>8853536</v>
      </c>
      <c r="E64" s="431">
        <v>2697775</v>
      </c>
      <c r="F64" s="431">
        <v>1008450</v>
      </c>
      <c r="G64" s="431">
        <v>435352</v>
      </c>
      <c r="H64" s="431">
        <v>0</v>
      </c>
      <c r="I64" s="431">
        <v>4861549</v>
      </c>
      <c r="J64" s="431">
        <v>10000</v>
      </c>
      <c r="K64" s="431">
        <v>1091180</v>
      </c>
      <c r="L64" s="431">
        <v>0</v>
      </c>
      <c r="M64" s="431">
        <v>193032</v>
      </c>
      <c r="N64" s="431">
        <v>0</v>
      </c>
      <c r="O64" s="431">
        <v>0</v>
      </c>
      <c r="P64" s="451">
        <f t="shared" si="16"/>
        <v>9868695</v>
      </c>
      <c r="Q64" s="431">
        <v>5698329</v>
      </c>
      <c r="R64" s="431">
        <v>2065717</v>
      </c>
      <c r="S64" s="431">
        <v>0</v>
      </c>
      <c r="T64" s="431">
        <v>0</v>
      </c>
      <c r="U64" s="431">
        <v>83465</v>
      </c>
      <c r="V64" s="431">
        <v>1490</v>
      </c>
      <c r="W64" s="431">
        <v>0</v>
      </c>
      <c r="X64" s="431">
        <v>570049</v>
      </c>
      <c r="Y64" s="431">
        <v>81590</v>
      </c>
      <c r="Z64" s="431">
        <v>1434046</v>
      </c>
      <c r="AA64" s="431">
        <v>0</v>
      </c>
      <c r="AB64" s="431">
        <v>-65991</v>
      </c>
      <c r="AC64" s="431">
        <v>2645580</v>
      </c>
      <c r="AD64" s="431">
        <v>0</v>
      </c>
      <c r="AE64" s="431">
        <v>4868380</v>
      </c>
      <c r="AF64" s="431">
        <v>38472</v>
      </c>
      <c r="AG64" s="431">
        <v>89184</v>
      </c>
      <c r="AH64" s="431">
        <v>661584</v>
      </c>
      <c r="AI64" s="431">
        <v>570896</v>
      </c>
      <c r="AJ64" s="431">
        <v>191607</v>
      </c>
      <c r="AK64" s="431">
        <v>0</v>
      </c>
      <c r="AL64" s="431">
        <v>802992</v>
      </c>
      <c r="AM64" s="431">
        <v>0</v>
      </c>
    </row>
    <row r="65" spans="1:39" s="155" customFormat="1" ht="12" x14ac:dyDescent="0.2">
      <c r="A65" s="168">
        <v>11</v>
      </c>
      <c r="B65" s="228">
        <v>79077</v>
      </c>
      <c r="C65" s="559" t="s">
        <v>2131</v>
      </c>
      <c r="D65" s="451">
        <f t="shared" si="15"/>
        <v>3872995</v>
      </c>
      <c r="E65" s="431">
        <v>892048</v>
      </c>
      <c r="F65" s="431">
        <v>100381</v>
      </c>
      <c r="G65" s="431">
        <v>438936</v>
      </c>
      <c r="H65" s="431">
        <v>0</v>
      </c>
      <c r="I65" s="431">
        <v>1671604</v>
      </c>
      <c r="J65" s="431">
        <v>60000</v>
      </c>
      <c r="K65" s="431">
        <v>1214045</v>
      </c>
      <c r="L65" s="431">
        <v>0</v>
      </c>
      <c r="M65" s="431">
        <v>35298</v>
      </c>
      <c r="N65" s="431">
        <v>0</v>
      </c>
      <c r="O65" s="431">
        <v>0</v>
      </c>
      <c r="P65" s="451">
        <f t="shared" si="16"/>
        <v>4257664</v>
      </c>
      <c r="Q65" s="431">
        <v>2197582</v>
      </c>
      <c r="R65" s="431">
        <v>1289782</v>
      </c>
      <c r="S65" s="431">
        <v>0</v>
      </c>
      <c r="T65" s="431">
        <v>0</v>
      </c>
      <c r="U65" s="431">
        <v>0</v>
      </c>
      <c r="V65" s="431">
        <v>0</v>
      </c>
      <c r="W65" s="431">
        <v>0</v>
      </c>
      <c r="X65" s="431">
        <v>72652</v>
      </c>
      <c r="Y65" s="431">
        <v>0</v>
      </c>
      <c r="Z65" s="431">
        <v>697648</v>
      </c>
      <c r="AA65" s="431">
        <v>0</v>
      </c>
      <c r="AB65" s="431">
        <v>0</v>
      </c>
      <c r="AC65" s="431">
        <v>854526</v>
      </c>
      <c r="AD65" s="431">
        <v>43</v>
      </c>
      <c r="AE65" s="431">
        <v>1491128</v>
      </c>
      <c r="AF65" s="431">
        <v>0</v>
      </c>
      <c r="AG65" s="431">
        <v>125186</v>
      </c>
      <c r="AH65" s="431">
        <v>326351</v>
      </c>
      <c r="AI65" s="431">
        <v>649271</v>
      </c>
      <c r="AJ65" s="431">
        <v>0</v>
      </c>
      <c r="AK65" s="431">
        <v>0</v>
      </c>
      <c r="AL65" s="431">
        <v>811159</v>
      </c>
      <c r="AM65" s="431">
        <v>0</v>
      </c>
    </row>
    <row r="66" spans="1:39" s="155" customFormat="1" ht="12" x14ac:dyDescent="0.2">
      <c r="A66" s="168">
        <v>12</v>
      </c>
      <c r="B66" s="228">
        <v>79157</v>
      </c>
      <c r="C66" s="559" t="s">
        <v>2132</v>
      </c>
      <c r="D66" s="451">
        <f t="shared" si="15"/>
        <v>6749660</v>
      </c>
      <c r="E66" s="431">
        <v>1034980</v>
      </c>
      <c r="F66" s="431">
        <v>180214</v>
      </c>
      <c r="G66" s="431">
        <v>483232</v>
      </c>
      <c r="H66" s="431">
        <v>0</v>
      </c>
      <c r="I66" s="431">
        <v>1645971</v>
      </c>
      <c r="J66" s="431">
        <v>132000</v>
      </c>
      <c r="K66" s="431">
        <v>974750</v>
      </c>
      <c r="L66" s="431">
        <v>0</v>
      </c>
      <c r="M66" s="431">
        <v>2961959</v>
      </c>
      <c r="N66" s="431">
        <v>0</v>
      </c>
      <c r="O66" s="431">
        <v>0</v>
      </c>
      <c r="P66" s="451">
        <f t="shared" si="16"/>
        <v>7796471</v>
      </c>
      <c r="Q66" s="431">
        <v>2204963</v>
      </c>
      <c r="R66" s="431">
        <v>741974</v>
      </c>
      <c r="S66" s="431">
        <v>0</v>
      </c>
      <c r="T66" s="431">
        <v>0</v>
      </c>
      <c r="U66" s="431">
        <v>0</v>
      </c>
      <c r="V66" s="431">
        <v>0</v>
      </c>
      <c r="W66" s="431">
        <v>1372567</v>
      </c>
      <c r="X66" s="431">
        <v>159736</v>
      </c>
      <c r="Y66" s="431">
        <v>78641</v>
      </c>
      <c r="Z66" s="431">
        <v>3238590</v>
      </c>
      <c r="AA66" s="431">
        <v>0</v>
      </c>
      <c r="AB66" s="431">
        <v>0</v>
      </c>
      <c r="AC66" s="431">
        <v>1061343</v>
      </c>
      <c r="AD66" s="431">
        <v>1327</v>
      </c>
      <c r="AE66" s="431">
        <v>1617122</v>
      </c>
      <c r="AF66" s="431">
        <v>0</v>
      </c>
      <c r="AG66" s="431">
        <v>130440</v>
      </c>
      <c r="AH66" s="431">
        <v>295811</v>
      </c>
      <c r="AI66" s="431">
        <v>126563</v>
      </c>
      <c r="AJ66" s="431">
        <v>0</v>
      </c>
      <c r="AK66" s="431">
        <v>0</v>
      </c>
      <c r="AL66" s="431">
        <v>4563865</v>
      </c>
      <c r="AM66" s="431">
        <v>0</v>
      </c>
    </row>
    <row r="67" spans="1:39" s="155" customFormat="1" ht="12" x14ac:dyDescent="0.2">
      <c r="A67" s="168">
        <v>13</v>
      </c>
      <c r="B67" s="228">
        <v>79237</v>
      </c>
      <c r="C67" s="559" t="s">
        <v>2133</v>
      </c>
      <c r="D67" s="451">
        <f t="shared" si="15"/>
        <v>5722809</v>
      </c>
      <c r="E67" s="431">
        <v>848083</v>
      </c>
      <c r="F67" s="431">
        <v>121733</v>
      </c>
      <c r="G67" s="431">
        <v>353699</v>
      </c>
      <c r="H67" s="431">
        <v>0</v>
      </c>
      <c r="I67" s="431">
        <v>1080185</v>
      </c>
      <c r="J67" s="431">
        <v>135000</v>
      </c>
      <c r="K67" s="431">
        <v>728550</v>
      </c>
      <c r="L67" s="431">
        <v>0</v>
      </c>
      <c r="M67" s="431">
        <v>2930991</v>
      </c>
      <c r="N67" s="431">
        <v>0</v>
      </c>
      <c r="O67" s="431">
        <v>0</v>
      </c>
      <c r="P67" s="451">
        <f t="shared" si="16"/>
        <v>6142152</v>
      </c>
      <c r="Q67" s="431">
        <v>1407203</v>
      </c>
      <c r="R67" s="431">
        <v>916266</v>
      </c>
      <c r="S67" s="431">
        <v>0</v>
      </c>
      <c r="T67" s="431">
        <v>0</v>
      </c>
      <c r="U67" s="431">
        <v>0</v>
      </c>
      <c r="V67" s="431">
        <v>0</v>
      </c>
      <c r="W67" s="431">
        <v>0</v>
      </c>
      <c r="X67" s="431">
        <v>89508</v>
      </c>
      <c r="Y67" s="431">
        <v>0</v>
      </c>
      <c r="Z67" s="431">
        <v>3756617</v>
      </c>
      <c r="AA67" s="431">
        <v>0</v>
      </c>
      <c r="AB67" s="431">
        <v>-27442</v>
      </c>
      <c r="AC67" s="431">
        <v>786314</v>
      </c>
      <c r="AD67" s="431">
        <v>19642</v>
      </c>
      <c r="AE67" s="431">
        <v>1022129</v>
      </c>
      <c r="AF67" s="431">
        <v>0</v>
      </c>
      <c r="AG67" s="431">
        <v>91320</v>
      </c>
      <c r="AH67" s="431">
        <v>188895</v>
      </c>
      <c r="AI67" s="431">
        <v>221456</v>
      </c>
      <c r="AJ67" s="431">
        <v>71240</v>
      </c>
      <c r="AK67" s="431">
        <v>0</v>
      </c>
      <c r="AL67" s="431">
        <v>3692156</v>
      </c>
      <c r="AM67" s="431">
        <v>49000</v>
      </c>
    </row>
    <row r="68" spans="1:39" s="155" customFormat="1" ht="12" x14ac:dyDescent="0.2">
      <c r="A68" s="168">
        <v>14</v>
      </c>
      <c r="B68" s="228">
        <v>78016</v>
      </c>
      <c r="C68" s="237" t="s">
        <v>2134</v>
      </c>
      <c r="D68" s="451">
        <f t="shared" si="15"/>
        <v>6034736</v>
      </c>
      <c r="E68" s="431">
        <v>2068283</v>
      </c>
      <c r="F68" s="431">
        <v>597476</v>
      </c>
      <c r="G68" s="431">
        <v>407686</v>
      </c>
      <c r="H68" s="431">
        <v>0</v>
      </c>
      <c r="I68" s="431">
        <v>2284467</v>
      </c>
      <c r="J68" s="431">
        <v>122000</v>
      </c>
      <c r="K68" s="431">
        <v>984260</v>
      </c>
      <c r="L68" s="431">
        <v>0</v>
      </c>
      <c r="M68" s="431">
        <v>575726</v>
      </c>
      <c r="N68" s="431">
        <v>0</v>
      </c>
      <c r="O68" s="431">
        <v>0</v>
      </c>
      <c r="P68" s="451">
        <f t="shared" si="16"/>
        <v>5702506</v>
      </c>
      <c r="Q68" s="431">
        <v>3023056</v>
      </c>
      <c r="R68" s="431">
        <v>981722</v>
      </c>
      <c r="S68" s="431">
        <v>5341</v>
      </c>
      <c r="T68" s="431">
        <v>0</v>
      </c>
      <c r="U68" s="431">
        <v>0</v>
      </c>
      <c r="V68" s="431">
        <v>0</v>
      </c>
      <c r="W68" s="431">
        <v>0</v>
      </c>
      <c r="X68" s="431">
        <v>284711</v>
      </c>
      <c r="Y68" s="431">
        <v>47000</v>
      </c>
      <c r="Z68" s="431">
        <v>1273732</v>
      </c>
      <c r="AA68" s="431">
        <v>86944</v>
      </c>
      <c r="AB68" s="431">
        <v>0</v>
      </c>
      <c r="AC68" s="431">
        <v>1332591</v>
      </c>
      <c r="AD68" s="431">
        <v>0</v>
      </c>
      <c r="AE68" s="431">
        <v>1803824</v>
      </c>
      <c r="AF68" s="431">
        <v>21163</v>
      </c>
      <c r="AG68" s="431">
        <v>112130</v>
      </c>
      <c r="AH68" s="431">
        <v>695082</v>
      </c>
      <c r="AI68" s="431">
        <v>649789</v>
      </c>
      <c r="AJ68" s="431">
        <v>811299</v>
      </c>
      <c r="AK68" s="431">
        <v>0</v>
      </c>
      <c r="AL68" s="431">
        <v>274108</v>
      </c>
      <c r="AM68" s="431">
        <v>2520</v>
      </c>
    </row>
    <row r="69" spans="1:39" s="155" customFormat="1" ht="12" x14ac:dyDescent="0.2">
      <c r="A69" s="168">
        <v>15</v>
      </c>
      <c r="B69" s="228">
        <v>79362</v>
      </c>
      <c r="C69" s="559" t="s">
        <v>2135</v>
      </c>
      <c r="D69" s="451">
        <f t="shared" si="15"/>
        <v>4397425</v>
      </c>
      <c r="E69" s="431">
        <v>1047070</v>
      </c>
      <c r="F69" s="431">
        <v>120140</v>
      </c>
      <c r="G69" s="431">
        <v>425250</v>
      </c>
      <c r="H69" s="431">
        <v>0</v>
      </c>
      <c r="I69" s="431">
        <v>939172</v>
      </c>
      <c r="J69" s="431">
        <v>236000</v>
      </c>
      <c r="K69" s="431">
        <v>932140</v>
      </c>
      <c r="L69" s="431">
        <v>0</v>
      </c>
      <c r="M69" s="431">
        <v>1148323</v>
      </c>
      <c r="N69" s="431">
        <v>94720</v>
      </c>
      <c r="O69" s="431">
        <v>0</v>
      </c>
      <c r="P69" s="451">
        <f t="shared" si="16"/>
        <v>4305463</v>
      </c>
      <c r="Q69" s="431">
        <v>1593511</v>
      </c>
      <c r="R69" s="431">
        <v>833264</v>
      </c>
      <c r="S69" s="431">
        <v>0</v>
      </c>
      <c r="T69" s="431">
        <v>0</v>
      </c>
      <c r="U69" s="431">
        <v>0</v>
      </c>
      <c r="V69" s="431">
        <v>0</v>
      </c>
      <c r="W69" s="431">
        <v>186618</v>
      </c>
      <c r="X69" s="431">
        <v>88802</v>
      </c>
      <c r="Y69" s="431">
        <v>0</v>
      </c>
      <c r="Z69" s="431">
        <v>1603268</v>
      </c>
      <c r="AA69" s="431">
        <v>0</v>
      </c>
      <c r="AB69" s="431">
        <v>0</v>
      </c>
      <c r="AC69" s="431">
        <v>1070380</v>
      </c>
      <c r="AD69" s="431">
        <v>54852</v>
      </c>
      <c r="AE69" s="431">
        <v>856121</v>
      </c>
      <c r="AF69" s="431">
        <v>0</v>
      </c>
      <c r="AG69" s="431">
        <v>162008</v>
      </c>
      <c r="AH69" s="431">
        <v>280145</v>
      </c>
      <c r="AI69" s="431">
        <v>268344</v>
      </c>
      <c r="AJ69" s="431">
        <v>170624</v>
      </c>
      <c r="AK69" s="431">
        <v>0</v>
      </c>
      <c r="AL69" s="431">
        <v>1442989</v>
      </c>
      <c r="AM69" s="431">
        <v>0</v>
      </c>
    </row>
    <row r="70" spans="1:39" s="155" customFormat="1" ht="12" x14ac:dyDescent="0.2">
      <c r="A70" s="168">
        <v>16</v>
      </c>
      <c r="B70" s="228">
        <v>79406</v>
      </c>
      <c r="C70" s="559" t="s">
        <v>2136</v>
      </c>
      <c r="D70" s="451">
        <f t="shared" si="15"/>
        <v>12531634</v>
      </c>
      <c r="E70" s="431">
        <v>2314820</v>
      </c>
      <c r="F70" s="431">
        <v>807702</v>
      </c>
      <c r="G70" s="431">
        <v>408266</v>
      </c>
      <c r="H70" s="431">
        <v>0</v>
      </c>
      <c r="I70" s="431">
        <v>2752970</v>
      </c>
      <c r="J70" s="431">
        <v>436000</v>
      </c>
      <c r="K70" s="431">
        <v>1209650</v>
      </c>
      <c r="L70" s="431">
        <v>0</v>
      </c>
      <c r="M70" s="431">
        <v>5626306</v>
      </c>
      <c r="N70" s="431">
        <v>0</v>
      </c>
      <c r="O70" s="431">
        <v>191888</v>
      </c>
      <c r="P70" s="451">
        <f t="shared" si="16"/>
        <v>12700217</v>
      </c>
      <c r="Q70" s="431">
        <v>3332109</v>
      </c>
      <c r="R70" s="431">
        <v>1838839</v>
      </c>
      <c r="S70" s="431">
        <v>0</v>
      </c>
      <c r="T70" s="431">
        <v>0</v>
      </c>
      <c r="U70" s="431">
        <v>0</v>
      </c>
      <c r="V70" s="431">
        <v>83000</v>
      </c>
      <c r="W70" s="431">
        <v>0</v>
      </c>
      <c r="X70" s="431">
        <v>177655</v>
      </c>
      <c r="Y70" s="431">
        <v>61439</v>
      </c>
      <c r="Z70" s="431">
        <v>7208695</v>
      </c>
      <c r="AA70" s="431">
        <v>0</v>
      </c>
      <c r="AB70" s="431">
        <v>-1520</v>
      </c>
      <c r="AC70" s="431">
        <v>1711454</v>
      </c>
      <c r="AD70" s="431">
        <v>33626</v>
      </c>
      <c r="AE70" s="431">
        <v>2768027</v>
      </c>
      <c r="AF70" s="431">
        <v>27334</v>
      </c>
      <c r="AG70" s="431">
        <v>969889</v>
      </c>
      <c r="AH70" s="431">
        <v>322516</v>
      </c>
      <c r="AI70" s="431">
        <v>2106672</v>
      </c>
      <c r="AJ70" s="431">
        <v>3252117</v>
      </c>
      <c r="AK70" s="431">
        <v>0</v>
      </c>
      <c r="AL70" s="431">
        <v>1487058</v>
      </c>
      <c r="AM70" s="431">
        <v>21524</v>
      </c>
    </row>
    <row r="71" spans="1:39" s="155" customFormat="1" ht="12" x14ac:dyDescent="0.2">
      <c r="A71" s="168">
        <v>17</v>
      </c>
      <c r="B71" s="228">
        <v>79497</v>
      </c>
      <c r="C71" s="559" t="s">
        <v>2137</v>
      </c>
      <c r="D71" s="451">
        <f t="shared" si="15"/>
        <v>3425581</v>
      </c>
      <c r="E71" s="431">
        <v>1559792</v>
      </c>
      <c r="F71" s="431">
        <v>507373</v>
      </c>
      <c r="G71" s="431">
        <v>178497</v>
      </c>
      <c r="H71" s="431">
        <v>0</v>
      </c>
      <c r="I71" s="431">
        <v>1035298</v>
      </c>
      <c r="J71" s="431">
        <v>135000</v>
      </c>
      <c r="K71" s="431">
        <v>513960</v>
      </c>
      <c r="L71" s="431">
        <v>0</v>
      </c>
      <c r="M71" s="431">
        <v>147163</v>
      </c>
      <c r="N71" s="431">
        <v>0</v>
      </c>
      <c r="O71" s="431">
        <v>34368</v>
      </c>
      <c r="P71" s="451">
        <f t="shared" si="16"/>
        <v>3296309</v>
      </c>
      <c r="Q71" s="431">
        <v>1515994</v>
      </c>
      <c r="R71" s="431">
        <v>774201</v>
      </c>
      <c r="S71" s="431">
        <v>0</v>
      </c>
      <c r="T71" s="431">
        <v>0</v>
      </c>
      <c r="U71" s="431">
        <v>0</v>
      </c>
      <c r="V71" s="431">
        <v>132100</v>
      </c>
      <c r="W71" s="431">
        <v>0</v>
      </c>
      <c r="X71" s="431">
        <v>157661</v>
      </c>
      <c r="Y71" s="431">
        <v>0</v>
      </c>
      <c r="Z71" s="431">
        <v>721747</v>
      </c>
      <c r="AA71" s="431">
        <v>0</v>
      </c>
      <c r="AB71" s="431">
        <v>-5394</v>
      </c>
      <c r="AC71" s="431">
        <v>741684</v>
      </c>
      <c r="AD71" s="431">
        <v>0</v>
      </c>
      <c r="AE71" s="431">
        <v>927444</v>
      </c>
      <c r="AF71" s="431">
        <v>91754</v>
      </c>
      <c r="AG71" s="431">
        <v>172201</v>
      </c>
      <c r="AH71" s="431">
        <v>327885</v>
      </c>
      <c r="AI71" s="431">
        <v>121930</v>
      </c>
      <c r="AJ71" s="431">
        <v>181433</v>
      </c>
      <c r="AK71" s="431">
        <v>0</v>
      </c>
      <c r="AL71" s="431">
        <v>731978</v>
      </c>
      <c r="AM71" s="431">
        <v>0</v>
      </c>
    </row>
    <row r="72" spans="1:39" s="155" customFormat="1" ht="12" x14ac:dyDescent="0.2">
      <c r="A72" s="168">
        <v>18</v>
      </c>
      <c r="B72" s="228">
        <v>79585</v>
      </c>
      <c r="C72" s="559" t="s">
        <v>2138</v>
      </c>
      <c r="D72" s="451">
        <f t="shared" si="15"/>
        <v>4470657</v>
      </c>
      <c r="E72" s="431">
        <v>2448850</v>
      </c>
      <c r="F72" s="431">
        <v>1572908</v>
      </c>
      <c r="G72" s="431">
        <v>35304</v>
      </c>
      <c r="H72" s="431">
        <v>0</v>
      </c>
      <c r="I72" s="431">
        <v>1117403</v>
      </c>
      <c r="J72" s="431">
        <v>117000</v>
      </c>
      <c r="K72" s="431">
        <v>138520</v>
      </c>
      <c r="L72" s="431">
        <v>0</v>
      </c>
      <c r="M72" s="431">
        <v>646384</v>
      </c>
      <c r="N72" s="431">
        <v>0</v>
      </c>
      <c r="O72" s="431">
        <v>2500</v>
      </c>
      <c r="P72" s="451">
        <f t="shared" si="16"/>
        <v>4429287</v>
      </c>
      <c r="Q72" s="431">
        <v>1735893</v>
      </c>
      <c r="R72" s="431">
        <v>1065272</v>
      </c>
      <c r="S72" s="431">
        <v>0</v>
      </c>
      <c r="T72" s="431">
        <v>0</v>
      </c>
      <c r="U72" s="431">
        <v>0</v>
      </c>
      <c r="V72" s="431">
        <v>0</v>
      </c>
      <c r="W72" s="431">
        <v>0</v>
      </c>
      <c r="X72" s="431">
        <v>101418</v>
      </c>
      <c r="Y72" s="431">
        <v>7535</v>
      </c>
      <c r="Z72" s="431">
        <v>1519169</v>
      </c>
      <c r="AA72" s="431">
        <v>0</v>
      </c>
      <c r="AB72" s="431">
        <v>0</v>
      </c>
      <c r="AC72" s="431">
        <v>767676</v>
      </c>
      <c r="AD72" s="431">
        <v>30757</v>
      </c>
      <c r="AE72" s="431">
        <v>1085572</v>
      </c>
      <c r="AF72" s="431">
        <v>26351</v>
      </c>
      <c r="AG72" s="431">
        <v>99935</v>
      </c>
      <c r="AH72" s="431">
        <v>250749</v>
      </c>
      <c r="AI72" s="431">
        <v>665464</v>
      </c>
      <c r="AJ72" s="431">
        <v>787888</v>
      </c>
      <c r="AK72" s="431">
        <v>0</v>
      </c>
      <c r="AL72" s="431">
        <v>700245</v>
      </c>
      <c r="AM72" s="431">
        <v>14650</v>
      </c>
    </row>
    <row r="73" spans="1:39" s="155" customFormat="1" ht="12" x14ac:dyDescent="0.2">
      <c r="A73" s="168">
        <v>19</v>
      </c>
      <c r="B73" s="228">
        <v>79656</v>
      </c>
      <c r="C73" s="559" t="s">
        <v>2139</v>
      </c>
      <c r="D73" s="451">
        <f t="shared" si="15"/>
        <v>3145191</v>
      </c>
      <c r="E73" s="431">
        <v>863576</v>
      </c>
      <c r="F73" s="431">
        <v>141726</v>
      </c>
      <c r="G73" s="431">
        <v>436981</v>
      </c>
      <c r="H73" s="431">
        <v>0</v>
      </c>
      <c r="I73" s="431">
        <v>848242</v>
      </c>
      <c r="J73" s="431">
        <v>156000</v>
      </c>
      <c r="K73" s="431">
        <v>741630</v>
      </c>
      <c r="L73" s="431">
        <v>0</v>
      </c>
      <c r="M73" s="431">
        <v>535743</v>
      </c>
      <c r="N73" s="431">
        <v>0</v>
      </c>
      <c r="O73" s="431">
        <v>0</v>
      </c>
      <c r="P73" s="451">
        <f t="shared" si="16"/>
        <v>3077617</v>
      </c>
      <c r="Q73" s="431">
        <v>1492265</v>
      </c>
      <c r="R73" s="431">
        <v>524475</v>
      </c>
      <c r="S73" s="431">
        <v>0</v>
      </c>
      <c r="T73" s="431">
        <v>0</v>
      </c>
      <c r="U73" s="431">
        <v>0</v>
      </c>
      <c r="V73" s="431">
        <v>0</v>
      </c>
      <c r="W73" s="431">
        <v>0</v>
      </c>
      <c r="X73" s="431">
        <v>51262</v>
      </c>
      <c r="Y73" s="431">
        <v>2280</v>
      </c>
      <c r="Z73" s="431">
        <v>1007335</v>
      </c>
      <c r="AA73" s="431">
        <v>0</v>
      </c>
      <c r="AB73" s="431">
        <v>0</v>
      </c>
      <c r="AC73" s="431">
        <v>1027819</v>
      </c>
      <c r="AD73" s="431">
        <v>0</v>
      </c>
      <c r="AE73" s="431">
        <v>779348</v>
      </c>
      <c r="AF73" s="431">
        <v>0</v>
      </c>
      <c r="AG73" s="431">
        <v>28379</v>
      </c>
      <c r="AH73" s="431">
        <v>190413</v>
      </c>
      <c r="AI73" s="431">
        <v>662224</v>
      </c>
      <c r="AJ73" s="431">
        <v>13529</v>
      </c>
      <c r="AK73" s="431">
        <v>0</v>
      </c>
      <c r="AL73" s="431">
        <v>375905</v>
      </c>
      <c r="AM73" s="431">
        <v>0</v>
      </c>
    </row>
    <row r="74" spans="1:39" s="155" customFormat="1" ht="12" x14ac:dyDescent="0.2">
      <c r="A74" s="168">
        <v>20</v>
      </c>
      <c r="B74" s="228">
        <v>79736</v>
      </c>
      <c r="C74" s="559" t="s">
        <v>2140</v>
      </c>
      <c r="D74" s="451">
        <f t="shared" si="15"/>
        <v>4626211</v>
      </c>
      <c r="E74" s="431">
        <v>2828241</v>
      </c>
      <c r="F74" s="431">
        <v>2224889</v>
      </c>
      <c r="G74" s="431">
        <v>47648</v>
      </c>
      <c r="H74" s="431">
        <v>0</v>
      </c>
      <c r="I74" s="431">
        <v>1347483</v>
      </c>
      <c r="J74" s="431">
        <v>238000</v>
      </c>
      <c r="K74" s="431">
        <v>107780</v>
      </c>
      <c r="L74" s="431">
        <v>0</v>
      </c>
      <c r="M74" s="431">
        <v>104707</v>
      </c>
      <c r="N74" s="431">
        <v>0</v>
      </c>
      <c r="O74" s="431">
        <v>0</v>
      </c>
      <c r="P74" s="451">
        <f t="shared" si="16"/>
        <v>3723322</v>
      </c>
      <c r="Q74" s="431">
        <v>1735641</v>
      </c>
      <c r="R74" s="431">
        <v>1271378</v>
      </c>
      <c r="S74" s="431">
        <v>0</v>
      </c>
      <c r="T74" s="431">
        <v>0</v>
      </c>
      <c r="U74" s="431">
        <v>0</v>
      </c>
      <c r="V74" s="431">
        <v>0</v>
      </c>
      <c r="W74" s="431">
        <v>23736</v>
      </c>
      <c r="X74" s="431">
        <v>166020</v>
      </c>
      <c r="Y74" s="431">
        <v>68685</v>
      </c>
      <c r="Z74" s="431">
        <v>458839</v>
      </c>
      <c r="AA74" s="431">
        <v>0</v>
      </c>
      <c r="AB74" s="431">
        <v>-977</v>
      </c>
      <c r="AC74" s="431">
        <v>1204317</v>
      </c>
      <c r="AD74" s="431">
        <v>0</v>
      </c>
      <c r="AE74" s="431">
        <v>1290911</v>
      </c>
      <c r="AF74" s="431">
        <v>0</v>
      </c>
      <c r="AG74" s="431">
        <v>194932</v>
      </c>
      <c r="AH74" s="431">
        <v>288609</v>
      </c>
      <c r="AI74" s="431">
        <v>396699</v>
      </c>
      <c r="AJ74" s="431">
        <v>51534</v>
      </c>
      <c r="AK74" s="431">
        <v>0</v>
      </c>
      <c r="AL74" s="431">
        <v>296320</v>
      </c>
      <c r="AM74" s="431">
        <v>0</v>
      </c>
    </row>
    <row r="75" spans="1:39" s="155" customFormat="1" ht="12" x14ac:dyDescent="0.2">
      <c r="A75" s="168">
        <v>21</v>
      </c>
      <c r="B75" s="228">
        <v>79834</v>
      </c>
      <c r="C75" s="559" t="s">
        <v>2141</v>
      </c>
      <c r="D75" s="451">
        <f t="shared" si="15"/>
        <v>6743259</v>
      </c>
      <c r="E75" s="431">
        <v>1870506</v>
      </c>
      <c r="F75" s="431">
        <v>311135</v>
      </c>
      <c r="G75" s="431">
        <v>700995</v>
      </c>
      <c r="H75" s="431">
        <v>0</v>
      </c>
      <c r="I75" s="431">
        <v>2571096</v>
      </c>
      <c r="J75" s="431">
        <v>198000</v>
      </c>
      <c r="K75" s="431">
        <v>1500630</v>
      </c>
      <c r="L75" s="431">
        <v>0</v>
      </c>
      <c r="M75" s="431">
        <v>431038</v>
      </c>
      <c r="N75" s="431">
        <v>171989</v>
      </c>
      <c r="O75" s="431">
        <v>0</v>
      </c>
      <c r="P75" s="451">
        <f t="shared" si="16"/>
        <v>6727160</v>
      </c>
      <c r="Q75" s="431">
        <v>3684337</v>
      </c>
      <c r="R75" s="431">
        <v>1734748</v>
      </c>
      <c r="S75" s="431">
        <v>0</v>
      </c>
      <c r="T75" s="431">
        <v>0</v>
      </c>
      <c r="U75" s="431">
        <v>0</v>
      </c>
      <c r="V75" s="431">
        <v>0</v>
      </c>
      <c r="W75" s="431">
        <v>279559</v>
      </c>
      <c r="X75" s="431">
        <v>256064</v>
      </c>
      <c r="Y75" s="431">
        <v>26530</v>
      </c>
      <c r="Z75" s="431">
        <v>794666</v>
      </c>
      <c r="AA75" s="431">
        <v>0</v>
      </c>
      <c r="AB75" s="431">
        <v>-48744</v>
      </c>
      <c r="AC75" s="431">
        <v>1584361</v>
      </c>
      <c r="AD75" s="431">
        <v>121085</v>
      </c>
      <c r="AE75" s="431">
        <v>2099300</v>
      </c>
      <c r="AF75" s="431">
        <v>42184</v>
      </c>
      <c r="AG75" s="431">
        <v>204285</v>
      </c>
      <c r="AH75" s="431">
        <v>822709</v>
      </c>
      <c r="AI75" s="431">
        <v>1088474</v>
      </c>
      <c r="AJ75" s="431">
        <v>356672</v>
      </c>
      <c r="AK75" s="431">
        <v>0</v>
      </c>
      <c r="AL75" s="431">
        <v>408090</v>
      </c>
      <c r="AM75" s="431">
        <v>0</v>
      </c>
    </row>
    <row r="76" spans="1:39" s="155" customFormat="1" ht="12" x14ac:dyDescent="0.2">
      <c r="A76" s="168">
        <v>22</v>
      </c>
      <c r="B76" s="228">
        <v>79932</v>
      </c>
      <c r="C76" s="559" t="s">
        <v>2142</v>
      </c>
      <c r="D76" s="451">
        <f t="shared" si="15"/>
        <v>5760565</v>
      </c>
      <c r="E76" s="431">
        <v>1211536</v>
      </c>
      <c r="F76" s="431">
        <v>305377</v>
      </c>
      <c r="G76" s="431">
        <v>398855</v>
      </c>
      <c r="H76" s="431">
        <v>0</v>
      </c>
      <c r="I76" s="431">
        <v>1976604</v>
      </c>
      <c r="J76" s="431">
        <v>452000</v>
      </c>
      <c r="K76" s="431">
        <v>1058930</v>
      </c>
      <c r="L76" s="431">
        <v>0</v>
      </c>
      <c r="M76" s="431">
        <v>781075</v>
      </c>
      <c r="N76" s="431">
        <v>280420</v>
      </c>
      <c r="O76" s="431">
        <v>0</v>
      </c>
      <c r="P76" s="451">
        <f t="shared" si="16"/>
        <v>5878659</v>
      </c>
      <c r="Q76" s="431">
        <v>2875826</v>
      </c>
      <c r="R76" s="431">
        <v>1420842</v>
      </c>
      <c r="S76" s="431">
        <v>36793</v>
      </c>
      <c r="T76" s="431">
        <v>0</v>
      </c>
      <c r="U76" s="431">
        <v>0</v>
      </c>
      <c r="V76" s="431">
        <v>0</v>
      </c>
      <c r="W76" s="431">
        <v>0</v>
      </c>
      <c r="X76" s="431">
        <v>197786</v>
      </c>
      <c r="Y76" s="431">
        <v>17828</v>
      </c>
      <c r="Z76" s="431">
        <v>297660</v>
      </c>
      <c r="AA76" s="431">
        <v>1033434</v>
      </c>
      <c r="AB76" s="431">
        <v>-1510</v>
      </c>
      <c r="AC76" s="431">
        <v>1687996</v>
      </c>
      <c r="AD76" s="431">
        <v>121404</v>
      </c>
      <c r="AE76" s="431">
        <v>1821493</v>
      </c>
      <c r="AF76" s="431">
        <v>0</v>
      </c>
      <c r="AG76" s="431">
        <v>97969</v>
      </c>
      <c r="AH76" s="431">
        <v>410602</v>
      </c>
      <c r="AI76" s="431">
        <v>353742</v>
      </c>
      <c r="AJ76" s="431">
        <v>338754</v>
      </c>
      <c r="AK76" s="431">
        <v>0</v>
      </c>
      <c r="AL76" s="431">
        <v>1046699</v>
      </c>
      <c r="AM76" s="431">
        <v>0</v>
      </c>
    </row>
    <row r="77" spans="1:39" s="155" customFormat="1" ht="12" x14ac:dyDescent="0.2">
      <c r="A77" s="168">
        <v>23</v>
      </c>
      <c r="B77" s="228">
        <v>80043</v>
      </c>
      <c r="C77" s="559" t="s">
        <v>2143</v>
      </c>
      <c r="D77" s="451">
        <f t="shared" si="15"/>
        <v>4649565</v>
      </c>
      <c r="E77" s="431">
        <v>999576</v>
      </c>
      <c r="F77" s="431">
        <v>115550</v>
      </c>
      <c r="G77" s="431">
        <v>460443</v>
      </c>
      <c r="H77" s="431">
        <v>0</v>
      </c>
      <c r="I77" s="431">
        <v>1360119</v>
      </c>
      <c r="J77" s="431">
        <v>30000</v>
      </c>
      <c r="K77" s="431">
        <v>872160</v>
      </c>
      <c r="L77" s="431">
        <v>0</v>
      </c>
      <c r="M77" s="431">
        <v>1005990</v>
      </c>
      <c r="N77" s="431">
        <v>381720</v>
      </c>
      <c r="O77" s="431">
        <v>0</v>
      </c>
      <c r="P77" s="451">
        <f t="shared" si="16"/>
        <v>4430920</v>
      </c>
      <c r="Q77" s="431">
        <v>2000354</v>
      </c>
      <c r="R77" s="431">
        <v>692689</v>
      </c>
      <c r="S77" s="431">
        <v>0</v>
      </c>
      <c r="T77" s="431">
        <v>0</v>
      </c>
      <c r="U77" s="431">
        <v>0</v>
      </c>
      <c r="V77" s="431">
        <v>0</v>
      </c>
      <c r="W77" s="431">
        <v>711436</v>
      </c>
      <c r="X77" s="431">
        <v>159310</v>
      </c>
      <c r="Y77" s="431">
        <v>0</v>
      </c>
      <c r="Z77" s="431">
        <v>872999</v>
      </c>
      <c r="AA77" s="431">
        <v>0</v>
      </c>
      <c r="AB77" s="431">
        <v>-5868</v>
      </c>
      <c r="AC77" s="431">
        <v>1027055</v>
      </c>
      <c r="AD77" s="431">
        <v>0</v>
      </c>
      <c r="AE77" s="431">
        <v>1658880</v>
      </c>
      <c r="AF77" s="431">
        <v>0</v>
      </c>
      <c r="AG77" s="431">
        <v>48810</v>
      </c>
      <c r="AH77" s="431">
        <v>534280</v>
      </c>
      <c r="AI77" s="431">
        <v>123853</v>
      </c>
      <c r="AJ77" s="431">
        <v>203007</v>
      </c>
      <c r="AK77" s="431">
        <v>0</v>
      </c>
      <c r="AL77" s="431">
        <v>835035</v>
      </c>
      <c r="AM77" s="431">
        <v>0</v>
      </c>
    </row>
    <row r="78" spans="1:39" s="155" customFormat="1" ht="12" x14ac:dyDescent="0.2">
      <c r="A78" s="168">
        <v>24</v>
      </c>
      <c r="B78" s="228">
        <v>80123</v>
      </c>
      <c r="C78" s="559" t="s">
        <v>2144</v>
      </c>
      <c r="D78" s="451">
        <f t="shared" si="15"/>
        <v>3863600</v>
      </c>
      <c r="E78" s="431">
        <v>1490812</v>
      </c>
      <c r="F78" s="431">
        <v>249271</v>
      </c>
      <c r="G78" s="431">
        <v>454095</v>
      </c>
      <c r="H78" s="431">
        <v>0</v>
      </c>
      <c r="I78" s="431">
        <v>1399516</v>
      </c>
      <c r="J78" s="431">
        <v>55000</v>
      </c>
      <c r="K78" s="431">
        <v>901610</v>
      </c>
      <c r="L78" s="431">
        <v>0</v>
      </c>
      <c r="M78" s="431">
        <v>16662</v>
      </c>
      <c r="N78" s="431">
        <v>0</v>
      </c>
      <c r="O78" s="431">
        <v>0</v>
      </c>
      <c r="P78" s="451">
        <f t="shared" si="16"/>
        <v>3646335</v>
      </c>
      <c r="Q78" s="431">
        <v>1922119</v>
      </c>
      <c r="R78" s="431">
        <v>955091</v>
      </c>
      <c r="S78" s="431">
        <v>0</v>
      </c>
      <c r="T78" s="431">
        <v>0</v>
      </c>
      <c r="U78" s="431">
        <v>0</v>
      </c>
      <c r="V78" s="431">
        <v>0</v>
      </c>
      <c r="W78" s="431">
        <v>0</v>
      </c>
      <c r="X78" s="431">
        <v>133940</v>
      </c>
      <c r="Y78" s="431">
        <v>90998</v>
      </c>
      <c r="Z78" s="431">
        <v>544187</v>
      </c>
      <c r="AA78" s="431">
        <v>0</v>
      </c>
      <c r="AB78" s="431">
        <v>0</v>
      </c>
      <c r="AC78" s="431">
        <v>891658</v>
      </c>
      <c r="AD78" s="431">
        <v>0</v>
      </c>
      <c r="AE78" s="431">
        <v>1141319</v>
      </c>
      <c r="AF78" s="431">
        <v>0</v>
      </c>
      <c r="AG78" s="431">
        <v>80000</v>
      </c>
      <c r="AH78" s="431">
        <v>517020</v>
      </c>
      <c r="AI78" s="431">
        <v>854461</v>
      </c>
      <c r="AJ78" s="431">
        <v>44261</v>
      </c>
      <c r="AK78" s="431">
        <v>0</v>
      </c>
      <c r="AL78" s="431">
        <v>117616</v>
      </c>
      <c r="AM78" s="431">
        <v>0</v>
      </c>
    </row>
    <row r="79" spans="1:39" s="155" customFormat="1" ht="12" x14ac:dyDescent="0.2">
      <c r="A79" s="168">
        <v>25</v>
      </c>
      <c r="B79" s="228">
        <v>80249</v>
      </c>
      <c r="C79" s="559" t="s">
        <v>2145</v>
      </c>
      <c r="D79" s="451">
        <f t="shared" si="15"/>
        <v>4322023</v>
      </c>
      <c r="E79" s="431">
        <v>1838775</v>
      </c>
      <c r="F79" s="431">
        <v>1343446</v>
      </c>
      <c r="G79" s="431">
        <v>37019</v>
      </c>
      <c r="H79" s="431">
        <v>0</v>
      </c>
      <c r="I79" s="431">
        <v>1589296</v>
      </c>
      <c r="J79" s="431">
        <v>51000</v>
      </c>
      <c r="K79" s="431">
        <v>88760</v>
      </c>
      <c r="L79" s="431">
        <v>0</v>
      </c>
      <c r="M79" s="431">
        <v>754192</v>
      </c>
      <c r="N79" s="431">
        <v>0</v>
      </c>
      <c r="O79" s="431">
        <v>0</v>
      </c>
      <c r="P79" s="451">
        <f t="shared" si="16"/>
        <v>4425681</v>
      </c>
      <c r="Q79" s="431">
        <v>2112676</v>
      </c>
      <c r="R79" s="431">
        <v>1059280</v>
      </c>
      <c r="S79" s="431">
        <v>0</v>
      </c>
      <c r="T79" s="431">
        <v>0</v>
      </c>
      <c r="U79" s="431">
        <v>0</v>
      </c>
      <c r="V79" s="431">
        <v>0</v>
      </c>
      <c r="W79" s="431">
        <v>0</v>
      </c>
      <c r="X79" s="431">
        <v>107111</v>
      </c>
      <c r="Y79" s="431">
        <v>150752</v>
      </c>
      <c r="Z79" s="431">
        <v>995862</v>
      </c>
      <c r="AA79" s="431">
        <v>0</v>
      </c>
      <c r="AB79" s="431">
        <v>0</v>
      </c>
      <c r="AC79" s="431">
        <v>951145</v>
      </c>
      <c r="AD79" s="431">
        <v>168326</v>
      </c>
      <c r="AE79" s="431">
        <v>1458703</v>
      </c>
      <c r="AF79" s="431">
        <v>0</v>
      </c>
      <c r="AG79" s="431">
        <v>217758</v>
      </c>
      <c r="AH79" s="431">
        <v>372558</v>
      </c>
      <c r="AI79" s="431">
        <v>89442</v>
      </c>
      <c r="AJ79" s="431">
        <v>0</v>
      </c>
      <c r="AK79" s="431">
        <v>0</v>
      </c>
      <c r="AL79" s="431">
        <v>1167749</v>
      </c>
      <c r="AM79" s="431">
        <v>0</v>
      </c>
    </row>
    <row r="80" spans="1:39" s="155" customFormat="1" ht="12" x14ac:dyDescent="0.2">
      <c r="A80" s="168">
        <v>26</v>
      </c>
      <c r="B80" s="228">
        <v>80285</v>
      </c>
      <c r="C80" s="559" t="s">
        <v>2146</v>
      </c>
      <c r="D80" s="451">
        <f t="shared" si="15"/>
        <v>7000267</v>
      </c>
      <c r="E80" s="431">
        <v>4403576</v>
      </c>
      <c r="F80" s="431">
        <v>3466722</v>
      </c>
      <c r="G80" s="431">
        <v>8913</v>
      </c>
      <c r="H80" s="431">
        <v>0</v>
      </c>
      <c r="I80" s="431">
        <v>2411792</v>
      </c>
      <c r="J80" s="431">
        <v>81000</v>
      </c>
      <c r="K80" s="431">
        <v>93570</v>
      </c>
      <c r="L80" s="431">
        <v>0</v>
      </c>
      <c r="M80" s="431">
        <v>10329</v>
      </c>
      <c r="N80" s="431">
        <v>0</v>
      </c>
      <c r="O80" s="431">
        <v>0</v>
      </c>
      <c r="P80" s="451">
        <f t="shared" si="16"/>
        <v>6812776</v>
      </c>
      <c r="Q80" s="431">
        <v>2922962</v>
      </c>
      <c r="R80" s="431">
        <v>2624715</v>
      </c>
      <c r="S80" s="431">
        <v>0</v>
      </c>
      <c r="T80" s="431">
        <v>0</v>
      </c>
      <c r="U80" s="431">
        <v>0</v>
      </c>
      <c r="V80" s="431">
        <v>0</v>
      </c>
      <c r="W80" s="431">
        <v>0</v>
      </c>
      <c r="X80" s="431">
        <v>143953</v>
      </c>
      <c r="Y80" s="431">
        <v>11520</v>
      </c>
      <c r="Z80" s="431">
        <v>1110076</v>
      </c>
      <c r="AA80" s="431">
        <v>0</v>
      </c>
      <c r="AB80" s="431">
        <v>-450</v>
      </c>
      <c r="AC80" s="431">
        <v>1580449</v>
      </c>
      <c r="AD80" s="431">
        <v>0</v>
      </c>
      <c r="AE80" s="431">
        <v>2691933</v>
      </c>
      <c r="AF80" s="431">
        <v>1606</v>
      </c>
      <c r="AG80" s="431">
        <v>405896</v>
      </c>
      <c r="AH80" s="431">
        <v>406951</v>
      </c>
      <c r="AI80" s="431">
        <v>918061</v>
      </c>
      <c r="AJ80" s="431">
        <v>201208</v>
      </c>
      <c r="AK80" s="431">
        <v>0</v>
      </c>
      <c r="AL80" s="431">
        <v>601672</v>
      </c>
      <c r="AM80" s="431">
        <v>5000</v>
      </c>
    </row>
    <row r="81" spans="1:39" s="155" customFormat="1" ht="12" x14ac:dyDescent="0.2">
      <c r="A81" s="168">
        <v>27</v>
      </c>
      <c r="B81" s="228">
        <v>80365</v>
      </c>
      <c r="C81" s="559" t="s">
        <v>2147</v>
      </c>
      <c r="D81" s="451">
        <f t="shared" si="15"/>
        <v>2788324</v>
      </c>
      <c r="E81" s="431">
        <v>846693</v>
      </c>
      <c r="F81" s="431">
        <v>92691</v>
      </c>
      <c r="G81" s="431">
        <v>470219</v>
      </c>
      <c r="H81" s="431">
        <v>0</v>
      </c>
      <c r="I81" s="431">
        <v>1071568</v>
      </c>
      <c r="J81" s="431">
        <v>39000</v>
      </c>
      <c r="K81" s="431">
        <v>813800</v>
      </c>
      <c r="L81" s="431">
        <v>0</v>
      </c>
      <c r="M81" s="431">
        <v>17263</v>
      </c>
      <c r="N81" s="431">
        <v>0</v>
      </c>
      <c r="O81" s="431">
        <v>0</v>
      </c>
      <c r="P81" s="451">
        <f t="shared" si="16"/>
        <v>2719239</v>
      </c>
      <c r="Q81" s="431">
        <v>1590019</v>
      </c>
      <c r="R81" s="431">
        <v>867778</v>
      </c>
      <c r="S81" s="431">
        <v>0</v>
      </c>
      <c r="T81" s="431">
        <v>0</v>
      </c>
      <c r="U81" s="431">
        <v>0</v>
      </c>
      <c r="V81" s="431">
        <v>0</v>
      </c>
      <c r="W81" s="431">
        <v>0</v>
      </c>
      <c r="X81" s="431">
        <v>55664</v>
      </c>
      <c r="Y81" s="431">
        <v>5850</v>
      </c>
      <c r="Z81" s="431">
        <v>201652</v>
      </c>
      <c r="AA81" s="431">
        <v>0</v>
      </c>
      <c r="AB81" s="431">
        <v>-1724</v>
      </c>
      <c r="AC81" s="431">
        <v>814866</v>
      </c>
      <c r="AD81" s="431">
        <v>0</v>
      </c>
      <c r="AE81" s="431">
        <v>1019626</v>
      </c>
      <c r="AF81" s="431">
        <v>9796</v>
      </c>
      <c r="AG81" s="431">
        <v>44079</v>
      </c>
      <c r="AH81" s="431">
        <v>221881</v>
      </c>
      <c r="AI81" s="431">
        <v>472981</v>
      </c>
      <c r="AJ81" s="431">
        <v>89738</v>
      </c>
      <c r="AK81" s="431">
        <v>0</v>
      </c>
      <c r="AL81" s="431">
        <v>46272</v>
      </c>
      <c r="AM81" s="431">
        <v>0</v>
      </c>
    </row>
    <row r="82" spans="1:39" s="155" customFormat="1" ht="12" x14ac:dyDescent="0.2">
      <c r="A82" s="168">
        <v>28</v>
      </c>
      <c r="B82" s="228">
        <v>80427</v>
      </c>
      <c r="C82" s="559" t="s">
        <v>2148</v>
      </c>
      <c r="D82" s="451">
        <f t="shared" si="15"/>
        <v>2884075</v>
      </c>
      <c r="E82" s="431">
        <v>968742</v>
      </c>
      <c r="F82" s="431">
        <v>97665</v>
      </c>
      <c r="G82" s="431">
        <v>416452</v>
      </c>
      <c r="H82" s="431">
        <v>0</v>
      </c>
      <c r="I82" s="431">
        <v>851335</v>
      </c>
      <c r="J82" s="431">
        <v>113000</v>
      </c>
      <c r="K82" s="431">
        <v>708710</v>
      </c>
      <c r="L82" s="431">
        <v>0</v>
      </c>
      <c r="M82" s="431">
        <v>242288</v>
      </c>
      <c r="N82" s="431">
        <v>0</v>
      </c>
      <c r="O82" s="431">
        <v>0</v>
      </c>
      <c r="P82" s="451">
        <f t="shared" si="16"/>
        <v>2662782</v>
      </c>
      <c r="Q82" s="431">
        <v>1619613</v>
      </c>
      <c r="R82" s="431">
        <v>677639</v>
      </c>
      <c r="S82" s="431">
        <v>0</v>
      </c>
      <c r="T82" s="431">
        <v>0</v>
      </c>
      <c r="U82" s="431">
        <v>0</v>
      </c>
      <c r="V82" s="431">
        <v>0</v>
      </c>
      <c r="W82" s="431">
        <v>0</v>
      </c>
      <c r="X82" s="431">
        <v>61363</v>
      </c>
      <c r="Y82" s="431">
        <v>0</v>
      </c>
      <c r="Z82" s="431">
        <v>304167</v>
      </c>
      <c r="AA82" s="431">
        <v>0</v>
      </c>
      <c r="AB82" s="431">
        <v>0</v>
      </c>
      <c r="AC82" s="431">
        <v>1002114</v>
      </c>
      <c r="AD82" s="431">
        <v>0</v>
      </c>
      <c r="AE82" s="431">
        <v>848160</v>
      </c>
      <c r="AF82" s="431">
        <v>0</v>
      </c>
      <c r="AG82" s="431">
        <v>55042</v>
      </c>
      <c r="AH82" s="431">
        <v>163820</v>
      </c>
      <c r="AI82" s="431">
        <v>109375</v>
      </c>
      <c r="AJ82" s="431">
        <v>132657</v>
      </c>
      <c r="AK82" s="431">
        <v>0</v>
      </c>
      <c r="AL82" s="431">
        <v>351614</v>
      </c>
      <c r="AM82" s="431">
        <v>0</v>
      </c>
    </row>
    <row r="83" spans="1:39" s="155" customFormat="1" ht="12" x14ac:dyDescent="0.2">
      <c r="A83" s="168">
        <v>29</v>
      </c>
      <c r="B83" s="228">
        <v>80506</v>
      </c>
      <c r="C83" s="559" t="s">
        <v>2149</v>
      </c>
      <c r="D83" s="451">
        <f t="shared" si="15"/>
        <v>2764160</v>
      </c>
      <c r="E83" s="431">
        <v>971708</v>
      </c>
      <c r="F83" s="431">
        <v>509548</v>
      </c>
      <c r="G83" s="431">
        <v>148593</v>
      </c>
      <c r="H83" s="431">
        <v>0</v>
      </c>
      <c r="I83" s="431">
        <v>1074202</v>
      </c>
      <c r="J83" s="431">
        <v>74000</v>
      </c>
      <c r="K83" s="431">
        <v>429160</v>
      </c>
      <c r="L83" s="431">
        <v>0</v>
      </c>
      <c r="M83" s="431">
        <v>13163</v>
      </c>
      <c r="N83" s="431">
        <v>0</v>
      </c>
      <c r="O83" s="431">
        <v>201927</v>
      </c>
      <c r="P83" s="451">
        <f t="shared" si="16"/>
        <v>2758247</v>
      </c>
      <c r="Q83" s="431">
        <v>1756900</v>
      </c>
      <c r="R83" s="431">
        <v>592457</v>
      </c>
      <c r="S83" s="431">
        <v>0</v>
      </c>
      <c r="T83" s="431">
        <v>0</v>
      </c>
      <c r="U83" s="431">
        <v>0</v>
      </c>
      <c r="V83" s="431">
        <v>35000</v>
      </c>
      <c r="W83" s="431">
        <v>0</v>
      </c>
      <c r="X83" s="431">
        <v>78716</v>
      </c>
      <c r="Y83" s="431">
        <v>36251</v>
      </c>
      <c r="Z83" s="431">
        <v>258923</v>
      </c>
      <c r="AA83" s="431">
        <v>0</v>
      </c>
      <c r="AB83" s="431">
        <v>0</v>
      </c>
      <c r="AC83" s="431">
        <v>919903</v>
      </c>
      <c r="AD83" s="431">
        <v>22531</v>
      </c>
      <c r="AE83" s="431">
        <v>1086024</v>
      </c>
      <c r="AF83" s="431">
        <v>0</v>
      </c>
      <c r="AG83" s="431">
        <v>103511</v>
      </c>
      <c r="AH83" s="431">
        <v>247918</v>
      </c>
      <c r="AI83" s="431">
        <v>257197</v>
      </c>
      <c r="AJ83" s="431">
        <v>0</v>
      </c>
      <c r="AK83" s="431">
        <v>0</v>
      </c>
      <c r="AL83" s="431">
        <v>121163</v>
      </c>
      <c r="AM83" s="431">
        <v>0</v>
      </c>
    </row>
    <row r="84" spans="1:39" s="155" customFormat="1" ht="12" x14ac:dyDescent="0.2">
      <c r="A84" s="168">
        <v>30</v>
      </c>
      <c r="B84" s="228">
        <v>80560</v>
      </c>
      <c r="C84" s="559" t="s">
        <v>842</v>
      </c>
      <c r="D84" s="451">
        <f t="shared" si="15"/>
        <v>2931460</v>
      </c>
      <c r="E84" s="431">
        <v>869026</v>
      </c>
      <c r="F84" s="431">
        <v>100936</v>
      </c>
      <c r="G84" s="431">
        <v>463376</v>
      </c>
      <c r="H84" s="431">
        <v>0</v>
      </c>
      <c r="I84" s="431">
        <v>1114629</v>
      </c>
      <c r="J84" s="431">
        <v>0</v>
      </c>
      <c r="K84" s="431">
        <v>884160</v>
      </c>
      <c r="L84" s="431">
        <v>0</v>
      </c>
      <c r="M84" s="431">
        <v>63645</v>
      </c>
      <c r="N84" s="431">
        <v>0</v>
      </c>
      <c r="O84" s="431">
        <v>0</v>
      </c>
      <c r="P84" s="451">
        <f t="shared" si="16"/>
        <v>3332448</v>
      </c>
      <c r="Q84" s="431">
        <v>1521814</v>
      </c>
      <c r="R84" s="431">
        <v>981375</v>
      </c>
      <c r="S84" s="431">
        <v>5000</v>
      </c>
      <c r="T84" s="431">
        <v>0</v>
      </c>
      <c r="U84" s="431">
        <v>0</v>
      </c>
      <c r="V84" s="431">
        <v>0</v>
      </c>
      <c r="W84" s="431">
        <v>0</v>
      </c>
      <c r="X84" s="431">
        <v>88198</v>
      </c>
      <c r="Y84" s="431">
        <v>0</v>
      </c>
      <c r="Z84" s="431">
        <v>708061</v>
      </c>
      <c r="AA84" s="431">
        <v>28000</v>
      </c>
      <c r="AB84" s="431">
        <v>0</v>
      </c>
      <c r="AC84" s="431">
        <v>964974</v>
      </c>
      <c r="AD84" s="431">
        <v>8353</v>
      </c>
      <c r="AE84" s="431">
        <v>1116598</v>
      </c>
      <c r="AF84" s="431">
        <v>0</v>
      </c>
      <c r="AG84" s="431">
        <v>36892</v>
      </c>
      <c r="AH84" s="431">
        <v>237489</v>
      </c>
      <c r="AI84" s="431">
        <v>307267</v>
      </c>
      <c r="AJ84" s="431">
        <v>45167</v>
      </c>
      <c r="AK84" s="431">
        <v>0</v>
      </c>
      <c r="AL84" s="431">
        <v>565708</v>
      </c>
      <c r="AM84" s="431">
        <v>50000</v>
      </c>
    </row>
    <row r="85" spans="1:39" s="155" customFormat="1" ht="12" x14ac:dyDescent="0.2">
      <c r="A85" s="168">
        <v>31</v>
      </c>
      <c r="B85" s="228">
        <v>80613</v>
      </c>
      <c r="C85" s="559" t="s">
        <v>2150</v>
      </c>
      <c r="D85" s="451">
        <f t="shared" si="15"/>
        <v>2624255</v>
      </c>
      <c r="E85" s="431">
        <v>855049</v>
      </c>
      <c r="F85" s="431">
        <v>80973</v>
      </c>
      <c r="G85" s="431">
        <v>425250</v>
      </c>
      <c r="H85" s="431">
        <v>0</v>
      </c>
      <c r="I85" s="431">
        <v>930729</v>
      </c>
      <c r="J85" s="431">
        <v>37000</v>
      </c>
      <c r="K85" s="431">
        <v>730190</v>
      </c>
      <c r="L85" s="431">
        <v>0</v>
      </c>
      <c r="M85" s="431">
        <v>34279</v>
      </c>
      <c r="N85" s="431">
        <v>37008</v>
      </c>
      <c r="O85" s="431">
        <v>0</v>
      </c>
      <c r="P85" s="451">
        <f t="shared" si="16"/>
        <v>2632988</v>
      </c>
      <c r="Q85" s="431">
        <v>1160068</v>
      </c>
      <c r="R85" s="431">
        <v>701144</v>
      </c>
      <c r="S85" s="431">
        <v>0</v>
      </c>
      <c r="T85" s="431">
        <v>0</v>
      </c>
      <c r="U85" s="431">
        <v>0</v>
      </c>
      <c r="V85" s="431">
        <v>0</v>
      </c>
      <c r="W85" s="431">
        <v>0</v>
      </c>
      <c r="X85" s="431">
        <v>216682</v>
      </c>
      <c r="Y85" s="431">
        <v>7983</v>
      </c>
      <c r="Z85" s="431">
        <v>549341</v>
      </c>
      <c r="AA85" s="431">
        <v>0</v>
      </c>
      <c r="AB85" s="431">
        <v>-2230</v>
      </c>
      <c r="AC85" s="431">
        <v>427064</v>
      </c>
      <c r="AD85" s="431">
        <v>4900</v>
      </c>
      <c r="AE85" s="431">
        <v>883407</v>
      </c>
      <c r="AF85" s="431">
        <v>0</v>
      </c>
      <c r="AG85" s="431">
        <v>68711</v>
      </c>
      <c r="AH85" s="431">
        <v>377873</v>
      </c>
      <c r="AI85" s="431">
        <v>157366</v>
      </c>
      <c r="AJ85" s="431">
        <v>64265</v>
      </c>
      <c r="AK85" s="431">
        <v>0</v>
      </c>
      <c r="AL85" s="431">
        <v>649402</v>
      </c>
      <c r="AM85" s="431">
        <v>0</v>
      </c>
    </row>
    <row r="86" spans="1:39" s="155" customFormat="1" ht="12" x14ac:dyDescent="0.2">
      <c r="A86" s="168">
        <v>32</v>
      </c>
      <c r="B86" s="228">
        <v>80677</v>
      </c>
      <c r="C86" s="559" t="s">
        <v>2151</v>
      </c>
      <c r="D86" s="451">
        <f t="shared" si="15"/>
        <v>3202902</v>
      </c>
      <c r="E86" s="431">
        <v>902575</v>
      </c>
      <c r="F86" s="431">
        <v>96407</v>
      </c>
      <c r="G86" s="431">
        <v>447734</v>
      </c>
      <c r="H86" s="431">
        <v>0</v>
      </c>
      <c r="I86" s="431">
        <v>941747</v>
      </c>
      <c r="J86" s="431">
        <v>58000</v>
      </c>
      <c r="K86" s="431">
        <v>743610</v>
      </c>
      <c r="L86" s="431">
        <v>0</v>
      </c>
      <c r="M86" s="431">
        <v>556970</v>
      </c>
      <c r="N86" s="431">
        <v>0</v>
      </c>
      <c r="O86" s="431">
        <v>0</v>
      </c>
      <c r="P86" s="451">
        <f t="shared" si="16"/>
        <v>3188110</v>
      </c>
      <c r="Q86" s="431">
        <v>1434149</v>
      </c>
      <c r="R86" s="431">
        <v>894993</v>
      </c>
      <c r="S86" s="431">
        <v>0</v>
      </c>
      <c r="T86" s="431">
        <v>0</v>
      </c>
      <c r="U86" s="431">
        <v>0</v>
      </c>
      <c r="V86" s="431">
        <v>0</v>
      </c>
      <c r="W86" s="431">
        <v>0</v>
      </c>
      <c r="X86" s="431">
        <v>95895</v>
      </c>
      <c r="Y86" s="431">
        <v>64441</v>
      </c>
      <c r="Z86" s="431">
        <v>751144</v>
      </c>
      <c r="AA86" s="431">
        <v>0</v>
      </c>
      <c r="AB86" s="431">
        <v>-52512</v>
      </c>
      <c r="AC86" s="431">
        <v>1015428</v>
      </c>
      <c r="AD86" s="431">
        <v>0</v>
      </c>
      <c r="AE86" s="431">
        <v>977771</v>
      </c>
      <c r="AF86" s="431">
        <v>1248</v>
      </c>
      <c r="AG86" s="431">
        <v>152947</v>
      </c>
      <c r="AH86" s="431">
        <v>197000</v>
      </c>
      <c r="AI86" s="431">
        <v>656034</v>
      </c>
      <c r="AJ86" s="431">
        <v>15697</v>
      </c>
      <c r="AK86" s="431">
        <v>0</v>
      </c>
      <c r="AL86" s="431">
        <v>171985</v>
      </c>
      <c r="AM86" s="431">
        <v>0</v>
      </c>
    </row>
    <row r="87" spans="1:39" s="155" customFormat="1" ht="12" x14ac:dyDescent="0.2">
      <c r="A87" s="168">
        <v>33</v>
      </c>
      <c r="B87" s="228">
        <v>80711</v>
      </c>
      <c r="C87" s="559" t="s">
        <v>2152</v>
      </c>
      <c r="D87" s="451">
        <f t="shared" si="15"/>
        <v>2912564</v>
      </c>
      <c r="E87" s="431">
        <v>926049</v>
      </c>
      <c r="F87" s="431">
        <v>272017</v>
      </c>
      <c r="G87" s="431">
        <v>328469</v>
      </c>
      <c r="H87" s="431">
        <v>0</v>
      </c>
      <c r="I87" s="431">
        <v>1266233</v>
      </c>
      <c r="J87" s="431">
        <v>31000</v>
      </c>
      <c r="K87" s="431">
        <v>656560</v>
      </c>
      <c r="L87" s="431">
        <v>0</v>
      </c>
      <c r="M87" s="431">
        <v>32722</v>
      </c>
      <c r="N87" s="431">
        <v>0</v>
      </c>
      <c r="O87" s="431">
        <v>0</v>
      </c>
      <c r="P87" s="451">
        <f t="shared" si="16"/>
        <v>2911793</v>
      </c>
      <c r="Q87" s="431">
        <v>1987926</v>
      </c>
      <c r="R87" s="431">
        <v>304905</v>
      </c>
      <c r="S87" s="431">
        <v>0</v>
      </c>
      <c r="T87" s="431">
        <v>0</v>
      </c>
      <c r="U87" s="431">
        <v>0</v>
      </c>
      <c r="V87" s="431">
        <v>0</v>
      </c>
      <c r="W87" s="431">
        <v>0</v>
      </c>
      <c r="X87" s="431">
        <v>152734</v>
      </c>
      <c r="Y87" s="431">
        <v>11285</v>
      </c>
      <c r="Z87" s="431">
        <v>461305</v>
      </c>
      <c r="AA87" s="431">
        <v>0</v>
      </c>
      <c r="AB87" s="431">
        <v>-6362</v>
      </c>
      <c r="AC87" s="431">
        <v>864873</v>
      </c>
      <c r="AD87" s="431">
        <v>0</v>
      </c>
      <c r="AE87" s="431">
        <v>1132930</v>
      </c>
      <c r="AF87" s="431">
        <v>0</v>
      </c>
      <c r="AG87" s="431">
        <v>71231</v>
      </c>
      <c r="AH87" s="431">
        <v>356842</v>
      </c>
      <c r="AI87" s="431">
        <v>43612</v>
      </c>
      <c r="AJ87" s="431">
        <v>0</v>
      </c>
      <c r="AK87" s="431">
        <v>0</v>
      </c>
      <c r="AL87" s="431">
        <v>442305</v>
      </c>
      <c r="AM87" s="431">
        <v>0</v>
      </c>
    </row>
    <row r="88" spans="1:39" s="155" customFormat="1" ht="12" x14ac:dyDescent="0.2">
      <c r="A88" s="168">
        <v>34</v>
      </c>
      <c r="B88" s="228">
        <v>80766</v>
      </c>
      <c r="C88" s="559" t="s">
        <v>2153</v>
      </c>
      <c r="D88" s="451">
        <f t="shared" si="15"/>
        <v>9376746</v>
      </c>
      <c r="E88" s="431">
        <v>1009320</v>
      </c>
      <c r="F88" s="431">
        <v>166188</v>
      </c>
      <c r="G88" s="431">
        <v>474570</v>
      </c>
      <c r="H88" s="431">
        <v>0</v>
      </c>
      <c r="I88" s="431">
        <v>1135925</v>
      </c>
      <c r="J88" s="431">
        <v>60000</v>
      </c>
      <c r="K88" s="431">
        <v>2604260</v>
      </c>
      <c r="L88" s="431">
        <v>0</v>
      </c>
      <c r="M88" s="431">
        <v>1898696</v>
      </c>
      <c r="N88" s="431">
        <v>0</v>
      </c>
      <c r="O88" s="431">
        <v>2668545</v>
      </c>
      <c r="P88" s="451">
        <f t="shared" si="16"/>
        <v>8652618</v>
      </c>
      <c r="Q88" s="431">
        <v>1639806</v>
      </c>
      <c r="R88" s="431">
        <v>1010170</v>
      </c>
      <c r="S88" s="431">
        <v>0</v>
      </c>
      <c r="T88" s="431">
        <v>0</v>
      </c>
      <c r="U88" s="431">
        <v>0</v>
      </c>
      <c r="V88" s="431">
        <v>0</v>
      </c>
      <c r="W88" s="431">
        <v>0</v>
      </c>
      <c r="X88" s="431">
        <v>140715</v>
      </c>
      <c r="Y88" s="431">
        <v>100</v>
      </c>
      <c r="Z88" s="431">
        <v>5861827</v>
      </c>
      <c r="AA88" s="431">
        <v>0</v>
      </c>
      <c r="AB88" s="431">
        <v>0</v>
      </c>
      <c r="AC88" s="431">
        <v>761189</v>
      </c>
      <c r="AD88" s="431">
        <v>14755</v>
      </c>
      <c r="AE88" s="431">
        <v>1057892</v>
      </c>
      <c r="AF88" s="431">
        <v>172143</v>
      </c>
      <c r="AG88" s="431">
        <v>82108</v>
      </c>
      <c r="AH88" s="431">
        <v>320270</v>
      </c>
      <c r="AI88" s="431">
        <v>3836534</v>
      </c>
      <c r="AJ88" s="431">
        <v>0</v>
      </c>
      <c r="AK88" s="431">
        <v>0</v>
      </c>
      <c r="AL88" s="431">
        <v>2407727</v>
      </c>
      <c r="AM88" s="431">
        <v>0</v>
      </c>
    </row>
    <row r="89" spans="1:39" s="155" customFormat="1" ht="12" x14ac:dyDescent="0.2">
      <c r="A89" s="168">
        <v>35</v>
      </c>
      <c r="B89" s="228">
        <v>80846</v>
      </c>
      <c r="C89" s="559" t="s">
        <v>2154</v>
      </c>
      <c r="D89" s="451">
        <f t="shared" si="15"/>
        <v>11262297</v>
      </c>
      <c r="E89" s="431">
        <v>6262002</v>
      </c>
      <c r="F89" s="431">
        <v>5191612</v>
      </c>
      <c r="G89" s="431">
        <v>34611</v>
      </c>
      <c r="H89" s="431">
        <v>0</v>
      </c>
      <c r="I89" s="431">
        <v>4801662</v>
      </c>
      <c r="J89" s="431">
        <v>41000</v>
      </c>
      <c r="K89" s="431">
        <v>101280</v>
      </c>
      <c r="L89" s="431">
        <v>0</v>
      </c>
      <c r="M89" s="431">
        <v>56353</v>
      </c>
      <c r="N89" s="431">
        <v>0</v>
      </c>
      <c r="O89" s="431">
        <v>0</v>
      </c>
      <c r="P89" s="451">
        <f t="shared" si="16"/>
        <v>9152328</v>
      </c>
      <c r="Q89" s="431">
        <v>5167865</v>
      </c>
      <c r="R89" s="431">
        <v>2500717</v>
      </c>
      <c r="S89" s="431">
        <v>0</v>
      </c>
      <c r="T89" s="431">
        <v>0</v>
      </c>
      <c r="U89" s="431">
        <v>0</v>
      </c>
      <c r="V89" s="431">
        <v>0</v>
      </c>
      <c r="W89" s="431">
        <v>0</v>
      </c>
      <c r="X89" s="431">
        <v>215594</v>
      </c>
      <c r="Y89" s="431">
        <v>11899</v>
      </c>
      <c r="Z89" s="431">
        <v>1256253</v>
      </c>
      <c r="AA89" s="431">
        <v>0</v>
      </c>
      <c r="AB89" s="431">
        <v>0</v>
      </c>
      <c r="AC89" s="431">
        <v>1194242</v>
      </c>
      <c r="AD89" s="431">
        <v>0</v>
      </c>
      <c r="AE89" s="431">
        <v>4611164</v>
      </c>
      <c r="AF89" s="431">
        <v>93894</v>
      </c>
      <c r="AG89" s="431">
        <v>167897</v>
      </c>
      <c r="AH89" s="431">
        <v>508691</v>
      </c>
      <c r="AI89" s="431">
        <v>1434790</v>
      </c>
      <c r="AJ89" s="431">
        <v>48173</v>
      </c>
      <c r="AK89" s="431">
        <v>0</v>
      </c>
      <c r="AL89" s="431">
        <v>1093477</v>
      </c>
      <c r="AM89" s="431">
        <v>0</v>
      </c>
    </row>
    <row r="90" spans="1:39" s="155" customFormat="1" ht="12" x14ac:dyDescent="0.2">
      <c r="A90" s="168">
        <v>36</v>
      </c>
      <c r="B90" s="228">
        <v>80908</v>
      </c>
      <c r="C90" s="559" t="s">
        <v>2155</v>
      </c>
      <c r="D90" s="451">
        <f t="shared" si="15"/>
        <v>3264901</v>
      </c>
      <c r="E90" s="431">
        <v>1063597</v>
      </c>
      <c r="F90" s="431">
        <v>193269</v>
      </c>
      <c r="G90" s="431">
        <v>420362</v>
      </c>
      <c r="H90" s="431">
        <v>0</v>
      </c>
      <c r="I90" s="431">
        <v>1211019</v>
      </c>
      <c r="J90" s="431">
        <v>173000</v>
      </c>
      <c r="K90" s="431">
        <v>815200</v>
      </c>
      <c r="L90" s="431">
        <v>0</v>
      </c>
      <c r="M90" s="431">
        <v>2085</v>
      </c>
      <c r="N90" s="431">
        <v>0</v>
      </c>
      <c r="O90" s="431">
        <v>0</v>
      </c>
      <c r="P90" s="451">
        <f t="shared" si="16"/>
        <v>3466020</v>
      </c>
      <c r="Q90" s="431">
        <v>1585893</v>
      </c>
      <c r="R90" s="431">
        <v>992535</v>
      </c>
      <c r="S90" s="431">
        <v>0</v>
      </c>
      <c r="T90" s="431">
        <v>0</v>
      </c>
      <c r="U90" s="431">
        <v>0</v>
      </c>
      <c r="V90" s="431">
        <v>0</v>
      </c>
      <c r="W90" s="431">
        <v>0</v>
      </c>
      <c r="X90" s="431">
        <v>158213</v>
      </c>
      <c r="Y90" s="431">
        <v>0</v>
      </c>
      <c r="Z90" s="431">
        <v>736788</v>
      </c>
      <c r="AA90" s="431">
        <v>0</v>
      </c>
      <c r="AB90" s="431">
        <v>-7409</v>
      </c>
      <c r="AC90" s="431">
        <v>961685</v>
      </c>
      <c r="AD90" s="431">
        <v>31638</v>
      </c>
      <c r="AE90" s="431">
        <v>1154609</v>
      </c>
      <c r="AF90" s="431">
        <v>0</v>
      </c>
      <c r="AG90" s="431">
        <v>50953</v>
      </c>
      <c r="AH90" s="431">
        <v>256047</v>
      </c>
      <c r="AI90" s="431">
        <v>175687</v>
      </c>
      <c r="AJ90" s="431">
        <v>34822</v>
      </c>
      <c r="AK90" s="431">
        <v>0</v>
      </c>
      <c r="AL90" s="431">
        <v>800579</v>
      </c>
      <c r="AM90" s="431">
        <v>0</v>
      </c>
    </row>
    <row r="91" spans="1:39" s="155" customFormat="1" ht="12" x14ac:dyDescent="0.2">
      <c r="A91" s="168">
        <v>37</v>
      </c>
      <c r="B91" s="228">
        <v>80980</v>
      </c>
      <c r="C91" s="559" t="s">
        <v>2156</v>
      </c>
      <c r="D91" s="451">
        <f t="shared" si="15"/>
        <v>11653632</v>
      </c>
      <c r="E91" s="431">
        <v>1726632</v>
      </c>
      <c r="F91" s="431">
        <v>1102117</v>
      </c>
      <c r="G91" s="431">
        <v>87413</v>
      </c>
      <c r="H91" s="431">
        <v>0</v>
      </c>
      <c r="I91" s="431">
        <v>2345719</v>
      </c>
      <c r="J91" s="431">
        <v>140000</v>
      </c>
      <c r="K91" s="431">
        <v>452530</v>
      </c>
      <c r="L91" s="431">
        <v>0</v>
      </c>
      <c r="M91" s="431">
        <v>1530485</v>
      </c>
      <c r="N91" s="431">
        <v>5458266</v>
      </c>
      <c r="O91" s="431">
        <v>0</v>
      </c>
      <c r="P91" s="451">
        <f t="shared" si="16"/>
        <v>6595970</v>
      </c>
      <c r="Q91" s="431">
        <v>2926847</v>
      </c>
      <c r="R91" s="431">
        <v>1315865</v>
      </c>
      <c r="S91" s="431">
        <v>35700</v>
      </c>
      <c r="T91" s="431">
        <v>0</v>
      </c>
      <c r="U91" s="431">
        <v>0</v>
      </c>
      <c r="V91" s="431">
        <v>0</v>
      </c>
      <c r="W91" s="431">
        <v>549697</v>
      </c>
      <c r="X91" s="431">
        <v>107999</v>
      </c>
      <c r="Y91" s="431">
        <v>22433</v>
      </c>
      <c r="Z91" s="431">
        <v>1577093</v>
      </c>
      <c r="AA91" s="431">
        <v>60336</v>
      </c>
      <c r="AB91" s="431">
        <v>0</v>
      </c>
      <c r="AC91" s="431">
        <v>1545781</v>
      </c>
      <c r="AD91" s="431">
        <v>0</v>
      </c>
      <c r="AE91" s="431">
        <v>2695143</v>
      </c>
      <c r="AF91" s="431">
        <v>0</v>
      </c>
      <c r="AG91" s="431">
        <v>125467</v>
      </c>
      <c r="AH91" s="431">
        <v>365830</v>
      </c>
      <c r="AI91" s="431">
        <v>193118</v>
      </c>
      <c r="AJ91" s="431">
        <v>17433</v>
      </c>
      <c r="AK91" s="431">
        <v>0</v>
      </c>
      <c r="AL91" s="431">
        <v>1564126</v>
      </c>
      <c r="AM91" s="431">
        <v>89072</v>
      </c>
    </row>
    <row r="92" spans="1:39" s="155" customFormat="1" ht="12" x14ac:dyDescent="0.2">
      <c r="A92" s="168">
        <v>38</v>
      </c>
      <c r="B92" s="228">
        <v>81095</v>
      </c>
      <c r="C92" s="559" t="s">
        <v>2157</v>
      </c>
      <c r="D92" s="451">
        <f t="shared" si="15"/>
        <v>6986056</v>
      </c>
      <c r="E92" s="431">
        <v>1572543</v>
      </c>
      <c r="F92" s="431">
        <v>409768</v>
      </c>
      <c r="G92" s="431">
        <v>472055</v>
      </c>
      <c r="H92" s="431">
        <v>0</v>
      </c>
      <c r="I92" s="431">
        <v>2511388</v>
      </c>
      <c r="J92" s="431">
        <v>76000</v>
      </c>
      <c r="K92" s="431">
        <v>1004430</v>
      </c>
      <c r="L92" s="431">
        <v>0</v>
      </c>
      <c r="M92" s="431">
        <v>640650</v>
      </c>
      <c r="N92" s="431">
        <v>1181045</v>
      </c>
      <c r="O92" s="431">
        <v>0</v>
      </c>
      <c r="P92" s="451">
        <f t="shared" si="16"/>
        <v>7058851</v>
      </c>
      <c r="Q92" s="431">
        <v>3571165</v>
      </c>
      <c r="R92" s="431">
        <v>1256455</v>
      </c>
      <c r="S92" s="431">
        <v>18230</v>
      </c>
      <c r="T92" s="431">
        <v>0</v>
      </c>
      <c r="U92" s="431">
        <v>0</v>
      </c>
      <c r="V92" s="431">
        <v>0</v>
      </c>
      <c r="W92" s="431">
        <v>1374078</v>
      </c>
      <c r="X92" s="431">
        <v>104327</v>
      </c>
      <c r="Y92" s="431">
        <v>9991</v>
      </c>
      <c r="Z92" s="431">
        <v>194264</v>
      </c>
      <c r="AA92" s="431">
        <v>534997</v>
      </c>
      <c r="AB92" s="431">
        <v>-4656</v>
      </c>
      <c r="AC92" s="431">
        <v>1504566</v>
      </c>
      <c r="AD92" s="431">
        <v>96439</v>
      </c>
      <c r="AE92" s="431">
        <v>2065717</v>
      </c>
      <c r="AF92" s="431">
        <v>25113</v>
      </c>
      <c r="AG92" s="431">
        <v>201993</v>
      </c>
      <c r="AH92" s="431">
        <v>706796</v>
      </c>
      <c r="AI92" s="431">
        <v>307957</v>
      </c>
      <c r="AJ92" s="431">
        <v>0</v>
      </c>
      <c r="AK92" s="431">
        <v>0</v>
      </c>
      <c r="AL92" s="431">
        <v>2150270</v>
      </c>
      <c r="AM92" s="431">
        <v>0</v>
      </c>
    </row>
    <row r="93" spans="1:39" s="155" customFormat="1" ht="12" x14ac:dyDescent="0.2">
      <c r="A93" s="168">
        <v>39</v>
      </c>
      <c r="B93" s="228">
        <v>81184</v>
      </c>
      <c r="C93" s="559" t="s">
        <v>2158</v>
      </c>
      <c r="D93" s="451">
        <f t="shared" si="15"/>
        <v>6533671</v>
      </c>
      <c r="E93" s="431">
        <v>1555744</v>
      </c>
      <c r="F93" s="431">
        <v>433643</v>
      </c>
      <c r="G93" s="431">
        <v>441855</v>
      </c>
      <c r="H93" s="431">
        <v>0</v>
      </c>
      <c r="I93" s="431">
        <v>3302677</v>
      </c>
      <c r="J93" s="431">
        <v>391000</v>
      </c>
      <c r="K93" s="431">
        <v>983480</v>
      </c>
      <c r="L93" s="431">
        <v>0</v>
      </c>
      <c r="M93" s="431">
        <v>300770</v>
      </c>
      <c r="N93" s="431">
        <v>0</v>
      </c>
      <c r="O93" s="431">
        <v>0</v>
      </c>
      <c r="P93" s="451">
        <f t="shared" si="16"/>
        <v>7564053</v>
      </c>
      <c r="Q93" s="431">
        <v>3914753</v>
      </c>
      <c r="R93" s="431">
        <v>1162059</v>
      </c>
      <c r="S93" s="431">
        <v>0</v>
      </c>
      <c r="T93" s="431">
        <v>0</v>
      </c>
      <c r="U93" s="431">
        <v>0</v>
      </c>
      <c r="V93" s="431">
        <v>0</v>
      </c>
      <c r="W93" s="431">
        <v>1385215</v>
      </c>
      <c r="X93" s="431">
        <v>169327</v>
      </c>
      <c r="Y93" s="431">
        <v>19300</v>
      </c>
      <c r="Z93" s="431">
        <v>913399</v>
      </c>
      <c r="AA93" s="431">
        <v>0</v>
      </c>
      <c r="AB93" s="431">
        <v>0</v>
      </c>
      <c r="AC93" s="431">
        <v>1215216</v>
      </c>
      <c r="AD93" s="431">
        <v>41647</v>
      </c>
      <c r="AE93" s="431">
        <v>3191642</v>
      </c>
      <c r="AF93" s="431">
        <v>7086</v>
      </c>
      <c r="AG93" s="431">
        <v>64327</v>
      </c>
      <c r="AH93" s="431">
        <v>352157</v>
      </c>
      <c r="AI93" s="431">
        <v>679594</v>
      </c>
      <c r="AJ93" s="431">
        <v>109796</v>
      </c>
      <c r="AK93" s="431">
        <v>0</v>
      </c>
      <c r="AL93" s="431">
        <v>1901348</v>
      </c>
      <c r="AM93" s="431">
        <v>1240</v>
      </c>
    </row>
    <row r="94" spans="1:39" s="155" customFormat="1" ht="12" x14ac:dyDescent="0.2">
      <c r="A94" s="168">
        <v>40</v>
      </c>
      <c r="B94" s="228">
        <v>81380</v>
      </c>
      <c r="C94" s="559" t="s">
        <v>2159</v>
      </c>
      <c r="D94" s="451">
        <f t="shared" si="15"/>
        <v>6006000</v>
      </c>
      <c r="E94" s="431">
        <v>2018294</v>
      </c>
      <c r="F94" s="431">
        <v>269320</v>
      </c>
      <c r="G94" s="431">
        <v>490322</v>
      </c>
      <c r="H94" s="431">
        <v>0</v>
      </c>
      <c r="I94" s="431">
        <v>1605359</v>
      </c>
      <c r="J94" s="431">
        <v>149000</v>
      </c>
      <c r="K94" s="431">
        <v>1032230</v>
      </c>
      <c r="L94" s="431">
        <v>0</v>
      </c>
      <c r="M94" s="431">
        <v>1081384</v>
      </c>
      <c r="N94" s="431">
        <v>119733</v>
      </c>
      <c r="O94" s="431">
        <v>0</v>
      </c>
      <c r="P94" s="451">
        <f t="shared" si="16"/>
        <v>5450679</v>
      </c>
      <c r="Q94" s="431">
        <v>2266088</v>
      </c>
      <c r="R94" s="431">
        <v>982009</v>
      </c>
      <c r="S94" s="431">
        <v>0</v>
      </c>
      <c r="T94" s="431">
        <v>0</v>
      </c>
      <c r="U94" s="431">
        <v>0</v>
      </c>
      <c r="V94" s="431">
        <v>0</v>
      </c>
      <c r="W94" s="431">
        <v>431656</v>
      </c>
      <c r="X94" s="431">
        <v>243691</v>
      </c>
      <c r="Y94" s="431">
        <v>60000</v>
      </c>
      <c r="Z94" s="431">
        <v>1468435</v>
      </c>
      <c r="AA94" s="431">
        <v>0</v>
      </c>
      <c r="AB94" s="431">
        <v>-1200</v>
      </c>
      <c r="AC94" s="431">
        <v>894587</v>
      </c>
      <c r="AD94" s="431">
        <v>76706</v>
      </c>
      <c r="AE94" s="431">
        <v>1418252</v>
      </c>
      <c r="AF94" s="431">
        <v>0</v>
      </c>
      <c r="AG94" s="431">
        <v>245771</v>
      </c>
      <c r="AH94" s="431">
        <v>355859</v>
      </c>
      <c r="AI94" s="431">
        <v>992483</v>
      </c>
      <c r="AJ94" s="431">
        <v>161380</v>
      </c>
      <c r="AK94" s="431">
        <v>0</v>
      </c>
      <c r="AL94" s="431">
        <v>1305641</v>
      </c>
      <c r="AM94" s="431">
        <v>0</v>
      </c>
    </row>
    <row r="95" spans="1:39" s="155" customFormat="1" ht="12" x14ac:dyDescent="0.2">
      <c r="A95" s="168">
        <v>41</v>
      </c>
      <c r="B95" s="228">
        <v>81264</v>
      </c>
      <c r="C95" s="559" t="s">
        <v>2160</v>
      </c>
      <c r="D95" s="451">
        <f t="shared" si="15"/>
        <v>8526282</v>
      </c>
      <c r="E95" s="431">
        <v>1967116</v>
      </c>
      <c r="F95" s="431">
        <v>459817</v>
      </c>
      <c r="G95" s="431">
        <v>582746</v>
      </c>
      <c r="H95" s="431">
        <v>0</v>
      </c>
      <c r="I95" s="431">
        <v>3136134</v>
      </c>
      <c r="J95" s="431">
        <v>96000</v>
      </c>
      <c r="K95" s="431">
        <v>1507720</v>
      </c>
      <c r="L95" s="431">
        <v>0</v>
      </c>
      <c r="M95" s="431">
        <v>181674</v>
      </c>
      <c r="N95" s="431">
        <v>1637638</v>
      </c>
      <c r="O95" s="431">
        <v>0</v>
      </c>
      <c r="P95" s="451">
        <f t="shared" si="16"/>
        <v>6765990</v>
      </c>
      <c r="Q95" s="431">
        <v>3797202</v>
      </c>
      <c r="R95" s="431">
        <v>1654816</v>
      </c>
      <c r="S95" s="431">
        <v>0</v>
      </c>
      <c r="T95" s="431">
        <v>0</v>
      </c>
      <c r="U95" s="431">
        <v>0</v>
      </c>
      <c r="V95" s="431">
        <v>0</v>
      </c>
      <c r="W95" s="431">
        <v>0</v>
      </c>
      <c r="X95" s="431">
        <v>368290</v>
      </c>
      <c r="Y95" s="431">
        <v>0</v>
      </c>
      <c r="Z95" s="431">
        <v>945682</v>
      </c>
      <c r="AA95" s="431">
        <v>0</v>
      </c>
      <c r="AB95" s="431">
        <v>0</v>
      </c>
      <c r="AC95" s="431">
        <v>1712236</v>
      </c>
      <c r="AD95" s="431">
        <v>2715</v>
      </c>
      <c r="AE95" s="431">
        <v>3165282</v>
      </c>
      <c r="AF95" s="431">
        <v>23547</v>
      </c>
      <c r="AG95" s="431">
        <v>93110</v>
      </c>
      <c r="AH95" s="431">
        <v>847356</v>
      </c>
      <c r="AI95" s="431">
        <v>498846</v>
      </c>
      <c r="AJ95" s="431">
        <v>28848</v>
      </c>
      <c r="AK95" s="431">
        <v>0</v>
      </c>
      <c r="AL95" s="431">
        <v>391567</v>
      </c>
      <c r="AM95" s="431">
        <v>2483</v>
      </c>
    </row>
    <row r="96" spans="1:39" s="155" customFormat="1" ht="12" x14ac:dyDescent="0.2">
      <c r="A96" s="168">
        <v>42</v>
      </c>
      <c r="B96" s="228">
        <v>81415</v>
      </c>
      <c r="C96" s="559" t="s">
        <v>2161</v>
      </c>
      <c r="D96" s="451">
        <f t="shared" si="15"/>
        <v>4386275</v>
      </c>
      <c r="E96" s="431">
        <v>1378668</v>
      </c>
      <c r="F96" s="431">
        <v>156292</v>
      </c>
      <c r="G96" s="431">
        <v>372148</v>
      </c>
      <c r="H96" s="431">
        <v>0</v>
      </c>
      <c r="I96" s="431">
        <v>1388353</v>
      </c>
      <c r="J96" s="431">
        <v>226000</v>
      </c>
      <c r="K96" s="431">
        <v>775150</v>
      </c>
      <c r="L96" s="431">
        <v>0</v>
      </c>
      <c r="M96" s="431">
        <v>505646</v>
      </c>
      <c r="N96" s="431">
        <v>112458</v>
      </c>
      <c r="O96" s="431">
        <v>0</v>
      </c>
      <c r="P96" s="451">
        <f t="shared" si="16"/>
        <v>4913547</v>
      </c>
      <c r="Q96" s="431">
        <v>2008800</v>
      </c>
      <c r="R96" s="431">
        <v>1350467</v>
      </c>
      <c r="S96" s="431">
        <v>0</v>
      </c>
      <c r="T96" s="431">
        <v>0</v>
      </c>
      <c r="U96" s="431">
        <v>0</v>
      </c>
      <c r="V96" s="431">
        <v>0</v>
      </c>
      <c r="W96" s="431">
        <v>512662</v>
      </c>
      <c r="X96" s="431">
        <v>192029</v>
      </c>
      <c r="Y96" s="431">
        <v>26962</v>
      </c>
      <c r="Z96" s="431">
        <v>862397</v>
      </c>
      <c r="AA96" s="431">
        <v>0</v>
      </c>
      <c r="AB96" s="431">
        <v>-39770</v>
      </c>
      <c r="AC96" s="431">
        <v>1141604</v>
      </c>
      <c r="AD96" s="431">
        <v>23620</v>
      </c>
      <c r="AE96" s="431">
        <v>1697463</v>
      </c>
      <c r="AF96" s="431">
        <v>137213</v>
      </c>
      <c r="AG96" s="431">
        <v>26015</v>
      </c>
      <c r="AH96" s="431">
        <v>426817</v>
      </c>
      <c r="AI96" s="431">
        <v>462807</v>
      </c>
      <c r="AJ96" s="431">
        <v>0</v>
      </c>
      <c r="AK96" s="431">
        <v>0</v>
      </c>
      <c r="AL96" s="431">
        <v>998008</v>
      </c>
      <c r="AM96" s="431">
        <v>0</v>
      </c>
    </row>
    <row r="97" spans="1:39" s="155" customFormat="1" ht="12" x14ac:dyDescent="0.2">
      <c r="A97" s="168">
        <v>43</v>
      </c>
      <c r="B97" s="228">
        <v>81497</v>
      </c>
      <c r="C97" s="559" t="s">
        <v>2162</v>
      </c>
      <c r="D97" s="451">
        <f t="shared" si="15"/>
        <v>4862829</v>
      </c>
      <c r="E97" s="431">
        <v>1101655</v>
      </c>
      <c r="F97" s="431">
        <v>395083</v>
      </c>
      <c r="G97" s="431">
        <v>243726</v>
      </c>
      <c r="H97" s="431">
        <v>0</v>
      </c>
      <c r="I97" s="431">
        <v>2705715</v>
      </c>
      <c r="J97" s="431">
        <v>263000</v>
      </c>
      <c r="K97" s="431">
        <v>561110</v>
      </c>
      <c r="L97" s="431">
        <v>0</v>
      </c>
      <c r="M97" s="431">
        <v>231349</v>
      </c>
      <c r="N97" s="431">
        <v>0</v>
      </c>
      <c r="O97" s="431">
        <v>0</v>
      </c>
      <c r="P97" s="451">
        <f t="shared" si="16"/>
        <v>5310829</v>
      </c>
      <c r="Q97" s="431">
        <v>3558878</v>
      </c>
      <c r="R97" s="431">
        <v>1010137</v>
      </c>
      <c r="S97" s="431">
        <v>0</v>
      </c>
      <c r="T97" s="431">
        <v>0</v>
      </c>
      <c r="U97" s="431">
        <v>0</v>
      </c>
      <c r="V97" s="431">
        <v>344</v>
      </c>
      <c r="W97" s="431">
        <v>0</v>
      </c>
      <c r="X97" s="431">
        <v>129365</v>
      </c>
      <c r="Y97" s="431">
        <v>0</v>
      </c>
      <c r="Z97" s="431">
        <v>625990</v>
      </c>
      <c r="AA97" s="431">
        <v>0</v>
      </c>
      <c r="AB97" s="431">
        <v>-13885</v>
      </c>
      <c r="AC97" s="431">
        <v>1157491</v>
      </c>
      <c r="AD97" s="431">
        <v>67673</v>
      </c>
      <c r="AE97" s="431">
        <v>2442253</v>
      </c>
      <c r="AF97" s="431">
        <v>25500</v>
      </c>
      <c r="AG97" s="431">
        <v>54952</v>
      </c>
      <c r="AH97" s="431">
        <v>402202</v>
      </c>
      <c r="AI97" s="431">
        <v>669311</v>
      </c>
      <c r="AJ97" s="431">
        <v>14464</v>
      </c>
      <c r="AK97" s="431">
        <v>0</v>
      </c>
      <c r="AL97" s="431">
        <v>476983</v>
      </c>
      <c r="AM97" s="431">
        <v>0</v>
      </c>
    </row>
    <row r="98" spans="1:39" s="155" customFormat="1" ht="12" x14ac:dyDescent="0.2">
      <c r="A98" s="168">
        <v>44</v>
      </c>
      <c r="B98" s="228">
        <v>81576</v>
      </c>
      <c r="C98" s="559" t="s">
        <v>872</v>
      </c>
      <c r="D98" s="451">
        <f t="shared" si="15"/>
        <v>10085400</v>
      </c>
      <c r="E98" s="431">
        <v>2386628</v>
      </c>
      <c r="F98" s="431">
        <v>736447</v>
      </c>
      <c r="G98" s="431">
        <v>259841</v>
      </c>
      <c r="H98" s="431">
        <v>0</v>
      </c>
      <c r="I98" s="431">
        <v>2877499</v>
      </c>
      <c r="J98" s="431">
        <v>93000</v>
      </c>
      <c r="K98" s="431">
        <v>866190</v>
      </c>
      <c r="L98" s="431">
        <v>0</v>
      </c>
      <c r="M98" s="431">
        <v>3293985</v>
      </c>
      <c r="N98" s="431">
        <v>0</v>
      </c>
      <c r="O98" s="431">
        <v>568098</v>
      </c>
      <c r="P98" s="451">
        <f t="shared" si="16"/>
        <v>12030964</v>
      </c>
      <c r="Q98" s="431">
        <v>3793112</v>
      </c>
      <c r="R98" s="431">
        <v>1221908</v>
      </c>
      <c r="S98" s="431">
        <v>0</v>
      </c>
      <c r="T98" s="431">
        <v>0</v>
      </c>
      <c r="U98" s="431">
        <v>0</v>
      </c>
      <c r="V98" s="431">
        <v>0</v>
      </c>
      <c r="W98" s="431">
        <v>1369590</v>
      </c>
      <c r="X98" s="431">
        <v>295408</v>
      </c>
      <c r="Y98" s="431">
        <v>110033</v>
      </c>
      <c r="Z98" s="431">
        <v>5240913</v>
      </c>
      <c r="AA98" s="431">
        <v>0</v>
      </c>
      <c r="AB98" s="431">
        <v>0</v>
      </c>
      <c r="AC98" s="431">
        <v>1222352</v>
      </c>
      <c r="AD98" s="431">
        <v>90601</v>
      </c>
      <c r="AE98" s="431">
        <v>2667102</v>
      </c>
      <c r="AF98" s="431">
        <v>34168</v>
      </c>
      <c r="AG98" s="431">
        <v>232490</v>
      </c>
      <c r="AH98" s="431">
        <v>825062</v>
      </c>
      <c r="AI98" s="431">
        <v>1500061</v>
      </c>
      <c r="AJ98" s="431">
        <v>527170</v>
      </c>
      <c r="AK98" s="431">
        <v>0</v>
      </c>
      <c r="AL98" s="431">
        <v>4593063</v>
      </c>
      <c r="AM98" s="431">
        <v>338895</v>
      </c>
    </row>
    <row r="99" spans="1:39" s="155" customFormat="1" ht="12" x14ac:dyDescent="0.2">
      <c r="A99" s="168">
        <v>45</v>
      </c>
      <c r="B99" s="228">
        <v>81656</v>
      </c>
      <c r="C99" s="559" t="s">
        <v>2163</v>
      </c>
      <c r="D99" s="451">
        <f t="shared" si="15"/>
        <v>4618179</v>
      </c>
      <c r="E99" s="431">
        <v>819470</v>
      </c>
      <c r="F99" s="431">
        <v>97938</v>
      </c>
      <c r="G99" s="431">
        <v>471196</v>
      </c>
      <c r="H99" s="431">
        <v>0</v>
      </c>
      <c r="I99" s="431">
        <v>966487</v>
      </c>
      <c r="J99" s="431">
        <v>125998</v>
      </c>
      <c r="K99" s="431">
        <v>917500</v>
      </c>
      <c r="L99" s="431">
        <v>0</v>
      </c>
      <c r="M99" s="431">
        <v>1337872</v>
      </c>
      <c r="N99" s="431">
        <v>0</v>
      </c>
      <c r="O99" s="431">
        <v>450852</v>
      </c>
      <c r="P99" s="451">
        <f t="shared" si="16"/>
        <v>4348340</v>
      </c>
      <c r="Q99" s="431">
        <v>1718880</v>
      </c>
      <c r="R99" s="431">
        <v>636067</v>
      </c>
      <c r="S99" s="431">
        <v>0</v>
      </c>
      <c r="T99" s="431">
        <v>0</v>
      </c>
      <c r="U99" s="431">
        <v>0</v>
      </c>
      <c r="V99" s="431">
        <v>0</v>
      </c>
      <c r="W99" s="431">
        <v>0</v>
      </c>
      <c r="X99" s="431">
        <v>72892</v>
      </c>
      <c r="Y99" s="431">
        <v>4000</v>
      </c>
      <c r="Z99" s="431">
        <v>1916501</v>
      </c>
      <c r="AA99" s="431">
        <v>0</v>
      </c>
      <c r="AB99" s="431">
        <v>0</v>
      </c>
      <c r="AC99" s="431">
        <v>1042220</v>
      </c>
      <c r="AD99" s="431">
        <v>0</v>
      </c>
      <c r="AE99" s="431">
        <v>1046359</v>
      </c>
      <c r="AF99" s="431">
        <v>0</v>
      </c>
      <c r="AG99" s="431">
        <v>79681</v>
      </c>
      <c r="AH99" s="431">
        <v>274998</v>
      </c>
      <c r="AI99" s="431">
        <v>1759082</v>
      </c>
      <c r="AJ99" s="431">
        <v>0</v>
      </c>
      <c r="AK99" s="431">
        <v>0</v>
      </c>
      <c r="AL99" s="431">
        <v>146000</v>
      </c>
      <c r="AM99" s="431">
        <v>0</v>
      </c>
    </row>
    <row r="100" spans="1:39" s="155" customFormat="1" ht="12" x14ac:dyDescent="0.2">
      <c r="A100" s="168">
        <v>46</v>
      </c>
      <c r="B100" s="228">
        <v>81754</v>
      </c>
      <c r="C100" s="559" t="s">
        <v>2164</v>
      </c>
      <c r="D100" s="451">
        <f t="shared" si="15"/>
        <v>2844306</v>
      </c>
      <c r="E100" s="431">
        <v>949298</v>
      </c>
      <c r="F100" s="431">
        <v>106081</v>
      </c>
      <c r="G100" s="431">
        <v>438936</v>
      </c>
      <c r="H100" s="431">
        <v>0</v>
      </c>
      <c r="I100" s="431">
        <v>812812</v>
      </c>
      <c r="J100" s="431">
        <v>105000</v>
      </c>
      <c r="K100" s="431">
        <v>954750</v>
      </c>
      <c r="L100" s="431">
        <v>0</v>
      </c>
      <c r="M100" s="431">
        <v>22446</v>
      </c>
      <c r="N100" s="431">
        <v>0</v>
      </c>
      <c r="O100" s="431">
        <v>0</v>
      </c>
      <c r="P100" s="451">
        <f t="shared" si="16"/>
        <v>2757451</v>
      </c>
      <c r="Q100" s="431">
        <v>1392810</v>
      </c>
      <c r="R100" s="431">
        <v>948313</v>
      </c>
      <c r="S100" s="431">
        <v>0</v>
      </c>
      <c r="T100" s="431">
        <v>0</v>
      </c>
      <c r="U100" s="431">
        <v>0</v>
      </c>
      <c r="V100" s="431">
        <v>0</v>
      </c>
      <c r="W100" s="431">
        <v>0</v>
      </c>
      <c r="X100" s="431">
        <v>64451</v>
      </c>
      <c r="Y100" s="431">
        <v>22200</v>
      </c>
      <c r="Z100" s="431">
        <v>330337</v>
      </c>
      <c r="AA100" s="431">
        <v>0</v>
      </c>
      <c r="AB100" s="431">
        <v>-660</v>
      </c>
      <c r="AC100" s="431">
        <v>1078199</v>
      </c>
      <c r="AD100" s="431">
        <v>0</v>
      </c>
      <c r="AE100" s="431">
        <v>718212</v>
      </c>
      <c r="AF100" s="431">
        <v>0</v>
      </c>
      <c r="AG100" s="431">
        <v>65617</v>
      </c>
      <c r="AH100" s="431">
        <v>267779</v>
      </c>
      <c r="AI100" s="431">
        <v>348847</v>
      </c>
      <c r="AJ100" s="431">
        <v>11576</v>
      </c>
      <c r="AK100" s="431">
        <v>0</v>
      </c>
      <c r="AL100" s="431">
        <v>267221</v>
      </c>
      <c r="AM100" s="431">
        <v>0</v>
      </c>
    </row>
    <row r="101" spans="1:39" s="155" customFormat="1" ht="12" x14ac:dyDescent="0.2">
      <c r="A101" s="168">
        <v>47</v>
      </c>
      <c r="B101" s="228">
        <v>81816</v>
      </c>
      <c r="C101" s="559" t="s">
        <v>2165</v>
      </c>
      <c r="D101" s="451">
        <f t="shared" si="15"/>
        <v>4201163</v>
      </c>
      <c r="E101" s="431">
        <v>1097221</v>
      </c>
      <c r="F101" s="431">
        <v>145211</v>
      </c>
      <c r="G101" s="431">
        <v>383814</v>
      </c>
      <c r="H101" s="431">
        <v>0</v>
      </c>
      <c r="I101" s="431">
        <v>1046020</v>
      </c>
      <c r="J101" s="431">
        <v>105000</v>
      </c>
      <c r="K101" s="431">
        <v>744780</v>
      </c>
      <c r="L101" s="431">
        <v>0</v>
      </c>
      <c r="M101" s="431">
        <v>1208142</v>
      </c>
      <c r="N101" s="431">
        <v>0</v>
      </c>
      <c r="O101" s="431">
        <v>0</v>
      </c>
      <c r="P101" s="451">
        <f t="shared" si="16"/>
        <v>4307242</v>
      </c>
      <c r="Q101" s="431">
        <v>1572069</v>
      </c>
      <c r="R101" s="431">
        <v>777024</v>
      </c>
      <c r="S101" s="431">
        <v>26000</v>
      </c>
      <c r="T101" s="431">
        <v>0</v>
      </c>
      <c r="U101" s="431">
        <v>0</v>
      </c>
      <c r="V101" s="431">
        <v>0</v>
      </c>
      <c r="W101" s="431">
        <v>0</v>
      </c>
      <c r="X101" s="431">
        <v>253216</v>
      </c>
      <c r="Y101" s="431">
        <v>50960</v>
      </c>
      <c r="Z101" s="431">
        <v>1617234</v>
      </c>
      <c r="AA101" s="431">
        <v>38748</v>
      </c>
      <c r="AB101" s="431">
        <v>-28009</v>
      </c>
      <c r="AC101" s="431">
        <v>1442056</v>
      </c>
      <c r="AD101" s="431">
        <v>0</v>
      </c>
      <c r="AE101" s="431">
        <v>804758</v>
      </c>
      <c r="AF101" s="431">
        <v>0</v>
      </c>
      <c r="AG101" s="431">
        <v>86225</v>
      </c>
      <c r="AH101" s="431">
        <v>316263</v>
      </c>
      <c r="AI101" s="431">
        <v>193061</v>
      </c>
      <c r="AJ101" s="431">
        <v>93649</v>
      </c>
      <c r="AK101" s="431">
        <v>0</v>
      </c>
      <c r="AL101" s="431">
        <v>1371230</v>
      </c>
      <c r="AM101" s="431">
        <v>0</v>
      </c>
    </row>
    <row r="102" spans="1:39" s="155" customFormat="1" ht="12" x14ac:dyDescent="0.2">
      <c r="A102" s="168">
        <v>48</v>
      </c>
      <c r="B102" s="228">
        <v>81861</v>
      </c>
      <c r="C102" s="559" t="s">
        <v>2166</v>
      </c>
      <c r="D102" s="451">
        <f t="shared" si="15"/>
        <v>6670875</v>
      </c>
      <c r="E102" s="431">
        <v>2137745</v>
      </c>
      <c r="F102" s="431">
        <v>287382</v>
      </c>
      <c r="G102" s="431">
        <v>423781</v>
      </c>
      <c r="H102" s="431">
        <v>0</v>
      </c>
      <c r="I102" s="431">
        <v>2014698</v>
      </c>
      <c r="J102" s="431">
        <v>60000</v>
      </c>
      <c r="K102" s="431">
        <v>1010840</v>
      </c>
      <c r="L102" s="431">
        <v>0</v>
      </c>
      <c r="M102" s="431">
        <v>718752</v>
      </c>
      <c r="N102" s="431">
        <v>728840</v>
      </c>
      <c r="O102" s="431">
        <v>0</v>
      </c>
      <c r="P102" s="451">
        <f t="shared" si="16"/>
        <v>6189426</v>
      </c>
      <c r="Q102" s="431">
        <v>2660009</v>
      </c>
      <c r="R102" s="431">
        <v>723405</v>
      </c>
      <c r="S102" s="431">
        <v>39702</v>
      </c>
      <c r="T102" s="431">
        <v>0</v>
      </c>
      <c r="U102" s="431">
        <v>0</v>
      </c>
      <c r="V102" s="431">
        <v>0</v>
      </c>
      <c r="W102" s="431">
        <v>1565457</v>
      </c>
      <c r="X102" s="431">
        <v>342399</v>
      </c>
      <c r="Y102" s="431">
        <v>42500</v>
      </c>
      <c r="Z102" s="431">
        <v>253497</v>
      </c>
      <c r="AA102" s="431">
        <v>574715</v>
      </c>
      <c r="AB102" s="431">
        <v>-12258</v>
      </c>
      <c r="AC102" s="431">
        <v>1213084</v>
      </c>
      <c r="AD102" s="431">
        <v>128500</v>
      </c>
      <c r="AE102" s="431">
        <v>1626842</v>
      </c>
      <c r="AF102" s="431">
        <v>24071</v>
      </c>
      <c r="AG102" s="431">
        <v>124275</v>
      </c>
      <c r="AH102" s="431">
        <v>575739</v>
      </c>
      <c r="AI102" s="431">
        <v>258652</v>
      </c>
      <c r="AJ102" s="431">
        <v>529291</v>
      </c>
      <c r="AK102" s="431">
        <v>0</v>
      </c>
      <c r="AL102" s="431">
        <v>929573</v>
      </c>
      <c r="AM102" s="431">
        <v>779399</v>
      </c>
    </row>
    <row r="103" spans="1:39" s="155" customFormat="1" ht="12" x14ac:dyDescent="0.2">
      <c r="A103" s="168">
        <v>49</v>
      </c>
      <c r="B103" s="228">
        <v>81987</v>
      </c>
      <c r="C103" s="559" t="s">
        <v>2167</v>
      </c>
      <c r="D103" s="451">
        <f t="shared" si="15"/>
        <v>5305103</v>
      </c>
      <c r="E103" s="431">
        <v>935704</v>
      </c>
      <c r="F103" s="431">
        <v>146283</v>
      </c>
      <c r="G103" s="431">
        <v>470219</v>
      </c>
      <c r="H103" s="431">
        <v>0</v>
      </c>
      <c r="I103" s="431">
        <v>850581</v>
      </c>
      <c r="J103" s="431">
        <v>30000</v>
      </c>
      <c r="K103" s="431">
        <v>910290</v>
      </c>
      <c r="L103" s="431">
        <v>0</v>
      </c>
      <c r="M103" s="431">
        <v>2578528</v>
      </c>
      <c r="N103" s="431">
        <v>0</v>
      </c>
      <c r="O103" s="431">
        <v>0</v>
      </c>
      <c r="P103" s="451">
        <f t="shared" si="16"/>
        <v>5546566</v>
      </c>
      <c r="Q103" s="431">
        <v>1282840</v>
      </c>
      <c r="R103" s="431">
        <v>576040</v>
      </c>
      <c r="S103" s="431">
        <v>0</v>
      </c>
      <c r="T103" s="431">
        <v>0</v>
      </c>
      <c r="U103" s="431">
        <v>0</v>
      </c>
      <c r="V103" s="431">
        <v>0</v>
      </c>
      <c r="W103" s="431">
        <v>0</v>
      </c>
      <c r="X103" s="431">
        <v>113499</v>
      </c>
      <c r="Y103" s="431">
        <v>0</v>
      </c>
      <c r="Z103" s="431">
        <v>3577937</v>
      </c>
      <c r="AA103" s="431">
        <v>0</v>
      </c>
      <c r="AB103" s="431">
        <v>-3750</v>
      </c>
      <c r="AC103" s="431">
        <v>648713</v>
      </c>
      <c r="AD103" s="431">
        <v>0</v>
      </c>
      <c r="AE103" s="431">
        <v>663825</v>
      </c>
      <c r="AF103" s="431">
        <v>0</v>
      </c>
      <c r="AG103" s="431">
        <v>24180</v>
      </c>
      <c r="AH103" s="431">
        <v>311020</v>
      </c>
      <c r="AI103" s="431">
        <v>423155</v>
      </c>
      <c r="AJ103" s="431">
        <v>51741</v>
      </c>
      <c r="AK103" s="431">
        <v>0</v>
      </c>
      <c r="AL103" s="431">
        <v>3423932</v>
      </c>
      <c r="AM103" s="431">
        <v>0</v>
      </c>
    </row>
    <row r="104" spans="1:39" s="155" customFormat="1" ht="12" x14ac:dyDescent="0.2">
      <c r="A104" s="168">
        <v>50</v>
      </c>
      <c r="B104" s="228">
        <v>82047</v>
      </c>
      <c r="C104" s="559" t="s">
        <v>2168</v>
      </c>
      <c r="D104" s="451">
        <f t="shared" si="15"/>
        <v>3487202</v>
      </c>
      <c r="E104" s="431">
        <v>1488074</v>
      </c>
      <c r="F104" s="431">
        <v>981800</v>
      </c>
      <c r="G104" s="431">
        <v>131293</v>
      </c>
      <c r="H104" s="431">
        <v>0</v>
      </c>
      <c r="I104" s="431">
        <v>1598113</v>
      </c>
      <c r="J104" s="431">
        <v>49000</v>
      </c>
      <c r="K104" s="431">
        <v>337050</v>
      </c>
      <c r="L104" s="431">
        <v>0</v>
      </c>
      <c r="M104" s="431">
        <v>14965</v>
      </c>
      <c r="N104" s="431">
        <v>0</v>
      </c>
      <c r="O104" s="431">
        <v>0</v>
      </c>
      <c r="P104" s="451">
        <f t="shared" si="16"/>
        <v>4024529</v>
      </c>
      <c r="Q104" s="431">
        <v>2141856</v>
      </c>
      <c r="R104" s="431">
        <v>718141</v>
      </c>
      <c r="S104" s="431">
        <v>0</v>
      </c>
      <c r="T104" s="431">
        <v>0</v>
      </c>
      <c r="U104" s="431">
        <v>0</v>
      </c>
      <c r="V104" s="431">
        <v>82331</v>
      </c>
      <c r="W104" s="431">
        <v>0</v>
      </c>
      <c r="X104" s="431">
        <v>195232</v>
      </c>
      <c r="Y104" s="431">
        <v>0</v>
      </c>
      <c r="Z104" s="431">
        <v>890969</v>
      </c>
      <c r="AA104" s="431">
        <v>0</v>
      </c>
      <c r="AB104" s="431">
        <v>-4000</v>
      </c>
      <c r="AC104" s="431">
        <v>1041216</v>
      </c>
      <c r="AD104" s="431">
        <v>0</v>
      </c>
      <c r="AE104" s="431">
        <v>1493208</v>
      </c>
      <c r="AF104" s="431">
        <v>0</v>
      </c>
      <c r="AG104" s="431">
        <v>257119</v>
      </c>
      <c r="AH104" s="431">
        <v>286030</v>
      </c>
      <c r="AI104" s="431">
        <v>218614</v>
      </c>
      <c r="AJ104" s="431">
        <v>0</v>
      </c>
      <c r="AK104" s="431">
        <v>0</v>
      </c>
      <c r="AL104" s="431">
        <v>728342</v>
      </c>
      <c r="AM104" s="431">
        <v>0</v>
      </c>
    </row>
    <row r="105" spans="1:39" s="155" customFormat="1" ht="12" x14ac:dyDescent="0.2">
      <c r="A105" s="168">
        <v>51</v>
      </c>
      <c r="B105" s="228">
        <v>82136</v>
      </c>
      <c r="C105" s="559" t="s">
        <v>877</v>
      </c>
      <c r="D105" s="451">
        <f t="shared" si="15"/>
        <v>4793718</v>
      </c>
      <c r="E105" s="431">
        <v>1359800</v>
      </c>
      <c r="F105" s="431">
        <v>169789</v>
      </c>
      <c r="G105" s="431">
        <v>539499</v>
      </c>
      <c r="H105" s="431">
        <v>0</v>
      </c>
      <c r="I105" s="431">
        <v>1054137</v>
      </c>
      <c r="J105" s="431">
        <v>257000</v>
      </c>
      <c r="K105" s="431">
        <v>1145380</v>
      </c>
      <c r="L105" s="431">
        <v>0</v>
      </c>
      <c r="M105" s="431">
        <v>342249</v>
      </c>
      <c r="N105" s="431">
        <v>635152</v>
      </c>
      <c r="O105" s="431">
        <v>0</v>
      </c>
      <c r="P105" s="451">
        <f t="shared" si="16"/>
        <v>4854964</v>
      </c>
      <c r="Q105" s="431">
        <v>1727910</v>
      </c>
      <c r="R105" s="431">
        <v>1122565</v>
      </c>
      <c r="S105" s="431">
        <v>0</v>
      </c>
      <c r="T105" s="431">
        <v>0</v>
      </c>
      <c r="U105" s="431">
        <v>0</v>
      </c>
      <c r="V105" s="431">
        <v>0</v>
      </c>
      <c r="W105" s="431">
        <v>929912</v>
      </c>
      <c r="X105" s="431">
        <v>94198</v>
      </c>
      <c r="Y105" s="431">
        <v>0</v>
      </c>
      <c r="Z105" s="431">
        <v>980379</v>
      </c>
      <c r="AA105" s="431">
        <v>0</v>
      </c>
      <c r="AB105" s="431">
        <v>0</v>
      </c>
      <c r="AC105" s="431">
        <v>752901</v>
      </c>
      <c r="AD105" s="431">
        <v>75553</v>
      </c>
      <c r="AE105" s="431">
        <v>1071501</v>
      </c>
      <c r="AF105" s="431">
        <v>40921</v>
      </c>
      <c r="AG105" s="431">
        <v>239605</v>
      </c>
      <c r="AH105" s="431">
        <v>331490</v>
      </c>
      <c r="AI105" s="431">
        <v>508884</v>
      </c>
      <c r="AJ105" s="431">
        <v>212398</v>
      </c>
      <c r="AK105" s="431">
        <v>0</v>
      </c>
      <c r="AL105" s="431">
        <v>654697</v>
      </c>
      <c r="AM105" s="431">
        <v>967014</v>
      </c>
    </row>
    <row r="106" spans="1:39" s="155" customFormat="1" ht="12" x14ac:dyDescent="0.2">
      <c r="A106" s="168">
        <v>52</v>
      </c>
      <c r="B106" s="228">
        <v>82243</v>
      </c>
      <c r="C106" s="559" t="s">
        <v>2169</v>
      </c>
      <c r="D106" s="451">
        <f t="shared" si="15"/>
        <v>3929517</v>
      </c>
      <c r="E106" s="431">
        <v>1083748</v>
      </c>
      <c r="F106" s="431">
        <v>359264</v>
      </c>
      <c r="G106" s="431">
        <v>310872</v>
      </c>
      <c r="H106" s="431">
        <v>0</v>
      </c>
      <c r="I106" s="431">
        <v>1365708</v>
      </c>
      <c r="J106" s="431">
        <v>172000</v>
      </c>
      <c r="K106" s="431">
        <v>643380</v>
      </c>
      <c r="L106" s="431">
        <v>0</v>
      </c>
      <c r="M106" s="431">
        <v>662681</v>
      </c>
      <c r="N106" s="431">
        <v>0</v>
      </c>
      <c r="O106" s="431">
        <v>2000</v>
      </c>
      <c r="P106" s="451">
        <f t="shared" si="16"/>
        <v>4449353</v>
      </c>
      <c r="Q106" s="431">
        <v>2075382</v>
      </c>
      <c r="R106" s="431">
        <v>985375</v>
      </c>
      <c r="S106" s="431">
        <v>0</v>
      </c>
      <c r="T106" s="431">
        <v>0</v>
      </c>
      <c r="U106" s="431">
        <v>0</v>
      </c>
      <c r="V106" s="431">
        <v>0</v>
      </c>
      <c r="W106" s="431">
        <v>0</v>
      </c>
      <c r="X106" s="431">
        <v>106899</v>
      </c>
      <c r="Y106" s="431">
        <v>47700</v>
      </c>
      <c r="Z106" s="431">
        <v>1234501</v>
      </c>
      <c r="AA106" s="431">
        <v>0</v>
      </c>
      <c r="AB106" s="431">
        <v>-504</v>
      </c>
      <c r="AC106" s="431">
        <v>967010</v>
      </c>
      <c r="AD106" s="431">
        <v>0</v>
      </c>
      <c r="AE106" s="431">
        <v>1263368</v>
      </c>
      <c r="AF106" s="431">
        <v>0</v>
      </c>
      <c r="AG106" s="431">
        <v>100286</v>
      </c>
      <c r="AH106" s="431">
        <v>324425</v>
      </c>
      <c r="AI106" s="431">
        <v>197030</v>
      </c>
      <c r="AJ106" s="431">
        <v>120000</v>
      </c>
      <c r="AK106" s="431">
        <v>0</v>
      </c>
      <c r="AL106" s="431">
        <v>1477234</v>
      </c>
      <c r="AM106" s="431">
        <v>0</v>
      </c>
    </row>
    <row r="107" spans="1:39" s="155" customFormat="1" ht="12" x14ac:dyDescent="0.2">
      <c r="A107" s="168">
        <v>53</v>
      </c>
      <c r="B107" s="228">
        <v>82314</v>
      </c>
      <c r="C107" s="559" t="s">
        <v>2170</v>
      </c>
      <c r="D107" s="451">
        <f t="shared" si="15"/>
        <v>4671765</v>
      </c>
      <c r="E107" s="431">
        <v>1615411</v>
      </c>
      <c r="F107" s="431">
        <v>1115769</v>
      </c>
      <c r="G107" s="431">
        <v>137882</v>
      </c>
      <c r="H107" s="431">
        <v>0</v>
      </c>
      <c r="I107" s="431">
        <v>1577322</v>
      </c>
      <c r="J107" s="431">
        <v>62000</v>
      </c>
      <c r="K107" s="431">
        <v>328730</v>
      </c>
      <c r="L107" s="431">
        <v>0</v>
      </c>
      <c r="M107" s="431">
        <v>1088302</v>
      </c>
      <c r="N107" s="431">
        <v>0</v>
      </c>
      <c r="O107" s="431">
        <v>0</v>
      </c>
      <c r="P107" s="451">
        <f t="shared" si="16"/>
        <v>4672803</v>
      </c>
      <c r="Q107" s="431">
        <v>1889472</v>
      </c>
      <c r="R107" s="431">
        <v>1236075</v>
      </c>
      <c r="S107" s="431">
        <v>0</v>
      </c>
      <c r="T107" s="431">
        <v>0</v>
      </c>
      <c r="U107" s="431">
        <v>0</v>
      </c>
      <c r="V107" s="431">
        <v>0</v>
      </c>
      <c r="W107" s="431">
        <v>0</v>
      </c>
      <c r="X107" s="431">
        <v>119446</v>
      </c>
      <c r="Y107" s="431">
        <v>0</v>
      </c>
      <c r="Z107" s="431">
        <v>1429348</v>
      </c>
      <c r="AA107" s="431">
        <v>0</v>
      </c>
      <c r="AB107" s="431">
        <v>-1538</v>
      </c>
      <c r="AC107" s="431">
        <v>1119487</v>
      </c>
      <c r="AD107" s="431">
        <v>0</v>
      </c>
      <c r="AE107" s="431">
        <v>1501500</v>
      </c>
      <c r="AF107" s="431">
        <v>0</v>
      </c>
      <c r="AG107" s="431">
        <v>201530</v>
      </c>
      <c r="AH107" s="431">
        <v>225707</v>
      </c>
      <c r="AI107" s="431">
        <v>1253196</v>
      </c>
      <c r="AJ107" s="431">
        <v>51670</v>
      </c>
      <c r="AK107" s="431">
        <v>0</v>
      </c>
      <c r="AL107" s="431">
        <v>319713</v>
      </c>
      <c r="AM107" s="431">
        <v>0</v>
      </c>
    </row>
    <row r="108" spans="1:39" s="155" customFormat="1" ht="12" x14ac:dyDescent="0.2">
      <c r="A108" s="168">
        <v>54</v>
      </c>
      <c r="B108" s="228">
        <v>82396</v>
      </c>
      <c r="C108" s="237" t="s">
        <v>2171</v>
      </c>
      <c r="D108" s="451">
        <f t="shared" si="15"/>
        <v>5687540</v>
      </c>
      <c r="E108" s="431">
        <v>1216140</v>
      </c>
      <c r="F108" s="431">
        <v>126582</v>
      </c>
      <c r="G108" s="431">
        <v>427205</v>
      </c>
      <c r="H108" s="431">
        <v>0</v>
      </c>
      <c r="I108" s="431">
        <v>1185276</v>
      </c>
      <c r="J108" s="431">
        <v>96000</v>
      </c>
      <c r="K108" s="431">
        <v>791930</v>
      </c>
      <c r="L108" s="431">
        <v>0</v>
      </c>
      <c r="M108" s="431">
        <v>2398194</v>
      </c>
      <c r="N108" s="431">
        <v>0</v>
      </c>
      <c r="O108" s="431">
        <v>0</v>
      </c>
      <c r="P108" s="451">
        <f t="shared" si="16"/>
        <v>6587880</v>
      </c>
      <c r="Q108" s="431">
        <v>2102487</v>
      </c>
      <c r="R108" s="431">
        <v>898679</v>
      </c>
      <c r="S108" s="431">
        <v>0</v>
      </c>
      <c r="T108" s="431">
        <v>0</v>
      </c>
      <c r="U108" s="431">
        <v>0</v>
      </c>
      <c r="V108" s="431">
        <v>24288</v>
      </c>
      <c r="W108" s="431">
        <v>0</v>
      </c>
      <c r="X108" s="431">
        <v>152074</v>
      </c>
      <c r="Y108" s="431">
        <v>0</v>
      </c>
      <c r="Z108" s="431">
        <v>3434640</v>
      </c>
      <c r="AA108" s="431">
        <v>0</v>
      </c>
      <c r="AB108" s="431">
        <v>-24288</v>
      </c>
      <c r="AC108" s="431">
        <v>1193015</v>
      </c>
      <c r="AD108" s="431">
        <v>8965</v>
      </c>
      <c r="AE108" s="431">
        <v>1130954</v>
      </c>
      <c r="AF108" s="431">
        <v>20283</v>
      </c>
      <c r="AG108" s="431">
        <v>166365</v>
      </c>
      <c r="AH108" s="431">
        <v>310796</v>
      </c>
      <c r="AI108" s="431">
        <v>374704</v>
      </c>
      <c r="AJ108" s="431">
        <v>101100</v>
      </c>
      <c r="AK108" s="431">
        <v>0</v>
      </c>
      <c r="AL108" s="431">
        <v>3281698</v>
      </c>
      <c r="AM108" s="431">
        <v>0</v>
      </c>
    </row>
    <row r="109" spans="1:39" s="155" customFormat="1" ht="12" x14ac:dyDescent="0.2">
      <c r="A109" s="168">
        <v>55</v>
      </c>
      <c r="B109" s="228">
        <v>82555</v>
      </c>
      <c r="C109" s="559" t="s">
        <v>2172</v>
      </c>
      <c r="D109" s="451">
        <f t="shared" si="15"/>
        <v>6035367</v>
      </c>
      <c r="E109" s="431">
        <v>1814041</v>
      </c>
      <c r="F109" s="431">
        <v>933561</v>
      </c>
      <c r="G109" s="431">
        <v>243397</v>
      </c>
      <c r="H109" s="431">
        <v>0</v>
      </c>
      <c r="I109" s="431">
        <v>2358026</v>
      </c>
      <c r="J109" s="431">
        <v>21000</v>
      </c>
      <c r="K109" s="431">
        <v>676150</v>
      </c>
      <c r="L109" s="431">
        <v>0</v>
      </c>
      <c r="M109" s="431">
        <v>1126150</v>
      </c>
      <c r="N109" s="431">
        <v>0</v>
      </c>
      <c r="O109" s="431">
        <v>40000</v>
      </c>
      <c r="P109" s="451">
        <f t="shared" si="16"/>
        <v>6701232</v>
      </c>
      <c r="Q109" s="431">
        <v>2985970</v>
      </c>
      <c r="R109" s="431">
        <v>1496724</v>
      </c>
      <c r="S109" s="431">
        <v>0</v>
      </c>
      <c r="T109" s="431">
        <v>0</v>
      </c>
      <c r="U109" s="431">
        <v>0</v>
      </c>
      <c r="V109" s="431">
        <v>0</v>
      </c>
      <c r="W109" s="431">
        <v>0</v>
      </c>
      <c r="X109" s="431">
        <v>295084</v>
      </c>
      <c r="Y109" s="431">
        <v>90000</v>
      </c>
      <c r="Z109" s="431">
        <v>2030433</v>
      </c>
      <c r="AA109" s="431">
        <v>0</v>
      </c>
      <c r="AB109" s="431">
        <v>-196979</v>
      </c>
      <c r="AC109" s="431">
        <v>994662</v>
      </c>
      <c r="AD109" s="431">
        <v>4856</v>
      </c>
      <c r="AE109" s="431">
        <v>2275762</v>
      </c>
      <c r="AF109" s="431">
        <v>267647</v>
      </c>
      <c r="AG109" s="431">
        <v>167618</v>
      </c>
      <c r="AH109" s="431">
        <v>671905</v>
      </c>
      <c r="AI109" s="431">
        <v>226447</v>
      </c>
      <c r="AJ109" s="431">
        <v>949470</v>
      </c>
      <c r="AK109" s="431">
        <v>0</v>
      </c>
      <c r="AL109" s="431">
        <v>1142865</v>
      </c>
      <c r="AM109" s="431">
        <v>0</v>
      </c>
    </row>
    <row r="110" spans="1:39" s="155" customFormat="1" ht="12" x14ac:dyDescent="0.2">
      <c r="A110" s="168">
        <v>56</v>
      </c>
      <c r="B110" s="228">
        <v>82680</v>
      </c>
      <c r="C110" s="559" t="s">
        <v>2173</v>
      </c>
      <c r="D110" s="451">
        <f t="shared" si="15"/>
        <v>7671275</v>
      </c>
      <c r="E110" s="431">
        <v>1571785</v>
      </c>
      <c r="F110" s="431">
        <v>273387</v>
      </c>
      <c r="G110" s="431">
        <v>660361</v>
      </c>
      <c r="H110" s="431">
        <v>0</v>
      </c>
      <c r="I110" s="431">
        <v>2720160</v>
      </c>
      <c r="J110" s="431">
        <v>131000</v>
      </c>
      <c r="K110" s="431">
        <v>1508710</v>
      </c>
      <c r="L110" s="431">
        <v>0</v>
      </c>
      <c r="M110" s="431">
        <v>1716367</v>
      </c>
      <c r="N110" s="431">
        <v>23253</v>
      </c>
      <c r="O110" s="431">
        <v>0</v>
      </c>
      <c r="P110" s="451">
        <f t="shared" si="16"/>
        <v>7255100</v>
      </c>
      <c r="Q110" s="431">
        <v>3259585</v>
      </c>
      <c r="R110" s="431">
        <v>1606657</v>
      </c>
      <c r="S110" s="431">
        <v>0</v>
      </c>
      <c r="T110" s="431">
        <v>0</v>
      </c>
      <c r="U110" s="431">
        <v>0</v>
      </c>
      <c r="V110" s="431">
        <v>240</v>
      </c>
      <c r="W110" s="431">
        <v>0</v>
      </c>
      <c r="X110" s="431">
        <v>183369</v>
      </c>
      <c r="Y110" s="431">
        <v>35598</v>
      </c>
      <c r="Z110" s="431">
        <v>2169651</v>
      </c>
      <c r="AA110" s="431">
        <v>0</v>
      </c>
      <c r="AB110" s="431">
        <v>0</v>
      </c>
      <c r="AC110" s="431">
        <v>1043143</v>
      </c>
      <c r="AD110" s="431">
        <v>54602</v>
      </c>
      <c r="AE110" s="431">
        <v>2554703</v>
      </c>
      <c r="AF110" s="431">
        <v>23351</v>
      </c>
      <c r="AG110" s="431">
        <v>313261</v>
      </c>
      <c r="AH110" s="431">
        <v>524805</v>
      </c>
      <c r="AI110" s="431">
        <v>1977052</v>
      </c>
      <c r="AJ110" s="431">
        <v>0</v>
      </c>
      <c r="AK110" s="431">
        <v>0</v>
      </c>
      <c r="AL110" s="431">
        <v>764183</v>
      </c>
      <c r="AM110" s="431">
        <v>0</v>
      </c>
    </row>
    <row r="111" spans="1:39" s="155" customFormat="1" ht="12" x14ac:dyDescent="0.2">
      <c r="A111" s="168">
        <v>57</v>
      </c>
      <c r="B111" s="228">
        <v>82733</v>
      </c>
      <c r="C111" s="559" t="s">
        <v>2174</v>
      </c>
      <c r="D111" s="451">
        <f t="shared" si="15"/>
        <v>6842514</v>
      </c>
      <c r="E111" s="431">
        <v>3414274</v>
      </c>
      <c r="F111" s="431">
        <v>2834990</v>
      </c>
      <c r="G111" s="431">
        <v>118266</v>
      </c>
      <c r="H111" s="431">
        <v>0</v>
      </c>
      <c r="I111" s="431">
        <v>1621348</v>
      </c>
      <c r="J111" s="431">
        <v>51000</v>
      </c>
      <c r="K111" s="431">
        <v>292810</v>
      </c>
      <c r="L111" s="431">
        <v>0</v>
      </c>
      <c r="M111" s="431">
        <v>1176065</v>
      </c>
      <c r="N111" s="431">
        <v>287017</v>
      </c>
      <c r="O111" s="431">
        <v>0</v>
      </c>
      <c r="P111" s="451">
        <f t="shared" si="16"/>
        <v>6869652</v>
      </c>
      <c r="Q111" s="431">
        <v>2469507</v>
      </c>
      <c r="R111" s="431">
        <v>580314</v>
      </c>
      <c r="S111" s="431">
        <v>0</v>
      </c>
      <c r="T111" s="431">
        <v>0</v>
      </c>
      <c r="U111" s="431">
        <v>0</v>
      </c>
      <c r="V111" s="431">
        <v>0</v>
      </c>
      <c r="W111" s="431">
        <v>557208</v>
      </c>
      <c r="X111" s="431">
        <v>131719</v>
      </c>
      <c r="Y111" s="431">
        <v>0</v>
      </c>
      <c r="Z111" s="431">
        <v>3154019</v>
      </c>
      <c r="AA111" s="431">
        <v>0</v>
      </c>
      <c r="AB111" s="431">
        <v>-23115</v>
      </c>
      <c r="AC111" s="431">
        <v>1174722</v>
      </c>
      <c r="AD111" s="431">
        <v>9000</v>
      </c>
      <c r="AE111" s="431">
        <v>2001246</v>
      </c>
      <c r="AF111" s="431">
        <v>0</v>
      </c>
      <c r="AG111" s="431">
        <v>131637</v>
      </c>
      <c r="AH111" s="431">
        <v>465150</v>
      </c>
      <c r="AI111" s="431">
        <v>675660</v>
      </c>
      <c r="AJ111" s="431">
        <v>304505</v>
      </c>
      <c r="AK111" s="431">
        <v>0</v>
      </c>
      <c r="AL111" s="431">
        <v>2107732</v>
      </c>
      <c r="AM111" s="431">
        <v>0</v>
      </c>
    </row>
    <row r="112" spans="1:39" s="155" customFormat="1" ht="12" x14ac:dyDescent="0.2">
      <c r="A112" s="168">
        <v>58</v>
      </c>
      <c r="B112" s="228">
        <v>82779</v>
      </c>
      <c r="C112" s="559" t="s">
        <v>2175</v>
      </c>
      <c r="D112" s="451">
        <f t="shared" si="15"/>
        <v>3934661</v>
      </c>
      <c r="E112" s="431">
        <v>868581</v>
      </c>
      <c r="F112" s="431">
        <v>81132</v>
      </c>
      <c r="G112" s="431">
        <v>451645</v>
      </c>
      <c r="H112" s="431">
        <v>0</v>
      </c>
      <c r="I112" s="431">
        <v>1242846</v>
      </c>
      <c r="J112" s="431">
        <v>16000</v>
      </c>
      <c r="K112" s="431">
        <v>845590</v>
      </c>
      <c r="L112" s="431">
        <v>0</v>
      </c>
      <c r="M112" s="431">
        <v>961644</v>
      </c>
      <c r="N112" s="431">
        <v>0</v>
      </c>
      <c r="O112" s="431">
        <v>0</v>
      </c>
      <c r="P112" s="451">
        <f t="shared" si="16"/>
        <v>3662607</v>
      </c>
      <c r="Q112" s="431">
        <v>1888277</v>
      </c>
      <c r="R112" s="431">
        <v>807989</v>
      </c>
      <c r="S112" s="431">
        <v>0</v>
      </c>
      <c r="T112" s="431">
        <v>0</v>
      </c>
      <c r="U112" s="431">
        <v>0</v>
      </c>
      <c r="V112" s="431">
        <v>0</v>
      </c>
      <c r="W112" s="431">
        <v>244566</v>
      </c>
      <c r="X112" s="431">
        <v>131132</v>
      </c>
      <c r="Y112" s="431">
        <v>3800</v>
      </c>
      <c r="Z112" s="431">
        <v>614866</v>
      </c>
      <c r="AA112" s="431">
        <v>0</v>
      </c>
      <c r="AB112" s="431">
        <v>-28023</v>
      </c>
      <c r="AC112" s="431">
        <v>1054563</v>
      </c>
      <c r="AD112" s="431">
        <v>66834</v>
      </c>
      <c r="AE112" s="431">
        <v>1155582</v>
      </c>
      <c r="AF112" s="431">
        <v>27190</v>
      </c>
      <c r="AG112" s="431">
        <v>75265</v>
      </c>
      <c r="AH112" s="431">
        <v>371017</v>
      </c>
      <c r="AI112" s="431">
        <v>755469</v>
      </c>
      <c r="AJ112" s="431">
        <v>98174</v>
      </c>
      <c r="AK112" s="431">
        <v>0</v>
      </c>
      <c r="AL112" s="431">
        <v>58513</v>
      </c>
      <c r="AM112" s="431">
        <v>0</v>
      </c>
    </row>
    <row r="113" spans="1:39" s="155" customFormat="1" ht="12" x14ac:dyDescent="0.2">
      <c r="A113" s="168">
        <v>59</v>
      </c>
      <c r="B113" s="228">
        <v>82831</v>
      </c>
      <c r="C113" s="559" t="s">
        <v>2176</v>
      </c>
      <c r="D113" s="451">
        <f t="shared" si="15"/>
        <v>4551375</v>
      </c>
      <c r="E113" s="431">
        <v>937951</v>
      </c>
      <c r="F113" s="431">
        <v>178276</v>
      </c>
      <c r="G113" s="431">
        <v>445779</v>
      </c>
      <c r="H113" s="431">
        <v>0</v>
      </c>
      <c r="I113" s="431">
        <v>1364246</v>
      </c>
      <c r="J113" s="431">
        <v>136000</v>
      </c>
      <c r="K113" s="431">
        <v>873060</v>
      </c>
      <c r="L113" s="431">
        <v>0</v>
      </c>
      <c r="M113" s="431">
        <v>1240118</v>
      </c>
      <c r="N113" s="431">
        <v>0</v>
      </c>
      <c r="O113" s="431">
        <v>0</v>
      </c>
      <c r="P113" s="451">
        <f t="shared" si="16"/>
        <v>4562023</v>
      </c>
      <c r="Q113" s="431">
        <v>2033515</v>
      </c>
      <c r="R113" s="431">
        <v>829595</v>
      </c>
      <c r="S113" s="431">
        <v>0</v>
      </c>
      <c r="T113" s="431">
        <v>0</v>
      </c>
      <c r="U113" s="431">
        <v>0</v>
      </c>
      <c r="V113" s="431">
        <v>0</v>
      </c>
      <c r="W113" s="431">
        <v>0</v>
      </c>
      <c r="X113" s="431">
        <v>180634</v>
      </c>
      <c r="Y113" s="431">
        <v>10000</v>
      </c>
      <c r="Z113" s="431">
        <v>1508591</v>
      </c>
      <c r="AA113" s="431">
        <v>0</v>
      </c>
      <c r="AB113" s="431">
        <v>-312</v>
      </c>
      <c r="AC113" s="431">
        <v>1136051</v>
      </c>
      <c r="AD113" s="431">
        <v>0</v>
      </c>
      <c r="AE113" s="431">
        <v>1266865</v>
      </c>
      <c r="AF113" s="431">
        <v>0</v>
      </c>
      <c r="AG113" s="431">
        <v>44422</v>
      </c>
      <c r="AH113" s="431">
        <v>225825</v>
      </c>
      <c r="AI113" s="431">
        <v>1325474</v>
      </c>
      <c r="AJ113" s="431">
        <v>47241</v>
      </c>
      <c r="AK113" s="431">
        <v>0</v>
      </c>
      <c r="AL113" s="431">
        <v>516145</v>
      </c>
      <c r="AM113" s="431">
        <v>0</v>
      </c>
    </row>
    <row r="114" spans="1:39" s="155" customFormat="1" ht="12" x14ac:dyDescent="0.2">
      <c r="A114" s="168">
        <v>60</v>
      </c>
      <c r="B114" s="228">
        <v>77910</v>
      </c>
      <c r="C114" s="237" t="s">
        <v>2177</v>
      </c>
      <c r="D114" s="451">
        <f t="shared" si="15"/>
        <v>13899010</v>
      </c>
      <c r="E114" s="431">
        <v>2220501</v>
      </c>
      <c r="F114" s="431">
        <v>358064</v>
      </c>
      <c r="G114" s="431">
        <v>736016</v>
      </c>
      <c r="H114" s="431">
        <v>0</v>
      </c>
      <c r="I114" s="431">
        <v>3075449</v>
      </c>
      <c r="J114" s="431">
        <v>225000</v>
      </c>
      <c r="K114" s="431">
        <v>1727150</v>
      </c>
      <c r="L114" s="431">
        <v>0</v>
      </c>
      <c r="M114" s="431">
        <v>2663285</v>
      </c>
      <c r="N114" s="431">
        <v>3987625</v>
      </c>
      <c r="O114" s="431">
        <v>0</v>
      </c>
      <c r="P114" s="451">
        <f t="shared" si="16"/>
        <v>8885379</v>
      </c>
      <c r="Q114" s="431">
        <v>4433582</v>
      </c>
      <c r="R114" s="431">
        <v>1198129</v>
      </c>
      <c r="S114" s="431">
        <v>0</v>
      </c>
      <c r="T114" s="431">
        <v>0</v>
      </c>
      <c r="U114" s="431">
        <v>0</v>
      </c>
      <c r="V114" s="431">
        <v>0</v>
      </c>
      <c r="W114" s="431">
        <v>0</v>
      </c>
      <c r="X114" s="431">
        <v>324315</v>
      </c>
      <c r="Y114" s="431">
        <v>54350</v>
      </c>
      <c r="Z114" s="431">
        <v>2875003</v>
      </c>
      <c r="AA114" s="431">
        <v>0</v>
      </c>
      <c r="AB114" s="431">
        <v>0</v>
      </c>
      <c r="AC114" s="431">
        <v>1543168</v>
      </c>
      <c r="AD114" s="431">
        <v>224011</v>
      </c>
      <c r="AE114" s="431">
        <v>2846076</v>
      </c>
      <c r="AF114" s="431">
        <v>0</v>
      </c>
      <c r="AG114" s="431">
        <v>255282</v>
      </c>
      <c r="AH114" s="431">
        <v>757872</v>
      </c>
      <c r="AI114" s="431">
        <v>610662</v>
      </c>
      <c r="AJ114" s="431">
        <v>337158</v>
      </c>
      <c r="AK114" s="431">
        <v>0</v>
      </c>
      <c r="AL114" s="431">
        <v>2305150</v>
      </c>
      <c r="AM114" s="431">
        <v>6000</v>
      </c>
    </row>
    <row r="115" spans="1:39" s="155" customFormat="1" ht="12" x14ac:dyDescent="0.2">
      <c r="A115" s="168">
        <v>61</v>
      </c>
      <c r="B115" s="228">
        <v>78089</v>
      </c>
      <c r="C115" s="559" t="s">
        <v>2178</v>
      </c>
      <c r="D115" s="451">
        <f t="shared" si="15"/>
        <v>2697956</v>
      </c>
      <c r="E115" s="431">
        <v>999641</v>
      </c>
      <c r="F115" s="431">
        <v>119143</v>
      </c>
      <c r="G115" s="431">
        <v>396900</v>
      </c>
      <c r="H115" s="431">
        <v>0</v>
      </c>
      <c r="I115" s="431">
        <v>814398</v>
      </c>
      <c r="J115" s="431">
        <v>102000</v>
      </c>
      <c r="K115" s="431">
        <v>778930</v>
      </c>
      <c r="L115" s="431">
        <v>0</v>
      </c>
      <c r="M115" s="431">
        <v>2987</v>
      </c>
      <c r="N115" s="431">
        <v>0</v>
      </c>
      <c r="O115" s="431">
        <v>0</v>
      </c>
      <c r="P115" s="451">
        <f t="shared" si="16"/>
        <v>2354731</v>
      </c>
      <c r="Q115" s="431">
        <v>1313022</v>
      </c>
      <c r="R115" s="431">
        <v>442520</v>
      </c>
      <c r="S115" s="431">
        <v>0</v>
      </c>
      <c r="T115" s="431">
        <v>0</v>
      </c>
      <c r="U115" s="431">
        <v>0</v>
      </c>
      <c r="V115" s="431">
        <v>0</v>
      </c>
      <c r="W115" s="431">
        <v>0</v>
      </c>
      <c r="X115" s="431">
        <v>149014</v>
      </c>
      <c r="Y115" s="431">
        <v>56000</v>
      </c>
      <c r="Z115" s="431">
        <v>401042</v>
      </c>
      <c r="AA115" s="431">
        <v>0</v>
      </c>
      <c r="AB115" s="431">
        <v>-6867</v>
      </c>
      <c r="AC115" s="431">
        <v>590900</v>
      </c>
      <c r="AD115" s="431">
        <v>108786</v>
      </c>
      <c r="AE115" s="431">
        <v>725636</v>
      </c>
      <c r="AF115" s="431">
        <v>-162</v>
      </c>
      <c r="AG115" s="431">
        <v>101647</v>
      </c>
      <c r="AH115" s="431">
        <v>221643</v>
      </c>
      <c r="AI115" s="431">
        <v>155030</v>
      </c>
      <c r="AJ115" s="431">
        <v>252036</v>
      </c>
      <c r="AK115" s="431">
        <v>0</v>
      </c>
      <c r="AL115" s="431">
        <v>199215</v>
      </c>
      <c r="AM115" s="431">
        <v>0</v>
      </c>
    </row>
    <row r="116" spans="1:39" s="155" customFormat="1" ht="12" hidden="1" x14ac:dyDescent="0.2">
      <c r="A116" s="168">
        <v>62</v>
      </c>
      <c r="B116" s="558"/>
      <c r="C116" s="559"/>
      <c r="D116" s="432">
        <f t="shared" si="12"/>
        <v>0</v>
      </c>
      <c r="E116" s="431"/>
      <c r="F116" s="431"/>
      <c r="G116" s="431"/>
      <c r="H116" s="431"/>
      <c r="I116" s="431"/>
      <c r="J116" s="431"/>
      <c r="K116" s="431"/>
      <c r="L116" s="431"/>
      <c r="M116" s="431"/>
      <c r="N116" s="431"/>
      <c r="O116" s="431"/>
      <c r="P116" s="432">
        <f t="shared" ref="P116:P142" si="17">IF(SUM(Q116:AB116)=SUM(AC116:AM116),SUM(Q116:AB116),"  EROARE ART/CAP")</f>
        <v>0</v>
      </c>
      <c r="Q116" s="431"/>
      <c r="R116" s="431"/>
      <c r="S116" s="431"/>
      <c r="T116" s="431"/>
      <c r="U116" s="431"/>
      <c r="V116" s="431"/>
      <c r="W116" s="431"/>
      <c r="X116" s="431"/>
      <c r="Y116" s="431"/>
      <c r="Z116" s="468"/>
      <c r="AA116" s="431"/>
      <c r="AB116" s="431"/>
      <c r="AC116" s="468"/>
      <c r="AD116" s="431"/>
      <c r="AE116" s="431"/>
      <c r="AF116" s="431"/>
      <c r="AG116" s="431"/>
      <c r="AH116" s="431"/>
      <c r="AI116" s="468"/>
      <c r="AJ116" s="468"/>
      <c r="AK116" s="431"/>
      <c r="AL116" s="431"/>
      <c r="AM116" s="431"/>
    </row>
    <row r="117" spans="1:39" s="155" customFormat="1" ht="12" hidden="1" x14ac:dyDescent="0.2">
      <c r="A117" s="168">
        <v>63</v>
      </c>
      <c r="B117" s="558"/>
      <c r="C117" s="237"/>
      <c r="D117" s="432">
        <f t="shared" si="12"/>
        <v>0</v>
      </c>
      <c r="E117" s="431"/>
      <c r="F117" s="431"/>
      <c r="G117" s="431"/>
      <c r="H117" s="431"/>
      <c r="I117" s="431"/>
      <c r="J117" s="431"/>
      <c r="K117" s="431"/>
      <c r="L117" s="431"/>
      <c r="M117" s="431"/>
      <c r="N117" s="431"/>
      <c r="O117" s="431"/>
      <c r="P117" s="432">
        <f t="shared" si="17"/>
        <v>0</v>
      </c>
      <c r="Q117" s="431"/>
      <c r="R117" s="431"/>
      <c r="S117" s="431"/>
      <c r="T117" s="431"/>
      <c r="U117" s="431"/>
      <c r="V117" s="431"/>
      <c r="W117" s="431"/>
      <c r="X117" s="431"/>
      <c r="Y117" s="431"/>
      <c r="Z117" s="468"/>
      <c r="AA117" s="431"/>
      <c r="AB117" s="431"/>
      <c r="AC117" s="468"/>
      <c r="AD117" s="431"/>
      <c r="AE117" s="431"/>
      <c r="AF117" s="431"/>
      <c r="AG117" s="431"/>
      <c r="AH117" s="431"/>
      <c r="AI117" s="468"/>
      <c r="AJ117" s="468"/>
      <c r="AK117" s="431"/>
      <c r="AL117" s="431"/>
      <c r="AM117" s="431"/>
    </row>
    <row r="118" spans="1:39" s="155" customFormat="1" ht="12" hidden="1" x14ac:dyDescent="0.2">
      <c r="A118" s="168">
        <v>64</v>
      </c>
      <c r="B118" s="558"/>
      <c r="C118" s="559"/>
      <c r="D118" s="432">
        <f t="shared" ref="D118:D143" si="18">E118+SUM(H118:O118)</f>
        <v>0</v>
      </c>
      <c r="E118" s="431"/>
      <c r="F118" s="431"/>
      <c r="G118" s="431"/>
      <c r="H118" s="431"/>
      <c r="I118" s="431"/>
      <c r="J118" s="431"/>
      <c r="K118" s="431"/>
      <c r="L118" s="431"/>
      <c r="M118" s="431"/>
      <c r="N118" s="431"/>
      <c r="O118" s="431"/>
      <c r="P118" s="432">
        <f t="shared" si="17"/>
        <v>0</v>
      </c>
      <c r="Q118" s="431"/>
      <c r="R118" s="431"/>
      <c r="S118" s="431"/>
      <c r="T118" s="431"/>
      <c r="U118" s="431"/>
      <c r="V118" s="431"/>
      <c r="W118" s="431"/>
      <c r="X118" s="431"/>
      <c r="Y118" s="431"/>
      <c r="Z118" s="468"/>
      <c r="AA118" s="431"/>
      <c r="AB118" s="431"/>
      <c r="AC118" s="468"/>
      <c r="AD118" s="431"/>
      <c r="AE118" s="431"/>
      <c r="AF118" s="431"/>
      <c r="AG118" s="431"/>
      <c r="AH118" s="431"/>
      <c r="AI118" s="468"/>
      <c r="AJ118" s="468"/>
      <c r="AK118" s="431"/>
      <c r="AL118" s="431"/>
      <c r="AM118" s="431"/>
    </row>
    <row r="119" spans="1:39" s="155" customFormat="1" ht="12" hidden="1" x14ac:dyDescent="0.2">
      <c r="A119" s="168">
        <v>65</v>
      </c>
      <c r="B119" s="558"/>
      <c r="C119" s="559"/>
      <c r="D119" s="432">
        <f t="shared" si="18"/>
        <v>0</v>
      </c>
      <c r="E119" s="431"/>
      <c r="F119" s="431"/>
      <c r="G119" s="431"/>
      <c r="H119" s="431"/>
      <c r="I119" s="431"/>
      <c r="J119" s="431"/>
      <c r="K119" s="431"/>
      <c r="L119" s="431"/>
      <c r="M119" s="431"/>
      <c r="N119" s="431"/>
      <c r="O119" s="431"/>
      <c r="P119" s="432">
        <f t="shared" si="17"/>
        <v>0</v>
      </c>
      <c r="Q119" s="431"/>
      <c r="R119" s="431"/>
      <c r="S119" s="431"/>
      <c r="T119" s="431"/>
      <c r="U119" s="431"/>
      <c r="V119" s="431"/>
      <c r="W119" s="431"/>
      <c r="X119" s="431"/>
      <c r="Y119" s="431"/>
      <c r="Z119" s="468"/>
      <c r="AA119" s="431"/>
      <c r="AB119" s="431"/>
      <c r="AC119" s="468"/>
      <c r="AD119" s="431"/>
      <c r="AE119" s="431"/>
      <c r="AF119" s="431"/>
      <c r="AG119" s="431"/>
      <c r="AH119" s="431"/>
      <c r="AI119" s="468"/>
      <c r="AJ119" s="468"/>
      <c r="AK119" s="431"/>
      <c r="AL119" s="431"/>
      <c r="AM119" s="431"/>
    </row>
    <row r="120" spans="1:39" s="155" customFormat="1" ht="12" hidden="1" x14ac:dyDescent="0.2">
      <c r="A120" s="168">
        <v>66</v>
      </c>
      <c r="B120" s="558"/>
      <c r="C120" s="559"/>
      <c r="D120" s="432">
        <f t="shared" si="18"/>
        <v>0</v>
      </c>
      <c r="E120" s="431"/>
      <c r="F120" s="431"/>
      <c r="G120" s="431"/>
      <c r="H120" s="431"/>
      <c r="I120" s="431"/>
      <c r="J120" s="431"/>
      <c r="K120" s="431"/>
      <c r="L120" s="431"/>
      <c r="M120" s="431"/>
      <c r="N120" s="431"/>
      <c r="O120" s="431"/>
      <c r="P120" s="432">
        <f t="shared" si="17"/>
        <v>0</v>
      </c>
      <c r="Q120" s="431"/>
      <c r="R120" s="431"/>
      <c r="S120" s="431"/>
      <c r="T120" s="431"/>
      <c r="U120" s="431"/>
      <c r="V120" s="431"/>
      <c r="W120" s="431"/>
      <c r="X120" s="431"/>
      <c r="Y120" s="431"/>
      <c r="Z120" s="468"/>
      <c r="AA120" s="431"/>
      <c r="AB120" s="431"/>
      <c r="AC120" s="468"/>
      <c r="AD120" s="431"/>
      <c r="AE120" s="431"/>
      <c r="AF120" s="431"/>
      <c r="AG120" s="431"/>
      <c r="AH120" s="431"/>
      <c r="AI120" s="468"/>
      <c r="AJ120" s="468"/>
      <c r="AK120" s="431"/>
      <c r="AL120" s="431"/>
      <c r="AM120" s="431"/>
    </row>
    <row r="121" spans="1:39" s="155" customFormat="1" ht="12" hidden="1" x14ac:dyDescent="0.2">
      <c r="A121" s="168">
        <v>67</v>
      </c>
      <c r="B121" s="558"/>
      <c r="C121" s="559"/>
      <c r="D121" s="432">
        <f t="shared" si="18"/>
        <v>0</v>
      </c>
      <c r="E121" s="431"/>
      <c r="F121" s="431"/>
      <c r="G121" s="431"/>
      <c r="H121" s="431"/>
      <c r="I121" s="431"/>
      <c r="J121" s="431"/>
      <c r="K121" s="431"/>
      <c r="L121" s="431"/>
      <c r="M121" s="431"/>
      <c r="N121" s="431"/>
      <c r="O121" s="431"/>
      <c r="P121" s="432">
        <f t="shared" si="17"/>
        <v>0</v>
      </c>
      <c r="Q121" s="431"/>
      <c r="R121" s="431"/>
      <c r="S121" s="431"/>
      <c r="T121" s="431"/>
      <c r="U121" s="431"/>
      <c r="V121" s="431"/>
      <c r="W121" s="431"/>
      <c r="X121" s="431"/>
      <c r="Y121" s="431"/>
      <c r="Z121" s="468"/>
      <c r="AA121" s="431"/>
      <c r="AB121" s="431"/>
      <c r="AC121" s="468"/>
      <c r="AD121" s="431"/>
      <c r="AE121" s="431"/>
      <c r="AF121" s="431"/>
      <c r="AG121" s="431"/>
      <c r="AH121" s="431"/>
      <c r="AI121" s="468"/>
      <c r="AJ121" s="468"/>
      <c r="AK121" s="431"/>
      <c r="AL121" s="431"/>
      <c r="AM121" s="431"/>
    </row>
    <row r="122" spans="1:39" s="155" customFormat="1" ht="12" hidden="1" x14ac:dyDescent="0.2">
      <c r="A122" s="168">
        <v>68</v>
      </c>
      <c r="B122" s="558"/>
      <c r="C122" s="559"/>
      <c r="D122" s="432">
        <f t="shared" si="18"/>
        <v>0</v>
      </c>
      <c r="E122" s="431"/>
      <c r="F122" s="431"/>
      <c r="G122" s="431"/>
      <c r="H122" s="431"/>
      <c r="I122" s="431"/>
      <c r="J122" s="431"/>
      <c r="K122" s="431"/>
      <c r="L122" s="431"/>
      <c r="M122" s="431"/>
      <c r="N122" s="431"/>
      <c r="O122" s="431"/>
      <c r="P122" s="432">
        <f t="shared" si="17"/>
        <v>0</v>
      </c>
      <c r="Q122" s="431"/>
      <c r="R122" s="431"/>
      <c r="S122" s="431"/>
      <c r="T122" s="431"/>
      <c r="U122" s="431"/>
      <c r="V122" s="431"/>
      <c r="W122" s="431"/>
      <c r="X122" s="431"/>
      <c r="Y122" s="431"/>
      <c r="Z122" s="468"/>
      <c r="AA122" s="431"/>
      <c r="AB122" s="431"/>
      <c r="AC122" s="468"/>
      <c r="AD122" s="431"/>
      <c r="AE122" s="431"/>
      <c r="AF122" s="431"/>
      <c r="AG122" s="431"/>
      <c r="AH122" s="431"/>
      <c r="AI122" s="468"/>
      <c r="AJ122" s="468"/>
      <c r="AK122" s="431"/>
      <c r="AL122" s="431"/>
      <c r="AM122" s="431"/>
    </row>
    <row r="123" spans="1:39" s="155" customFormat="1" ht="12" hidden="1" x14ac:dyDescent="0.2">
      <c r="A123" s="168">
        <v>69</v>
      </c>
      <c r="B123" s="558"/>
      <c r="C123" s="559"/>
      <c r="D123" s="432">
        <f t="shared" si="18"/>
        <v>0</v>
      </c>
      <c r="E123" s="431"/>
      <c r="F123" s="431"/>
      <c r="G123" s="431"/>
      <c r="H123" s="431"/>
      <c r="I123" s="431"/>
      <c r="J123" s="431"/>
      <c r="K123" s="431"/>
      <c r="L123" s="431"/>
      <c r="M123" s="431"/>
      <c r="N123" s="431"/>
      <c r="O123" s="431"/>
      <c r="P123" s="432">
        <f t="shared" si="17"/>
        <v>0</v>
      </c>
      <c r="Q123" s="431"/>
      <c r="R123" s="431"/>
      <c r="S123" s="431"/>
      <c r="T123" s="431"/>
      <c r="U123" s="431"/>
      <c r="V123" s="431"/>
      <c r="W123" s="431"/>
      <c r="X123" s="431"/>
      <c r="Y123" s="431"/>
      <c r="Z123" s="468"/>
      <c r="AA123" s="431"/>
      <c r="AB123" s="431"/>
      <c r="AC123" s="468"/>
      <c r="AD123" s="431"/>
      <c r="AE123" s="431"/>
      <c r="AF123" s="431"/>
      <c r="AG123" s="431"/>
      <c r="AH123" s="431"/>
      <c r="AI123" s="468"/>
      <c r="AJ123" s="468"/>
      <c r="AK123" s="431"/>
      <c r="AL123" s="431"/>
      <c r="AM123" s="431"/>
    </row>
    <row r="124" spans="1:39" s="155" customFormat="1" ht="12" hidden="1" x14ac:dyDescent="0.2">
      <c r="A124" s="168">
        <v>70</v>
      </c>
      <c r="B124" s="558"/>
      <c r="C124" s="559"/>
      <c r="D124" s="432">
        <f t="shared" si="18"/>
        <v>0</v>
      </c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32">
        <f t="shared" si="17"/>
        <v>0</v>
      </c>
      <c r="Q124" s="431"/>
      <c r="R124" s="431"/>
      <c r="S124" s="431"/>
      <c r="T124" s="431"/>
      <c r="U124" s="431"/>
      <c r="V124" s="431"/>
      <c r="W124" s="431"/>
      <c r="X124" s="431"/>
      <c r="Y124" s="431"/>
      <c r="Z124" s="468"/>
      <c r="AA124" s="431"/>
      <c r="AB124" s="431"/>
      <c r="AC124" s="468"/>
      <c r="AD124" s="431"/>
      <c r="AE124" s="431"/>
      <c r="AF124" s="431"/>
      <c r="AG124" s="431"/>
      <c r="AH124" s="431"/>
      <c r="AI124" s="468"/>
      <c r="AJ124" s="468"/>
      <c r="AK124" s="431"/>
      <c r="AL124" s="431"/>
      <c r="AM124" s="431"/>
    </row>
    <row r="125" spans="1:39" s="155" customFormat="1" ht="12" hidden="1" x14ac:dyDescent="0.2">
      <c r="A125" s="168">
        <v>71</v>
      </c>
      <c r="B125" s="558"/>
      <c r="C125" s="559"/>
      <c r="D125" s="432">
        <f t="shared" si="18"/>
        <v>0</v>
      </c>
      <c r="E125" s="431"/>
      <c r="F125" s="431"/>
      <c r="G125" s="431"/>
      <c r="H125" s="431"/>
      <c r="I125" s="431"/>
      <c r="J125" s="431"/>
      <c r="K125" s="431"/>
      <c r="L125" s="431"/>
      <c r="M125" s="431"/>
      <c r="N125" s="431"/>
      <c r="O125" s="431"/>
      <c r="P125" s="432">
        <f t="shared" si="17"/>
        <v>0</v>
      </c>
      <c r="Q125" s="431"/>
      <c r="R125" s="431"/>
      <c r="S125" s="431"/>
      <c r="T125" s="431"/>
      <c r="U125" s="431"/>
      <c r="V125" s="431"/>
      <c r="W125" s="431"/>
      <c r="X125" s="431"/>
      <c r="Y125" s="431"/>
      <c r="Z125" s="468"/>
      <c r="AA125" s="431"/>
      <c r="AB125" s="431"/>
      <c r="AC125" s="468"/>
      <c r="AD125" s="431"/>
      <c r="AE125" s="431"/>
      <c r="AF125" s="431"/>
      <c r="AG125" s="431"/>
      <c r="AH125" s="431"/>
      <c r="AI125" s="468"/>
      <c r="AJ125" s="468"/>
      <c r="AK125" s="431"/>
      <c r="AL125" s="431"/>
      <c r="AM125" s="431"/>
    </row>
    <row r="126" spans="1:39" s="155" customFormat="1" ht="12" hidden="1" x14ac:dyDescent="0.2">
      <c r="A126" s="168">
        <v>72</v>
      </c>
      <c r="B126" s="558"/>
      <c r="C126" s="559"/>
      <c r="D126" s="432">
        <f t="shared" si="18"/>
        <v>0</v>
      </c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32">
        <f t="shared" si="17"/>
        <v>0</v>
      </c>
      <c r="Q126" s="431"/>
      <c r="R126" s="431"/>
      <c r="S126" s="431"/>
      <c r="T126" s="431"/>
      <c r="U126" s="431"/>
      <c r="V126" s="431"/>
      <c r="W126" s="431"/>
      <c r="X126" s="431"/>
      <c r="Y126" s="431"/>
      <c r="Z126" s="468"/>
      <c r="AA126" s="431"/>
      <c r="AB126" s="431"/>
      <c r="AC126" s="468"/>
      <c r="AD126" s="431"/>
      <c r="AE126" s="431"/>
      <c r="AF126" s="431"/>
      <c r="AG126" s="431"/>
      <c r="AH126" s="431"/>
      <c r="AI126" s="468"/>
      <c r="AJ126" s="468"/>
      <c r="AK126" s="431"/>
      <c r="AL126" s="431"/>
      <c r="AM126" s="431"/>
    </row>
    <row r="127" spans="1:39" s="155" customFormat="1" ht="12" hidden="1" x14ac:dyDescent="0.2">
      <c r="A127" s="168">
        <v>73</v>
      </c>
      <c r="B127" s="558"/>
      <c r="C127" s="559"/>
      <c r="D127" s="432">
        <f t="shared" si="18"/>
        <v>0</v>
      </c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32">
        <f t="shared" si="17"/>
        <v>0</v>
      </c>
      <c r="Q127" s="431"/>
      <c r="R127" s="431"/>
      <c r="S127" s="431"/>
      <c r="T127" s="431"/>
      <c r="U127" s="431"/>
      <c r="V127" s="431"/>
      <c r="W127" s="431"/>
      <c r="X127" s="431"/>
      <c r="Y127" s="431"/>
      <c r="Z127" s="468"/>
      <c r="AA127" s="431"/>
      <c r="AB127" s="431"/>
      <c r="AC127" s="468"/>
      <c r="AD127" s="431"/>
      <c r="AE127" s="431"/>
      <c r="AF127" s="431"/>
      <c r="AG127" s="431"/>
      <c r="AH127" s="431"/>
      <c r="AI127" s="468"/>
      <c r="AJ127" s="468"/>
      <c r="AK127" s="431"/>
      <c r="AL127" s="431"/>
      <c r="AM127" s="431"/>
    </row>
    <row r="128" spans="1:39" s="155" customFormat="1" ht="12" hidden="1" x14ac:dyDescent="0.2">
      <c r="A128" s="168">
        <v>74</v>
      </c>
      <c r="B128" s="558"/>
      <c r="C128" s="559"/>
      <c r="D128" s="432">
        <f t="shared" si="18"/>
        <v>0</v>
      </c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32">
        <f t="shared" si="17"/>
        <v>0</v>
      </c>
      <c r="Q128" s="431"/>
      <c r="R128" s="431"/>
      <c r="S128" s="431"/>
      <c r="T128" s="431"/>
      <c r="U128" s="431"/>
      <c r="V128" s="431"/>
      <c r="W128" s="431"/>
      <c r="X128" s="431"/>
      <c r="Y128" s="431"/>
      <c r="Z128" s="468"/>
      <c r="AA128" s="431"/>
      <c r="AB128" s="431"/>
      <c r="AC128" s="468"/>
      <c r="AD128" s="431"/>
      <c r="AE128" s="431"/>
      <c r="AF128" s="431"/>
      <c r="AG128" s="431"/>
      <c r="AH128" s="431"/>
      <c r="AI128" s="468"/>
      <c r="AJ128" s="468"/>
      <c r="AK128" s="431"/>
      <c r="AL128" s="431"/>
      <c r="AM128" s="431"/>
    </row>
    <row r="129" spans="1:39" s="155" customFormat="1" ht="12" hidden="1" x14ac:dyDescent="0.2">
      <c r="A129" s="168">
        <v>75</v>
      </c>
      <c r="B129" s="168"/>
      <c r="C129" s="172"/>
      <c r="D129" s="432">
        <f t="shared" si="18"/>
        <v>0</v>
      </c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32">
        <f t="shared" si="17"/>
        <v>0</v>
      </c>
      <c r="Q129" s="431"/>
      <c r="R129" s="431"/>
      <c r="S129" s="431"/>
      <c r="T129" s="431"/>
      <c r="U129" s="431"/>
      <c r="V129" s="431"/>
      <c r="W129" s="431"/>
      <c r="X129" s="431"/>
      <c r="Y129" s="431"/>
      <c r="Z129" s="468"/>
      <c r="AA129" s="431"/>
      <c r="AB129" s="431"/>
      <c r="AC129" s="468"/>
      <c r="AD129" s="431"/>
      <c r="AE129" s="431"/>
      <c r="AF129" s="431"/>
      <c r="AG129" s="431"/>
      <c r="AH129" s="431"/>
      <c r="AI129" s="468"/>
      <c r="AJ129" s="468"/>
      <c r="AK129" s="431"/>
      <c r="AL129" s="431"/>
      <c r="AM129" s="431"/>
    </row>
    <row r="130" spans="1:39" s="155" customFormat="1" ht="12" hidden="1" x14ac:dyDescent="0.2">
      <c r="A130" s="168">
        <v>76</v>
      </c>
      <c r="B130" s="168"/>
      <c r="C130" s="172"/>
      <c r="D130" s="432">
        <f t="shared" si="18"/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32">
        <f t="shared" si="17"/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</row>
    <row r="131" spans="1:39" s="155" customFormat="1" ht="12" hidden="1" x14ac:dyDescent="0.2">
      <c r="A131" s="168">
        <v>77</v>
      </c>
      <c r="B131" s="168"/>
      <c r="C131" s="172"/>
      <c r="D131" s="432">
        <f t="shared" si="18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2">
        <f t="shared" si="17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</row>
    <row r="132" spans="1:39" s="155" customFormat="1" ht="12" hidden="1" x14ac:dyDescent="0.2">
      <c r="A132" s="168">
        <v>78</v>
      </c>
      <c r="B132" s="168"/>
      <c r="C132" s="172"/>
      <c r="D132" s="432">
        <f t="shared" si="18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2">
        <f t="shared" si="17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</row>
    <row r="133" spans="1:39" s="155" customFormat="1" ht="12" hidden="1" x14ac:dyDescent="0.2">
      <c r="A133" s="168">
        <v>79</v>
      </c>
      <c r="B133" s="168"/>
      <c r="C133" s="172"/>
      <c r="D133" s="432">
        <f t="shared" si="18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si="17"/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155" customFormat="1" ht="12" hidden="1" x14ac:dyDescent="0.2">
      <c r="A134" s="168">
        <v>80</v>
      </c>
      <c r="B134" s="168"/>
      <c r="C134" s="172"/>
      <c r="D134" s="432">
        <f t="shared" si="18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si="17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155" customFormat="1" ht="12" hidden="1" x14ac:dyDescent="0.2">
      <c r="A135" s="168">
        <v>81</v>
      </c>
      <c r="B135" s="168"/>
      <c r="C135" s="172"/>
      <c r="D135" s="432">
        <f t="shared" si="18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17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155" customFormat="1" ht="12" hidden="1" x14ac:dyDescent="0.2">
      <c r="A136" s="168">
        <v>82</v>
      </c>
      <c r="B136" s="168"/>
      <c r="C136" s="172"/>
      <c r="D136" s="432">
        <f t="shared" si="18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17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155" customFormat="1" ht="12" hidden="1" x14ac:dyDescent="0.2">
      <c r="A137" s="168">
        <v>83</v>
      </c>
      <c r="B137" s="168"/>
      <c r="C137" s="172"/>
      <c r="D137" s="432">
        <f t="shared" si="18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17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68"/>
      <c r="C138" s="172"/>
      <c r="D138" s="432">
        <f t="shared" si="18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7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68"/>
      <c r="C139" s="172"/>
      <c r="D139" s="432">
        <f t="shared" si="18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7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68"/>
      <c r="C140" s="172"/>
      <c r="D140" s="432">
        <f t="shared" si="18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7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173"/>
      <c r="D141" s="432">
        <f t="shared" si="18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7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8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7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8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962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992831501</v>
      </c>
      <c r="E14" s="432">
        <f>SUM(E15,E16,E33,E54)</f>
        <v>277473341</v>
      </c>
      <c r="F14" s="432">
        <f t="shared" ref="F14:O14" si="0">SUM(F15,F16,F33,F54)</f>
        <v>120687401</v>
      </c>
      <c r="G14" s="432">
        <f t="shared" si="0"/>
        <v>42126745</v>
      </c>
      <c r="H14" s="432">
        <f t="shared" si="0"/>
        <v>40464926</v>
      </c>
      <c r="I14" s="432">
        <f t="shared" si="0"/>
        <v>271419269</v>
      </c>
      <c r="J14" s="432">
        <f t="shared" si="0"/>
        <v>18826755</v>
      </c>
      <c r="K14" s="432">
        <f t="shared" si="0"/>
        <v>121573722</v>
      </c>
      <c r="L14" s="432">
        <f t="shared" si="0"/>
        <v>0</v>
      </c>
      <c r="M14" s="432">
        <f t="shared" si="0"/>
        <v>119011474</v>
      </c>
      <c r="N14" s="432">
        <f t="shared" si="0"/>
        <v>129300062</v>
      </c>
      <c r="O14" s="432">
        <f t="shared" si="0"/>
        <v>14761952</v>
      </c>
      <c r="P14" s="432">
        <f>IF(SUM(Q14:AB14)=SUM(AC14:AM14),SUM(Q14:AB14),"  EROARE ART/CAP")</f>
        <v>997562758</v>
      </c>
      <c r="Q14" s="432">
        <f t="shared" ref="Q14:AM14" si="1">Q15+Q16+Q33+Q54</f>
        <v>325470018</v>
      </c>
      <c r="R14" s="432">
        <f t="shared" si="1"/>
        <v>157281436</v>
      </c>
      <c r="S14" s="432">
        <f t="shared" si="1"/>
        <v>1984204</v>
      </c>
      <c r="T14" s="432">
        <f t="shared" si="1"/>
        <v>6811085</v>
      </c>
      <c r="U14" s="432">
        <f t="shared" si="1"/>
        <v>35596274</v>
      </c>
      <c r="V14" s="432">
        <f t="shared" si="1"/>
        <v>3267405</v>
      </c>
      <c r="W14" s="432">
        <f t="shared" si="1"/>
        <v>279058156</v>
      </c>
      <c r="X14" s="432">
        <f t="shared" si="1"/>
        <v>44817253</v>
      </c>
      <c r="Y14" s="432">
        <f t="shared" si="1"/>
        <v>17354780</v>
      </c>
      <c r="Z14" s="432">
        <f t="shared" si="1"/>
        <v>120854994</v>
      </c>
      <c r="AA14" s="432">
        <f t="shared" si="1"/>
        <v>7858918</v>
      </c>
      <c r="AB14" s="432">
        <f t="shared" si="1"/>
        <v>-2791765</v>
      </c>
      <c r="AC14" s="432">
        <f t="shared" si="1"/>
        <v>109560872</v>
      </c>
      <c r="AD14" s="432">
        <f t="shared" si="1"/>
        <v>10547287</v>
      </c>
      <c r="AE14" s="432">
        <f t="shared" si="1"/>
        <v>292393323</v>
      </c>
      <c r="AF14" s="432">
        <f t="shared" si="1"/>
        <v>20142532</v>
      </c>
      <c r="AG14" s="432">
        <f t="shared" si="1"/>
        <v>63926303</v>
      </c>
      <c r="AH14" s="432">
        <f t="shared" si="1"/>
        <v>92127008</v>
      </c>
      <c r="AI14" s="432">
        <f t="shared" si="1"/>
        <v>59074127</v>
      </c>
      <c r="AJ14" s="432">
        <f t="shared" si="1"/>
        <v>124212116</v>
      </c>
      <c r="AK14" s="432">
        <f t="shared" si="1"/>
        <v>17585786</v>
      </c>
      <c r="AL14" s="432">
        <f t="shared" si="1"/>
        <v>180465561</v>
      </c>
      <c r="AM14" s="432">
        <f t="shared" si="1"/>
        <v>27527843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221607598</v>
      </c>
      <c r="E15" s="434">
        <v>49905371</v>
      </c>
      <c r="F15" s="436">
        <v>25617613</v>
      </c>
      <c r="G15" s="436">
        <v>20497996</v>
      </c>
      <c r="H15" s="436">
        <v>40464926</v>
      </c>
      <c r="I15" s="436"/>
      <c r="J15" s="436">
        <v>3729270</v>
      </c>
      <c r="K15" s="436">
        <v>40367000</v>
      </c>
      <c r="L15" s="448"/>
      <c r="M15" s="436">
        <v>51170013</v>
      </c>
      <c r="N15" s="436">
        <v>35617825</v>
      </c>
      <c r="O15" s="449">
        <v>353193</v>
      </c>
      <c r="P15" s="432">
        <f t="shared" ref="P15" si="2">IF(SUM(Q15:AB15)=SUM(AC15:AM15),SUM(Q15:AB15),"  EROARE ART/CAP")</f>
        <v>252105415</v>
      </c>
      <c r="Q15" s="431">
        <v>30598434</v>
      </c>
      <c r="R15" s="431">
        <v>30247345</v>
      </c>
      <c r="S15" s="431">
        <v>1543299</v>
      </c>
      <c r="T15" s="431"/>
      <c r="U15" s="431">
        <v>15563448</v>
      </c>
      <c r="V15" s="431">
        <v>435233</v>
      </c>
      <c r="W15" s="431">
        <v>118820167</v>
      </c>
      <c r="X15" s="431">
        <v>33595990</v>
      </c>
      <c r="Y15" s="431">
        <v>10889242</v>
      </c>
      <c r="Z15" s="431">
        <v>9232013</v>
      </c>
      <c r="AA15" s="431">
        <v>2089778</v>
      </c>
      <c r="AB15" s="431">
        <v>-909534</v>
      </c>
      <c r="AC15" s="431">
        <v>22309555</v>
      </c>
      <c r="AD15" s="431">
        <v>553481</v>
      </c>
      <c r="AE15" s="431">
        <v>12520911</v>
      </c>
      <c r="AF15" s="431">
        <v>9374016</v>
      </c>
      <c r="AG15" s="431">
        <v>15904022</v>
      </c>
      <c r="AH15" s="431">
        <v>58934851</v>
      </c>
      <c r="AI15" s="431">
        <v>893936</v>
      </c>
      <c r="AJ15" s="431">
        <v>89931652</v>
      </c>
      <c r="AK15" s="431"/>
      <c r="AL15" s="431">
        <v>25748812</v>
      </c>
      <c r="AM15" s="449">
        <v>15934179</v>
      </c>
    </row>
    <row r="16" spans="1:39" s="155" customFormat="1" ht="12" x14ac:dyDescent="0.2">
      <c r="A16" s="156" t="s">
        <v>72</v>
      </c>
      <c r="B16" s="157"/>
      <c r="C16" s="159"/>
      <c r="D16" s="432">
        <f>E16+SUM(H16:O16)</f>
        <v>301129366</v>
      </c>
      <c r="E16" s="433">
        <f>SUM(E18:E32)</f>
        <v>122062539</v>
      </c>
      <c r="F16" s="433">
        <f t="shared" ref="F16:O16" si="3">SUM(F18:F32)</f>
        <v>65924740</v>
      </c>
      <c r="G16" s="433">
        <f t="shared" si="3"/>
        <v>4535700</v>
      </c>
      <c r="H16" s="433">
        <f t="shared" si="3"/>
        <v>0</v>
      </c>
      <c r="I16" s="433">
        <f t="shared" si="3"/>
        <v>124399359</v>
      </c>
      <c r="J16" s="433">
        <f t="shared" si="3"/>
        <v>0</v>
      </c>
      <c r="K16" s="433">
        <f t="shared" si="3"/>
        <v>15949220</v>
      </c>
      <c r="L16" s="433">
        <f t="shared" si="3"/>
        <v>0</v>
      </c>
      <c r="M16" s="433">
        <f t="shared" si="3"/>
        <v>26185770</v>
      </c>
      <c r="N16" s="433">
        <f t="shared" si="3"/>
        <v>11183138</v>
      </c>
      <c r="O16" s="433">
        <f t="shared" si="3"/>
        <v>1349340</v>
      </c>
      <c r="P16" s="432">
        <f t="shared" ref="P16:P54" si="4">IF(SUM(Q16:AB16)=SUM(AC16:AM16),SUM(Q16:AB16),"  EROARE ART/CAP")</f>
        <v>282532795</v>
      </c>
      <c r="Q16" s="432">
        <f>SUM(Q18:Q32)</f>
        <v>129388747</v>
      </c>
      <c r="R16" s="432">
        <f t="shared" ref="R16:AM16" si="5">SUM(R18:R32)</f>
        <v>49099972</v>
      </c>
      <c r="S16" s="432">
        <f t="shared" si="5"/>
        <v>108855</v>
      </c>
      <c r="T16" s="432">
        <f t="shared" si="5"/>
        <v>6795436</v>
      </c>
      <c r="U16" s="432">
        <f t="shared" si="5"/>
        <v>18144970</v>
      </c>
      <c r="V16" s="432">
        <f t="shared" si="5"/>
        <v>0</v>
      </c>
      <c r="W16" s="432">
        <f t="shared" si="5"/>
        <v>32263001</v>
      </c>
      <c r="X16" s="432">
        <f t="shared" si="5"/>
        <v>2914842</v>
      </c>
      <c r="Y16" s="432">
        <f t="shared" si="5"/>
        <v>4647556</v>
      </c>
      <c r="Z16" s="432">
        <f t="shared" si="5"/>
        <v>39455956</v>
      </c>
      <c r="AA16" s="432">
        <f t="shared" si="5"/>
        <v>559696</v>
      </c>
      <c r="AB16" s="432">
        <f t="shared" si="5"/>
        <v>-846236</v>
      </c>
      <c r="AC16" s="432">
        <f t="shared" si="5"/>
        <v>20772609</v>
      </c>
      <c r="AD16" s="432">
        <f t="shared" si="5"/>
        <v>2084795</v>
      </c>
      <c r="AE16" s="432">
        <f t="shared" si="5"/>
        <v>135779751</v>
      </c>
      <c r="AF16" s="432">
        <f t="shared" si="5"/>
        <v>8921214</v>
      </c>
      <c r="AG16" s="432">
        <f t="shared" si="5"/>
        <v>24141656</v>
      </c>
      <c r="AH16" s="432">
        <f t="shared" si="5"/>
        <v>10970877</v>
      </c>
      <c r="AI16" s="432">
        <f t="shared" si="5"/>
        <v>22209592</v>
      </c>
      <c r="AJ16" s="432">
        <f t="shared" si="5"/>
        <v>5750235</v>
      </c>
      <c r="AK16" s="432">
        <f t="shared" si="5"/>
        <v>17277844</v>
      </c>
      <c r="AL16" s="432">
        <f t="shared" si="5"/>
        <v>32758965</v>
      </c>
      <c r="AM16" s="432">
        <f t="shared" si="5"/>
        <v>1865257</v>
      </c>
    </row>
    <row r="17" spans="1:39" s="155" customFormat="1" ht="22.5" x14ac:dyDescent="0.2">
      <c r="A17" s="277" t="s">
        <v>2306</v>
      </c>
      <c r="B17" s="280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x14ac:dyDescent="0.2">
      <c r="A18" s="146">
        <v>1</v>
      </c>
      <c r="B18" s="572">
        <v>83320</v>
      </c>
      <c r="C18" s="423" t="s">
        <v>2878</v>
      </c>
      <c r="D18" s="432">
        <f t="shared" ref="D18:D21" si="6">E18+SUM(H18:O18)</f>
        <v>119855251</v>
      </c>
      <c r="E18" s="436">
        <v>55078347</v>
      </c>
      <c r="F18" s="436">
        <v>33481678</v>
      </c>
      <c r="G18" s="436">
        <v>817800</v>
      </c>
      <c r="H18" s="436"/>
      <c r="I18" s="436">
        <v>49188800</v>
      </c>
      <c r="J18" s="436"/>
      <c r="K18" s="436">
        <v>3045050</v>
      </c>
      <c r="L18" s="448"/>
      <c r="M18" s="436">
        <v>5592239</v>
      </c>
      <c r="N18" s="436">
        <v>6902715</v>
      </c>
      <c r="O18" s="449">
        <v>48100</v>
      </c>
      <c r="P18" s="432">
        <f t="shared" ref="P18:P21" si="7">IF(SUM(Q18:AB18)=SUM(AC18:AM18),SUM(Q18:AB18),"  EROARE ART/CAP")</f>
        <v>112539525</v>
      </c>
      <c r="Q18" s="431">
        <v>49713906</v>
      </c>
      <c r="R18" s="431">
        <v>18324787</v>
      </c>
      <c r="S18" s="431"/>
      <c r="T18" s="431">
        <v>2177415</v>
      </c>
      <c r="U18" s="431">
        <v>6997623</v>
      </c>
      <c r="V18" s="431"/>
      <c r="W18" s="431">
        <v>20737977</v>
      </c>
      <c r="X18" s="431">
        <v>1382682</v>
      </c>
      <c r="Y18" s="431">
        <v>1157683</v>
      </c>
      <c r="Z18" s="431">
        <v>12402894</v>
      </c>
      <c r="AA18" s="431"/>
      <c r="AB18" s="431">
        <v>-355442</v>
      </c>
      <c r="AC18" s="431">
        <v>4501655</v>
      </c>
      <c r="AD18" s="431">
        <v>31642</v>
      </c>
      <c r="AE18" s="431">
        <v>51522381</v>
      </c>
      <c r="AF18" s="431">
        <v>742506</v>
      </c>
      <c r="AG18" s="431">
        <v>11012872</v>
      </c>
      <c r="AH18" s="431">
        <v>4501406</v>
      </c>
      <c r="AI18" s="431">
        <v>16140115</v>
      </c>
      <c r="AJ18" s="431">
        <v>2218323</v>
      </c>
      <c r="AK18" s="431">
        <v>5797638</v>
      </c>
      <c r="AL18" s="431">
        <v>15687317</v>
      </c>
      <c r="AM18" s="449">
        <v>383670</v>
      </c>
    </row>
    <row r="19" spans="1:39" s="155" customFormat="1" x14ac:dyDescent="0.2">
      <c r="A19" s="146">
        <v>2</v>
      </c>
      <c r="B19" s="572">
        <v>83133</v>
      </c>
      <c r="C19" s="423" t="s">
        <v>2879</v>
      </c>
      <c r="D19" s="432">
        <f t="shared" si="6"/>
        <v>98924696</v>
      </c>
      <c r="E19" s="436">
        <v>39097188</v>
      </c>
      <c r="F19" s="436">
        <v>22354394</v>
      </c>
      <c r="G19" s="436">
        <v>145280</v>
      </c>
      <c r="H19" s="436"/>
      <c r="I19" s="436">
        <v>41558178</v>
      </c>
      <c r="J19" s="436"/>
      <c r="K19" s="436">
        <v>787000</v>
      </c>
      <c r="L19" s="448"/>
      <c r="M19" s="436">
        <v>14528214</v>
      </c>
      <c r="N19" s="436">
        <v>1654976</v>
      </c>
      <c r="O19" s="449">
        <v>1299140</v>
      </c>
      <c r="P19" s="432">
        <f t="shared" si="7"/>
        <v>93770098</v>
      </c>
      <c r="Q19" s="431">
        <v>43372620</v>
      </c>
      <c r="R19" s="431">
        <v>17881319</v>
      </c>
      <c r="S19" s="431"/>
      <c r="T19" s="431">
        <v>2602000</v>
      </c>
      <c r="U19" s="431">
        <v>7730571</v>
      </c>
      <c r="V19" s="431"/>
      <c r="W19" s="431">
        <v>3527166</v>
      </c>
      <c r="X19" s="431">
        <v>631439</v>
      </c>
      <c r="Y19" s="431">
        <v>2055825</v>
      </c>
      <c r="Z19" s="431">
        <v>16136640</v>
      </c>
      <c r="AA19" s="431"/>
      <c r="AB19" s="431">
        <v>-167482</v>
      </c>
      <c r="AC19" s="431">
        <v>10343742</v>
      </c>
      <c r="AD19" s="431">
        <v>928448</v>
      </c>
      <c r="AE19" s="431">
        <v>49486111</v>
      </c>
      <c r="AF19" s="431">
        <v>4217784</v>
      </c>
      <c r="AG19" s="431">
        <v>8060678</v>
      </c>
      <c r="AH19" s="431">
        <v>3214127</v>
      </c>
      <c r="AI19" s="431">
        <v>1895332</v>
      </c>
      <c r="AJ19" s="431">
        <v>1853096</v>
      </c>
      <c r="AK19" s="431">
        <v>9110344</v>
      </c>
      <c r="AL19" s="431">
        <v>4056952</v>
      </c>
      <c r="AM19" s="449">
        <v>603484</v>
      </c>
    </row>
    <row r="20" spans="1:39" s="155" customFormat="1" x14ac:dyDescent="0.2">
      <c r="A20" s="146">
        <v>3</v>
      </c>
      <c r="B20" s="572">
        <v>83632</v>
      </c>
      <c r="C20" s="423" t="s">
        <v>2880</v>
      </c>
      <c r="D20" s="432">
        <f t="shared" si="6"/>
        <v>39550899</v>
      </c>
      <c r="E20" s="436">
        <v>11215692</v>
      </c>
      <c r="F20" s="436">
        <v>3693210</v>
      </c>
      <c r="G20" s="436">
        <v>2220040</v>
      </c>
      <c r="H20" s="436"/>
      <c r="I20" s="436">
        <v>13672013</v>
      </c>
      <c r="J20" s="436"/>
      <c r="K20" s="436">
        <v>7669540</v>
      </c>
      <c r="L20" s="448"/>
      <c r="M20" s="436">
        <v>4368207</v>
      </c>
      <c r="N20" s="436">
        <v>2625447</v>
      </c>
      <c r="O20" s="449"/>
      <c r="P20" s="432">
        <f t="shared" si="7"/>
        <v>37570556</v>
      </c>
      <c r="Q20" s="431">
        <v>15180287</v>
      </c>
      <c r="R20" s="431">
        <v>7578667</v>
      </c>
      <c r="S20" s="431"/>
      <c r="T20" s="431"/>
      <c r="U20" s="431">
        <v>766259</v>
      </c>
      <c r="V20" s="431"/>
      <c r="W20" s="431">
        <v>7131742</v>
      </c>
      <c r="X20" s="431">
        <v>435721</v>
      </c>
      <c r="Y20" s="431">
        <v>406711</v>
      </c>
      <c r="Z20" s="431">
        <v>6071169</v>
      </c>
      <c r="AA20" s="431"/>
      <c r="AB20" s="431"/>
      <c r="AC20" s="431">
        <v>2534844</v>
      </c>
      <c r="AD20" s="431">
        <v>449361</v>
      </c>
      <c r="AE20" s="431">
        <v>14106461</v>
      </c>
      <c r="AF20" s="431">
        <v>3584331</v>
      </c>
      <c r="AG20" s="431">
        <v>1125099</v>
      </c>
      <c r="AH20" s="431">
        <v>1524760</v>
      </c>
      <c r="AI20" s="431">
        <v>2862181</v>
      </c>
      <c r="AJ20" s="431">
        <v>957238</v>
      </c>
      <c r="AK20" s="431"/>
      <c r="AL20" s="431">
        <v>10426281</v>
      </c>
      <c r="AM20" s="449"/>
    </row>
    <row r="21" spans="1:39" s="155" customFormat="1" x14ac:dyDescent="0.2">
      <c r="A21" s="146">
        <v>4</v>
      </c>
      <c r="B21" s="572">
        <v>83561</v>
      </c>
      <c r="C21" s="423" t="s">
        <v>2881</v>
      </c>
      <c r="D21" s="432">
        <f t="shared" si="6"/>
        <v>42798520</v>
      </c>
      <c r="E21" s="436">
        <v>16671312</v>
      </c>
      <c r="F21" s="436">
        <v>6395458</v>
      </c>
      <c r="G21" s="436">
        <v>1352580</v>
      </c>
      <c r="H21" s="436"/>
      <c r="I21" s="436">
        <v>19980368</v>
      </c>
      <c r="J21" s="436"/>
      <c r="K21" s="436">
        <v>4447630</v>
      </c>
      <c r="L21" s="448"/>
      <c r="M21" s="436">
        <v>1697110</v>
      </c>
      <c r="N21" s="436"/>
      <c r="O21" s="449">
        <v>2100</v>
      </c>
      <c r="P21" s="432">
        <f t="shared" si="7"/>
        <v>38652616</v>
      </c>
      <c r="Q21" s="431">
        <v>21121934</v>
      </c>
      <c r="R21" s="431">
        <v>5315199</v>
      </c>
      <c r="S21" s="431">
        <v>108855</v>
      </c>
      <c r="T21" s="431">
        <v>2016021</v>
      </c>
      <c r="U21" s="431">
        <v>2650517</v>
      </c>
      <c r="V21" s="431"/>
      <c r="W21" s="431">
        <v>866116</v>
      </c>
      <c r="X21" s="431">
        <v>465000</v>
      </c>
      <c r="Y21" s="431">
        <v>1027337</v>
      </c>
      <c r="Z21" s="431">
        <v>4845253</v>
      </c>
      <c r="AA21" s="431">
        <v>559696</v>
      </c>
      <c r="AB21" s="431">
        <v>-323312</v>
      </c>
      <c r="AC21" s="431">
        <v>3392368</v>
      </c>
      <c r="AD21" s="431">
        <v>675344</v>
      </c>
      <c r="AE21" s="431">
        <v>20664798</v>
      </c>
      <c r="AF21" s="431">
        <v>376593</v>
      </c>
      <c r="AG21" s="431">
        <v>3943007</v>
      </c>
      <c r="AH21" s="431">
        <v>1730584</v>
      </c>
      <c r="AI21" s="431">
        <v>1311964</v>
      </c>
      <c r="AJ21" s="431">
        <v>721578</v>
      </c>
      <c r="AK21" s="431">
        <v>2369862</v>
      </c>
      <c r="AL21" s="431">
        <v>2588415</v>
      </c>
      <c r="AM21" s="449">
        <v>878103</v>
      </c>
    </row>
    <row r="22" spans="1:39" s="155" customFormat="1" ht="12" hidden="1" x14ac:dyDescent="0.2">
      <c r="A22" s="146">
        <v>5</v>
      </c>
      <c r="B22" s="573"/>
      <c r="C22" s="388"/>
      <c r="D22" s="432">
        <f t="shared" ref="D22:D41" si="8">E22+SUM(H22:O22)</f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4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161"/>
      <c r="C23" s="206"/>
      <c r="D23" s="432">
        <f t="shared" si="8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4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61"/>
      <c r="C24" s="206"/>
      <c r="D24" s="432">
        <f t="shared" si="8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4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61"/>
      <c r="C25" s="206"/>
      <c r="D25" s="432">
        <f t="shared" si="8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4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61"/>
      <c r="C26" s="206"/>
      <c r="D26" s="432">
        <f t="shared" si="8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4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61"/>
      <c r="C27" s="206"/>
      <c r="D27" s="432">
        <f t="shared" si="8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4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61"/>
      <c r="C28" s="206"/>
      <c r="D28" s="432">
        <f t="shared" si="8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4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61"/>
      <c r="C29" s="206"/>
      <c r="D29" s="432">
        <f t="shared" si="8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4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61"/>
      <c r="C30" s="206"/>
      <c r="D30" s="432">
        <f t="shared" si="8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4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61"/>
      <c r="C31" s="206"/>
      <c r="D31" s="432">
        <f t="shared" si="8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4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61"/>
      <c r="C32" s="207"/>
      <c r="D32" s="432">
        <f t="shared" si="8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4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574"/>
      <c r="C33" s="389"/>
      <c r="D33" s="432">
        <f t="shared" si="8"/>
        <v>78608366</v>
      </c>
      <c r="E33" s="432">
        <f>SUM(E34:E53)</f>
        <v>21936397</v>
      </c>
      <c r="F33" s="432">
        <f t="shared" ref="F33:O33" si="9">SUM(F34:F53)</f>
        <v>7909189</v>
      </c>
      <c r="G33" s="432">
        <f t="shared" si="9"/>
        <v>3192180</v>
      </c>
      <c r="H33" s="432">
        <f t="shared" si="9"/>
        <v>0</v>
      </c>
      <c r="I33" s="432">
        <f t="shared" si="9"/>
        <v>26061177</v>
      </c>
      <c r="J33" s="432">
        <f t="shared" si="9"/>
        <v>850000</v>
      </c>
      <c r="K33" s="432">
        <f t="shared" si="9"/>
        <v>11006880</v>
      </c>
      <c r="L33" s="432">
        <f t="shared" si="9"/>
        <v>0</v>
      </c>
      <c r="M33" s="432">
        <f t="shared" si="9"/>
        <v>5008478</v>
      </c>
      <c r="N33" s="432">
        <f t="shared" si="9"/>
        <v>12605665</v>
      </c>
      <c r="O33" s="432">
        <f t="shared" si="9"/>
        <v>1139769</v>
      </c>
      <c r="P33" s="432">
        <f t="shared" si="4"/>
        <v>74382482</v>
      </c>
      <c r="Q33" s="432">
        <f>SUM(Q34:Q53)</f>
        <v>29080746</v>
      </c>
      <c r="R33" s="432">
        <f t="shared" ref="R33:AM33" si="10">SUM(R34:R53)</f>
        <v>12504107</v>
      </c>
      <c r="S33" s="432">
        <f t="shared" si="10"/>
        <v>183500</v>
      </c>
      <c r="T33" s="432">
        <f t="shared" si="10"/>
        <v>15649</v>
      </c>
      <c r="U33" s="432">
        <f t="shared" si="10"/>
        <v>118010</v>
      </c>
      <c r="V33" s="432">
        <f t="shared" si="10"/>
        <v>9205</v>
      </c>
      <c r="W33" s="432">
        <f t="shared" si="10"/>
        <v>17639356</v>
      </c>
      <c r="X33" s="432">
        <f t="shared" si="10"/>
        <v>1155348</v>
      </c>
      <c r="Y33" s="432">
        <f t="shared" si="10"/>
        <v>264492</v>
      </c>
      <c r="Z33" s="432">
        <f t="shared" si="10"/>
        <v>12915728</v>
      </c>
      <c r="AA33" s="432">
        <f t="shared" si="10"/>
        <v>526000</v>
      </c>
      <c r="AB33" s="432">
        <f t="shared" si="10"/>
        <v>-29659</v>
      </c>
      <c r="AC33" s="432">
        <f t="shared" si="10"/>
        <v>15611690</v>
      </c>
      <c r="AD33" s="432">
        <f t="shared" si="10"/>
        <v>338441</v>
      </c>
      <c r="AE33" s="432">
        <f t="shared" si="10"/>
        <v>26572611</v>
      </c>
      <c r="AF33" s="432">
        <f t="shared" si="10"/>
        <v>231061</v>
      </c>
      <c r="AG33" s="432">
        <f t="shared" si="10"/>
        <v>3019796</v>
      </c>
      <c r="AH33" s="432">
        <f t="shared" si="10"/>
        <v>2684514</v>
      </c>
      <c r="AI33" s="432">
        <f t="shared" si="10"/>
        <v>7353355</v>
      </c>
      <c r="AJ33" s="432">
        <f t="shared" si="10"/>
        <v>1553881</v>
      </c>
      <c r="AK33" s="432">
        <f t="shared" si="10"/>
        <v>307942</v>
      </c>
      <c r="AL33" s="432">
        <f t="shared" si="10"/>
        <v>13813040</v>
      </c>
      <c r="AM33" s="432">
        <f t="shared" si="10"/>
        <v>2896151</v>
      </c>
    </row>
    <row r="34" spans="1:39" s="155" customFormat="1" x14ac:dyDescent="0.2">
      <c r="A34" s="146">
        <v>1</v>
      </c>
      <c r="B34" s="572">
        <v>83428</v>
      </c>
      <c r="C34" s="423" t="s">
        <v>2882</v>
      </c>
      <c r="D34" s="432">
        <f t="shared" si="8"/>
        <v>7346972</v>
      </c>
      <c r="E34" s="436">
        <v>3425934</v>
      </c>
      <c r="F34" s="436">
        <v>430920</v>
      </c>
      <c r="G34" s="436">
        <v>916420</v>
      </c>
      <c r="H34" s="436"/>
      <c r="I34" s="436">
        <v>852818</v>
      </c>
      <c r="J34" s="436"/>
      <c r="K34" s="436">
        <v>2934800</v>
      </c>
      <c r="L34" s="448"/>
      <c r="M34" s="436">
        <v>133420</v>
      </c>
      <c r="N34" s="436"/>
      <c r="O34" s="449"/>
      <c r="P34" s="432">
        <f t="shared" ref="P34:P38" si="11">IF(SUM(Q34:AB34)=SUM(AC34:AM34),SUM(Q34:AB34),"  EROARE ART/CAP")</f>
        <v>5045957</v>
      </c>
      <c r="Q34" s="431">
        <v>1270976</v>
      </c>
      <c r="R34" s="431">
        <v>1890611</v>
      </c>
      <c r="S34" s="431"/>
      <c r="T34" s="431"/>
      <c r="U34" s="431">
        <v>12942</v>
      </c>
      <c r="V34" s="431"/>
      <c r="W34" s="431">
        <v>3000</v>
      </c>
      <c r="X34" s="431">
        <v>64982</v>
      </c>
      <c r="Y34" s="431">
        <v>23000</v>
      </c>
      <c r="Z34" s="431">
        <v>1780446</v>
      </c>
      <c r="AA34" s="431"/>
      <c r="AB34" s="431"/>
      <c r="AC34" s="431">
        <v>719530</v>
      </c>
      <c r="AD34" s="431">
        <v>52372</v>
      </c>
      <c r="AE34" s="431">
        <v>1100237</v>
      </c>
      <c r="AF34" s="431"/>
      <c r="AG34" s="431">
        <v>185638</v>
      </c>
      <c r="AH34" s="431">
        <v>106764</v>
      </c>
      <c r="AI34" s="431">
        <v>403505</v>
      </c>
      <c r="AJ34" s="431">
        <v>631103</v>
      </c>
      <c r="AK34" s="431"/>
      <c r="AL34" s="431">
        <v>1286416</v>
      </c>
      <c r="AM34" s="449">
        <v>560392</v>
      </c>
    </row>
    <row r="35" spans="1:39" s="155" customFormat="1" x14ac:dyDescent="0.2">
      <c r="A35" s="146">
        <v>2</v>
      </c>
      <c r="B35" s="572">
        <v>83464</v>
      </c>
      <c r="C35" s="423" t="s">
        <v>2883</v>
      </c>
      <c r="D35" s="432">
        <f t="shared" si="8"/>
        <v>18988015</v>
      </c>
      <c r="E35" s="436">
        <v>2168731</v>
      </c>
      <c r="F35" s="436">
        <v>722542</v>
      </c>
      <c r="G35" s="436">
        <v>646960</v>
      </c>
      <c r="H35" s="436"/>
      <c r="I35" s="436">
        <v>5790567</v>
      </c>
      <c r="J35" s="436"/>
      <c r="K35" s="436">
        <v>2399020</v>
      </c>
      <c r="L35" s="448"/>
      <c r="M35" s="436">
        <v>2713942</v>
      </c>
      <c r="N35" s="436">
        <v>5765755</v>
      </c>
      <c r="O35" s="449">
        <v>150000</v>
      </c>
      <c r="P35" s="432">
        <f t="shared" si="11"/>
        <v>19044350</v>
      </c>
      <c r="Q35" s="431">
        <v>6666642</v>
      </c>
      <c r="R35" s="431">
        <v>1806553</v>
      </c>
      <c r="S35" s="431"/>
      <c r="T35" s="431"/>
      <c r="U35" s="431"/>
      <c r="V35" s="431"/>
      <c r="W35" s="431">
        <v>9366239</v>
      </c>
      <c r="X35" s="431">
        <v>301799</v>
      </c>
      <c r="Y35" s="431">
        <v>24943</v>
      </c>
      <c r="Z35" s="431">
        <v>907833</v>
      </c>
      <c r="AA35" s="431"/>
      <c r="AB35" s="431">
        <v>-29659</v>
      </c>
      <c r="AC35" s="431">
        <v>10846833</v>
      </c>
      <c r="AD35" s="431">
        <v>25673</v>
      </c>
      <c r="AE35" s="431">
        <v>5777161</v>
      </c>
      <c r="AF35" s="431">
        <v>84497</v>
      </c>
      <c r="AG35" s="431">
        <v>302007</v>
      </c>
      <c r="AH35" s="431">
        <v>865724</v>
      </c>
      <c r="AI35" s="431">
        <v>713571</v>
      </c>
      <c r="AJ35" s="431"/>
      <c r="AK35" s="431"/>
      <c r="AL35" s="431">
        <v>428884</v>
      </c>
      <c r="AM35" s="449"/>
    </row>
    <row r="36" spans="1:39" s="155" customFormat="1" x14ac:dyDescent="0.2">
      <c r="A36" s="146">
        <v>3</v>
      </c>
      <c r="B36" s="572">
        <v>83491</v>
      </c>
      <c r="C36" s="423" t="s">
        <v>2884</v>
      </c>
      <c r="D36" s="432">
        <f t="shared" si="8"/>
        <v>16122735</v>
      </c>
      <c r="E36" s="436">
        <v>4376283</v>
      </c>
      <c r="F36" s="436">
        <v>2223942</v>
      </c>
      <c r="G36" s="436">
        <v>564470</v>
      </c>
      <c r="H36" s="436"/>
      <c r="I36" s="436">
        <v>1508903</v>
      </c>
      <c r="J36" s="436"/>
      <c r="K36" s="436">
        <v>1959450</v>
      </c>
      <c r="L36" s="448"/>
      <c r="M36" s="436">
        <v>1267054</v>
      </c>
      <c r="N36" s="436">
        <v>6614695</v>
      </c>
      <c r="O36" s="449">
        <v>396350</v>
      </c>
      <c r="P36" s="432">
        <f t="shared" si="11"/>
        <v>15615540</v>
      </c>
      <c r="Q36" s="431">
        <v>2186605</v>
      </c>
      <c r="R36" s="431">
        <v>2380545</v>
      </c>
      <c r="S36" s="431">
        <v>4500</v>
      </c>
      <c r="T36" s="431"/>
      <c r="U36" s="431">
        <v>7629</v>
      </c>
      <c r="V36" s="431">
        <v>9205</v>
      </c>
      <c r="W36" s="431">
        <v>7712531</v>
      </c>
      <c r="X36" s="431">
        <v>86880</v>
      </c>
      <c r="Y36" s="431">
        <v>135549</v>
      </c>
      <c r="Z36" s="431">
        <v>2792096</v>
      </c>
      <c r="AA36" s="431">
        <v>300000</v>
      </c>
      <c r="AB36" s="431"/>
      <c r="AC36" s="431">
        <v>1104373</v>
      </c>
      <c r="AD36" s="431">
        <v>31389</v>
      </c>
      <c r="AE36" s="431">
        <v>1639490</v>
      </c>
      <c r="AF36" s="431">
        <v>21095</v>
      </c>
      <c r="AG36" s="431">
        <v>846274</v>
      </c>
      <c r="AH36" s="431">
        <v>204417</v>
      </c>
      <c r="AI36" s="431">
        <v>1448749</v>
      </c>
      <c r="AJ36" s="431">
        <v>805971</v>
      </c>
      <c r="AK36" s="431"/>
      <c r="AL36" s="431">
        <v>7788456</v>
      </c>
      <c r="AM36" s="449">
        <v>1725326</v>
      </c>
    </row>
    <row r="37" spans="1:39" s="155" customFormat="1" x14ac:dyDescent="0.2">
      <c r="A37" s="146">
        <v>4</v>
      </c>
      <c r="B37" s="572">
        <v>83525</v>
      </c>
      <c r="C37" s="423" t="s">
        <v>2885</v>
      </c>
      <c r="D37" s="432">
        <f>E37+SUM(H37:O37)</f>
        <v>22504817</v>
      </c>
      <c r="E37" s="436">
        <v>8083301</v>
      </c>
      <c r="F37" s="436">
        <v>3337826</v>
      </c>
      <c r="G37" s="436">
        <v>234260</v>
      </c>
      <c r="H37" s="436"/>
      <c r="I37" s="436">
        <v>11739867</v>
      </c>
      <c r="J37" s="436">
        <v>850000</v>
      </c>
      <c r="K37" s="436">
        <v>813010</v>
      </c>
      <c r="L37" s="448"/>
      <c r="M37" s="436">
        <v>425220</v>
      </c>
      <c r="N37" s="431"/>
      <c r="O37" s="436">
        <v>593419</v>
      </c>
      <c r="P37" s="432">
        <f t="shared" si="11"/>
        <v>21118528</v>
      </c>
      <c r="Q37" s="431">
        <v>12227028</v>
      </c>
      <c r="R37" s="431">
        <v>3748283</v>
      </c>
      <c r="S37" s="431">
        <v>179000</v>
      </c>
      <c r="T37" s="431">
        <v>15649</v>
      </c>
      <c r="U37" s="431">
        <v>63790</v>
      </c>
      <c r="V37" s="431"/>
      <c r="W37" s="431"/>
      <c r="X37" s="431">
        <v>406996</v>
      </c>
      <c r="Y37" s="431">
        <v>40000</v>
      </c>
      <c r="Z37" s="431">
        <v>4211782</v>
      </c>
      <c r="AA37" s="431">
        <v>226000</v>
      </c>
      <c r="AB37" s="431"/>
      <c r="AC37" s="431">
        <v>1698811</v>
      </c>
      <c r="AD37" s="431">
        <v>33563</v>
      </c>
      <c r="AE37" s="431">
        <v>11698546</v>
      </c>
      <c r="AF37" s="431">
        <v>115517</v>
      </c>
      <c r="AG37" s="431">
        <v>1172921</v>
      </c>
      <c r="AH37" s="431">
        <v>945332</v>
      </c>
      <c r="AI37" s="431">
        <v>3577101</v>
      </c>
      <c r="AJ37" s="431">
        <v>105547</v>
      </c>
      <c r="AK37" s="431">
        <v>15649</v>
      </c>
      <c r="AL37" s="431">
        <v>1755541</v>
      </c>
      <c r="AM37" s="449"/>
    </row>
    <row r="38" spans="1:39" s="155" customFormat="1" x14ac:dyDescent="0.2">
      <c r="A38" s="146">
        <v>5</v>
      </c>
      <c r="B38" s="572">
        <v>83749</v>
      </c>
      <c r="C38" s="423" t="s">
        <v>2886</v>
      </c>
      <c r="D38" s="432">
        <f t="shared" si="8"/>
        <v>13645827</v>
      </c>
      <c r="E38" s="436">
        <v>3882148</v>
      </c>
      <c r="F38" s="436">
        <v>1193959</v>
      </c>
      <c r="G38" s="436">
        <v>830070</v>
      </c>
      <c r="H38" s="436"/>
      <c r="I38" s="436">
        <v>6169022</v>
      </c>
      <c r="J38" s="436"/>
      <c r="K38" s="436">
        <v>2900600</v>
      </c>
      <c r="L38" s="448"/>
      <c r="M38" s="436">
        <v>468842</v>
      </c>
      <c r="N38" s="436">
        <v>225215</v>
      </c>
      <c r="O38" s="449"/>
      <c r="P38" s="432">
        <f t="shared" si="11"/>
        <v>13558107</v>
      </c>
      <c r="Q38" s="431">
        <v>6729495</v>
      </c>
      <c r="R38" s="431">
        <v>2678115</v>
      </c>
      <c r="S38" s="431"/>
      <c r="T38" s="431"/>
      <c r="U38" s="431">
        <v>33649</v>
      </c>
      <c r="V38" s="431"/>
      <c r="W38" s="431">
        <v>557586</v>
      </c>
      <c r="X38" s="431">
        <v>294691</v>
      </c>
      <c r="Y38" s="431">
        <v>41000</v>
      </c>
      <c r="Z38" s="431">
        <v>3223571</v>
      </c>
      <c r="AA38" s="431"/>
      <c r="AB38" s="431"/>
      <c r="AC38" s="431">
        <v>1242143</v>
      </c>
      <c r="AD38" s="431">
        <v>195444</v>
      </c>
      <c r="AE38" s="431">
        <v>6357177</v>
      </c>
      <c r="AF38" s="431">
        <v>9952</v>
      </c>
      <c r="AG38" s="431">
        <v>512956</v>
      </c>
      <c r="AH38" s="431">
        <v>562277</v>
      </c>
      <c r="AI38" s="431">
        <v>1210429</v>
      </c>
      <c r="AJ38" s="431">
        <v>11260</v>
      </c>
      <c r="AK38" s="431">
        <v>292293</v>
      </c>
      <c r="AL38" s="431">
        <v>2553743</v>
      </c>
      <c r="AM38" s="449">
        <v>610433</v>
      </c>
    </row>
    <row r="39" spans="1:39" s="155" customFormat="1" ht="12" hidden="1" x14ac:dyDescent="0.2">
      <c r="A39" s="146">
        <v>6</v>
      </c>
      <c r="B39" s="573"/>
      <c r="C39" s="379"/>
      <c r="D39" s="432">
        <f t="shared" si="8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4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</row>
    <row r="40" spans="1:39" s="155" customFormat="1" ht="12" hidden="1" x14ac:dyDescent="0.2">
      <c r="A40" s="146">
        <v>7</v>
      </c>
      <c r="B40" s="161"/>
      <c r="C40" s="182"/>
      <c r="D40" s="432">
        <f t="shared" si="8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4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155" customFormat="1" ht="12" hidden="1" x14ac:dyDescent="0.2">
      <c r="A41" s="146">
        <v>8</v>
      </c>
      <c r="B41" s="161"/>
      <c r="C41" s="173"/>
      <c r="D41" s="432">
        <f t="shared" si="8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4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146">
        <v>9</v>
      </c>
      <c r="B42" s="161"/>
      <c r="C42" s="206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4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161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4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61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4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61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4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61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4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61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4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61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4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61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4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61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4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61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4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61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4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61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4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574"/>
      <c r="C54" s="389"/>
      <c r="D54" s="432">
        <f t="shared" ref="D54:D117" si="12">E54+SUM(H54:O54)</f>
        <v>391486171</v>
      </c>
      <c r="E54" s="432">
        <f>SUM(E55:E143)</f>
        <v>83569034</v>
      </c>
      <c r="F54" s="432">
        <f t="shared" ref="F54:O54" si="13">SUM(F55:F143)</f>
        <v>21235859</v>
      </c>
      <c r="G54" s="432">
        <f t="shared" si="13"/>
        <v>13900869</v>
      </c>
      <c r="H54" s="432">
        <f t="shared" si="13"/>
        <v>0</v>
      </c>
      <c r="I54" s="432">
        <f t="shared" si="13"/>
        <v>120958733</v>
      </c>
      <c r="J54" s="432">
        <f t="shared" si="13"/>
        <v>14247485</v>
      </c>
      <c r="K54" s="432">
        <f t="shared" si="13"/>
        <v>54250622</v>
      </c>
      <c r="L54" s="432">
        <f t="shared" si="13"/>
        <v>0</v>
      </c>
      <c r="M54" s="432">
        <f t="shared" si="13"/>
        <v>36647213</v>
      </c>
      <c r="N54" s="432">
        <f t="shared" si="13"/>
        <v>69893434</v>
      </c>
      <c r="O54" s="432">
        <f t="shared" si="13"/>
        <v>11919650</v>
      </c>
      <c r="P54" s="432">
        <f t="shared" si="4"/>
        <v>388542066</v>
      </c>
      <c r="Q54" s="432">
        <f>SUM(Q55:Q143)</f>
        <v>136402091</v>
      </c>
      <c r="R54" s="432">
        <f t="shared" ref="R54:AM54" si="14">SUM(R55:R143)</f>
        <v>65430012</v>
      </c>
      <c r="S54" s="432">
        <f t="shared" si="14"/>
        <v>148550</v>
      </c>
      <c r="T54" s="432">
        <f t="shared" si="14"/>
        <v>0</v>
      </c>
      <c r="U54" s="432">
        <f t="shared" si="14"/>
        <v>1769846</v>
      </c>
      <c r="V54" s="432">
        <f t="shared" si="14"/>
        <v>2822967</v>
      </c>
      <c r="W54" s="432">
        <f t="shared" si="14"/>
        <v>110335632</v>
      </c>
      <c r="X54" s="432">
        <f t="shared" si="14"/>
        <v>7151073</v>
      </c>
      <c r="Y54" s="432">
        <f t="shared" si="14"/>
        <v>1553490</v>
      </c>
      <c r="Z54" s="432">
        <f t="shared" si="14"/>
        <v>59251297</v>
      </c>
      <c r="AA54" s="432">
        <f t="shared" si="14"/>
        <v>4683444</v>
      </c>
      <c r="AB54" s="432">
        <f t="shared" si="14"/>
        <v>-1006336</v>
      </c>
      <c r="AC54" s="432">
        <f t="shared" si="14"/>
        <v>50867018</v>
      </c>
      <c r="AD54" s="432">
        <f t="shared" si="14"/>
        <v>7570570</v>
      </c>
      <c r="AE54" s="432">
        <f t="shared" si="14"/>
        <v>117520050</v>
      </c>
      <c r="AF54" s="432">
        <f t="shared" si="14"/>
        <v>1616241</v>
      </c>
      <c r="AG54" s="432">
        <f t="shared" si="14"/>
        <v>20860829</v>
      </c>
      <c r="AH54" s="432">
        <f t="shared" si="14"/>
        <v>19536766</v>
      </c>
      <c r="AI54" s="432">
        <f t="shared" si="14"/>
        <v>28617244</v>
      </c>
      <c r="AJ54" s="432">
        <f t="shared" si="14"/>
        <v>26976348</v>
      </c>
      <c r="AK54" s="432">
        <f t="shared" si="14"/>
        <v>0</v>
      </c>
      <c r="AL54" s="432">
        <f>SUM(AL55:AL143)</f>
        <v>108144744</v>
      </c>
      <c r="AM54" s="432">
        <f t="shared" si="14"/>
        <v>6832256</v>
      </c>
    </row>
    <row r="55" spans="1:39" s="155" customFormat="1" x14ac:dyDescent="0.2">
      <c r="A55" s="168">
        <v>1</v>
      </c>
      <c r="B55" s="572">
        <v>83785</v>
      </c>
      <c r="C55" s="334" t="s">
        <v>2887</v>
      </c>
      <c r="D55" s="432">
        <f t="shared" ref="D55:D85" si="15">E55+SUM(H55:O55)</f>
        <v>4363822</v>
      </c>
      <c r="E55" s="436">
        <v>933559</v>
      </c>
      <c r="F55" s="436">
        <v>142717</v>
      </c>
      <c r="G55" s="436">
        <v>235560</v>
      </c>
      <c r="H55" s="436"/>
      <c r="I55" s="436">
        <v>1755601</v>
      </c>
      <c r="J55" s="436"/>
      <c r="K55" s="436">
        <v>910010</v>
      </c>
      <c r="L55" s="448"/>
      <c r="M55" s="436">
        <v>134939</v>
      </c>
      <c r="N55" s="436">
        <v>629713</v>
      </c>
      <c r="O55" s="449"/>
      <c r="P55" s="432">
        <f t="shared" ref="P55:P81" si="16">IF(SUM(Q55:AB55)=SUM(AC55:AM55),SUM(Q55:AB55),"  EROARE ART/CAP")</f>
        <v>4279743</v>
      </c>
      <c r="Q55" s="431">
        <v>1873853</v>
      </c>
      <c r="R55" s="431">
        <v>900916</v>
      </c>
      <c r="S55" s="431"/>
      <c r="T55" s="431"/>
      <c r="U55" s="431">
        <v>55285</v>
      </c>
      <c r="V55" s="431">
        <v>11028</v>
      </c>
      <c r="W55" s="431">
        <v>570802</v>
      </c>
      <c r="X55" s="431">
        <v>210698</v>
      </c>
      <c r="Y55" s="431">
        <v>5000</v>
      </c>
      <c r="Z55" s="431">
        <v>652161</v>
      </c>
      <c r="AA55" s="431"/>
      <c r="AB55" s="431"/>
      <c r="AC55" s="431">
        <v>990423</v>
      </c>
      <c r="AD55" s="431"/>
      <c r="AE55" s="431">
        <v>1704589</v>
      </c>
      <c r="AF55" s="431">
        <v>14702</v>
      </c>
      <c r="AG55" s="431">
        <v>277076</v>
      </c>
      <c r="AH55" s="431">
        <v>763757</v>
      </c>
      <c r="AI55" s="431">
        <v>170930</v>
      </c>
      <c r="AJ55" s="431">
        <v>106244</v>
      </c>
      <c r="AK55" s="431"/>
      <c r="AL55" s="431">
        <v>240994</v>
      </c>
      <c r="AM55" s="449">
        <v>11028</v>
      </c>
    </row>
    <row r="56" spans="1:39" s="155" customFormat="1" x14ac:dyDescent="0.2">
      <c r="A56" s="168">
        <v>2</v>
      </c>
      <c r="B56" s="572">
        <v>83847</v>
      </c>
      <c r="C56" s="334" t="s">
        <v>2888</v>
      </c>
      <c r="D56" s="432">
        <f t="shared" si="15"/>
        <v>4106614</v>
      </c>
      <c r="E56" s="436">
        <v>886399</v>
      </c>
      <c r="F56" s="436">
        <v>208989</v>
      </c>
      <c r="G56" s="436">
        <v>212510</v>
      </c>
      <c r="H56" s="436"/>
      <c r="I56" s="436">
        <v>1854017</v>
      </c>
      <c r="J56" s="436"/>
      <c r="K56" s="436">
        <v>804780</v>
      </c>
      <c r="L56" s="448"/>
      <c r="M56" s="436">
        <v>91277</v>
      </c>
      <c r="N56" s="436">
        <v>470141</v>
      </c>
      <c r="O56" s="449"/>
      <c r="P56" s="432">
        <f t="shared" si="16"/>
        <v>4046756</v>
      </c>
      <c r="Q56" s="431">
        <v>1977683</v>
      </c>
      <c r="R56" s="431">
        <v>1045330</v>
      </c>
      <c r="S56" s="431"/>
      <c r="T56" s="431"/>
      <c r="U56" s="431">
        <v>28048</v>
      </c>
      <c r="V56" s="431">
        <v>9077</v>
      </c>
      <c r="W56" s="431">
        <v>758143</v>
      </c>
      <c r="X56" s="431">
        <v>152560</v>
      </c>
      <c r="Y56" s="431">
        <v>51534</v>
      </c>
      <c r="Z56" s="431">
        <v>31881</v>
      </c>
      <c r="AA56" s="431"/>
      <c r="AB56" s="431">
        <v>-7500</v>
      </c>
      <c r="AC56" s="431">
        <v>941701</v>
      </c>
      <c r="AD56" s="431">
        <v>27062</v>
      </c>
      <c r="AE56" s="431">
        <v>1783717</v>
      </c>
      <c r="AF56" s="431">
        <v>39694</v>
      </c>
      <c r="AG56" s="431">
        <v>613742</v>
      </c>
      <c r="AH56" s="431">
        <v>234206</v>
      </c>
      <c r="AI56" s="431">
        <v>95021</v>
      </c>
      <c r="AJ56" s="431">
        <v>236859</v>
      </c>
      <c r="AK56" s="431"/>
      <c r="AL56" s="431">
        <v>65677</v>
      </c>
      <c r="AM56" s="449">
        <v>9077</v>
      </c>
    </row>
    <row r="57" spans="1:39" s="155" customFormat="1" x14ac:dyDescent="0.2">
      <c r="A57" s="168">
        <v>3</v>
      </c>
      <c r="B57" s="572">
        <v>83936</v>
      </c>
      <c r="C57" s="334" t="s">
        <v>2889</v>
      </c>
      <c r="D57" s="432">
        <f t="shared" si="15"/>
        <v>4616172</v>
      </c>
      <c r="E57" s="436">
        <v>2003881</v>
      </c>
      <c r="F57" s="436">
        <v>284376</v>
      </c>
      <c r="G57" s="436">
        <v>180790</v>
      </c>
      <c r="H57" s="436"/>
      <c r="I57" s="436">
        <v>1530674</v>
      </c>
      <c r="J57" s="436"/>
      <c r="K57" s="436">
        <v>634010</v>
      </c>
      <c r="L57" s="431"/>
      <c r="M57" s="448">
        <v>141993</v>
      </c>
      <c r="N57" s="436">
        <v>305614</v>
      </c>
      <c r="O57" s="449"/>
      <c r="P57" s="432">
        <f t="shared" si="16"/>
        <v>4295350</v>
      </c>
      <c r="Q57" s="431">
        <v>1920589</v>
      </c>
      <c r="R57" s="431">
        <v>494002</v>
      </c>
      <c r="S57" s="431"/>
      <c r="T57" s="431"/>
      <c r="U57" s="431">
        <v>9841</v>
      </c>
      <c r="V57" s="431"/>
      <c r="W57" s="431">
        <v>589833</v>
      </c>
      <c r="X57" s="431">
        <v>60560</v>
      </c>
      <c r="Y57" s="431">
        <v>6000</v>
      </c>
      <c r="Z57" s="431">
        <v>1301592</v>
      </c>
      <c r="AA57" s="431"/>
      <c r="AB57" s="431">
        <v>-87067</v>
      </c>
      <c r="AC57" s="431">
        <v>573932</v>
      </c>
      <c r="AD57" s="431">
        <v>2028</v>
      </c>
      <c r="AE57" s="431">
        <v>1383119</v>
      </c>
      <c r="AF57" s="431">
        <v>40930</v>
      </c>
      <c r="AG57" s="431">
        <v>55524</v>
      </c>
      <c r="AH57" s="431">
        <v>307113</v>
      </c>
      <c r="AI57" s="431">
        <v>130735</v>
      </c>
      <c r="AJ57" s="431">
        <v>60000</v>
      </c>
      <c r="AK57" s="431"/>
      <c r="AL57" s="431">
        <v>1741969</v>
      </c>
      <c r="AM57" s="449"/>
    </row>
    <row r="58" spans="1:39" s="155" customFormat="1" x14ac:dyDescent="0.2">
      <c r="A58" s="168">
        <v>4</v>
      </c>
      <c r="B58" s="572">
        <v>83151</v>
      </c>
      <c r="C58" s="334" t="s">
        <v>2890</v>
      </c>
      <c r="D58" s="432">
        <f t="shared" si="15"/>
        <v>3286178</v>
      </c>
      <c r="E58" s="436">
        <v>1330157</v>
      </c>
      <c r="F58" s="436">
        <v>436903</v>
      </c>
      <c r="G58" s="436">
        <v>139420</v>
      </c>
      <c r="H58" s="436"/>
      <c r="I58" s="436">
        <v>902626</v>
      </c>
      <c r="J58" s="436"/>
      <c r="K58" s="436">
        <v>708630</v>
      </c>
      <c r="L58" s="448"/>
      <c r="M58" s="436">
        <v>114947</v>
      </c>
      <c r="N58" s="436">
        <v>229818</v>
      </c>
      <c r="O58" s="449">
        <v>0</v>
      </c>
      <c r="P58" s="432">
        <f t="shared" si="16"/>
        <v>3198637</v>
      </c>
      <c r="Q58" s="431">
        <v>1202827</v>
      </c>
      <c r="R58" s="431">
        <v>663446</v>
      </c>
      <c r="S58" s="431"/>
      <c r="T58" s="431"/>
      <c r="U58" s="431">
        <v>13312</v>
      </c>
      <c r="V58" s="431">
        <v>31601</v>
      </c>
      <c r="W58" s="431">
        <v>364815</v>
      </c>
      <c r="X58" s="431">
        <v>55524</v>
      </c>
      <c r="Y58" s="431">
        <v>134425</v>
      </c>
      <c r="Z58" s="431">
        <v>732687</v>
      </c>
      <c r="AA58" s="431"/>
      <c r="AB58" s="431"/>
      <c r="AC58" s="431">
        <v>767928</v>
      </c>
      <c r="AD58" s="431">
        <v>263596</v>
      </c>
      <c r="AE58" s="431">
        <v>872559</v>
      </c>
      <c r="AF58" s="431"/>
      <c r="AG58" s="431">
        <v>543201</v>
      </c>
      <c r="AH58" s="431">
        <v>112488</v>
      </c>
      <c r="AI58" s="431">
        <v>139518</v>
      </c>
      <c r="AJ58" s="431">
        <v>82715</v>
      </c>
      <c r="AK58" s="431"/>
      <c r="AL58" s="431">
        <v>385031</v>
      </c>
      <c r="AM58" s="449">
        <v>31601</v>
      </c>
    </row>
    <row r="59" spans="1:39" s="155" customFormat="1" x14ac:dyDescent="0.2">
      <c r="A59" s="168">
        <v>5</v>
      </c>
      <c r="B59" s="572">
        <v>83963</v>
      </c>
      <c r="C59" s="334" t="s">
        <v>2891</v>
      </c>
      <c r="D59" s="432">
        <f t="shared" si="15"/>
        <v>4152936</v>
      </c>
      <c r="E59" s="436">
        <v>775716</v>
      </c>
      <c r="F59" s="436">
        <v>130042</v>
      </c>
      <c r="G59" s="436">
        <v>261600</v>
      </c>
      <c r="H59" s="436"/>
      <c r="I59" s="436">
        <v>1215000</v>
      </c>
      <c r="J59" s="436"/>
      <c r="K59" s="436">
        <v>1051570</v>
      </c>
      <c r="L59" s="448"/>
      <c r="M59" s="436">
        <v>270819</v>
      </c>
      <c r="N59" s="436">
        <v>794850</v>
      </c>
      <c r="O59" s="449">
        <v>44981</v>
      </c>
      <c r="P59" s="432">
        <f t="shared" si="16"/>
        <v>4003480</v>
      </c>
      <c r="Q59" s="431">
        <v>1597220</v>
      </c>
      <c r="R59" s="431">
        <v>764126</v>
      </c>
      <c r="S59" s="431"/>
      <c r="T59" s="431"/>
      <c r="U59" s="431">
        <v>11723</v>
      </c>
      <c r="V59" s="431"/>
      <c r="W59" s="431">
        <v>751971</v>
      </c>
      <c r="X59" s="431">
        <v>69685</v>
      </c>
      <c r="Y59" s="431"/>
      <c r="Z59" s="431">
        <v>917755</v>
      </c>
      <c r="AA59" s="431"/>
      <c r="AB59" s="431">
        <v>-109000</v>
      </c>
      <c r="AC59" s="431">
        <v>734003</v>
      </c>
      <c r="AD59" s="431">
        <v>15430</v>
      </c>
      <c r="AE59" s="431">
        <v>1131500</v>
      </c>
      <c r="AF59" s="431"/>
      <c r="AG59" s="431">
        <v>39574</v>
      </c>
      <c r="AH59" s="431">
        <v>187756</v>
      </c>
      <c r="AI59" s="431">
        <v>358719</v>
      </c>
      <c r="AJ59" s="431">
        <v>477303</v>
      </c>
      <c r="AK59" s="431"/>
      <c r="AL59" s="431">
        <v>902980</v>
      </c>
      <c r="AM59" s="449">
        <v>156215</v>
      </c>
    </row>
    <row r="60" spans="1:39" s="155" customFormat="1" x14ac:dyDescent="0.2">
      <c r="A60" s="168">
        <v>6</v>
      </c>
      <c r="B60" s="572">
        <v>86461</v>
      </c>
      <c r="C60" s="334" t="s">
        <v>2892</v>
      </c>
      <c r="D60" s="432">
        <f t="shared" si="15"/>
        <v>4454177</v>
      </c>
      <c r="E60" s="436">
        <v>1499312</v>
      </c>
      <c r="F60" s="436">
        <v>679923</v>
      </c>
      <c r="G60" s="436">
        <v>85690</v>
      </c>
      <c r="H60" s="436"/>
      <c r="I60" s="436">
        <v>1401870</v>
      </c>
      <c r="J60" s="436">
        <v>714910</v>
      </c>
      <c r="K60" s="436">
        <v>331010</v>
      </c>
      <c r="L60" s="448"/>
      <c r="M60" s="436">
        <v>110891</v>
      </c>
      <c r="N60" s="436">
        <v>396184</v>
      </c>
      <c r="O60" s="449"/>
      <c r="P60" s="432">
        <f t="shared" si="16"/>
        <v>3415972</v>
      </c>
      <c r="Q60" s="431">
        <v>1614103</v>
      </c>
      <c r="R60" s="431">
        <v>901139</v>
      </c>
      <c r="S60" s="431"/>
      <c r="T60" s="431"/>
      <c r="U60" s="431">
        <v>16128</v>
      </c>
      <c r="V60" s="431">
        <v>86000</v>
      </c>
      <c r="W60" s="431">
        <v>460067</v>
      </c>
      <c r="X60" s="431">
        <v>119707</v>
      </c>
      <c r="Y60" s="431">
        <v>1300</v>
      </c>
      <c r="Z60" s="431">
        <v>225139</v>
      </c>
      <c r="AA60" s="431"/>
      <c r="AB60" s="431">
        <v>-7611</v>
      </c>
      <c r="AC60" s="431">
        <v>652453</v>
      </c>
      <c r="AD60" s="431">
        <v>61857</v>
      </c>
      <c r="AE60" s="431">
        <v>1311346</v>
      </c>
      <c r="AF60" s="431"/>
      <c r="AG60" s="431">
        <v>110858</v>
      </c>
      <c r="AH60" s="431">
        <v>212345</v>
      </c>
      <c r="AI60" s="431">
        <v>286890</v>
      </c>
      <c r="AJ60" s="431">
        <v>141206</v>
      </c>
      <c r="AK60" s="431"/>
      <c r="AL60" s="431">
        <v>195237</v>
      </c>
      <c r="AM60" s="449">
        <v>443780</v>
      </c>
    </row>
    <row r="61" spans="1:39" s="155" customFormat="1" x14ac:dyDescent="0.2">
      <c r="A61" s="168">
        <v>7</v>
      </c>
      <c r="B61" s="572">
        <v>83981</v>
      </c>
      <c r="C61" s="334" t="s">
        <v>2893</v>
      </c>
      <c r="D61" s="432">
        <f t="shared" si="15"/>
        <v>11959526</v>
      </c>
      <c r="E61" s="436">
        <v>1587175</v>
      </c>
      <c r="F61" s="436">
        <v>416719</v>
      </c>
      <c r="G61" s="436">
        <v>329980</v>
      </c>
      <c r="H61" s="436"/>
      <c r="I61" s="436">
        <v>4043441</v>
      </c>
      <c r="J61" s="436">
        <v>436000</v>
      </c>
      <c r="K61" s="436">
        <v>1148010</v>
      </c>
      <c r="L61" s="448"/>
      <c r="M61" s="436">
        <v>1259223</v>
      </c>
      <c r="N61" s="436">
        <v>3485677</v>
      </c>
      <c r="O61" s="449"/>
      <c r="P61" s="432">
        <f t="shared" si="16"/>
        <v>13588549</v>
      </c>
      <c r="Q61" s="431">
        <v>4168125</v>
      </c>
      <c r="R61" s="431">
        <v>1638315</v>
      </c>
      <c r="S61" s="431"/>
      <c r="T61" s="431"/>
      <c r="U61" s="431">
        <v>46103</v>
      </c>
      <c r="V61" s="431"/>
      <c r="W61" s="431">
        <v>7079438</v>
      </c>
      <c r="X61" s="431">
        <v>48297</v>
      </c>
      <c r="Y61" s="431">
        <v>2500</v>
      </c>
      <c r="Z61" s="431">
        <v>605771</v>
      </c>
      <c r="AA61" s="431"/>
      <c r="AB61" s="431"/>
      <c r="AC61" s="431">
        <v>817672</v>
      </c>
      <c r="AD61" s="431">
        <v>250</v>
      </c>
      <c r="AE61" s="431">
        <v>3942541</v>
      </c>
      <c r="AF61" s="431">
        <v>9623</v>
      </c>
      <c r="AG61" s="431">
        <v>557026</v>
      </c>
      <c r="AH61" s="431">
        <v>517770</v>
      </c>
      <c r="AI61" s="431">
        <v>105980</v>
      </c>
      <c r="AJ61" s="431">
        <v>22798</v>
      </c>
      <c r="AK61" s="431"/>
      <c r="AL61" s="431">
        <v>7590696</v>
      </c>
      <c r="AM61" s="449">
        <v>24193</v>
      </c>
    </row>
    <row r="62" spans="1:39" s="155" customFormat="1" x14ac:dyDescent="0.2">
      <c r="A62" s="168">
        <v>8</v>
      </c>
      <c r="B62" s="572">
        <v>84086</v>
      </c>
      <c r="C62" s="334" t="s">
        <v>2894</v>
      </c>
      <c r="D62" s="432">
        <f t="shared" si="15"/>
        <v>8680536</v>
      </c>
      <c r="E62" s="436">
        <v>1526996</v>
      </c>
      <c r="F62" s="436">
        <v>400586</v>
      </c>
      <c r="G62" s="436">
        <v>295670</v>
      </c>
      <c r="H62" s="436"/>
      <c r="I62" s="436">
        <v>2448000</v>
      </c>
      <c r="J62" s="436">
        <v>242000</v>
      </c>
      <c r="K62" s="436">
        <v>1112000</v>
      </c>
      <c r="L62" s="448"/>
      <c r="M62" s="436">
        <v>1165042</v>
      </c>
      <c r="N62" s="436">
        <v>1922003</v>
      </c>
      <c r="O62" s="449">
        <v>264495</v>
      </c>
      <c r="P62" s="432">
        <f t="shared" si="16"/>
        <v>8101934</v>
      </c>
      <c r="Q62" s="431">
        <v>2790963</v>
      </c>
      <c r="R62" s="431">
        <v>1481890</v>
      </c>
      <c r="S62" s="431"/>
      <c r="T62" s="431"/>
      <c r="U62" s="431">
        <v>13266</v>
      </c>
      <c r="V62" s="431"/>
      <c r="W62" s="431">
        <v>2796128</v>
      </c>
      <c r="X62" s="431">
        <v>118781</v>
      </c>
      <c r="Y62" s="431">
        <v>25000</v>
      </c>
      <c r="Z62" s="431">
        <v>875906</v>
      </c>
      <c r="AA62" s="431"/>
      <c r="AB62" s="431"/>
      <c r="AC62" s="431">
        <v>718748</v>
      </c>
      <c r="AD62" s="431">
        <v>120044</v>
      </c>
      <c r="AE62" s="431">
        <v>2108801</v>
      </c>
      <c r="AF62" s="431"/>
      <c r="AG62" s="431">
        <v>78151</v>
      </c>
      <c r="AH62" s="431">
        <v>652655</v>
      </c>
      <c r="AI62" s="431">
        <v>2769893</v>
      </c>
      <c r="AJ62" s="431">
        <v>318743</v>
      </c>
      <c r="AK62" s="431"/>
      <c r="AL62" s="431">
        <v>1268410</v>
      </c>
      <c r="AM62" s="449">
        <v>66489</v>
      </c>
    </row>
    <row r="63" spans="1:39" s="155" customFormat="1" x14ac:dyDescent="0.2">
      <c r="A63" s="168">
        <v>9</v>
      </c>
      <c r="B63" s="572">
        <v>84102</v>
      </c>
      <c r="C63" s="424" t="s">
        <v>2895</v>
      </c>
      <c r="D63" s="432">
        <f t="shared" si="15"/>
        <v>4488346</v>
      </c>
      <c r="E63" s="436">
        <v>1110174</v>
      </c>
      <c r="F63" s="436">
        <v>280535</v>
      </c>
      <c r="G63" s="436">
        <v>204700</v>
      </c>
      <c r="H63" s="436"/>
      <c r="I63" s="436">
        <v>1695374</v>
      </c>
      <c r="J63" s="436">
        <v>360410</v>
      </c>
      <c r="K63" s="436">
        <v>877010</v>
      </c>
      <c r="L63" s="448"/>
      <c r="M63" s="436">
        <v>139761</v>
      </c>
      <c r="N63" s="436">
        <v>305617</v>
      </c>
      <c r="O63" s="449"/>
      <c r="P63" s="432">
        <f t="shared" si="16"/>
        <v>4168749</v>
      </c>
      <c r="Q63" s="431">
        <v>1991833</v>
      </c>
      <c r="R63" s="431">
        <v>918740</v>
      </c>
      <c r="S63" s="431"/>
      <c r="T63" s="431"/>
      <c r="U63" s="431">
        <v>6844</v>
      </c>
      <c r="V63" s="431">
        <v>30777</v>
      </c>
      <c r="W63" s="431">
        <v>637071</v>
      </c>
      <c r="X63" s="431">
        <v>41064</v>
      </c>
      <c r="Y63" s="431">
        <v>1000</v>
      </c>
      <c r="Z63" s="431">
        <v>541420</v>
      </c>
      <c r="AA63" s="431"/>
      <c r="AB63" s="431"/>
      <c r="AC63" s="431">
        <v>669297</v>
      </c>
      <c r="AD63" s="431">
        <v>65227</v>
      </c>
      <c r="AE63" s="431">
        <v>1649070</v>
      </c>
      <c r="AF63" s="431"/>
      <c r="AG63" s="431">
        <v>550161</v>
      </c>
      <c r="AH63" s="431">
        <v>219970</v>
      </c>
      <c r="AI63" s="431">
        <v>174736</v>
      </c>
      <c r="AJ63" s="431">
        <v>170094</v>
      </c>
      <c r="AK63" s="431"/>
      <c r="AL63" s="431">
        <v>338508</v>
      </c>
      <c r="AM63" s="449">
        <v>331686</v>
      </c>
    </row>
    <row r="64" spans="1:39" s="155" customFormat="1" x14ac:dyDescent="0.2">
      <c r="A64" s="168">
        <v>10</v>
      </c>
      <c r="B64" s="572">
        <v>84148</v>
      </c>
      <c r="C64" s="334" t="s">
        <v>2896</v>
      </c>
      <c r="D64" s="432">
        <f t="shared" si="15"/>
        <v>4533357</v>
      </c>
      <c r="E64" s="436">
        <v>823713</v>
      </c>
      <c r="F64" s="436">
        <v>202408</v>
      </c>
      <c r="G64" s="436">
        <v>241610</v>
      </c>
      <c r="H64" s="436"/>
      <c r="I64" s="436">
        <v>2164895</v>
      </c>
      <c r="J64" s="436"/>
      <c r="K64" s="436">
        <v>869150</v>
      </c>
      <c r="L64" s="448"/>
      <c r="M64" s="436">
        <v>377536</v>
      </c>
      <c r="N64" s="436">
        <v>196477</v>
      </c>
      <c r="O64" s="449">
        <v>101586</v>
      </c>
      <c r="P64" s="432">
        <f t="shared" si="16"/>
        <v>3133517</v>
      </c>
      <c r="Q64" s="431">
        <v>2159267</v>
      </c>
      <c r="R64" s="431">
        <v>453469</v>
      </c>
      <c r="S64" s="431"/>
      <c r="T64" s="431"/>
      <c r="U64" s="431">
        <v>21500</v>
      </c>
      <c r="V64" s="431"/>
      <c r="W64" s="431"/>
      <c r="X64" s="431">
        <v>39364</v>
      </c>
      <c r="Y64" s="431"/>
      <c r="Z64" s="431">
        <v>801941</v>
      </c>
      <c r="AA64" s="431"/>
      <c r="AB64" s="431">
        <v>-342024</v>
      </c>
      <c r="AC64" s="431">
        <v>284982</v>
      </c>
      <c r="AD64" s="431"/>
      <c r="AE64" s="431">
        <v>2237895</v>
      </c>
      <c r="AF64" s="431"/>
      <c r="AG64" s="431">
        <v>146365</v>
      </c>
      <c r="AH64" s="431">
        <v>49348</v>
      </c>
      <c r="AI64" s="431">
        <v>319156</v>
      </c>
      <c r="AJ64" s="431">
        <v>40136</v>
      </c>
      <c r="AK64" s="431"/>
      <c r="AL64" s="431">
        <v>46430</v>
      </c>
      <c r="AM64" s="449">
        <v>9205</v>
      </c>
    </row>
    <row r="65" spans="1:39" s="155" customFormat="1" x14ac:dyDescent="0.2">
      <c r="A65" s="168">
        <v>11</v>
      </c>
      <c r="B65" s="572">
        <v>84175</v>
      </c>
      <c r="C65" s="334" t="s">
        <v>2897</v>
      </c>
      <c r="D65" s="432">
        <f t="shared" si="15"/>
        <v>12693984</v>
      </c>
      <c r="E65" s="436">
        <v>2392249</v>
      </c>
      <c r="F65" s="436">
        <v>564938</v>
      </c>
      <c r="G65" s="436">
        <v>471080</v>
      </c>
      <c r="H65" s="436"/>
      <c r="I65" s="436">
        <v>3831432</v>
      </c>
      <c r="J65" s="436">
        <v>943710</v>
      </c>
      <c r="K65" s="436">
        <v>1745010</v>
      </c>
      <c r="L65" s="448"/>
      <c r="M65" s="436">
        <v>1488379</v>
      </c>
      <c r="N65" s="436">
        <v>2224585</v>
      </c>
      <c r="O65" s="449">
        <v>68619</v>
      </c>
      <c r="P65" s="432">
        <f t="shared" si="16"/>
        <v>10802867</v>
      </c>
      <c r="Q65" s="431">
        <v>4030002</v>
      </c>
      <c r="R65" s="431">
        <v>3584711</v>
      </c>
      <c r="S65" s="431">
        <v>24324</v>
      </c>
      <c r="T65" s="431"/>
      <c r="U65" s="431">
        <v>27918</v>
      </c>
      <c r="V65" s="431"/>
      <c r="W65" s="431">
        <v>286078</v>
      </c>
      <c r="X65" s="431">
        <v>310750</v>
      </c>
      <c r="Y65" s="431"/>
      <c r="Z65" s="431">
        <v>1139242</v>
      </c>
      <c r="AA65" s="431">
        <v>1434668</v>
      </c>
      <c r="AB65" s="431">
        <v>-34826</v>
      </c>
      <c r="AC65" s="431">
        <v>1390750</v>
      </c>
      <c r="AD65" s="431">
        <v>192648</v>
      </c>
      <c r="AE65" s="431">
        <v>3583580</v>
      </c>
      <c r="AF65" s="431">
        <v>15996</v>
      </c>
      <c r="AG65" s="431">
        <v>1189034</v>
      </c>
      <c r="AH65" s="431">
        <v>463564</v>
      </c>
      <c r="AI65" s="431">
        <v>818974</v>
      </c>
      <c r="AJ65" s="431">
        <v>226049</v>
      </c>
      <c r="AK65" s="431"/>
      <c r="AL65" s="431">
        <v>2922272</v>
      </c>
      <c r="AM65" s="449"/>
    </row>
    <row r="66" spans="1:39" s="155" customFormat="1" x14ac:dyDescent="0.2">
      <c r="A66" s="168">
        <v>12</v>
      </c>
      <c r="B66" s="572">
        <v>86446</v>
      </c>
      <c r="C66" s="334" t="s">
        <v>2898</v>
      </c>
      <c r="D66" s="432">
        <f t="shared" si="15"/>
        <v>11169339</v>
      </c>
      <c r="E66" s="436">
        <v>755896</v>
      </c>
      <c r="F66" s="436">
        <v>149853</v>
      </c>
      <c r="G66" s="436">
        <v>218650</v>
      </c>
      <c r="H66" s="436"/>
      <c r="I66" s="436">
        <v>1255101</v>
      </c>
      <c r="J66" s="436"/>
      <c r="K66" s="436">
        <v>963660</v>
      </c>
      <c r="L66" s="448"/>
      <c r="M66" s="436">
        <v>1583593</v>
      </c>
      <c r="N66" s="436">
        <v>5711349</v>
      </c>
      <c r="O66" s="449">
        <v>899740</v>
      </c>
      <c r="P66" s="432">
        <f t="shared" si="16"/>
        <v>12450577</v>
      </c>
      <c r="Q66" s="431">
        <v>1553703</v>
      </c>
      <c r="R66" s="431">
        <v>936719</v>
      </c>
      <c r="S66" s="431"/>
      <c r="T66" s="431"/>
      <c r="U66" s="431">
        <v>58199</v>
      </c>
      <c r="V66" s="431"/>
      <c r="W66" s="431">
        <v>8709021</v>
      </c>
      <c r="X66" s="431">
        <v>83519</v>
      </c>
      <c r="Y66" s="431">
        <v>600</v>
      </c>
      <c r="Z66" s="431">
        <v>1119857</v>
      </c>
      <c r="AA66" s="431"/>
      <c r="AB66" s="431">
        <v>-11041</v>
      </c>
      <c r="AC66" s="431">
        <v>777444</v>
      </c>
      <c r="AD66" s="431">
        <v>67388</v>
      </c>
      <c r="AE66" s="431">
        <v>1177247</v>
      </c>
      <c r="AF66" s="431">
        <v>30863</v>
      </c>
      <c r="AG66" s="431">
        <v>1074098</v>
      </c>
      <c r="AH66" s="431">
        <v>250911</v>
      </c>
      <c r="AI66" s="431">
        <v>2703184</v>
      </c>
      <c r="AJ66" s="431">
        <v>953067</v>
      </c>
      <c r="AK66" s="431"/>
      <c r="AL66" s="431">
        <v>5365480</v>
      </c>
      <c r="AM66" s="449">
        <v>50895</v>
      </c>
    </row>
    <row r="67" spans="1:39" s="155" customFormat="1" x14ac:dyDescent="0.2">
      <c r="A67" s="168">
        <v>13</v>
      </c>
      <c r="B67" s="572">
        <v>84237</v>
      </c>
      <c r="C67" s="334" t="s">
        <v>2899</v>
      </c>
      <c r="D67" s="432">
        <f t="shared" si="15"/>
        <v>7089513</v>
      </c>
      <c r="E67" s="436">
        <v>931550</v>
      </c>
      <c r="F67" s="436">
        <v>209325</v>
      </c>
      <c r="G67" s="436">
        <v>179640</v>
      </c>
      <c r="H67" s="436"/>
      <c r="I67" s="436">
        <v>2206384</v>
      </c>
      <c r="J67" s="436">
        <v>237000</v>
      </c>
      <c r="K67" s="436">
        <v>810100</v>
      </c>
      <c r="L67" s="448"/>
      <c r="M67" s="436">
        <v>591318</v>
      </c>
      <c r="N67" s="436">
        <v>2313161</v>
      </c>
      <c r="O67" s="449"/>
      <c r="P67" s="432">
        <f t="shared" si="16"/>
        <v>6690786</v>
      </c>
      <c r="Q67" s="431">
        <v>2507732</v>
      </c>
      <c r="R67" s="431">
        <v>903159</v>
      </c>
      <c r="S67" s="431"/>
      <c r="T67" s="431"/>
      <c r="U67" s="431">
        <v>4465</v>
      </c>
      <c r="V67" s="431">
        <v>313182</v>
      </c>
      <c r="W67" s="431">
        <v>2837197</v>
      </c>
      <c r="X67" s="431">
        <v>56962</v>
      </c>
      <c r="Y67" s="431">
        <v>3150</v>
      </c>
      <c r="Z67" s="431">
        <v>64939</v>
      </c>
      <c r="AA67" s="431"/>
      <c r="AB67" s="431"/>
      <c r="AC67" s="431">
        <v>720466</v>
      </c>
      <c r="AD67" s="431">
        <v>59527</v>
      </c>
      <c r="AE67" s="431">
        <v>2068971</v>
      </c>
      <c r="AF67" s="431">
        <v>40747</v>
      </c>
      <c r="AG67" s="431">
        <v>196717</v>
      </c>
      <c r="AH67" s="431">
        <v>268271</v>
      </c>
      <c r="AI67" s="431">
        <v>328117</v>
      </c>
      <c r="AJ67" s="431">
        <v>116034</v>
      </c>
      <c r="AK67" s="431"/>
      <c r="AL67" s="431">
        <v>2866459</v>
      </c>
      <c r="AM67" s="449">
        <v>25477</v>
      </c>
    </row>
    <row r="68" spans="1:39" s="155" customFormat="1" x14ac:dyDescent="0.2">
      <c r="A68" s="168">
        <v>14</v>
      </c>
      <c r="B68" s="572">
        <v>84264</v>
      </c>
      <c r="C68" s="334" t="s">
        <v>2900</v>
      </c>
      <c r="D68" s="432">
        <f t="shared" si="15"/>
        <v>9708539</v>
      </c>
      <c r="E68" s="436">
        <v>1612225</v>
      </c>
      <c r="F68" s="436">
        <v>394728</v>
      </c>
      <c r="G68" s="436">
        <v>298910</v>
      </c>
      <c r="H68" s="436"/>
      <c r="I68" s="436">
        <v>2674000</v>
      </c>
      <c r="J68" s="436">
        <v>1033703</v>
      </c>
      <c r="K68" s="436">
        <v>1124010</v>
      </c>
      <c r="L68" s="448"/>
      <c r="M68" s="436">
        <v>1447362</v>
      </c>
      <c r="N68" s="436">
        <v>1430239</v>
      </c>
      <c r="O68" s="449">
        <v>387000</v>
      </c>
      <c r="P68" s="432">
        <f t="shared" si="16"/>
        <v>9356411</v>
      </c>
      <c r="Q68" s="431">
        <v>2902014</v>
      </c>
      <c r="R68" s="431">
        <v>1747551</v>
      </c>
      <c r="S68" s="431"/>
      <c r="T68" s="431"/>
      <c r="U68" s="431">
        <v>10353</v>
      </c>
      <c r="V68" s="431"/>
      <c r="W68" s="431">
        <v>2468313</v>
      </c>
      <c r="X68" s="431">
        <v>204063</v>
      </c>
      <c r="Y68" s="431">
        <v>47600</v>
      </c>
      <c r="Z68" s="431">
        <v>1976517</v>
      </c>
      <c r="AA68" s="431"/>
      <c r="AB68" s="431"/>
      <c r="AC68" s="431">
        <v>858299</v>
      </c>
      <c r="AD68" s="431">
        <v>654518</v>
      </c>
      <c r="AE68" s="431">
        <v>3067289</v>
      </c>
      <c r="AF68" s="431">
        <v>524906</v>
      </c>
      <c r="AG68" s="431">
        <v>157863</v>
      </c>
      <c r="AH68" s="431">
        <v>267551</v>
      </c>
      <c r="AI68" s="431">
        <v>414443</v>
      </c>
      <c r="AJ68" s="431">
        <v>769185</v>
      </c>
      <c r="AK68" s="431"/>
      <c r="AL68" s="431">
        <v>2271259</v>
      </c>
      <c r="AM68" s="449">
        <v>371098</v>
      </c>
    </row>
    <row r="69" spans="1:39" s="155" customFormat="1" x14ac:dyDescent="0.2">
      <c r="A69" s="168">
        <v>15</v>
      </c>
      <c r="B69" s="572">
        <v>84344</v>
      </c>
      <c r="C69" s="334" t="s">
        <v>2901</v>
      </c>
      <c r="D69" s="432">
        <f t="shared" si="15"/>
        <v>9697001</v>
      </c>
      <c r="E69" s="436">
        <v>2341569</v>
      </c>
      <c r="F69" s="436">
        <v>638514</v>
      </c>
      <c r="G69" s="436">
        <v>352919</v>
      </c>
      <c r="H69" s="436"/>
      <c r="I69" s="436">
        <v>4473000</v>
      </c>
      <c r="J69" s="436">
        <v>650000</v>
      </c>
      <c r="K69" s="436">
        <v>1305010</v>
      </c>
      <c r="L69" s="448"/>
      <c r="M69" s="436">
        <v>330299</v>
      </c>
      <c r="N69" s="436">
        <v>548383</v>
      </c>
      <c r="O69" s="449">
        <v>48740</v>
      </c>
      <c r="P69" s="450">
        <f t="shared" si="16"/>
        <v>9334636</v>
      </c>
      <c r="Q69" s="431">
        <v>4734350</v>
      </c>
      <c r="R69" s="431">
        <v>2228111</v>
      </c>
      <c r="S69" s="431">
        <v>20000</v>
      </c>
      <c r="T69" s="431"/>
      <c r="U69" s="431">
        <v>176781</v>
      </c>
      <c r="V69" s="431">
        <v>30000</v>
      </c>
      <c r="W69" s="431">
        <v>622302</v>
      </c>
      <c r="X69" s="431">
        <v>222528</v>
      </c>
      <c r="Y69" s="431">
        <v>2808</v>
      </c>
      <c r="Z69" s="431">
        <v>1228756</v>
      </c>
      <c r="AA69" s="431">
        <v>69000</v>
      </c>
      <c r="AB69" s="431"/>
      <c r="AC69" s="431">
        <v>1445841</v>
      </c>
      <c r="AD69" s="431">
        <v>53705</v>
      </c>
      <c r="AE69" s="431">
        <v>4379756</v>
      </c>
      <c r="AF69" s="431"/>
      <c r="AG69" s="431">
        <v>411550</v>
      </c>
      <c r="AH69" s="431">
        <v>1233276</v>
      </c>
      <c r="AI69" s="431">
        <v>106130</v>
      </c>
      <c r="AJ69" s="431">
        <v>805133</v>
      </c>
      <c r="AK69" s="431"/>
      <c r="AL69" s="431">
        <v>820505</v>
      </c>
      <c r="AM69" s="449">
        <v>78740</v>
      </c>
    </row>
    <row r="70" spans="1:39" s="155" customFormat="1" x14ac:dyDescent="0.2">
      <c r="A70" s="168">
        <v>16</v>
      </c>
      <c r="B70" s="572">
        <v>84380</v>
      </c>
      <c r="C70" s="334" t="s">
        <v>2902</v>
      </c>
      <c r="D70" s="432">
        <f t="shared" si="15"/>
        <v>2680149</v>
      </c>
      <c r="E70" s="436">
        <v>636905</v>
      </c>
      <c r="F70" s="436">
        <v>110825</v>
      </c>
      <c r="G70" s="436">
        <v>270510</v>
      </c>
      <c r="H70" s="436"/>
      <c r="I70" s="436">
        <v>646132</v>
      </c>
      <c r="J70" s="436">
        <v>245708</v>
      </c>
      <c r="K70" s="436">
        <v>934160</v>
      </c>
      <c r="L70" s="448"/>
      <c r="M70" s="436">
        <v>52873</v>
      </c>
      <c r="N70" s="436">
        <v>164371</v>
      </c>
      <c r="O70" s="449"/>
      <c r="P70" s="432">
        <f t="shared" si="16"/>
        <v>2280531</v>
      </c>
      <c r="Q70" s="431">
        <v>881159</v>
      </c>
      <c r="R70" s="431">
        <v>667684</v>
      </c>
      <c r="S70" s="431">
        <v>3839</v>
      </c>
      <c r="T70" s="431"/>
      <c r="U70" s="431">
        <v>22994</v>
      </c>
      <c r="V70" s="431"/>
      <c r="W70" s="431"/>
      <c r="X70" s="431">
        <v>75134</v>
      </c>
      <c r="Y70" s="431"/>
      <c r="Z70" s="431">
        <v>429042</v>
      </c>
      <c r="AA70" s="431">
        <v>200679</v>
      </c>
      <c r="AB70" s="431"/>
      <c r="AC70" s="431">
        <v>798352</v>
      </c>
      <c r="AD70" s="431"/>
      <c r="AE70" s="431">
        <v>610482</v>
      </c>
      <c r="AF70" s="431"/>
      <c r="AG70" s="431">
        <v>118005</v>
      </c>
      <c r="AH70" s="431">
        <v>113728</v>
      </c>
      <c r="AI70" s="431">
        <v>39816</v>
      </c>
      <c r="AJ70" s="431">
        <v>58728</v>
      </c>
      <c r="AK70" s="431"/>
      <c r="AL70" s="431">
        <v>333392</v>
      </c>
      <c r="AM70" s="449">
        <v>208028</v>
      </c>
    </row>
    <row r="71" spans="1:39" s="155" customFormat="1" x14ac:dyDescent="0.2">
      <c r="A71" s="168">
        <v>17</v>
      </c>
      <c r="B71" s="572">
        <v>83197</v>
      </c>
      <c r="C71" s="334" t="s">
        <v>2903</v>
      </c>
      <c r="D71" s="432">
        <f t="shared" si="15"/>
        <v>5257884</v>
      </c>
      <c r="E71" s="436">
        <v>1514108</v>
      </c>
      <c r="F71" s="436">
        <v>394490</v>
      </c>
      <c r="G71" s="436">
        <v>254560</v>
      </c>
      <c r="H71" s="436"/>
      <c r="I71" s="436">
        <v>2165434</v>
      </c>
      <c r="J71" s="436">
        <v>290000</v>
      </c>
      <c r="K71" s="436">
        <v>970010</v>
      </c>
      <c r="L71" s="448"/>
      <c r="M71" s="436">
        <v>286677</v>
      </c>
      <c r="N71" s="436">
        <v>31655</v>
      </c>
      <c r="O71" s="449"/>
      <c r="P71" s="432">
        <f t="shared" si="16"/>
        <v>4448869</v>
      </c>
      <c r="Q71" s="431">
        <v>2380298</v>
      </c>
      <c r="R71" s="431">
        <v>1003135</v>
      </c>
      <c r="S71" s="431"/>
      <c r="T71" s="431"/>
      <c r="U71" s="431">
        <v>12792</v>
      </c>
      <c r="V71" s="431"/>
      <c r="W71" s="431">
        <v>253683</v>
      </c>
      <c r="X71" s="431">
        <v>89708</v>
      </c>
      <c r="Y71" s="431">
        <v>25510</v>
      </c>
      <c r="Z71" s="431">
        <v>683743</v>
      </c>
      <c r="AA71" s="431"/>
      <c r="AB71" s="431"/>
      <c r="AC71" s="431">
        <v>510493</v>
      </c>
      <c r="AD71" s="431">
        <v>129246</v>
      </c>
      <c r="AE71" s="431">
        <v>2264004</v>
      </c>
      <c r="AF71" s="431"/>
      <c r="AG71" s="431">
        <v>152887</v>
      </c>
      <c r="AH71" s="431">
        <v>215712</v>
      </c>
      <c r="AI71" s="431">
        <v>169031</v>
      </c>
      <c r="AJ71" s="431">
        <v>87091</v>
      </c>
      <c r="AK71" s="431"/>
      <c r="AL71" s="431">
        <v>873160</v>
      </c>
      <c r="AM71" s="449">
        <v>47245</v>
      </c>
    </row>
    <row r="72" spans="1:39" s="155" customFormat="1" x14ac:dyDescent="0.2">
      <c r="A72" s="168">
        <v>18</v>
      </c>
      <c r="B72" s="572">
        <v>84415</v>
      </c>
      <c r="C72" s="334" t="s">
        <v>2904</v>
      </c>
      <c r="D72" s="432">
        <f t="shared" si="15"/>
        <v>5196892</v>
      </c>
      <c r="E72" s="436">
        <v>1180350</v>
      </c>
      <c r="F72" s="436">
        <v>287026</v>
      </c>
      <c r="G72" s="436">
        <v>229610</v>
      </c>
      <c r="H72" s="436"/>
      <c r="I72" s="436">
        <v>2196000</v>
      </c>
      <c r="J72" s="436">
        <v>100000</v>
      </c>
      <c r="K72" s="436">
        <v>868010</v>
      </c>
      <c r="L72" s="448"/>
      <c r="M72" s="436">
        <v>535558</v>
      </c>
      <c r="N72" s="436">
        <v>266414</v>
      </c>
      <c r="O72" s="449">
        <v>50560</v>
      </c>
      <c r="P72" s="432">
        <f t="shared" si="16"/>
        <v>5070080</v>
      </c>
      <c r="Q72" s="431">
        <v>2447162</v>
      </c>
      <c r="R72" s="431">
        <v>1071060</v>
      </c>
      <c r="S72" s="431">
        <v>21018</v>
      </c>
      <c r="T72" s="431"/>
      <c r="U72" s="431">
        <v>55634</v>
      </c>
      <c r="V72" s="431">
        <v>22333</v>
      </c>
      <c r="W72" s="431">
        <v>333494</v>
      </c>
      <c r="X72" s="431">
        <v>211583</v>
      </c>
      <c r="Y72" s="431"/>
      <c r="Z72" s="431">
        <v>833516</v>
      </c>
      <c r="AA72" s="431">
        <v>74280</v>
      </c>
      <c r="AB72" s="431"/>
      <c r="AC72" s="431">
        <v>690358</v>
      </c>
      <c r="AD72" s="431">
        <v>173015</v>
      </c>
      <c r="AE72" s="431">
        <v>2179000</v>
      </c>
      <c r="AF72" s="431"/>
      <c r="AG72" s="431">
        <v>199157</v>
      </c>
      <c r="AH72" s="431">
        <v>352229</v>
      </c>
      <c r="AI72" s="431">
        <v>724987</v>
      </c>
      <c r="AJ72" s="431">
        <v>3081</v>
      </c>
      <c r="AK72" s="431"/>
      <c r="AL72" s="431">
        <v>735982</v>
      </c>
      <c r="AM72" s="449">
        <v>12271</v>
      </c>
    </row>
    <row r="73" spans="1:39" s="155" customFormat="1" x14ac:dyDescent="0.2">
      <c r="A73" s="168">
        <v>19</v>
      </c>
      <c r="B73" s="572">
        <v>84460</v>
      </c>
      <c r="C73" s="334" t="s">
        <v>2905</v>
      </c>
      <c r="D73" s="432">
        <f t="shared" si="15"/>
        <v>5993654</v>
      </c>
      <c r="E73" s="436">
        <v>1546395</v>
      </c>
      <c r="F73" s="436">
        <v>177588</v>
      </c>
      <c r="G73" s="436">
        <v>196700</v>
      </c>
      <c r="H73" s="436"/>
      <c r="I73" s="436">
        <v>1428512</v>
      </c>
      <c r="J73" s="436">
        <v>150000</v>
      </c>
      <c r="K73" s="436">
        <v>822150</v>
      </c>
      <c r="L73" s="448"/>
      <c r="M73" s="436">
        <v>1487582</v>
      </c>
      <c r="N73" s="436">
        <v>559015</v>
      </c>
      <c r="O73" s="449"/>
      <c r="P73" s="432">
        <f t="shared" si="16"/>
        <v>5790341</v>
      </c>
      <c r="Q73" s="431">
        <v>1808352</v>
      </c>
      <c r="R73" s="431">
        <v>955969</v>
      </c>
      <c r="S73" s="431"/>
      <c r="T73" s="431"/>
      <c r="U73" s="431">
        <v>34431</v>
      </c>
      <c r="V73" s="431"/>
      <c r="W73" s="431">
        <v>727898</v>
      </c>
      <c r="X73" s="431">
        <v>79347</v>
      </c>
      <c r="Y73" s="431">
        <v>15054</v>
      </c>
      <c r="Z73" s="431">
        <v>2169918</v>
      </c>
      <c r="AA73" s="431"/>
      <c r="AB73" s="431">
        <v>-628</v>
      </c>
      <c r="AC73" s="431">
        <v>716834</v>
      </c>
      <c r="AD73" s="431">
        <v>69992</v>
      </c>
      <c r="AE73" s="431">
        <v>1301512</v>
      </c>
      <c r="AF73" s="431">
        <v>142941</v>
      </c>
      <c r="AG73" s="431">
        <v>125282</v>
      </c>
      <c r="AH73" s="431">
        <v>314601</v>
      </c>
      <c r="AI73" s="431">
        <v>219203</v>
      </c>
      <c r="AJ73" s="431">
        <v>186225</v>
      </c>
      <c r="AK73" s="431"/>
      <c r="AL73" s="431">
        <v>1959955</v>
      </c>
      <c r="AM73" s="449">
        <v>753796</v>
      </c>
    </row>
    <row r="74" spans="1:39" s="155" customFormat="1" x14ac:dyDescent="0.2">
      <c r="A74" s="168">
        <v>20</v>
      </c>
      <c r="B74" s="572">
        <v>84558</v>
      </c>
      <c r="C74" s="334" t="s">
        <v>2906</v>
      </c>
      <c r="D74" s="432">
        <f t="shared" si="15"/>
        <v>8805878</v>
      </c>
      <c r="E74" s="436">
        <v>2737322</v>
      </c>
      <c r="F74" s="436">
        <v>682567</v>
      </c>
      <c r="G74" s="436">
        <v>420810</v>
      </c>
      <c r="H74" s="436"/>
      <c r="I74" s="436">
        <v>3219691</v>
      </c>
      <c r="J74" s="436">
        <v>450000</v>
      </c>
      <c r="K74" s="436">
        <v>1457000</v>
      </c>
      <c r="L74" s="448"/>
      <c r="M74" s="436">
        <v>286542</v>
      </c>
      <c r="N74" s="436">
        <v>655323</v>
      </c>
      <c r="O74" s="449"/>
      <c r="P74" s="432">
        <f t="shared" si="16"/>
        <v>8771187</v>
      </c>
      <c r="Q74" s="431">
        <v>3708882</v>
      </c>
      <c r="R74" s="431">
        <v>1989591</v>
      </c>
      <c r="S74" s="431">
        <v>10803</v>
      </c>
      <c r="T74" s="431">
        <v>0</v>
      </c>
      <c r="U74" s="431">
        <v>19423</v>
      </c>
      <c r="V74" s="431">
        <v>132000</v>
      </c>
      <c r="W74" s="431">
        <v>131709</v>
      </c>
      <c r="X74" s="431">
        <v>148541</v>
      </c>
      <c r="Y74" s="431">
        <v>6000</v>
      </c>
      <c r="Z74" s="431">
        <v>1685856</v>
      </c>
      <c r="AA74" s="431">
        <v>965782</v>
      </c>
      <c r="AB74" s="431">
        <v>-27400</v>
      </c>
      <c r="AC74" s="431">
        <v>1479658</v>
      </c>
      <c r="AD74" s="431">
        <v>639067</v>
      </c>
      <c r="AE74" s="431">
        <v>2995413</v>
      </c>
      <c r="AF74" s="431">
        <v>18584</v>
      </c>
      <c r="AG74" s="431">
        <v>199769</v>
      </c>
      <c r="AH74" s="431">
        <v>521164</v>
      </c>
      <c r="AI74" s="431">
        <v>478819</v>
      </c>
      <c r="AJ74" s="431">
        <v>601949</v>
      </c>
      <c r="AK74" s="431"/>
      <c r="AL74" s="431">
        <v>1836764</v>
      </c>
      <c r="AM74" s="449"/>
    </row>
    <row r="75" spans="1:39" s="155" customFormat="1" x14ac:dyDescent="0.2">
      <c r="A75" s="168">
        <v>21</v>
      </c>
      <c r="B75" s="572">
        <v>84594</v>
      </c>
      <c r="C75" s="334" t="s">
        <v>2907</v>
      </c>
      <c r="D75" s="432">
        <f t="shared" si="15"/>
        <v>6734378</v>
      </c>
      <c r="E75" s="436">
        <v>1426248</v>
      </c>
      <c r="F75" s="436">
        <v>326078</v>
      </c>
      <c r="G75" s="436">
        <v>268860</v>
      </c>
      <c r="H75" s="436"/>
      <c r="I75" s="436">
        <v>2099323</v>
      </c>
      <c r="J75" s="436">
        <v>800000</v>
      </c>
      <c r="K75" s="436">
        <v>963510</v>
      </c>
      <c r="L75" s="448"/>
      <c r="M75" s="436">
        <v>119409</v>
      </c>
      <c r="N75" s="436">
        <v>361010</v>
      </c>
      <c r="O75" s="449">
        <v>964878</v>
      </c>
      <c r="P75" s="432">
        <f t="shared" si="16"/>
        <v>5892540</v>
      </c>
      <c r="Q75" s="431">
        <v>2331028</v>
      </c>
      <c r="R75" s="431">
        <v>1066986</v>
      </c>
      <c r="S75" s="431">
        <v>1608</v>
      </c>
      <c r="T75" s="431"/>
      <c r="U75" s="431">
        <v>7452</v>
      </c>
      <c r="V75" s="431">
        <v>70256</v>
      </c>
      <c r="W75" s="431">
        <v>528081</v>
      </c>
      <c r="X75" s="431">
        <v>103600</v>
      </c>
      <c r="Y75" s="431"/>
      <c r="Z75" s="431">
        <v>1777810</v>
      </c>
      <c r="AA75" s="431">
        <v>55369</v>
      </c>
      <c r="AB75" s="431">
        <v>-49650</v>
      </c>
      <c r="AC75" s="431">
        <v>577351</v>
      </c>
      <c r="AD75" s="431">
        <v>261734</v>
      </c>
      <c r="AE75" s="431">
        <v>1924814</v>
      </c>
      <c r="AF75" s="431"/>
      <c r="AG75" s="431">
        <v>152150</v>
      </c>
      <c r="AH75" s="431">
        <v>405015</v>
      </c>
      <c r="AI75" s="431">
        <v>484323</v>
      </c>
      <c r="AJ75" s="431">
        <v>1885460</v>
      </c>
      <c r="AK75" s="431"/>
      <c r="AL75" s="431">
        <v>134861</v>
      </c>
      <c r="AM75" s="449">
        <v>66832</v>
      </c>
    </row>
    <row r="76" spans="1:39" s="155" customFormat="1" x14ac:dyDescent="0.2">
      <c r="A76" s="168">
        <v>22</v>
      </c>
      <c r="B76" s="572">
        <v>86479</v>
      </c>
      <c r="C76" s="334" t="s">
        <v>2908</v>
      </c>
      <c r="D76" s="432">
        <f t="shared" si="15"/>
        <v>2615281</v>
      </c>
      <c r="E76" s="436">
        <v>812079</v>
      </c>
      <c r="F76" s="436">
        <v>183812</v>
      </c>
      <c r="G76" s="436">
        <v>218260</v>
      </c>
      <c r="H76" s="436"/>
      <c r="I76" s="436">
        <v>951893</v>
      </c>
      <c r="J76" s="431"/>
      <c r="K76" s="436">
        <v>848030</v>
      </c>
      <c r="L76" s="448"/>
      <c r="M76" s="436">
        <v>3279</v>
      </c>
      <c r="N76" s="436"/>
      <c r="O76" s="449"/>
      <c r="P76" s="432">
        <f t="shared" si="16"/>
        <v>2065356</v>
      </c>
      <c r="Q76" s="431">
        <v>1266420</v>
      </c>
      <c r="R76" s="431">
        <v>621718</v>
      </c>
      <c r="S76" s="431"/>
      <c r="T76" s="431"/>
      <c r="U76" s="431">
        <v>35697</v>
      </c>
      <c r="V76" s="431"/>
      <c r="W76" s="431"/>
      <c r="X76" s="431">
        <v>76405</v>
      </c>
      <c r="Y76" s="431"/>
      <c r="Z76" s="431">
        <v>65116</v>
      </c>
      <c r="AA76" s="431"/>
      <c r="AB76" s="431"/>
      <c r="AC76" s="431">
        <v>639991</v>
      </c>
      <c r="AD76" s="431">
        <v>39835</v>
      </c>
      <c r="AE76" s="431">
        <v>849673</v>
      </c>
      <c r="AF76" s="431"/>
      <c r="AG76" s="431">
        <v>172667</v>
      </c>
      <c r="AH76" s="431">
        <v>202759</v>
      </c>
      <c r="AI76" s="431">
        <v>136026</v>
      </c>
      <c r="AJ76" s="431">
        <v>6000</v>
      </c>
      <c r="AK76" s="431"/>
      <c r="AL76" s="431">
        <v>11405</v>
      </c>
      <c r="AM76" s="449">
        <v>7000</v>
      </c>
    </row>
    <row r="77" spans="1:39" s="155" customFormat="1" x14ac:dyDescent="0.2">
      <c r="A77" s="168">
        <v>23</v>
      </c>
      <c r="B77" s="572">
        <v>84629</v>
      </c>
      <c r="C77" s="334" t="s">
        <v>2909</v>
      </c>
      <c r="D77" s="432">
        <f t="shared" si="15"/>
        <v>5676729</v>
      </c>
      <c r="E77" s="436">
        <v>1333670</v>
      </c>
      <c r="F77" s="436">
        <v>262722</v>
      </c>
      <c r="G77" s="436">
        <v>289830</v>
      </c>
      <c r="H77" s="436"/>
      <c r="I77" s="436">
        <v>1755776</v>
      </c>
      <c r="J77" s="436">
        <v>154980</v>
      </c>
      <c r="K77" s="436">
        <v>1100010</v>
      </c>
      <c r="L77" s="448"/>
      <c r="M77" s="436">
        <v>636136</v>
      </c>
      <c r="N77" s="436">
        <v>646157</v>
      </c>
      <c r="O77" s="449">
        <v>50000</v>
      </c>
      <c r="P77" s="432">
        <f t="shared" si="16"/>
        <v>5814193</v>
      </c>
      <c r="Q77" s="431">
        <v>2194953</v>
      </c>
      <c r="R77" s="431">
        <v>1695641</v>
      </c>
      <c r="S77" s="431"/>
      <c r="T77" s="431"/>
      <c r="U77" s="431">
        <v>9687</v>
      </c>
      <c r="V77" s="431"/>
      <c r="W77" s="431">
        <v>1154836</v>
      </c>
      <c r="X77" s="431">
        <v>121579</v>
      </c>
      <c r="Y77" s="431">
        <v>61000</v>
      </c>
      <c r="Z77" s="431">
        <v>583497</v>
      </c>
      <c r="AA77" s="431"/>
      <c r="AB77" s="431">
        <v>-7000</v>
      </c>
      <c r="AC77" s="431">
        <v>533221</v>
      </c>
      <c r="AD77" s="431">
        <v>107684</v>
      </c>
      <c r="AE77" s="431">
        <v>2102514</v>
      </c>
      <c r="AF77" s="431"/>
      <c r="AG77" s="431">
        <v>174570</v>
      </c>
      <c r="AH77" s="431">
        <v>596360</v>
      </c>
      <c r="AI77" s="431">
        <v>245612</v>
      </c>
      <c r="AJ77" s="431">
        <v>401961</v>
      </c>
      <c r="AK77" s="431"/>
      <c r="AL77" s="431">
        <v>1015144</v>
      </c>
      <c r="AM77" s="449">
        <v>637127</v>
      </c>
    </row>
    <row r="78" spans="1:39" s="155" customFormat="1" x14ac:dyDescent="0.2">
      <c r="A78" s="168">
        <v>24</v>
      </c>
      <c r="B78" s="572">
        <v>84656</v>
      </c>
      <c r="C78" s="334" t="s">
        <v>2910</v>
      </c>
      <c r="D78" s="432">
        <f t="shared" si="15"/>
        <v>9856543</v>
      </c>
      <c r="E78" s="436">
        <v>1579506</v>
      </c>
      <c r="F78" s="436">
        <v>459139</v>
      </c>
      <c r="G78" s="436">
        <v>289970</v>
      </c>
      <c r="H78" s="436"/>
      <c r="I78" s="436">
        <v>3896076</v>
      </c>
      <c r="J78" s="436">
        <v>145000</v>
      </c>
      <c r="K78" s="436">
        <v>1172010</v>
      </c>
      <c r="L78" s="448"/>
      <c r="M78" s="436">
        <v>998530</v>
      </c>
      <c r="N78" s="436">
        <v>2065421</v>
      </c>
      <c r="O78" s="449"/>
      <c r="P78" s="432">
        <f t="shared" si="16"/>
        <v>12756755</v>
      </c>
      <c r="Q78" s="431">
        <v>3830901</v>
      </c>
      <c r="R78" s="431">
        <v>1519193</v>
      </c>
      <c r="S78" s="431"/>
      <c r="T78" s="431"/>
      <c r="U78" s="431">
        <v>20615</v>
      </c>
      <c r="V78" s="431"/>
      <c r="W78" s="431">
        <v>5122246</v>
      </c>
      <c r="X78" s="431">
        <v>523484</v>
      </c>
      <c r="Y78" s="431">
        <v>65614</v>
      </c>
      <c r="Z78" s="431">
        <v>1674702</v>
      </c>
      <c r="AA78" s="431"/>
      <c r="AB78" s="431"/>
      <c r="AC78" s="431">
        <v>646093</v>
      </c>
      <c r="AD78" s="431">
        <v>186498</v>
      </c>
      <c r="AE78" s="431">
        <v>3948213</v>
      </c>
      <c r="AF78" s="431"/>
      <c r="AG78" s="431">
        <v>361824</v>
      </c>
      <c r="AH78" s="431">
        <v>661837</v>
      </c>
      <c r="AI78" s="431">
        <v>76800</v>
      </c>
      <c r="AJ78" s="431">
        <v>295735</v>
      </c>
      <c r="AK78" s="431"/>
      <c r="AL78" s="431">
        <v>6544662</v>
      </c>
      <c r="AM78" s="449">
        <v>35093</v>
      </c>
    </row>
    <row r="79" spans="1:39" s="155" customFormat="1" x14ac:dyDescent="0.2">
      <c r="A79" s="168">
        <v>25</v>
      </c>
      <c r="B79" s="572">
        <v>84754</v>
      </c>
      <c r="C79" s="334" t="s">
        <v>2911</v>
      </c>
      <c r="D79" s="432">
        <f t="shared" si="15"/>
        <v>8266324</v>
      </c>
      <c r="E79" s="436">
        <v>1284186</v>
      </c>
      <c r="F79" s="436">
        <v>576117</v>
      </c>
      <c r="G79" s="436">
        <v>103590</v>
      </c>
      <c r="H79" s="436"/>
      <c r="I79" s="436">
        <v>3744395</v>
      </c>
      <c r="J79" s="436"/>
      <c r="K79" s="436">
        <v>504770</v>
      </c>
      <c r="L79" s="448"/>
      <c r="M79" s="436">
        <v>825238</v>
      </c>
      <c r="N79" s="436">
        <v>1459285</v>
      </c>
      <c r="O79" s="449">
        <v>448450</v>
      </c>
      <c r="P79" s="432">
        <f t="shared" si="16"/>
        <v>9687709</v>
      </c>
      <c r="Q79" s="431">
        <v>4027969</v>
      </c>
      <c r="R79" s="431">
        <v>990855</v>
      </c>
      <c r="S79" s="431">
        <v>355</v>
      </c>
      <c r="T79" s="431"/>
      <c r="U79" s="431">
        <v>25902</v>
      </c>
      <c r="V79" s="431"/>
      <c r="W79" s="431">
        <v>4487750</v>
      </c>
      <c r="X79" s="431">
        <v>109878</v>
      </c>
      <c r="Y79" s="431"/>
      <c r="Z79" s="431">
        <v>40000</v>
      </c>
      <c r="AA79" s="431">
        <v>5000</v>
      </c>
      <c r="AB79" s="431"/>
      <c r="AC79" s="431">
        <v>524474</v>
      </c>
      <c r="AD79" s="431">
        <v>95270</v>
      </c>
      <c r="AE79" s="431">
        <v>3602132</v>
      </c>
      <c r="AF79" s="431"/>
      <c r="AG79" s="431">
        <v>96597</v>
      </c>
      <c r="AH79" s="431">
        <v>380156</v>
      </c>
      <c r="AI79" s="431">
        <v>444676</v>
      </c>
      <c r="AJ79" s="431">
        <v>134254</v>
      </c>
      <c r="AK79" s="431"/>
      <c r="AL79" s="431">
        <v>4394389</v>
      </c>
      <c r="AM79" s="449">
        <v>15761</v>
      </c>
    </row>
    <row r="80" spans="1:39" s="155" customFormat="1" x14ac:dyDescent="0.2">
      <c r="A80" s="168">
        <v>26</v>
      </c>
      <c r="B80" s="572">
        <v>84825</v>
      </c>
      <c r="C80" s="334" t="s">
        <v>2912</v>
      </c>
      <c r="D80" s="432">
        <f t="shared" si="15"/>
        <v>7360226</v>
      </c>
      <c r="E80" s="436">
        <v>2644256</v>
      </c>
      <c r="F80" s="436">
        <v>937080</v>
      </c>
      <c r="G80" s="436">
        <v>216940</v>
      </c>
      <c r="H80" s="436"/>
      <c r="I80" s="436">
        <v>2517131</v>
      </c>
      <c r="J80" s="436"/>
      <c r="K80" s="436">
        <v>836010</v>
      </c>
      <c r="L80" s="448"/>
      <c r="M80" s="436">
        <v>166586</v>
      </c>
      <c r="N80" s="436">
        <v>795439</v>
      </c>
      <c r="O80" s="449">
        <v>400804</v>
      </c>
      <c r="P80" s="432">
        <f t="shared" si="16"/>
        <v>8453029</v>
      </c>
      <c r="Q80" s="431">
        <v>2718951</v>
      </c>
      <c r="R80" s="431">
        <v>1676208</v>
      </c>
      <c r="S80" s="431"/>
      <c r="T80" s="431"/>
      <c r="U80" s="431">
        <v>6300</v>
      </c>
      <c r="V80" s="431">
        <v>405000</v>
      </c>
      <c r="W80" s="431">
        <v>1042216</v>
      </c>
      <c r="X80" s="431">
        <v>302482</v>
      </c>
      <c r="Y80" s="431">
        <v>95794</v>
      </c>
      <c r="Z80" s="431">
        <v>2206078</v>
      </c>
      <c r="AA80" s="431"/>
      <c r="AB80" s="431"/>
      <c r="AC80" s="431">
        <v>675951</v>
      </c>
      <c r="AD80" s="431">
        <v>192922</v>
      </c>
      <c r="AE80" s="431">
        <v>2925089</v>
      </c>
      <c r="AF80" s="431"/>
      <c r="AG80" s="431">
        <v>656774</v>
      </c>
      <c r="AH80" s="431">
        <v>356350</v>
      </c>
      <c r="AI80" s="431">
        <v>1693334</v>
      </c>
      <c r="AJ80" s="431">
        <v>31512</v>
      </c>
      <c r="AK80" s="431"/>
      <c r="AL80" s="431">
        <v>1921097</v>
      </c>
      <c r="AM80" s="449"/>
    </row>
    <row r="81" spans="1:39" s="155" customFormat="1" x14ac:dyDescent="0.2">
      <c r="A81" s="168">
        <v>27</v>
      </c>
      <c r="B81" s="572">
        <v>86438</v>
      </c>
      <c r="C81" s="334" t="s">
        <v>2913</v>
      </c>
      <c r="D81" s="432">
        <f t="shared" si="15"/>
        <v>7660691</v>
      </c>
      <c r="E81" s="436">
        <v>1109242</v>
      </c>
      <c r="F81" s="436">
        <v>311926</v>
      </c>
      <c r="G81" s="436">
        <v>201650</v>
      </c>
      <c r="H81" s="436"/>
      <c r="I81" s="436">
        <v>1495822</v>
      </c>
      <c r="J81" s="436"/>
      <c r="K81" s="436">
        <v>970490</v>
      </c>
      <c r="L81" s="448"/>
      <c r="M81" s="436">
        <v>891712</v>
      </c>
      <c r="N81" s="436">
        <v>3193425</v>
      </c>
      <c r="O81" s="449"/>
      <c r="P81" s="432">
        <f t="shared" si="16"/>
        <v>6691824</v>
      </c>
      <c r="Q81" s="431">
        <v>1721746</v>
      </c>
      <c r="R81" s="431">
        <v>702018</v>
      </c>
      <c r="S81" s="431">
        <v>13934</v>
      </c>
      <c r="T81" s="431"/>
      <c r="U81" s="431">
        <v>13725</v>
      </c>
      <c r="V81" s="431">
        <v>93316</v>
      </c>
      <c r="W81" s="431">
        <v>2040915</v>
      </c>
      <c r="X81" s="431">
        <v>65404</v>
      </c>
      <c r="Y81" s="431">
        <v>21040</v>
      </c>
      <c r="Z81" s="431">
        <v>830639</v>
      </c>
      <c r="AA81" s="431">
        <v>1189087</v>
      </c>
      <c r="AB81" s="431"/>
      <c r="AC81" s="431">
        <v>2189856</v>
      </c>
      <c r="AD81" s="431">
        <v>22884</v>
      </c>
      <c r="AE81" s="431">
        <v>1357812</v>
      </c>
      <c r="AF81" s="431"/>
      <c r="AG81" s="431">
        <v>32466</v>
      </c>
      <c r="AH81" s="431">
        <v>235282</v>
      </c>
      <c r="AI81" s="431">
        <v>1157885</v>
      </c>
      <c r="AJ81" s="431">
        <v>83997</v>
      </c>
      <c r="AK81" s="431"/>
      <c r="AL81" s="431">
        <v>1297738</v>
      </c>
      <c r="AM81" s="449">
        <v>313904</v>
      </c>
    </row>
    <row r="82" spans="1:39" s="155" customFormat="1" x14ac:dyDescent="0.2">
      <c r="A82" s="168">
        <v>28</v>
      </c>
      <c r="B82" s="572">
        <v>84923</v>
      </c>
      <c r="C82" s="334" t="s">
        <v>2914</v>
      </c>
      <c r="D82" s="432">
        <f t="shared" si="15"/>
        <v>6592945</v>
      </c>
      <c r="E82" s="436">
        <v>1367391</v>
      </c>
      <c r="F82" s="436">
        <v>316328</v>
      </c>
      <c r="G82" s="436">
        <v>209540</v>
      </c>
      <c r="H82" s="436"/>
      <c r="I82" s="436">
        <v>2148199</v>
      </c>
      <c r="J82" s="436"/>
      <c r="K82" s="436">
        <v>816010</v>
      </c>
      <c r="L82" s="448"/>
      <c r="M82" s="436">
        <v>329969</v>
      </c>
      <c r="N82" s="436">
        <v>1731176</v>
      </c>
      <c r="O82" s="449">
        <v>200200</v>
      </c>
      <c r="P82" s="432">
        <f t="shared" ref="P82:P112" si="17">IF(SUM(Q82:AB82)=SUM(AC82:AM82),SUM(Q82:AB82),"  EROARE ART/CAP")</f>
        <v>7287451</v>
      </c>
      <c r="Q82" s="431">
        <v>2594845</v>
      </c>
      <c r="R82" s="431">
        <v>1251590</v>
      </c>
      <c r="S82" s="431"/>
      <c r="T82" s="431"/>
      <c r="U82" s="431">
        <v>113110</v>
      </c>
      <c r="V82" s="431">
        <v>12037</v>
      </c>
      <c r="W82" s="431">
        <v>3123873</v>
      </c>
      <c r="X82" s="431">
        <v>105316</v>
      </c>
      <c r="Y82" s="431">
        <v>1120</v>
      </c>
      <c r="Z82" s="431">
        <v>85560</v>
      </c>
      <c r="AA82" s="431"/>
      <c r="AB82" s="431"/>
      <c r="AC82" s="431">
        <v>772872</v>
      </c>
      <c r="AD82" s="431">
        <v>98654</v>
      </c>
      <c r="AE82" s="431">
        <v>1936319</v>
      </c>
      <c r="AF82" s="431">
        <v>15265</v>
      </c>
      <c r="AG82" s="431">
        <v>69418</v>
      </c>
      <c r="AH82" s="431">
        <v>342431</v>
      </c>
      <c r="AI82" s="431">
        <v>377000</v>
      </c>
      <c r="AJ82" s="431">
        <v>277601</v>
      </c>
      <c r="AK82" s="431"/>
      <c r="AL82" s="431">
        <v>3385854</v>
      </c>
      <c r="AM82" s="449">
        <v>12037</v>
      </c>
    </row>
    <row r="83" spans="1:39" s="155" customFormat="1" x14ac:dyDescent="0.2">
      <c r="A83" s="168">
        <v>29</v>
      </c>
      <c r="B83" s="572">
        <v>85056</v>
      </c>
      <c r="C83" s="334" t="s">
        <v>2915</v>
      </c>
      <c r="D83" s="432">
        <f t="shared" si="15"/>
        <v>3147130</v>
      </c>
      <c r="E83" s="436">
        <v>819830</v>
      </c>
      <c r="F83" s="436">
        <v>127287</v>
      </c>
      <c r="G83" s="436">
        <v>240520</v>
      </c>
      <c r="H83" s="436"/>
      <c r="I83" s="436">
        <v>970489</v>
      </c>
      <c r="J83" s="436">
        <v>52792</v>
      </c>
      <c r="K83" s="436">
        <v>878090</v>
      </c>
      <c r="L83" s="448"/>
      <c r="M83" s="436">
        <v>147819</v>
      </c>
      <c r="N83" s="436">
        <v>188485</v>
      </c>
      <c r="O83" s="449">
        <v>89625</v>
      </c>
      <c r="P83" s="432">
        <f t="shared" si="17"/>
        <v>2583070</v>
      </c>
      <c r="Q83" s="431">
        <v>1255080</v>
      </c>
      <c r="R83" s="431">
        <v>707480</v>
      </c>
      <c r="S83" s="431"/>
      <c r="T83" s="431"/>
      <c r="U83" s="431">
        <v>5969</v>
      </c>
      <c r="V83" s="431"/>
      <c r="W83" s="431">
        <v>188486</v>
      </c>
      <c r="X83" s="431">
        <v>96500</v>
      </c>
      <c r="Y83" s="431">
        <v>15582</v>
      </c>
      <c r="Z83" s="431">
        <v>313973</v>
      </c>
      <c r="AA83" s="431"/>
      <c r="AB83" s="431"/>
      <c r="AC83" s="431">
        <v>593203</v>
      </c>
      <c r="AD83" s="431">
        <v>311243</v>
      </c>
      <c r="AE83" s="431">
        <v>977454</v>
      </c>
      <c r="AF83" s="431">
        <v>15334</v>
      </c>
      <c r="AG83" s="431">
        <v>118921</v>
      </c>
      <c r="AH83" s="431">
        <v>115453</v>
      </c>
      <c r="AI83" s="431">
        <v>97261</v>
      </c>
      <c r="AJ83" s="431">
        <v>147963</v>
      </c>
      <c r="AK83" s="431"/>
      <c r="AL83" s="431">
        <v>137085</v>
      </c>
      <c r="AM83" s="449">
        <v>69153</v>
      </c>
    </row>
    <row r="84" spans="1:39" s="155" customFormat="1" x14ac:dyDescent="0.2">
      <c r="A84" s="168">
        <v>30</v>
      </c>
      <c r="B84" s="572">
        <v>85074</v>
      </c>
      <c r="C84" s="334" t="s">
        <v>2916</v>
      </c>
      <c r="D84" s="432">
        <f t="shared" si="15"/>
        <v>4903620</v>
      </c>
      <c r="E84" s="436">
        <v>799582</v>
      </c>
      <c r="F84" s="436">
        <v>216697</v>
      </c>
      <c r="G84" s="436">
        <v>159560</v>
      </c>
      <c r="H84" s="436"/>
      <c r="I84" s="436">
        <v>2084000</v>
      </c>
      <c r="J84" s="436">
        <v>265300</v>
      </c>
      <c r="K84" s="436">
        <v>792540</v>
      </c>
      <c r="L84" s="448"/>
      <c r="M84" s="436">
        <v>47815</v>
      </c>
      <c r="N84" s="436">
        <v>40083</v>
      </c>
      <c r="O84" s="449">
        <v>874300</v>
      </c>
      <c r="P84" s="432">
        <f t="shared" si="17"/>
        <v>4981427</v>
      </c>
      <c r="Q84" s="431">
        <v>2379252</v>
      </c>
      <c r="R84" s="431">
        <v>608557</v>
      </c>
      <c r="S84" s="431"/>
      <c r="T84" s="431"/>
      <c r="U84" s="431">
        <v>33528</v>
      </c>
      <c r="V84" s="431">
        <v>144947</v>
      </c>
      <c r="W84" s="431">
        <v>268398</v>
      </c>
      <c r="X84" s="431">
        <v>143977</v>
      </c>
      <c r="Y84" s="431">
        <v>26892</v>
      </c>
      <c r="Z84" s="431">
        <v>1395464</v>
      </c>
      <c r="AA84" s="431"/>
      <c r="AB84" s="431">
        <v>-19588</v>
      </c>
      <c r="AC84" s="431">
        <v>777174</v>
      </c>
      <c r="AD84" s="431">
        <v>65297</v>
      </c>
      <c r="AE84" s="431">
        <v>1973660</v>
      </c>
      <c r="AF84" s="431"/>
      <c r="AG84" s="431">
        <v>352168</v>
      </c>
      <c r="AH84" s="431">
        <v>299170</v>
      </c>
      <c r="AI84" s="431">
        <v>70389</v>
      </c>
      <c r="AJ84" s="431">
        <v>1006840</v>
      </c>
      <c r="AK84" s="431"/>
      <c r="AL84" s="431">
        <v>283452</v>
      </c>
      <c r="AM84" s="449">
        <v>153277</v>
      </c>
    </row>
    <row r="85" spans="1:39" s="155" customFormat="1" x14ac:dyDescent="0.2">
      <c r="A85" s="168">
        <v>31</v>
      </c>
      <c r="B85" s="572">
        <v>85127</v>
      </c>
      <c r="C85" s="334" t="s">
        <v>2917</v>
      </c>
      <c r="D85" s="432">
        <f t="shared" si="15"/>
        <v>5753421</v>
      </c>
      <c r="E85" s="436">
        <v>1422560</v>
      </c>
      <c r="F85" s="436">
        <v>318590</v>
      </c>
      <c r="G85" s="436">
        <v>227800</v>
      </c>
      <c r="H85" s="436"/>
      <c r="I85" s="436">
        <v>2195000</v>
      </c>
      <c r="J85" s="436">
        <v>392800</v>
      </c>
      <c r="K85" s="436">
        <v>979010</v>
      </c>
      <c r="L85" s="448"/>
      <c r="M85" s="436">
        <v>722405</v>
      </c>
      <c r="N85" s="436">
        <v>36296</v>
      </c>
      <c r="O85" s="449">
        <v>5350</v>
      </c>
      <c r="P85" s="432">
        <f t="shared" si="17"/>
        <v>5616398</v>
      </c>
      <c r="Q85" s="431">
        <v>2478546</v>
      </c>
      <c r="R85" s="431">
        <v>1532710</v>
      </c>
      <c r="S85" s="431"/>
      <c r="T85" s="431"/>
      <c r="U85" s="431">
        <v>137661</v>
      </c>
      <c r="V85" s="431"/>
      <c r="W85" s="431">
        <v>9205</v>
      </c>
      <c r="X85" s="431">
        <v>90731</v>
      </c>
      <c r="Y85" s="431">
        <v>2000</v>
      </c>
      <c r="Z85" s="431">
        <v>1490054</v>
      </c>
      <c r="AA85" s="431"/>
      <c r="AB85" s="431">
        <v>-124509</v>
      </c>
      <c r="AC85" s="431">
        <v>948852</v>
      </c>
      <c r="AD85" s="431">
        <v>12844</v>
      </c>
      <c r="AE85" s="431">
        <v>2062000</v>
      </c>
      <c r="AF85" s="431"/>
      <c r="AG85" s="431">
        <v>322200</v>
      </c>
      <c r="AH85" s="431">
        <v>258420</v>
      </c>
      <c r="AI85" s="431">
        <v>510401</v>
      </c>
      <c r="AJ85" s="431"/>
      <c r="AK85" s="431"/>
      <c r="AL85" s="431">
        <v>1492476</v>
      </c>
      <c r="AM85" s="449">
        <v>9205</v>
      </c>
    </row>
    <row r="86" spans="1:39" s="155" customFormat="1" x14ac:dyDescent="0.2">
      <c r="A86" s="168">
        <v>32</v>
      </c>
      <c r="B86" s="572">
        <v>85243</v>
      </c>
      <c r="C86" s="334" t="s">
        <v>2918</v>
      </c>
      <c r="D86" s="432">
        <f t="shared" ref="D86:D112" si="18">E86+SUM(H86:O86)</f>
        <v>2702649</v>
      </c>
      <c r="E86" s="436">
        <v>871268</v>
      </c>
      <c r="F86" s="436">
        <v>227616</v>
      </c>
      <c r="G86" s="436">
        <v>238380</v>
      </c>
      <c r="H86" s="436"/>
      <c r="I86" s="436">
        <v>984915</v>
      </c>
      <c r="J86" s="436"/>
      <c r="K86" s="436">
        <v>832210</v>
      </c>
      <c r="L86" s="448"/>
      <c r="M86" s="436">
        <v>14256</v>
      </c>
      <c r="N86" s="436"/>
      <c r="O86" s="449"/>
      <c r="P86" s="432">
        <f t="shared" si="17"/>
        <v>2320478</v>
      </c>
      <c r="Q86" s="431">
        <v>1181244</v>
      </c>
      <c r="R86" s="431">
        <v>528734</v>
      </c>
      <c r="S86" s="431"/>
      <c r="T86" s="431"/>
      <c r="U86" s="431">
        <v>274</v>
      </c>
      <c r="V86" s="431"/>
      <c r="W86" s="431"/>
      <c r="X86" s="431">
        <v>58103</v>
      </c>
      <c r="Y86" s="431"/>
      <c r="Z86" s="431">
        <v>552123</v>
      </c>
      <c r="AA86" s="431"/>
      <c r="AB86" s="431"/>
      <c r="AC86" s="431">
        <v>353100</v>
      </c>
      <c r="AD86" s="431">
        <v>78364</v>
      </c>
      <c r="AE86" s="431">
        <v>987325</v>
      </c>
      <c r="AF86" s="431"/>
      <c r="AG86" s="431">
        <v>96885</v>
      </c>
      <c r="AH86" s="431">
        <v>134285</v>
      </c>
      <c r="AI86" s="431">
        <v>66812</v>
      </c>
      <c r="AJ86" s="431">
        <v>64637</v>
      </c>
      <c r="AK86" s="431"/>
      <c r="AL86" s="431">
        <v>537032</v>
      </c>
      <c r="AM86" s="449">
        <v>2038</v>
      </c>
    </row>
    <row r="87" spans="1:39" s="155" customFormat="1" x14ac:dyDescent="0.2">
      <c r="A87" s="168">
        <v>33</v>
      </c>
      <c r="B87" s="572">
        <v>83375</v>
      </c>
      <c r="C87" s="334" t="s">
        <v>2919</v>
      </c>
      <c r="D87" s="432">
        <f t="shared" si="18"/>
        <v>5769578</v>
      </c>
      <c r="E87" s="436">
        <v>872834</v>
      </c>
      <c r="F87" s="436">
        <v>165475</v>
      </c>
      <c r="G87" s="436">
        <v>218620</v>
      </c>
      <c r="H87" s="436"/>
      <c r="I87" s="436">
        <v>893492</v>
      </c>
      <c r="J87" s="436"/>
      <c r="K87" s="436">
        <v>801820</v>
      </c>
      <c r="L87" s="448"/>
      <c r="M87" s="436">
        <v>744532</v>
      </c>
      <c r="N87" s="436">
        <v>2456900</v>
      </c>
      <c r="O87" s="449"/>
      <c r="P87" s="432">
        <f t="shared" si="17"/>
        <v>7630806</v>
      </c>
      <c r="Q87" s="431">
        <v>1131109</v>
      </c>
      <c r="R87" s="431">
        <v>691091</v>
      </c>
      <c r="S87" s="431"/>
      <c r="T87" s="431"/>
      <c r="U87" s="431">
        <v>6933</v>
      </c>
      <c r="V87" s="431">
        <v>72350</v>
      </c>
      <c r="W87" s="431">
        <v>5383887</v>
      </c>
      <c r="X87" s="431">
        <v>82644</v>
      </c>
      <c r="Y87" s="431">
        <v>16818</v>
      </c>
      <c r="Z87" s="431">
        <v>246656</v>
      </c>
      <c r="AA87" s="431"/>
      <c r="AB87" s="431">
        <v>-682</v>
      </c>
      <c r="AC87" s="431">
        <v>580513</v>
      </c>
      <c r="AD87" s="431">
        <v>54608</v>
      </c>
      <c r="AE87" s="431">
        <v>838492</v>
      </c>
      <c r="AF87" s="431"/>
      <c r="AG87" s="431">
        <v>889327</v>
      </c>
      <c r="AH87" s="431">
        <v>121044</v>
      </c>
      <c r="AI87" s="431">
        <v>628895</v>
      </c>
      <c r="AJ87" s="431">
        <v>107962</v>
      </c>
      <c r="AK87" s="431"/>
      <c r="AL87" s="431">
        <v>4409965</v>
      </c>
      <c r="AM87" s="449"/>
    </row>
    <row r="88" spans="1:39" s="155" customFormat="1" x14ac:dyDescent="0.2">
      <c r="A88" s="168">
        <v>34</v>
      </c>
      <c r="B88" s="572">
        <v>85289</v>
      </c>
      <c r="C88" s="334" t="s">
        <v>2920</v>
      </c>
      <c r="D88" s="432">
        <f t="shared" si="18"/>
        <v>11644216</v>
      </c>
      <c r="E88" s="436">
        <v>1253057</v>
      </c>
      <c r="F88" s="436">
        <v>250243</v>
      </c>
      <c r="G88" s="436">
        <v>215490</v>
      </c>
      <c r="H88" s="436"/>
      <c r="I88" s="436">
        <v>2667358</v>
      </c>
      <c r="J88" s="436">
        <v>287000</v>
      </c>
      <c r="K88" s="436">
        <v>735010</v>
      </c>
      <c r="L88" s="448"/>
      <c r="M88" s="436">
        <v>1248250</v>
      </c>
      <c r="N88" s="436">
        <v>3649965</v>
      </c>
      <c r="O88" s="449">
        <v>1803576</v>
      </c>
      <c r="P88" s="432">
        <f t="shared" si="17"/>
        <v>12111489</v>
      </c>
      <c r="Q88" s="431">
        <v>2931191</v>
      </c>
      <c r="R88" s="431">
        <v>915405</v>
      </c>
      <c r="S88" s="431"/>
      <c r="T88" s="431"/>
      <c r="U88" s="431">
        <v>63783</v>
      </c>
      <c r="V88" s="431"/>
      <c r="W88" s="431">
        <v>5787460</v>
      </c>
      <c r="X88" s="431">
        <v>116489</v>
      </c>
      <c r="Y88" s="431"/>
      <c r="Z88" s="431">
        <v>2311875</v>
      </c>
      <c r="AA88" s="431"/>
      <c r="AB88" s="431">
        <v>-14714</v>
      </c>
      <c r="AC88" s="431">
        <v>1424613</v>
      </c>
      <c r="AD88" s="431">
        <v>17850</v>
      </c>
      <c r="AE88" s="431">
        <v>2491158</v>
      </c>
      <c r="AF88" s="431">
        <v>47408</v>
      </c>
      <c r="AG88" s="431">
        <v>269757</v>
      </c>
      <c r="AH88" s="431">
        <v>330434</v>
      </c>
      <c r="AI88" s="431">
        <v>103148</v>
      </c>
      <c r="AJ88" s="431">
        <v>1657700</v>
      </c>
      <c r="AK88" s="431"/>
      <c r="AL88" s="431">
        <v>5737254</v>
      </c>
      <c r="AM88" s="449">
        <v>32167</v>
      </c>
    </row>
    <row r="89" spans="1:39" s="155" customFormat="1" x14ac:dyDescent="0.2">
      <c r="A89" s="168">
        <v>35</v>
      </c>
      <c r="B89" s="572">
        <v>86487</v>
      </c>
      <c r="C89" s="334" t="s">
        <v>2921</v>
      </c>
      <c r="D89" s="432">
        <f t="shared" si="18"/>
        <v>6164369</v>
      </c>
      <c r="E89" s="436">
        <v>776670</v>
      </c>
      <c r="F89" s="436">
        <v>167481</v>
      </c>
      <c r="G89" s="436">
        <v>229580</v>
      </c>
      <c r="H89" s="436"/>
      <c r="I89" s="436">
        <v>1193000</v>
      </c>
      <c r="J89" s="436"/>
      <c r="K89" s="436">
        <v>932170</v>
      </c>
      <c r="L89" s="448"/>
      <c r="M89" s="436">
        <v>1809816</v>
      </c>
      <c r="N89" s="436">
        <v>1452713</v>
      </c>
      <c r="O89" s="449"/>
      <c r="P89" s="432">
        <f t="shared" si="17"/>
        <v>8219390</v>
      </c>
      <c r="Q89" s="431">
        <v>1425805</v>
      </c>
      <c r="R89" s="431">
        <v>1053092</v>
      </c>
      <c r="S89" s="431"/>
      <c r="T89" s="431"/>
      <c r="U89" s="431"/>
      <c r="V89" s="431"/>
      <c r="W89" s="431">
        <v>4316478</v>
      </c>
      <c r="X89" s="431">
        <v>73480</v>
      </c>
      <c r="Y89" s="431">
        <v>2000</v>
      </c>
      <c r="Z89" s="431">
        <v>1348535</v>
      </c>
      <c r="AA89" s="431"/>
      <c r="AB89" s="431"/>
      <c r="AC89" s="431">
        <v>2029839</v>
      </c>
      <c r="AD89" s="431">
        <v>13094</v>
      </c>
      <c r="AE89" s="431">
        <v>1120000</v>
      </c>
      <c r="AF89" s="431"/>
      <c r="AG89" s="431">
        <v>631401</v>
      </c>
      <c r="AH89" s="431">
        <v>180239</v>
      </c>
      <c r="AI89" s="431">
        <v>69529</v>
      </c>
      <c r="AJ89" s="431">
        <v>104489</v>
      </c>
      <c r="AK89" s="431"/>
      <c r="AL89" s="431">
        <v>4060354</v>
      </c>
      <c r="AM89" s="449">
        <v>10445</v>
      </c>
    </row>
    <row r="90" spans="1:39" s="155" customFormat="1" x14ac:dyDescent="0.2">
      <c r="A90" s="168">
        <v>36</v>
      </c>
      <c r="B90" s="572">
        <v>85341</v>
      </c>
      <c r="C90" s="334" t="s">
        <v>2922</v>
      </c>
      <c r="D90" s="432">
        <f t="shared" si="18"/>
        <v>18144750</v>
      </c>
      <c r="E90" s="436">
        <v>3385901</v>
      </c>
      <c r="F90" s="436">
        <v>1015057</v>
      </c>
      <c r="G90" s="436">
        <v>337200</v>
      </c>
      <c r="H90" s="436"/>
      <c r="I90" s="436">
        <v>3575144</v>
      </c>
      <c r="J90" s="436"/>
      <c r="K90" s="436">
        <v>1302010</v>
      </c>
      <c r="L90" s="448"/>
      <c r="M90" s="436">
        <v>1467128</v>
      </c>
      <c r="N90" s="436">
        <v>8010739</v>
      </c>
      <c r="O90" s="449">
        <v>403828</v>
      </c>
      <c r="P90" s="432">
        <f t="shared" si="17"/>
        <v>21302474</v>
      </c>
      <c r="Q90" s="431">
        <v>3699814</v>
      </c>
      <c r="R90" s="431">
        <v>1889936</v>
      </c>
      <c r="S90" s="431"/>
      <c r="T90" s="431"/>
      <c r="U90" s="431">
        <v>36890</v>
      </c>
      <c r="V90" s="431"/>
      <c r="W90" s="431">
        <v>13470616</v>
      </c>
      <c r="X90" s="431">
        <v>329754</v>
      </c>
      <c r="Y90" s="431">
        <v>57000</v>
      </c>
      <c r="Z90" s="431">
        <v>1818464</v>
      </c>
      <c r="AA90" s="431"/>
      <c r="AB90" s="431"/>
      <c r="AC90" s="431">
        <v>1383007</v>
      </c>
      <c r="AD90" s="431">
        <v>217292</v>
      </c>
      <c r="AE90" s="431">
        <v>3527996</v>
      </c>
      <c r="AF90" s="431">
        <v>450182</v>
      </c>
      <c r="AG90" s="431">
        <v>1057779</v>
      </c>
      <c r="AH90" s="431">
        <v>472409</v>
      </c>
      <c r="AI90" s="431">
        <v>2688347</v>
      </c>
      <c r="AJ90" s="431">
        <v>344023</v>
      </c>
      <c r="AK90" s="431"/>
      <c r="AL90" s="431">
        <v>11085856</v>
      </c>
      <c r="AM90" s="449">
        <v>75583</v>
      </c>
    </row>
    <row r="91" spans="1:39" s="155" customFormat="1" x14ac:dyDescent="0.2">
      <c r="A91" s="168">
        <v>37</v>
      </c>
      <c r="B91" s="572">
        <v>86495</v>
      </c>
      <c r="C91" s="334" t="s">
        <v>2923</v>
      </c>
      <c r="D91" s="432">
        <f t="shared" si="18"/>
        <v>3616960</v>
      </c>
      <c r="E91" s="436">
        <v>782973</v>
      </c>
      <c r="F91" s="436">
        <v>147852</v>
      </c>
      <c r="G91" s="436">
        <v>259400</v>
      </c>
      <c r="H91" s="436"/>
      <c r="I91" s="436">
        <v>1225977</v>
      </c>
      <c r="J91" s="436">
        <v>425000</v>
      </c>
      <c r="K91" s="436">
        <v>953420</v>
      </c>
      <c r="L91" s="448"/>
      <c r="M91" s="436">
        <v>23590</v>
      </c>
      <c r="N91" s="436"/>
      <c r="O91" s="449">
        <v>206000</v>
      </c>
      <c r="P91" s="432">
        <f t="shared" si="17"/>
        <v>3193860</v>
      </c>
      <c r="Q91" s="431">
        <v>1457402</v>
      </c>
      <c r="R91" s="431">
        <v>1054376</v>
      </c>
      <c r="S91" s="431"/>
      <c r="T91" s="431"/>
      <c r="U91" s="431">
        <v>10631</v>
      </c>
      <c r="V91" s="431">
        <v>50000</v>
      </c>
      <c r="W91" s="431"/>
      <c r="X91" s="431">
        <v>105054</v>
      </c>
      <c r="Y91" s="431">
        <v>32100</v>
      </c>
      <c r="Z91" s="431">
        <v>526386</v>
      </c>
      <c r="AA91" s="431"/>
      <c r="AB91" s="431">
        <v>-42089</v>
      </c>
      <c r="AC91" s="431">
        <v>751649</v>
      </c>
      <c r="AD91" s="431">
        <v>231994</v>
      </c>
      <c r="AE91" s="431">
        <v>1158593</v>
      </c>
      <c r="AF91" s="431"/>
      <c r="AG91" s="431">
        <v>94153</v>
      </c>
      <c r="AH91" s="431">
        <v>218406</v>
      </c>
      <c r="AI91" s="431">
        <v>197467</v>
      </c>
      <c r="AJ91" s="431">
        <v>122366</v>
      </c>
      <c r="AK91" s="431"/>
      <c r="AL91" s="431">
        <v>419232</v>
      </c>
      <c r="AM91" s="449"/>
    </row>
    <row r="92" spans="1:39" s="155" customFormat="1" x14ac:dyDescent="0.2">
      <c r="A92" s="168">
        <v>38</v>
      </c>
      <c r="B92" s="572">
        <v>85412</v>
      </c>
      <c r="C92" s="334" t="s">
        <v>2924</v>
      </c>
      <c r="D92" s="432">
        <f t="shared" si="18"/>
        <v>10823733</v>
      </c>
      <c r="E92" s="436">
        <v>2365733</v>
      </c>
      <c r="F92" s="436">
        <v>681318</v>
      </c>
      <c r="G92" s="436">
        <v>408270</v>
      </c>
      <c r="H92" s="436"/>
      <c r="I92" s="436">
        <v>3188129</v>
      </c>
      <c r="J92" s="436">
        <v>975570</v>
      </c>
      <c r="K92" s="448">
        <v>1505000</v>
      </c>
      <c r="L92" s="431"/>
      <c r="M92" s="436">
        <v>1172814</v>
      </c>
      <c r="N92" s="436">
        <v>401238</v>
      </c>
      <c r="O92" s="449">
        <v>1215249</v>
      </c>
      <c r="P92" s="432">
        <f t="shared" si="17"/>
        <v>9350106</v>
      </c>
      <c r="Q92" s="431">
        <v>3499671</v>
      </c>
      <c r="R92" s="431">
        <v>1406450</v>
      </c>
      <c r="S92" s="431"/>
      <c r="T92" s="431"/>
      <c r="U92" s="431">
        <v>13705</v>
      </c>
      <c r="V92" s="431">
        <v>162064</v>
      </c>
      <c r="W92" s="431">
        <v>452219</v>
      </c>
      <c r="X92" s="431">
        <v>149926</v>
      </c>
      <c r="Y92" s="431">
        <v>147048</v>
      </c>
      <c r="Z92" s="431">
        <v>3519023</v>
      </c>
      <c r="AA92" s="431"/>
      <c r="AB92" s="431"/>
      <c r="AC92" s="431">
        <v>1010204</v>
      </c>
      <c r="AD92" s="431">
        <v>40794</v>
      </c>
      <c r="AE92" s="431">
        <v>2943129</v>
      </c>
      <c r="AF92" s="431"/>
      <c r="AG92" s="431">
        <v>2228338</v>
      </c>
      <c r="AH92" s="431">
        <v>537027</v>
      </c>
      <c r="AI92" s="431">
        <v>378833</v>
      </c>
      <c r="AJ92" s="431">
        <v>1458339</v>
      </c>
      <c r="AK92" s="431"/>
      <c r="AL92" s="431">
        <v>503012</v>
      </c>
      <c r="AM92" s="449">
        <v>250430</v>
      </c>
    </row>
    <row r="93" spans="1:39" s="155" customFormat="1" x14ac:dyDescent="0.2">
      <c r="A93" s="168">
        <v>39</v>
      </c>
      <c r="B93" s="572">
        <v>86501</v>
      </c>
      <c r="C93" s="334" t="s">
        <v>2925</v>
      </c>
      <c r="D93" s="432">
        <f t="shared" si="18"/>
        <v>3768635</v>
      </c>
      <c r="E93" s="436">
        <v>883631</v>
      </c>
      <c r="F93" s="436">
        <v>160666</v>
      </c>
      <c r="G93" s="436">
        <v>244430</v>
      </c>
      <c r="H93" s="436"/>
      <c r="I93" s="436">
        <v>1142699</v>
      </c>
      <c r="J93" s="436"/>
      <c r="K93" s="436">
        <v>924650</v>
      </c>
      <c r="L93" s="448"/>
      <c r="M93" s="436">
        <v>208292</v>
      </c>
      <c r="N93" s="436">
        <v>609363</v>
      </c>
      <c r="O93" s="449"/>
      <c r="P93" s="432">
        <f t="shared" si="17"/>
        <v>3273241</v>
      </c>
      <c r="Q93" s="431">
        <v>1341587</v>
      </c>
      <c r="R93" s="431">
        <v>563942</v>
      </c>
      <c r="S93" s="431"/>
      <c r="T93" s="431"/>
      <c r="U93" s="431">
        <v>25373</v>
      </c>
      <c r="V93" s="431"/>
      <c r="W93" s="431">
        <v>864448</v>
      </c>
      <c r="X93" s="431">
        <v>84165</v>
      </c>
      <c r="Y93" s="431">
        <v>60000</v>
      </c>
      <c r="Z93" s="431">
        <v>338186</v>
      </c>
      <c r="AA93" s="431"/>
      <c r="AB93" s="431">
        <v>-4460</v>
      </c>
      <c r="AC93" s="431">
        <v>558388</v>
      </c>
      <c r="AD93" s="431">
        <v>19726</v>
      </c>
      <c r="AE93" s="431">
        <v>1110939</v>
      </c>
      <c r="AF93" s="431"/>
      <c r="AG93" s="431">
        <v>93551</v>
      </c>
      <c r="AH93" s="431">
        <v>143559</v>
      </c>
      <c r="AI93" s="431">
        <v>257111</v>
      </c>
      <c r="AJ93" s="431">
        <v>98397</v>
      </c>
      <c r="AK93" s="431"/>
      <c r="AL93" s="431">
        <v>986502</v>
      </c>
      <c r="AM93" s="449">
        <v>5068</v>
      </c>
    </row>
    <row r="94" spans="1:39" s="155" customFormat="1" x14ac:dyDescent="0.2">
      <c r="A94" s="168">
        <v>40</v>
      </c>
      <c r="B94" s="572">
        <v>85467</v>
      </c>
      <c r="C94" s="334" t="s">
        <v>2926</v>
      </c>
      <c r="D94" s="432">
        <f t="shared" si="18"/>
        <v>3299698</v>
      </c>
      <c r="E94" s="436">
        <v>644976</v>
      </c>
      <c r="F94" s="436">
        <v>122836</v>
      </c>
      <c r="G94" s="436">
        <v>273200</v>
      </c>
      <c r="H94" s="436"/>
      <c r="I94" s="436">
        <v>1048148</v>
      </c>
      <c r="J94" s="436">
        <v>600000</v>
      </c>
      <c r="K94" s="436">
        <v>1000770</v>
      </c>
      <c r="L94" s="448"/>
      <c r="M94" s="436">
        <v>5804</v>
      </c>
      <c r="N94" s="436"/>
      <c r="O94" s="449"/>
      <c r="P94" s="432">
        <f t="shared" si="17"/>
        <v>2638343</v>
      </c>
      <c r="Q94" s="431">
        <v>1200419</v>
      </c>
      <c r="R94" s="431">
        <v>873647</v>
      </c>
      <c r="S94" s="431"/>
      <c r="T94" s="431"/>
      <c r="U94" s="431">
        <v>23296</v>
      </c>
      <c r="V94" s="431"/>
      <c r="W94" s="431"/>
      <c r="X94" s="431">
        <v>79592</v>
      </c>
      <c r="Y94" s="431"/>
      <c r="Z94" s="431">
        <v>461389</v>
      </c>
      <c r="AA94" s="431"/>
      <c r="AB94" s="431"/>
      <c r="AC94" s="431">
        <v>642167</v>
      </c>
      <c r="AD94" s="431">
        <v>33186</v>
      </c>
      <c r="AE94" s="431">
        <v>1024148</v>
      </c>
      <c r="AF94" s="431">
        <v>2330</v>
      </c>
      <c r="AG94" s="431">
        <v>349872</v>
      </c>
      <c r="AH94" s="431">
        <v>176947</v>
      </c>
      <c r="AI94" s="431">
        <v>67519</v>
      </c>
      <c r="AJ94" s="431">
        <v>43100</v>
      </c>
      <c r="AK94" s="431"/>
      <c r="AL94" s="431">
        <v>294477</v>
      </c>
      <c r="AM94" s="449">
        <v>4597</v>
      </c>
    </row>
    <row r="95" spans="1:39" s="155" customFormat="1" x14ac:dyDescent="0.2">
      <c r="A95" s="168">
        <v>41</v>
      </c>
      <c r="B95" s="572">
        <v>85528</v>
      </c>
      <c r="C95" s="334" t="s">
        <v>2927</v>
      </c>
      <c r="D95" s="432">
        <f t="shared" si="18"/>
        <v>14370947</v>
      </c>
      <c r="E95" s="436">
        <v>5295921</v>
      </c>
      <c r="F95" s="436">
        <v>337316</v>
      </c>
      <c r="G95" s="436">
        <v>282910</v>
      </c>
      <c r="H95" s="436"/>
      <c r="I95" s="436">
        <v>2288864</v>
      </c>
      <c r="J95" s="436"/>
      <c r="K95" s="436">
        <v>944010</v>
      </c>
      <c r="L95" s="448"/>
      <c r="M95" s="436">
        <v>1415095</v>
      </c>
      <c r="N95" s="436">
        <v>4427057</v>
      </c>
      <c r="O95" s="449"/>
      <c r="P95" s="432">
        <f t="shared" si="17"/>
        <v>15963442</v>
      </c>
      <c r="Q95" s="431">
        <v>2676616</v>
      </c>
      <c r="R95" s="431">
        <v>958680</v>
      </c>
      <c r="S95" s="431"/>
      <c r="T95" s="431"/>
      <c r="U95" s="431">
        <v>27736</v>
      </c>
      <c r="V95" s="431"/>
      <c r="W95" s="431">
        <v>9592178</v>
      </c>
      <c r="X95" s="431">
        <v>179988</v>
      </c>
      <c r="Y95" s="431">
        <v>192000</v>
      </c>
      <c r="Z95" s="431">
        <v>2336244</v>
      </c>
      <c r="AA95" s="431"/>
      <c r="AB95" s="431"/>
      <c r="AC95" s="431">
        <v>587634</v>
      </c>
      <c r="AD95" s="431">
        <v>1197254</v>
      </c>
      <c r="AE95" s="431">
        <v>2735973</v>
      </c>
      <c r="AF95" s="431">
        <v>18225</v>
      </c>
      <c r="AG95" s="431">
        <v>347691</v>
      </c>
      <c r="AH95" s="431">
        <v>664919</v>
      </c>
      <c r="AI95" s="431">
        <v>3246303</v>
      </c>
      <c r="AJ95" s="431">
        <v>6073814</v>
      </c>
      <c r="AK95" s="431"/>
      <c r="AL95" s="431">
        <v>1083431</v>
      </c>
      <c r="AM95" s="449">
        <v>8198</v>
      </c>
    </row>
    <row r="96" spans="1:39" s="155" customFormat="1" x14ac:dyDescent="0.2">
      <c r="A96" s="168">
        <v>42</v>
      </c>
      <c r="B96" s="572">
        <v>85582</v>
      </c>
      <c r="C96" s="334" t="s">
        <v>2928</v>
      </c>
      <c r="D96" s="432">
        <f t="shared" si="18"/>
        <v>4284449</v>
      </c>
      <c r="E96" s="436">
        <v>767211</v>
      </c>
      <c r="F96" s="436">
        <v>242232</v>
      </c>
      <c r="G96" s="436">
        <v>251530</v>
      </c>
      <c r="H96" s="436"/>
      <c r="I96" s="436">
        <v>1546358</v>
      </c>
      <c r="J96" s="436">
        <v>500000</v>
      </c>
      <c r="K96" s="436">
        <v>973810</v>
      </c>
      <c r="L96" s="448"/>
      <c r="M96" s="436">
        <v>253799</v>
      </c>
      <c r="N96" s="436">
        <v>243271</v>
      </c>
      <c r="O96" s="449"/>
      <c r="P96" s="432">
        <f t="shared" si="17"/>
        <v>3420900</v>
      </c>
      <c r="Q96" s="431">
        <v>1716135</v>
      </c>
      <c r="R96" s="431">
        <v>476368</v>
      </c>
      <c r="S96" s="431"/>
      <c r="T96" s="431"/>
      <c r="U96" s="431">
        <v>19968</v>
      </c>
      <c r="V96" s="431">
        <v>9242</v>
      </c>
      <c r="W96" s="431">
        <v>373801</v>
      </c>
      <c r="X96" s="431">
        <v>90553</v>
      </c>
      <c r="Y96" s="431">
        <v>10550</v>
      </c>
      <c r="Z96" s="431">
        <v>724283</v>
      </c>
      <c r="AA96" s="431"/>
      <c r="AB96" s="431"/>
      <c r="AC96" s="431">
        <v>444303</v>
      </c>
      <c r="AD96" s="431">
        <v>16820</v>
      </c>
      <c r="AE96" s="431">
        <v>1853684</v>
      </c>
      <c r="AF96" s="431">
        <v>65605</v>
      </c>
      <c r="AG96" s="431">
        <v>107251</v>
      </c>
      <c r="AH96" s="431">
        <v>266863</v>
      </c>
      <c r="AI96" s="431">
        <v>206748</v>
      </c>
      <c r="AJ96" s="431">
        <v>299</v>
      </c>
      <c r="AK96" s="431"/>
      <c r="AL96" s="431">
        <v>450085</v>
      </c>
      <c r="AM96" s="449">
        <v>9242</v>
      </c>
    </row>
    <row r="97" spans="1:39" s="155" customFormat="1" x14ac:dyDescent="0.2">
      <c r="A97" s="168">
        <v>43</v>
      </c>
      <c r="B97" s="572">
        <v>85626</v>
      </c>
      <c r="C97" s="334" t="s">
        <v>2929</v>
      </c>
      <c r="D97" s="432">
        <f t="shared" si="18"/>
        <v>6248479</v>
      </c>
      <c r="E97" s="436">
        <v>1598024</v>
      </c>
      <c r="F97" s="436">
        <v>425140</v>
      </c>
      <c r="G97" s="436">
        <v>77700</v>
      </c>
      <c r="H97" s="436"/>
      <c r="I97" s="436">
        <v>1380746</v>
      </c>
      <c r="J97" s="436">
        <v>864340</v>
      </c>
      <c r="K97" s="436">
        <v>478010</v>
      </c>
      <c r="L97" s="448"/>
      <c r="M97" s="436">
        <v>660135</v>
      </c>
      <c r="N97" s="436">
        <v>795217</v>
      </c>
      <c r="O97" s="449">
        <v>472007</v>
      </c>
      <c r="P97" s="432">
        <f t="shared" si="17"/>
        <v>6102372</v>
      </c>
      <c r="Q97" s="431">
        <v>1684797</v>
      </c>
      <c r="R97" s="431">
        <v>1130143</v>
      </c>
      <c r="S97" s="431">
        <v>35400</v>
      </c>
      <c r="T97" s="431"/>
      <c r="U97" s="431">
        <v>23028</v>
      </c>
      <c r="V97" s="431">
        <v>69795</v>
      </c>
      <c r="W97" s="431">
        <v>1121873</v>
      </c>
      <c r="X97" s="431">
        <v>113220</v>
      </c>
      <c r="Y97" s="431"/>
      <c r="Z97" s="431">
        <v>1819476</v>
      </c>
      <c r="AA97" s="431">
        <v>104640</v>
      </c>
      <c r="AB97" s="431"/>
      <c r="AC97" s="431">
        <v>2221567</v>
      </c>
      <c r="AD97" s="431">
        <v>50911</v>
      </c>
      <c r="AE97" s="431">
        <v>1223746</v>
      </c>
      <c r="AF97" s="431"/>
      <c r="AG97" s="431">
        <v>760987</v>
      </c>
      <c r="AH97" s="431">
        <v>259048</v>
      </c>
      <c r="AI97" s="431">
        <v>227097</v>
      </c>
      <c r="AJ97" s="431">
        <v>182072</v>
      </c>
      <c r="AK97" s="431"/>
      <c r="AL97" s="431">
        <v>842239</v>
      </c>
      <c r="AM97" s="449">
        <v>334705</v>
      </c>
    </row>
    <row r="98" spans="1:39" s="155" customFormat="1" x14ac:dyDescent="0.2">
      <c r="A98" s="168">
        <v>44</v>
      </c>
      <c r="B98" s="572">
        <v>85680</v>
      </c>
      <c r="C98" s="334" t="s">
        <v>2930</v>
      </c>
      <c r="D98" s="432">
        <f t="shared" si="18"/>
        <v>5748204</v>
      </c>
      <c r="E98" s="436">
        <v>1825467</v>
      </c>
      <c r="F98" s="436">
        <v>901380</v>
      </c>
      <c r="G98" s="436">
        <v>85510</v>
      </c>
      <c r="H98" s="436"/>
      <c r="I98" s="436">
        <v>1481847</v>
      </c>
      <c r="J98" s="436"/>
      <c r="K98" s="436">
        <v>347000</v>
      </c>
      <c r="L98" s="448"/>
      <c r="M98" s="436">
        <v>1671005</v>
      </c>
      <c r="N98" s="436">
        <v>418025</v>
      </c>
      <c r="O98" s="449">
        <v>4860</v>
      </c>
      <c r="P98" s="432">
        <f t="shared" si="17"/>
        <v>4823908</v>
      </c>
      <c r="Q98" s="431">
        <v>1817559</v>
      </c>
      <c r="R98" s="431">
        <v>822371</v>
      </c>
      <c r="S98" s="431"/>
      <c r="T98" s="431"/>
      <c r="U98" s="431">
        <v>44930</v>
      </c>
      <c r="V98" s="431"/>
      <c r="W98" s="431">
        <v>98486</v>
      </c>
      <c r="X98" s="431">
        <v>81075</v>
      </c>
      <c r="Y98" s="431">
        <v>1000</v>
      </c>
      <c r="Z98" s="431">
        <v>1958487</v>
      </c>
      <c r="AA98" s="431"/>
      <c r="AB98" s="431"/>
      <c r="AC98" s="431">
        <v>709962</v>
      </c>
      <c r="AD98" s="431">
        <v>153243</v>
      </c>
      <c r="AE98" s="431">
        <v>1430847</v>
      </c>
      <c r="AF98" s="431"/>
      <c r="AG98" s="431">
        <v>306413</v>
      </c>
      <c r="AH98" s="431">
        <v>224810</v>
      </c>
      <c r="AI98" s="431">
        <v>129137</v>
      </c>
      <c r="AJ98" s="431">
        <v>1251995</v>
      </c>
      <c r="AK98" s="431"/>
      <c r="AL98" s="431">
        <v>535890</v>
      </c>
      <c r="AM98" s="449">
        <v>81611</v>
      </c>
    </row>
    <row r="99" spans="1:39" s="155" customFormat="1" x14ac:dyDescent="0.2">
      <c r="A99" s="168">
        <v>45</v>
      </c>
      <c r="B99" s="572">
        <v>85760</v>
      </c>
      <c r="C99" s="334" t="s">
        <v>2931</v>
      </c>
      <c r="D99" s="432">
        <f t="shared" si="18"/>
        <v>8241341</v>
      </c>
      <c r="E99" s="436">
        <v>2147701</v>
      </c>
      <c r="F99" s="436">
        <v>548469</v>
      </c>
      <c r="G99" s="436">
        <v>468000</v>
      </c>
      <c r="H99" s="436"/>
      <c r="I99" s="436">
        <v>3608757</v>
      </c>
      <c r="J99" s="436">
        <v>534980</v>
      </c>
      <c r="K99" s="436">
        <v>1546010</v>
      </c>
      <c r="L99" s="448"/>
      <c r="M99" s="436">
        <v>303872</v>
      </c>
      <c r="N99" s="436">
        <v>37247</v>
      </c>
      <c r="O99" s="449">
        <v>62774</v>
      </c>
      <c r="P99" s="432">
        <f t="shared" si="17"/>
        <v>8047323</v>
      </c>
      <c r="Q99" s="431">
        <v>3931455</v>
      </c>
      <c r="R99" s="431">
        <v>1471090</v>
      </c>
      <c r="S99" s="431"/>
      <c r="T99" s="431"/>
      <c r="U99" s="431">
        <v>68875</v>
      </c>
      <c r="V99" s="431">
        <v>729653</v>
      </c>
      <c r="W99" s="431"/>
      <c r="X99" s="431">
        <v>157885</v>
      </c>
      <c r="Y99" s="431">
        <v>36210</v>
      </c>
      <c r="Z99" s="431">
        <v>1652155</v>
      </c>
      <c r="AA99" s="431"/>
      <c r="AB99" s="431"/>
      <c r="AC99" s="431">
        <v>976041</v>
      </c>
      <c r="AD99" s="431"/>
      <c r="AE99" s="431">
        <v>3443248</v>
      </c>
      <c r="AF99" s="431">
        <v>10694</v>
      </c>
      <c r="AG99" s="431">
        <v>396783</v>
      </c>
      <c r="AH99" s="431">
        <v>595854</v>
      </c>
      <c r="AI99" s="431">
        <v>271189</v>
      </c>
      <c r="AJ99" s="431">
        <v>1097681</v>
      </c>
      <c r="AK99" s="431"/>
      <c r="AL99" s="431">
        <v>1245895</v>
      </c>
      <c r="AM99" s="449">
        <v>9938</v>
      </c>
    </row>
    <row r="100" spans="1:39" s="155" customFormat="1" x14ac:dyDescent="0.2">
      <c r="A100" s="168">
        <v>46</v>
      </c>
      <c r="B100" s="572">
        <v>85788</v>
      </c>
      <c r="C100" s="334" t="s">
        <v>2932</v>
      </c>
      <c r="D100" s="432">
        <f t="shared" si="18"/>
        <v>4402405</v>
      </c>
      <c r="E100" s="436">
        <v>1100988</v>
      </c>
      <c r="F100" s="436">
        <v>435707</v>
      </c>
      <c r="G100" s="436">
        <v>144690</v>
      </c>
      <c r="H100" s="436"/>
      <c r="I100" s="436">
        <v>2505292</v>
      </c>
      <c r="J100" s="436"/>
      <c r="K100" s="436">
        <v>685480</v>
      </c>
      <c r="L100" s="448"/>
      <c r="M100" s="436">
        <v>68882</v>
      </c>
      <c r="N100" s="436">
        <v>41763</v>
      </c>
      <c r="O100" s="449"/>
      <c r="P100" s="432">
        <f t="shared" si="17"/>
        <v>4230722</v>
      </c>
      <c r="Q100" s="431">
        <v>2624072</v>
      </c>
      <c r="R100" s="431">
        <v>874405</v>
      </c>
      <c r="S100" s="431">
        <v>7594</v>
      </c>
      <c r="T100" s="431"/>
      <c r="U100" s="431">
        <v>39431</v>
      </c>
      <c r="V100" s="431"/>
      <c r="W100" s="431">
        <v>43961</v>
      </c>
      <c r="X100" s="431">
        <v>71418</v>
      </c>
      <c r="Y100" s="431">
        <v>21091</v>
      </c>
      <c r="Z100" s="431">
        <v>546198</v>
      </c>
      <c r="AA100" s="431">
        <v>2552</v>
      </c>
      <c r="AB100" s="431"/>
      <c r="AC100" s="431">
        <v>850332</v>
      </c>
      <c r="AD100" s="431">
        <v>99359</v>
      </c>
      <c r="AE100" s="431">
        <v>2412215</v>
      </c>
      <c r="AF100" s="431">
        <v>10677</v>
      </c>
      <c r="AG100" s="431">
        <v>353765</v>
      </c>
      <c r="AH100" s="431">
        <v>223433</v>
      </c>
      <c r="AI100" s="431">
        <v>71617</v>
      </c>
      <c r="AJ100" s="431">
        <v>8461</v>
      </c>
      <c r="AK100" s="431"/>
      <c r="AL100" s="431">
        <v>170567</v>
      </c>
      <c r="AM100" s="449">
        <v>30296</v>
      </c>
    </row>
    <row r="101" spans="1:39" s="155" customFormat="1" x14ac:dyDescent="0.2">
      <c r="A101" s="168">
        <v>47</v>
      </c>
      <c r="B101" s="572">
        <v>85840</v>
      </c>
      <c r="C101" s="334" t="s">
        <v>2933</v>
      </c>
      <c r="D101" s="432">
        <f t="shared" si="18"/>
        <v>5516901</v>
      </c>
      <c r="E101" s="436">
        <v>1149794</v>
      </c>
      <c r="F101" s="436">
        <v>303290</v>
      </c>
      <c r="G101" s="436">
        <v>272570</v>
      </c>
      <c r="H101" s="436"/>
      <c r="I101" s="436">
        <v>2652392</v>
      </c>
      <c r="J101" s="436"/>
      <c r="K101" s="436">
        <v>1071010</v>
      </c>
      <c r="L101" s="448"/>
      <c r="M101" s="436">
        <v>189532</v>
      </c>
      <c r="N101" s="436">
        <v>454173</v>
      </c>
      <c r="O101" s="449"/>
      <c r="P101" s="432">
        <f t="shared" si="17"/>
        <v>4656499</v>
      </c>
      <c r="Q101" s="431">
        <v>2773597</v>
      </c>
      <c r="R101" s="431">
        <v>1132318</v>
      </c>
      <c r="S101" s="431">
        <v>1421</v>
      </c>
      <c r="T101" s="431"/>
      <c r="U101" s="431">
        <v>29047</v>
      </c>
      <c r="V101" s="431">
        <v>16709</v>
      </c>
      <c r="W101" s="431">
        <v>467061</v>
      </c>
      <c r="X101" s="431">
        <v>179460</v>
      </c>
      <c r="Y101" s="431">
        <v>28450</v>
      </c>
      <c r="Z101" s="431">
        <v>22000</v>
      </c>
      <c r="AA101" s="431">
        <v>6436</v>
      </c>
      <c r="AB101" s="431"/>
      <c r="AC101" s="431">
        <v>585558</v>
      </c>
      <c r="AD101" s="431">
        <v>144689</v>
      </c>
      <c r="AE101" s="431">
        <v>2547523</v>
      </c>
      <c r="AF101" s="431"/>
      <c r="AG101" s="431">
        <v>491414</v>
      </c>
      <c r="AH101" s="431">
        <v>445031</v>
      </c>
      <c r="AI101" s="431">
        <v>227544</v>
      </c>
      <c r="AJ101" s="431">
        <v>16181</v>
      </c>
      <c r="AK101" s="431"/>
      <c r="AL101" s="431">
        <v>128783</v>
      </c>
      <c r="AM101" s="449">
        <v>69776</v>
      </c>
    </row>
    <row r="102" spans="1:39" s="155" customFormat="1" x14ac:dyDescent="0.2">
      <c r="A102" s="168">
        <v>48</v>
      </c>
      <c r="B102" s="572">
        <v>86519</v>
      </c>
      <c r="C102" s="334" t="s">
        <v>2934</v>
      </c>
      <c r="D102" s="432">
        <f t="shared" si="18"/>
        <v>5018451</v>
      </c>
      <c r="E102" s="436">
        <v>959497</v>
      </c>
      <c r="F102" s="436">
        <v>152863</v>
      </c>
      <c r="G102" s="436">
        <v>226460</v>
      </c>
      <c r="H102" s="436"/>
      <c r="I102" s="436">
        <v>1216948</v>
      </c>
      <c r="J102" s="436">
        <v>300000</v>
      </c>
      <c r="K102" s="436">
        <v>859560</v>
      </c>
      <c r="L102" s="448"/>
      <c r="M102" s="436">
        <v>854583</v>
      </c>
      <c r="N102" s="436">
        <v>362816</v>
      </c>
      <c r="O102" s="449">
        <v>465047</v>
      </c>
      <c r="P102" s="432">
        <f t="shared" si="17"/>
        <v>4506318</v>
      </c>
      <c r="Q102" s="431">
        <v>1461818</v>
      </c>
      <c r="R102" s="431">
        <v>706255</v>
      </c>
      <c r="S102" s="431"/>
      <c r="T102" s="431"/>
      <c r="U102" s="431">
        <v>12942</v>
      </c>
      <c r="V102" s="431">
        <v>78840</v>
      </c>
      <c r="W102" s="431">
        <v>508767</v>
      </c>
      <c r="X102" s="431">
        <v>67475</v>
      </c>
      <c r="Y102" s="431">
        <v>2000</v>
      </c>
      <c r="Z102" s="431">
        <v>1668221</v>
      </c>
      <c r="AA102" s="431"/>
      <c r="AB102" s="431"/>
      <c r="AC102" s="431">
        <v>918969</v>
      </c>
      <c r="AD102" s="431">
        <v>67003</v>
      </c>
      <c r="AE102" s="431">
        <v>1210248</v>
      </c>
      <c r="AF102" s="431"/>
      <c r="AG102" s="431">
        <v>160887</v>
      </c>
      <c r="AH102" s="431">
        <v>170188</v>
      </c>
      <c r="AI102" s="431">
        <v>332818</v>
      </c>
      <c r="AJ102" s="431">
        <v>45023</v>
      </c>
      <c r="AK102" s="431"/>
      <c r="AL102" s="431">
        <v>1597009</v>
      </c>
      <c r="AM102" s="449">
        <v>4173</v>
      </c>
    </row>
    <row r="103" spans="1:39" s="155" customFormat="1" x14ac:dyDescent="0.2">
      <c r="A103" s="168">
        <v>49</v>
      </c>
      <c r="B103" s="572">
        <v>85877</v>
      </c>
      <c r="C103" s="334" t="s">
        <v>2935</v>
      </c>
      <c r="D103" s="432">
        <f t="shared" si="18"/>
        <v>5547152</v>
      </c>
      <c r="E103" s="436">
        <v>1628149</v>
      </c>
      <c r="F103" s="436">
        <v>205504</v>
      </c>
      <c r="G103" s="436">
        <v>128530</v>
      </c>
      <c r="H103" s="436"/>
      <c r="I103" s="436">
        <v>2468145</v>
      </c>
      <c r="J103" s="436">
        <v>298880</v>
      </c>
      <c r="K103" s="436">
        <v>596400</v>
      </c>
      <c r="L103" s="448"/>
      <c r="M103" s="436">
        <v>555578</v>
      </c>
      <c r="N103" s="436"/>
      <c r="O103" s="449"/>
      <c r="P103" s="432">
        <f t="shared" si="17"/>
        <v>4603042</v>
      </c>
      <c r="Q103" s="431">
        <v>2707014</v>
      </c>
      <c r="R103" s="431">
        <v>993313</v>
      </c>
      <c r="S103" s="431"/>
      <c r="T103" s="431"/>
      <c r="U103" s="431">
        <v>15063</v>
      </c>
      <c r="V103" s="431"/>
      <c r="W103" s="431"/>
      <c r="X103" s="431">
        <v>67749</v>
      </c>
      <c r="Y103" s="431">
        <v>110731</v>
      </c>
      <c r="Z103" s="431">
        <v>709172</v>
      </c>
      <c r="AA103" s="431"/>
      <c r="AB103" s="431"/>
      <c r="AC103" s="431">
        <v>458808</v>
      </c>
      <c r="AD103" s="431">
        <v>34591</v>
      </c>
      <c r="AE103" s="431">
        <v>2366201</v>
      </c>
      <c r="AF103" s="431">
        <v>52158</v>
      </c>
      <c r="AG103" s="431">
        <v>149741</v>
      </c>
      <c r="AH103" s="431">
        <v>304866</v>
      </c>
      <c r="AI103" s="431">
        <v>95470</v>
      </c>
      <c r="AJ103" s="431">
        <v>48900</v>
      </c>
      <c r="AK103" s="431"/>
      <c r="AL103" s="431">
        <v>1077669</v>
      </c>
      <c r="AM103" s="449">
        <v>14638</v>
      </c>
    </row>
    <row r="104" spans="1:39" s="155" customFormat="1" x14ac:dyDescent="0.2">
      <c r="A104" s="168">
        <v>50</v>
      </c>
      <c r="B104" s="572">
        <v>85920</v>
      </c>
      <c r="C104" s="334" t="s">
        <v>2936</v>
      </c>
      <c r="D104" s="432">
        <f t="shared" si="18"/>
        <v>8536832</v>
      </c>
      <c r="E104" s="436">
        <v>2035388</v>
      </c>
      <c r="F104" s="436">
        <v>610493</v>
      </c>
      <c r="G104" s="436">
        <v>312810</v>
      </c>
      <c r="H104" s="436"/>
      <c r="I104" s="436">
        <v>3207000</v>
      </c>
      <c r="J104" s="436">
        <v>150000</v>
      </c>
      <c r="K104" s="436">
        <v>1062010</v>
      </c>
      <c r="L104" s="448"/>
      <c r="M104" s="436">
        <v>300950</v>
      </c>
      <c r="N104" s="436">
        <v>812099</v>
      </c>
      <c r="O104" s="449">
        <v>969385</v>
      </c>
      <c r="P104" s="432">
        <f t="shared" si="17"/>
        <v>8468159</v>
      </c>
      <c r="Q104" s="431">
        <v>3622804</v>
      </c>
      <c r="R104" s="431">
        <v>1851769</v>
      </c>
      <c r="S104" s="431"/>
      <c r="T104" s="431"/>
      <c r="U104" s="431">
        <v>42537</v>
      </c>
      <c r="V104" s="431"/>
      <c r="W104" s="431">
        <v>1554404</v>
      </c>
      <c r="X104" s="431">
        <v>173006</v>
      </c>
      <c r="Y104" s="431">
        <v>14000</v>
      </c>
      <c r="Z104" s="431">
        <v>813883</v>
      </c>
      <c r="AA104" s="431">
        <v>395756</v>
      </c>
      <c r="AB104" s="431"/>
      <c r="AC104" s="431">
        <v>1098168</v>
      </c>
      <c r="AD104" s="431">
        <v>428850</v>
      </c>
      <c r="AE104" s="431">
        <v>2873411</v>
      </c>
      <c r="AF104" s="431"/>
      <c r="AG104" s="431">
        <v>1300492</v>
      </c>
      <c r="AH104" s="431">
        <v>663175</v>
      </c>
      <c r="AI104" s="431">
        <v>227748</v>
      </c>
      <c r="AJ104" s="431">
        <v>1595530</v>
      </c>
      <c r="AK104" s="431"/>
      <c r="AL104" s="431">
        <v>271580</v>
      </c>
      <c r="AM104" s="449">
        <v>9205</v>
      </c>
    </row>
    <row r="105" spans="1:39" s="155" customFormat="1" x14ac:dyDescent="0.2">
      <c r="A105" s="168">
        <v>51</v>
      </c>
      <c r="B105" s="572">
        <v>85984</v>
      </c>
      <c r="C105" s="334" t="s">
        <v>2937</v>
      </c>
      <c r="D105" s="432">
        <f t="shared" si="18"/>
        <v>7266906</v>
      </c>
      <c r="E105" s="436">
        <v>1240082</v>
      </c>
      <c r="F105" s="436">
        <v>372455</v>
      </c>
      <c r="G105" s="436">
        <v>272870</v>
      </c>
      <c r="H105" s="436"/>
      <c r="I105" s="436">
        <v>2680956</v>
      </c>
      <c r="J105" s="436"/>
      <c r="K105" s="436">
        <v>1398542</v>
      </c>
      <c r="L105" s="448"/>
      <c r="M105" s="436">
        <v>335110</v>
      </c>
      <c r="N105" s="436">
        <v>1542509</v>
      </c>
      <c r="O105" s="449">
        <v>69707</v>
      </c>
      <c r="P105" s="432">
        <f t="shared" si="17"/>
        <v>8074674</v>
      </c>
      <c r="Q105" s="431">
        <v>2947699</v>
      </c>
      <c r="R105" s="431">
        <v>1466732</v>
      </c>
      <c r="S105" s="431">
        <v>8254</v>
      </c>
      <c r="T105" s="431"/>
      <c r="U105" s="431">
        <v>52809</v>
      </c>
      <c r="V105" s="431"/>
      <c r="W105" s="431">
        <v>3262781</v>
      </c>
      <c r="X105" s="431">
        <v>203704</v>
      </c>
      <c r="Y105" s="431"/>
      <c r="Z105" s="431">
        <v>37500</v>
      </c>
      <c r="AA105" s="431">
        <v>180195</v>
      </c>
      <c r="AB105" s="431">
        <v>-85000</v>
      </c>
      <c r="AC105" s="431">
        <v>1496449</v>
      </c>
      <c r="AD105" s="431">
        <v>16102</v>
      </c>
      <c r="AE105" s="431">
        <v>2466956</v>
      </c>
      <c r="AF105" s="431">
        <v>15667</v>
      </c>
      <c r="AG105" s="431">
        <v>60045</v>
      </c>
      <c r="AH105" s="431">
        <v>394737</v>
      </c>
      <c r="AI105" s="431">
        <v>174812</v>
      </c>
      <c r="AJ105" s="431">
        <v>59778</v>
      </c>
      <c r="AK105" s="431"/>
      <c r="AL105" s="431">
        <v>3390128</v>
      </c>
      <c r="AM105" s="449"/>
    </row>
    <row r="106" spans="1:39" s="155" customFormat="1" x14ac:dyDescent="0.2">
      <c r="A106" s="168">
        <v>52</v>
      </c>
      <c r="B106" s="572">
        <v>86453</v>
      </c>
      <c r="C106" s="334" t="s">
        <v>2938</v>
      </c>
      <c r="D106" s="432">
        <f t="shared" si="18"/>
        <v>3163154</v>
      </c>
      <c r="E106" s="436">
        <v>850296</v>
      </c>
      <c r="F106" s="436">
        <v>119830</v>
      </c>
      <c r="G106" s="436">
        <v>232510</v>
      </c>
      <c r="H106" s="436"/>
      <c r="I106" s="436">
        <v>1338436</v>
      </c>
      <c r="J106" s="436"/>
      <c r="K106" s="436">
        <v>894050</v>
      </c>
      <c r="L106" s="448"/>
      <c r="M106" s="436">
        <v>38308</v>
      </c>
      <c r="N106" s="436">
        <v>42064</v>
      </c>
      <c r="O106" s="449"/>
      <c r="P106" s="432">
        <f t="shared" si="17"/>
        <v>2769856</v>
      </c>
      <c r="Q106" s="431">
        <v>1626976</v>
      </c>
      <c r="R106" s="431">
        <v>952885</v>
      </c>
      <c r="S106" s="431"/>
      <c r="T106" s="431"/>
      <c r="U106" s="431">
        <v>4297</v>
      </c>
      <c r="V106" s="431">
        <v>41056</v>
      </c>
      <c r="W106" s="431"/>
      <c r="X106" s="431">
        <v>114064</v>
      </c>
      <c r="Y106" s="431">
        <v>1890</v>
      </c>
      <c r="Z106" s="431">
        <v>28688</v>
      </c>
      <c r="AA106" s="431"/>
      <c r="AB106" s="431"/>
      <c r="AC106" s="431">
        <v>619516</v>
      </c>
      <c r="AD106" s="431">
        <v>74219</v>
      </c>
      <c r="AE106" s="431">
        <v>1400217</v>
      </c>
      <c r="AF106" s="431"/>
      <c r="AG106" s="431">
        <v>44401</v>
      </c>
      <c r="AH106" s="431">
        <v>256090</v>
      </c>
      <c r="AI106" s="431">
        <v>99485</v>
      </c>
      <c r="AJ106" s="431">
        <v>153800</v>
      </c>
      <c r="AK106" s="431"/>
      <c r="AL106" s="431">
        <v>106728</v>
      </c>
      <c r="AM106" s="449">
        <v>15400</v>
      </c>
    </row>
    <row r="107" spans="1:39" s="155" customFormat="1" x14ac:dyDescent="0.2">
      <c r="A107" s="168">
        <v>53</v>
      </c>
      <c r="B107" s="572">
        <v>86133</v>
      </c>
      <c r="C107" s="334" t="s">
        <v>2939</v>
      </c>
      <c r="D107" s="432">
        <f>E107+SUM(H107:N107)</f>
        <v>9912957</v>
      </c>
      <c r="E107" s="436">
        <v>1632144</v>
      </c>
      <c r="F107" s="436">
        <v>632103</v>
      </c>
      <c r="G107" s="436">
        <v>110670</v>
      </c>
      <c r="H107" s="436"/>
      <c r="I107" s="436">
        <v>2047000</v>
      </c>
      <c r="J107" s="436"/>
      <c r="K107" s="436">
        <v>498010</v>
      </c>
      <c r="L107" s="448"/>
      <c r="M107" s="436">
        <v>1288823</v>
      </c>
      <c r="N107" s="449">
        <v>4446980</v>
      </c>
      <c r="O107" s="431"/>
      <c r="P107" s="432">
        <f t="shared" si="17"/>
        <v>10824807</v>
      </c>
      <c r="Q107" s="431">
        <v>2409952</v>
      </c>
      <c r="R107" s="431">
        <v>1288811</v>
      </c>
      <c r="S107" s="431"/>
      <c r="T107" s="431"/>
      <c r="U107" s="431"/>
      <c r="V107" s="431"/>
      <c r="W107" s="431">
        <v>6481604</v>
      </c>
      <c r="X107" s="431">
        <v>121370</v>
      </c>
      <c r="Y107" s="431">
        <v>40000</v>
      </c>
      <c r="Z107" s="431">
        <v>483070</v>
      </c>
      <c r="AA107" s="431"/>
      <c r="AB107" s="431"/>
      <c r="AC107" s="431">
        <v>1373861</v>
      </c>
      <c r="AD107" s="431">
        <v>108077</v>
      </c>
      <c r="AE107" s="431">
        <v>1923471</v>
      </c>
      <c r="AF107" s="431"/>
      <c r="AG107" s="431">
        <v>124426</v>
      </c>
      <c r="AH107" s="431">
        <v>333105</v>
      </c>
      <c r="AI107" s="431">
        <v>550851</v>
      </c>
      <c r="AJ107" s="431">
        <v>145000</v>
      </c>
      <c r="AK107" s="431"/>
      <c r="AL107" s="431">
        <v>6266016</v>
      </c>
      <c r="AM107" s="449"/>
    </row>
    <row r="108" spans="1:39" s="155" customFormat="1" x14ac:dyDescent="0.2">
      <c r="A108" s="168">
        <v>54</v>
      </c>
      <c r="B108" s="572">
        <v>86188</v>
      </c>
      <c r="C108" s="334" t="s">
        <v>2940</v>
      </c>
      <c r="D108" s="432">
        <f t="shared" si="18"/>
        <v>5062414</v>
      </c>
      <c r="E108" s="436">
        <v>1313917</v>
      </c>
      <c r="F108" s="436">
        <v>600332</v>
      </c>
      <c r="G108" s="436">
        <v>88630</v>
      </c>
      <c r="H108" s="436"/>
      <c r="I108" s="436">
        <v>1708041</v>
      </c>
      <c r="J108" s="436">
        <v>100000</v>
      </c>
      <c r="K108" s="436">
        <v>485010</v>
      </c>
      <c r="L108" s="448"/>
      <c r="M108" s="436">
        <v>72569</v>
      </c>
      <c r="N108" s="436">
        <v>125993</v>
      </c>
      <c r="O108" s="449">
        <v>1256884</v>
      </c>
      <c r="P108" s="432">
        <f t="shared" si="17"/>
        <v>5042929</v>
      </c>
      <c r="Q108" s="431">
        <v>2007488</v>
      </c>
      <c r="R108" s="431">
        <v>771124</v>
      </c>
      <c r="S108" s="431"/>
      <c r="T108" s="431"/>
      <c r="U108" s="431">
        <v>74936</v>
      </c>
      <c r="V108" s="431">
        <v>50000</v>
      </c>
      <c r="W108" s="431">
        <v>171246</v>
      </c>
      <c r="X108" s="431">
        <v>120025</v>
      </c>
      <c r="Y108" s="431"/>
      <c r="Z108" s="431">
        <v>1848110</v>
      </c>
      <c r="AA108" s="431"/>
      <c r="AB108" s="431"/>
      <c r="AC108" s="431">
        <v>686400</v>
      </c>
      <c r="AD108" s="431"/>
      <c r="AE108" s="431">
        <v>1572607</v>
      </c>
      <c r="AF108" s="431">
        <v>11853</v>
      </c>
      <c r="AG108" s="431">
        <v>326731</v>
      </c>
      <c r="AH108" s="431">
        <v>251849</v>
      </c>
      <c r="AI108" s="431">
        <v>134995</v>
      </c>
      <c r="AJ108" s="431">
        <v>1647370</v>
      </c>
      <c r="AK108" s="431"/>
      <c r="AL108" s="431">
        <v>332183</v>
      </c>
      <c r="AM108" s="449">
        <v>78941</v>
      </c>
    </row>
    <row r="109" spans="1:39" s="155" customFormat="1" x14ac:dyDescent="0.2">
      <c r="A109" s="168">
        <v>55</v>
      </c>
      <c r="B109" s="572">
        <v>86222</v>
      </c>
      <c r="C109" s="334" t="s">
        <v>2941</v>
      </c>
      <c r="D109" s="432">
        <f t="shared" si="18"/>
        <v>3019969</v>
      </c>
      <c r="E109" s="436">
        <v>681262</v>
      </c>
      <c r="F109" s="436">
        <v>78589</v>
      </c>
      <c r="G109" s="436">
        <v>285370</v>
      </c>
      <c r="H109" s="436"/>
      <c r="I109" s="436">
        <v>898224</v>
      </c>
      <c r="J109" s="436">
        <v>198783</v>
      </c>
      <c r="K109" s="436">
        <v>1007940</v>
      </c>
      <c r="L109" s="448"/>
      <c r="M109" s="436">
        <v>224190</v>
      </c>
      <c r="N109" s="436">
        <v>9570</v>
      </c>
      <c r="O109" s="449"/>
      <c r="P109" s="432">
        <f t="shared" si="17"/>
        <v>2642562</v>
      </c>
      <c r="Q109" s="431">
        <v>1151896</v>
      </c>
      <c r="R109" s="431">
        <v>760493</v>
      </c>
      <c r="S109" s="431"/>
      <c r="T109" s="431"/>
      <c r="U109" s="431"/>
      <c r="V109" s="431">
        <v>151704</v>
      </c>
      <c r="W109" s="431"/>
      <c r="X109" s="431">
        <v>29332</v>
      </c>
      <c r="Y109" s="431">
        <v>4994</v>
      </c>
      <c r="Z109" s="431">
        <v>544143</v>
      </c>
      <c r="AA109" s="431"/>
      <c r="AB109" s="431"/>
      <c r="AC109" s="431">
        <v>1075913</v>
      </c>
      <c r="AD109" s="431">
        <v>33138</v>
      </c>
      <c r="AE109" s="431">
        <v>928999</v>
      </c>
      <c r="AF109" s="431"/>
      <c r="AG109" s="431">
        <v>87815</v>
      </c>
      <c r="AH109" s="431">
        <v>96045</v>
      </c>
      <c r="AI109" s="431">
        <v>101699</v>
      </c>
      <c r="AJ109" s="431">
        <v>43352</v>
      </c>
      <c r="AK109" s="431"/>
      <c r="AL109" s="431">
        <v>232790</v>
      </c>
      <c r="AM109" s="449">
        <v>42811</v>
      </c>
    </row>
    <row r="110" spans="1:39" s="155" customFormat="1" x14ac:dyDescent="0.2">
      <c r="A110" s="168">
        <v>56</v>
      </c>
      <c r="B110" s="572">
        <v>86311</v>
      </c>
      <c r="C110" s="334" t="s">
        <v>2942</v>
      </c>
      <c r="D110" s="432">
        <f t="shared" si="18"/>
        <v>10191971</v>
      </c>
      <c r="E110" s="436">
        <v>802907</v>
      </c>
      <c r="F110" s="436">
        <v>162887</v>
      </c>
      <c r="G110" s="436">
        <v>250510</v>
      </c>
      <c r="H110" s="436"/>
      <c r="I110" s="436">
        <v>1553255</v>
      </c>
      <c r="J110" s="436">
        <v>368624</v>
      </c>
      <c r="K110" s="436">
        <v>946090</v>
      </c>
      <c r="L110" s="448"/>
      <c r="M110" s="436">
        <v>2148335</v>
      </c>
      <c r="N110" s="436">
        <v>4343955</v>
      </c>
      <c r="O110" s="449">
        <v>28805</v>
      </c>
      <c r="P110" s="432">
        <f t="shared" si="17"/>
        <v>10093213</v>
      </c>
      <c r="Q110" s="431">
        <v>1908451</v>
      </c>
      <c r="R110" s="431">
        <v>524806</v>
      </c>
      <c r="S110" s="431"/>
      <c r="T110" s="431"/>
      <c r="U110" s="431"/>
      <c r="V110" s="431"/>
      <c r="W110" s="431">
        <v>6149090</v>
      </c>
      <c r="X110" s="431">
        <v>27409</v>
      </c>
      <c r="Y110" s="431">
        <v>1000</v>
      </c>
      <c r="Z110" s="431">
        <v>1482457</v>
      </c>
      <c r="AA110" s="431"/>
      <c r="AB110" s="431"/>
      <c r="AC110" s="431">
        <v>549238</v>
      </c>
      <c r="AD110" s="431">
        <v>288140</v>
      </c>
      <c r="AE110" s="431">
        <v>1429202</v>
      </c>
      <c r="AF110" s="431"/>
      <c r="AG110" s="431">
        <v>158555</v>
      </c>
      <c r="AH110" s="431">
        <v>216081</v>
      </c>
      <c r="AI110" s="431">
        <v>1044277</v>
      </c>
      <c r="AJ110" s="431">
        <v>69310</v>
      </c>
      <c r="AK110" s="431"/>
      <c r="AL110" s="431">
        <v>6077985</v>
      </c>
      <c r="AM110" s="449">
        <v>260425</v>
      </c>
    </row>
    <row r="111" spans="1:39" s="155" customFormat="1" x14ac:dyDescent="0.2">
      <c r="A111" s="168">
        <v>57</v>
      </c>
      <c r="B111" s="572">
        <v>86339</v>
      </c>
      <c r="C111" s="334" t="s">
        <v>2943</v>
      </c>
      <c r="D111" s="432">
        <f t="shared" si="18"/>
        <v>5739764</v>
      </c>
      <c r="E111" s="436">
        <v>964665</v>
      </c>
      <c r="F111" s="436">
        <v>245319</v>
      </c>
      <c r="G111" s="436">
        <v>166550</v>
      </c>
      <c r="H111" s="436"/>
      <c r="I111" s="436">
        <v>1113000</v>
      </c>
      <c r="J111" s="436"/>
      <c r="K111" s="436">
        <v>754440</v>
      </c>
      <c r="L111" s="448"/>
      <c r="M111" s="436">
        <v>1701137</v>
      </c>
      <c r="N111" s="436">
        <v>1206522</v>
      </c>
      <c r="O111" s="449"/>
      <c r="P111" s="432">
        <f t="shared" si="17"/>
        <v>4832936</v>
      </c>
      <c r="Q111" s="431">
        <v>1633818</v>
      </c>
      <c r="R111" s="431">
        <v>1012383</v>
      </c>
      <c r="S111" s="431"/>
      <c r="T111" s="431"/>
      <c r="U111" s="431">
        <v>9575</v>
      </c>
      <c r="V111" s="431"/>
      <c r="W111" s="431">
        <v>468477</v>
      </c>
      <c r="X111" s="431">
        <v>35132</v>
      </c>
      <c r="Y111" s="431">
        <v>5000</v>
      </c>
      <c r="Z111" s="431">
        <v>1668551</v>
      </c>
      <c r="AA111" s="431"/>
      <c r="AB111" s="431"/>
      <c r="AC111" s="431">
        <v>890071</v>
      </c>
      <c r="AD111" s="431">
        <v>39957</v>
      </c>
      <c r="AE111" s="431">
        <v>1058875</v>
      </c>
      <c r="AF111" s="431"/>
      <c r="AG111" s="431">
        <v>195947</v>
      </c>
      <c r="AH111" s="431">
        <v>207290</v>
      </c>
      <c r="AI111" s="431">
        <v>456037</v>
      </c>
      <c r="AJ111" s="431">
        <v>617027</v>
      </c>
      <c r="AK111" s="431"/>
      <c r="AL111" s="431">
        <v>1367732</v>
      </c>
      <c r="AM111" s="449"/>
    </row>
    <row r="112" spans="1:39" s="155" customFormat="1" x14ac:dyDescent="0.2">
      <c r="A112" s="168">
        <v>58</v>
      </c>
      <c r="B112" s="572">
        <v>86366</v>
      </c>
      <c r="C112" s="334" t="s">
        <v>2944</v>
      </c>
      <c r="D112" s="432">
        <f t="shared" si="18"/>
        <v>11777502</v>
      </c>
      <c r="E112" s="436">
        <v>3014377</v>
      </c>
      <c r="F112" s="436">
        <v>1094578</v>
      </c>
      <c r="G112" s="436">
        <v>311040</v>
      </c>
      <c r="H112" s="436"/>
      <c r="I112" s="436">
        <v>4379322</v>
      </c>
      <c r="J112" s="436">
        <v>979995</v>
      </c>
      <c r="K112" s="436">
        <v>1410400</v>
      </c>
      <c r="L112" s="448"/>
      <c r="M112" s="436">
        <v>1085319</v>
      </c>
      <c r="N112" s="436">
        <v>845889</v>
      </c>
      <c r="O112" s="449">
        <v>62200</v>
      </c>
      <c r="P112" s="432">
        <f t="shared" si="17"/>
        <v>10339493</v>
      </c>
      <c r="Q112" s="431">
        <v>4781894</v>
      </c>
      <c r="R112" s="431">
        <v>2537374</v>
      </c>
      <c r="S112" s="431"/>
      <c r="T112" s="431"/>
      <c r="U112" s="431">
        <v>69101</v>
      </c>
      <c r="V112" s="431"/>
      <c r="W112" s="431">
        <v>1422826</v>
      </c>
      <c r="X112" s="431">
        <v>101270</v>
      </c>
      <c r="Y112" s="431">
        <v>153085</v>
      </c>
      <c r="Z112" s="431">
        <v>1305490</v>
      </c>
      <c r="AA112" s="431"/>
      <c r="AB112" s="431">
        <v>-31547</v>
      </c>
      <c r="AC112" s="431">
        <v>1172076</v>
      </c>
      <c r="AD112" s="431">
        <v>121844</v>
      </c>
      <c r="AE112" s="431">
        <v>4028776</v>
      </c>
      <c r="AF112" s="431">
        <v>21857</v>
      </c>
      <c r="AG112" s="431">
        <v>470627</v>
      </c>
      <c r="AH112" s="431">
        <v>537384</v>
      </c>
      <c r="AI112" s="431">
        <v>713767</v>
      </c>
      <c r="AJ112" s="431">
        <v>185779</v>
      </c>
      <c r="AK112" s="431"/>
      <c r="AL112" s="431">
        <v>1555027</v>
      </c>
      <c r="AM112" s="449">
        <v>1532356</v>
      </c>
    </row>
    <row r="113" spans="1:39" s="155" customFormat="1" ht="12" hidden="1" x14ac:dyDescent="0.2">
      <c r="A113" s="168">
        <v>59</v>
      </c>
      <c r="B113" s="575"/>
      <c r="C113" s="379"/>
      <c r="D113" s="432">
        <f t="shared" si="12"/>
        <v>0</v>
      </c>
      <c r="E113" s="431"/>
      <c r="F113" s="431"/>
      <c r="G113" s="431"/>
      <c r="H113" s="431"/>
      <c r="I113" s="431"/>
      <c r="J113" s="431"/>
      <c r="K113" s="431"/>
      <c r="L113" s="431"/>
      <c r="M113" s="431"/>
      <c r="N113" s="431"/>
      <c r="O113" s="431"/>
      <c r="P113" s="432">
        <f t="shared" ref="P113:P142" si="19">IF(SUM(Q113:AB113)=SUM(AC113:AM113),SUM(Q113:AB113),"  EROARE ART/CAP")</f>
        <v>0</v>
      </c>
      <c r="Q113" s="431"/>
      <c r="R113" s="431"/>
      <c r="S113" s="431"/>
      <c r="T113" s="431"/>
      <c r="U113" s="431"/>
      <c r="V113" s="431"/>
      <c r="W113" s="431"/>
      <c r="X113" s="431"/>
      <c r="Y113" s="431"/>
      <c r="Z113" s="468"/>
      <c r="AA113" s="431"/>
      <c r="AB113" s="431"/>
      <c r="AC113" s="468"/>
      <c r="AD113" s="431"/>
      <c r="AE113" s="431"/>
      <c r="AF113" s="431"/>
      <c r="AG113" s="431"/>
      <c r="AH113" s="431"/>
      <c r="AI113" s="468"/>
      <c r="AJ113" s="468"/>
      <c r="AK113" s="431"/>
      <c r="AL113" s="431"/>
      <c r="AM113" s="431"/>
    </row>
    <row r="114" spans="1:39" s="155" customFormat="1" ht="12" hidden="1" x14ac:dyDescent="0.2">
      <c r="A114" s="168">
        <v>60</v>
      </c>
      <c r="B114" s="171"/>
      <c r="C114" s="182"/>
      <c r="D114" s="432">
        <f t="shared" si="12"/>
        <v>0</v>
      </c>
      <c r="E114" s="431"/>
      <c r="F114" s="431"/>
      <c r="G114" s="431"/>
      <c r="H114" s="431"/>
      <c r="I114" s="431"/>
      <c r="J114" s="431"/>
      <c r="K114" s="431"/>
      <c r="L114" s="431"/>
      <c r="M114" s="431"/>
      <c r="N114" s="431"/>
      <c r="O114" s="431"/>
      <c r="P114" s="432">
        <f t="shared" si="19"/>
        <v>0</v>
      </c>
      <c r="Q114" s="431"/>
      <c r="R114" s="431"/>
      <c r="S114" s="431"/>
      <c r="T114" s="431"/>
      <c r="U114" s="431"/>
      <c r="V114" s="431"/>
      <c r="W114" s="431"/>
      <c r="X114" s="431"/>
      <c r="Y114" s="431"/>
      <c r="Z114" s="468"/>
      <c r="AA114" s="431"/>
      <c r="AB114" s="431"/>
      <c r="AC114" s="468"/>
      <c r="AD114" s="431"/>
      <c r="AE114" s="431"/>
      <c r="AF114" s="431"/>
      <c r="AG114" s="431"/>
      <c r="AH114" s="431"/>
      <c r="AI114" s="468"/>
      <c r="AJ114" s="468"/>
      <c r="AK114" s="431"/>
      <c r="AL114" s="431"/>
      <c r="AM114" s="431"/>
    </row>
    <row r="115" spans="1:39" s="155" customFormat="1" ht="12" hidden="1" x14ac:dyDescent="0.2">
      <c r="A115" s="168">
        <v>61</v>
      </c>
      <c r="B115" s="171"/>
      <c r="C115" s="172"/>
      <c r="D115" s="432">
        <f t="shared" si="12"/>
        <v>0</v>
      </c>
      <c r="E115" s="431"/>
      <c r="F115" s="431"/>
      <c r="G115" s="431"/>
      <c r="H115" s="431"/>
      <c r="I115" s="431"/>
      <c r="J115" s="431"/>
      <c r="K115" s="431"/>
      <c r="L115" s="431"/>
      <c r="M115" s="431"/>
      <c r="N115" s="431"/>
      <c r="O115" s="431"/>
      <c r="P115" s="432">
        <f t="shared" si="19"/>
        <v>0</v>
      </c>
      <c r="Q115" s="431"/>
      <c r="R115" s="431"/>
      <c r="S115" s="431"/>
      <c r="T115" s="431"/>
      <c r="U115" s="431"/>
      <c r="V115" s="431"/>
      <c r="W115" s="431"/>
      <c r="X115" s="431"/>
      <c r="Y115" s="431"/>
      <c r="Z115" s="468"/>
      <c r="AA115" s="431"/>
      <c r="AB115" s="431"/>
      <c r="AC115" s="468"/>
      <c r="AD115" s="431"/>
      <c r="AE115" s="431"/>
      <c r="AF115" s="431"/>
      <c r="AG115" s="431"/>
      <c r="AH115" s="431"/>
      <c r="AI115" s="468"/>
      <c r="AJ115" s="468"/>
      <c r="AK115" s="431"/>
      <c r="AL115" s="431"/>
      <c r="AM115" s="431"/>
    </row>
    <row r="116" spans="1:39" s="155" customFormat="1" ht="12" hidden="1" x14ac:dyDescent="0.2">
      <c r="A116" s="168">
        <v>62</v>
      </c>
      <c r="B116" s="171"/>
      <c r="C116" s="172"/>
      <c r="D116" s="432">
        <f t="shared" si="12"/>
        <v>0</v>
      </c>
      <c r="E116" s="431"/>
      <c r="F116" s="431"/>
      <c r="G116" s="431"/>
      <c r="H116" s="431"/>
      <c r="I116" s="431"/>
      <c r="J116" s="431"/>
      <c r="K116" s="431"/>
      <c r="L116" s="431"/>
      <c r="M116" s="431"/>
      <c r="N116" s="431"/>
      <c r="O116" s="431"/>
      <c r="P116" s="432">
        <f t="shared" si="19"/>
        <v>0</v>
      </c>
      <c r="Q116" s="431"/>
      <c r="R116" s="431"/>
      <c r="S116" s="431"/>
      <c r="T116" s="431"/>
      <c r="U116" s="431"/>
      <c r="V116" s="431"/>
      <c r="W116" s="431"/>
      <c r="X116" s="431"/>
      <c r="Y116" s="431"/>
      <c r="Z116" s="468"/>
      <c r="AA116" s="431"/>
      <c r="AB116" s="431"/>
      <c r="AC116" s="468"/>
      <c r="AD116" s="431"/>
      <c r="AE116" s="431"/>
      <c r="AF116" s="431"/>
      <c r="AG116" s="431"/>
      <c r="AH116" s="431"/>
      <c r="AI116" s="468"/>
      <c r="AJ116" s="468"/>
      <c r="AK116" s="431"/>
      <c r="AL116" s="431"/>
      <c r="AM116" s="431"/>
    </row>
    <row r="117" spans="1:39" s="155" customFormat="1" ht="12" hidden="1" x14ac:dyDescent="0.2">
      <c r="A117" s="168">
        <v>63</v>
      </c>
      <c r="B117" s="171"/>
      <c r="C117" s="182"/>
      <c r="D117" s="432">
        <f t="shared" si="12"/>
        <v>0</v>
      </c>
      <c r="E117" s="431"/>
      <c r="F117" s="431"/>
      <c r="G117" s="431"/>
      <c r="H117" s="431"/>
      <c r="I117" s="431"/>
      <c r="J117" s="431"/>
      <c r="K117" s="431"/>
      <c r="L117" s="431"/>
      <c r="M117" s="431"/>
      <c r="N117" s="431"/>
      <c r="O117" s="431"/>
      <c r="P117" s="432">
        <f t="shared" si="19"/>
        <v>0</v>
      </c>
      <c r="Q117" s="431"/>
      <c r="R117" s="431"/>
      <c r="S117" s="431"/>
      <c r="T117" s="431"/>
      <c r="U117" s="431"/>
      <c r="V117" s="431"/>
      <c r="W117" s="431"/>
      <c r="X117" s="431"/>
      <c r="Y117" s="431"/>
      <c r="Z117" s="468"/>
      <c r="AA117" s="431"/>
      <c r="AB117" s="431"/>
      <c r="AC117" s="468"/>
      <c r="AD117" s="431"/>
      <c r="AE117" s="431"/>
      <c r="AF117" s="431"/>
      <c r="AG117" s="431"/>
      <c r="AH117" s="431"/>
      <c r="AI117" s="468"/>
      <c r="AJ117" s="468"/>
      <c r="AK117" s="431"/>
      <c r="AL117" s="431"/>
      <c r="AM117" s="431"/>
    </row>
    <row r="118" spans="1:39" s="155" customFormat="1" ht="12" hidden="1" x14ac:dyDescent="0.2">
      <c r="A118" s="168">
        <v>64</v>
      </c>
      <c r="B118" s="171"/>
      <c r="C118" s="172"/>
      <c r="D118" s="432">
        <f t="shared" ref="D118:D143" si="20">E118+SUM(H118:O118)</f>
        <v>0</v>
      </c>
      <c r="E118" s="431"/>
      <c r="F118" s="431"/>
      <c r="G118" s="431"/>
      <c r="H118" s="431"/>
      <c r="I118" s="431"/>
      <c r="J118" s="431"/>
      <c r="K118" s="431"/>
      <c r="L118" s="431"/>
      <c r="M118" s="431"/>
      <c r="N118" s="431"/>
      <c r="O118" s="431"/>
      <c r="P118" s="432">
        <f t="shared" si="19"/>
        <v>0</v>
      </c>
      <c r="Q118" s="431"/>
      <c r="R118" s="431"/>
      <c r="S118" s="431"/>
      <c r="T118" s="431"/>
      <c r="U118" s="431"/>
      <c r="V118" s="431"/>
      <c r="W118" s="431"/>
      <c r="X118" s="431"/>
      <c r="Y118" s="431"/>
      <c r="Z118" s="468"/>
      <c r="AA118" s="431"/>
      <c r="AB118" s="431"/>
      <c r="AC118" s="468"/>
      <c r="AD118" s="431"/>
      <c r="AE118" s="431"/>
      <c r="AF118" s="431"/>
      <c r="AG118" s="431"/>
      <c r="AH118" s="431"/>
      <c r="AI118" s="468"/>
      <c r="AJ118" s="468"/>
      <c r="AK118" s="431"/>
      <c r="AL118" s="431"/>
      <c r="AM118" s="431"/>
    </row>
    <row r="119" spans="1:39" s="155" customFormat="1" ht="12" hidden="1" x14ac:dyDescent="0.2">
      <c r="A119" s="168">
        <v>65</v>
      </c>
      <c r="B119" s="171"/>
      <c r="C119" s="172"/>
      <c r="D119" s="432">
        <f t="shared" si="20"/>
        <v>0</v>
      </c>
      <c r="E119" s="431"/>
      <c r="F119" s="431"/>
      <c r="G119" s="431"/>
      <c r="H119" s="431"/>
      <c r="I119" s="431"/>
      <c r="J119" s="431"/>
      <c r="K119" s="431"/>
      <c r="L119" s="431"/>
      <c r="M119" s="431"/>
      <c r="N119" s="431"/>
      <c r="O119" s="431"/>
      <c r="P119" s="432">
        <f t="shared" si="19"/>
        <v>0</v>
      </c>
      <c r="Q119" s="431"/>
      <c r="R119" s="431"/>
      <c r="S119" s="431"/>
      <c r="T119" s="431"/>
      <c r="U119" s="431"/>
      <c r="V119" s="431"/>
      <c r="W119" s="431"/>
      <c r="X119" s="431"/>
      <c r="Y119" s="431"/>
      <c r="Z119" s="468"/>
      <c r="AA119" s="431"/>
      <c r="AB119" s="431"/>
      <c r="AC119" s="468"/>
      <c r="AD119" s="431"/>
      <c r="AE119" s="431"/>
      <c r="AF119" s="431"/>
      <c r="AG119" s="431"/>
      <c r="AH119" s="431"/>
      <c r="AI119" s="468"/>
      <c r="AJ119" s="468"/>
      <c r="AK119" s="431"/>
      <c r="AL119" s="431"/>
      <c r="AM119" s="431"/>
    </row>
    <row r="120" spans="1:39" s="155" customFormat="1" ht="12" hidden="1" x14ac:dyDescent="0.2">
      <c r="A120" s="168">
        <v>66</v>
      </c>
      <c r="B120" s="171"/>
      <c r="C120" s="172"/>
      <c r="D120" s="432">
        <f t="shared" si="20"/>
        <v>0</v>
      </c>
      <c r="E120" s="431"/>
      <c r="F120" s="431"/>
      <c r="G120" s="431"/>
      <c r="H120" s="431"/>
      <c r="I120" s="431"/>
      <c r="J120" s="431"/>
      <c r="K120" s="431"/>
      <c r="L120" s="431"/>
      <c r="M120" s="431"/>
      <c r="N120" s="431"/>
      <c r="O120" s="431"/>
      <c r="P120" s="432">
        <f t="shared" si="19"/>
        <v>0</v>
      </c>
      <c r="Q120" s="431"/>
      <c r="R120" s="431"/>
      <c r="S120" s="431"/>
      <c r="T120" s="431"/>
      <c r="U120" s="431"/>
      <c r="V120" s="431"/>
      <c r="W120" s="431"/>
      <c r="X120" s="431"/>
      <c r="Y120" s="431"/>
      <c r="Z120" s="468"/>
      <c r="AA120" s="431"/>
      <c r="AB120" s="431"/>
      <c r="AC120" s="468"/>
      <c r="AD120" s="431"/>
      <c r="AE120" s="431"/>
      <c r="AF120" s="431"/>
      <c r="AG120" s="431"/>
      <c r="AH120" s="431"/>
      <c r="AI120" s="468"/>
      <c r="AJ120" s="468"/>
      <c r="AK120" s="431"/>
      <c r="AL120" s="431"/>
      <c r="AM120" s="431"/>
    </row>
    <row r="121" spans="1:39" s="155" customFormat="1" ht="12" hidden="1" x14ac:dyDescent="0.2">
      <c r="A121" s="168">
        <v>67</v>
      </c>
      <c r="B121" s="171"/>
      <c r="C121" s="172"/>
      <c r="D121" s="432">
        <f t="shared" si="20"/>
        <v>0</v>
      </c>
      <c r="E121" s="431"/>
      <c r="F121" s="431"/>
      <c r="G121" s="431"/>
      <c r="H121" s="431"/>
      <c r="I121" s="431"/>
      <c r="J121" s="431"/>
      <c r="K121" s="431"/>
      <c r="L121" s="431"/>
      <c r="M121" s="431"/>
      <c r="N121" s="431"/>
      <c r="O121" s="431"/>
      <c r="P121" s="432">
        <f t="shared" si="19"/>
        <v>0</v>
      </c>
      <c r="Q121" s="431"/>
      <c r="R121" s="431"/>
      <c r="S121" s="431"/>
      <c r="T121" s="431"/>
      <c r="U121" s="431"/>
      <c r="V121" s="431"/>
      <c r="W121" s="431"/>
      <c r="X121" s="431"/>
      <c r="Y121" s="431"/>
      <c r="Z121" s="468"/>
      <c r="AA121" s="431"/>
      <c r="AB121" s="431"/>
      <c r="AC121" s="468"/>
      <c r="AD121" s="431"/>
      <c r="AE121" s="431"/>
      <c r="AF121" s="431"/>
      <c r="AG121" s="431"/>
      <c r="AH121" s="431"/>
      <c r="AI121" s="468"/>
      <c r="AJ121" s="468"/>
      <c r="AK121" s="431"/>
      <c r="AL121" s="431"/>
      <c r="AM121" s="431"/>
    </row>
    <row r="122" spans="1:39" s="155" customFormat="1" ht="12" hidden="1" x14ac:dyDescent="0.2">
      <c r="A122" s="168">
        <v>68</v>
      </c>
      <c r="B122" s="171"/>
      <c r="C122" s="172"/>
      <c r="D122" s="432">
        <f t="shared" si="20"/>
        <v>0</v>
      </c>
      <c r="E122" s="431"/>
      <c r="F122" s="431"/>
      <c r="G122" s="431"/>
      <c r="H122" s="431"/>
      <c r="I122" s="431"/>
      <c r="J122" s="431"/>
      <c r="K122" s="431"/>
      <c r="L122" s="431"/>
      <c r="M122" s="431"/>
      <c r="N122" s="431"/>
      <c r="O122" s="431"/>
      <c r="P122" s="432">
        <f t="shared" si="19"/>
        <v>0</v>
      </c>
      <c r="Q122" s="431"/>
      <c r="R122" s="431"/>
      <c r="S122" s="431"/>
      <c r="T122" s="431"/>
      <c r="U122" s="431"/>
      <c r="V122" s="431"/>
      <c r="W122" s="431"/>
      <c r="X122" s="431"/>
      <c r="Y122" s="431"/>
      <c r="Z122" s="468"/>
      <c r="AA122" s="431"/>
      <c r="AB122" s="431"/>
      <c r="AC122" s="468"/>
      <c r="AD122" s="431"/>
      <c r="AE122" s="431"/>
      <c r="AF122" s="431"/>
      <c r="AG122" s="431"/>
      <c r="AH122" s="431"/>
      <c r="AI122" s="468"/>
      <c r="AJ122" s="468"/>
      <c r="AK122" s="431"/>
      <c r="AL122" s="431"/>
      <c r="AM122" s="431"/>
    </row>
    <row r="123" spans="1:39" s="155" customFormat="1" ht="12" hidden="1" x14ac:dyDescent="0.2">
      <c r="A123" s="168">
        <v>69</v>
      </c>
      <c r="B123" s="171"/>
      <c r="C123" s="172"/>
      <c r="D123" s="432">
        <f t="shared" si="20"/>
        <v>0</v>
      </c>
      <c r="E123" s="431"/>
      <c r="F123" s="431"/>
      <c r="G123" s="431"/>
      <c r="H123" s="431"/>
      <c r="I123" s="431"/>
      <c r="J123" s="431"/>
      <c r="K123" s="431"/>
      <c r="L123" s="431"/>
      <c r="M123" s="431"/>
      <c r="N123" s="431"/>
      <c r="O123" s="431"/>
      <c r="P123" s="432">
        <f t="shared" si="19"/>
        <v>0</v>
      </c>
      <c r="Q123" s="431"/>
      <c r="R123" s="431"/>
      <c r="S123" s="431"/>
      <c r="T123" s="431"/>
      <c r="U123" s="431"/>
      <c r="V123" s="431"/>
      <c r="W123" s="431"/>
      <c r="X123" s="431"/>
      <c r="Y123" s="431"/>
      <c r="Z123" s="468"/>
      <c r="AA123" s="431"/>
      <c r="AB123" s="431"/>
      <c r="AC123" s="468"/>
      <c r="AD123" s="431"/>
      <c r="AE123" s="431"/>
      <c r="AF123" s="431"/>
      <c r="AG123" s="431"/>
      <c r="AH123" s="431"/>
      <c r="AI123" s="468"/>
      <c r="AJ123" s="468"/>
      <c r="AK123" s="431"/>
      <c r="AL123" s="431"/>
      <c r="AM123" s="431"/>
    </row>
    <row r="124" spans="1:39" s="155" customFormat="1" ht="12" hidden="1" x14ac:dyDescent="0.2">
      <c r="A124" s="168">
        <v>70</v>
      </c>
      <c r="B124" s="171"/>
      <c r="C124" s="172"/>
      <c r="D124" s="432">
        <f t="shared" si="20"/>
        <v>0</v>
      </c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32">
        <f t="shared" si="19"/>
        <v>0</v>
      </c>
      <c r="Q124" s="431"/>
      <c r="R124" s="431"/>
      <c r="S124" s="431"/>
      <c r="T124" s="431"/>
      <c r="U124" s="431"/>
      <c r="V124" s="431"/>
      <c r="W124" s="431"/>
      <c r="X124" s="431"/>
      <c r="Y124" s="431"/>
      <c r="Z124" s="468"/>
      <c r="AA124" s="431"/>
      <c r="AB124" s="431"/>
      <c r="AC124" s="468"/>
      <c r="AD124" s="431"/>
      <c r="AE124" s="431"/>
      <c r="AF124" s="431"/>
      <c r="AG124" s="431"/>
      <c r="AH124" s="431"/>
      <c r="AI124" s="468"/>
      <c r="AJ124" s="468"/>
      <c r="AK124" s="431"/>
      <c r="AL124" s="431"/>
      <c r="AM124" s="431"/>
    </row>
    <row r="125" spans="1:39" s="155" customFormat="1" ht="12" hidden="1" x14ac:dyDescent="0.2">
      <c r="A125" s="168">
        <v>71</v>
      </c>
      <c r="B125" s="171"/>
      <c r="C125" s="172"/>
      <c r="D125" s="432">
        <f t="shared" si="20"/>
        <v>0</v>
      </c>
      <c r="E125" s="431"/>
      <c r="F125" s="431"/>
      <c r="G125" s="431"/>
      <c r="H125" s="431"/>
      <c r="I125" s="431"/>
      <c r="J125" s="431"/>
      <c r="K125" s="431"/>
      <c r="L125" s="431"/>
      <c r="M125" s="431"/>
      <c r="N125" s="431"/>
      <c r="O125" s="431"/>
      <c r="P125" s="432">
        <f t="shared" si="19"/>
        <v>0</v>
      </c>
      <c r="Q125" s="431"/>
      <c r="R125" s="431"/>
      <c r="S125" s="431"/>
      <c r="T125" s="431"/>
      <c r="U125" s="431"/>
      <c r="V125" s="431"/>
      <c r="W125" s="431"/>
      <c r="X125" s="431"/>
      <c r="Y125" s="431"/>
      <c r="Z125" s="468"/>
      <c r="AA125" s="431"/>
      <c r="AB125" s="431"/>
      <c r="AC125" s="468"/>
      <c r="AD125" s="431"/>
      <c r="AE125" s="431"/>
      <c r="AF125" s="431"/>
      <c r="AG125" s="431"/>
      <c r="AH125" s="431"/>
      <c r="AI125" s="468"/>
      <c r="AJ125" s="468"/>
      <c r="AK125" s="431"/>
      <c r="AL125" s="431"/>
      <c r="AM125" s="431"/>
    </row>
    <row r="126" spans="1:39" s="155" customFormat="1" ht="12" hidden="1" x14ac:dyDescent="0.2">
      <c r="A126" s="168">
        <v>72</v>
      </c>
      <c r="B126" s="171"/>
      <c r="C126" s="172"/>
      <c r="D126" s="432">
        <f t="shared" si="20"/>
        <v>0</v>
      </c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32">
        <f t="shared" si="19"/>
        <v>0</v>
      </c>
      <c r="Q126" s="431"/>
      <c r="R126" s="431"/>
      <c r="S126" s="431"/>
      <c r="T126" s="431"/>
      <c r="U126" s="431"/>
      <c r="V126" s="431"/>
      <c r="W126" s="431"/>
      <c r="X126" s="431"/>
      <c r="Y126" s="431"/>
      <c r="Z126" s="468"/>
      <c r="AA126" s="431"/>
      <c r="AB126" s="431"/>
      <c r="AC126" s="468"/>
      <c r="AD126" s="431"/>
      <c r="AE126" s="431"/>
      <c r="AF126" s="431"/>
      <c r="AG126" s="431"/>
      <c r="AH126" s="431"/>
      <c r="AI126" s="468"/>
      <c r="AJ126" s="468"/>
      <c r="AK126" s="431"/>
      <c r="AL126" s="431"/>
      <c r="AM126" s="431"/>
    </row>
    <row r="127" spans="1:39" s="155" customFormat="1" ht="12" hidden="1" x14ac:dyDescent="0.2">
      <c r="A127" s="168">
        <v>73</v>
      </c>
      <c r="B127" s="171"/>
      <c r="C127" s="172"/>
      <c r="D127" s="432">
        <f t="shared" si="20"/>
        <v>0</v>
      </c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32">
        <f t="shared" si="19"/>
        <v>0</v>
      </c>
      <c r="Q127" s="431"/>
      <c r="R127" s="431"/>
      <c r="S127" s="431"/>
      <c r="T127" s="431"/>
      <c r="U127" s="431"/>
      <c r="V127" s="431"/>
      <c r="W127" s="431"/>
      <c r="X127" s="431"/>
      <c r="Y127" s="431"/>
      <c r="Z127" s="468"/>
      <c r="AA127" s="431"/>
      <c r="AB127" s="431"/>
      <c r="AC127" s="468"/>
      <c r="AD127" s="431"/>
      <c r="AE127" s="431"/>
      <c r="AF127" s="431"/>
      <c r="AG127" s="431"/>
      <c r="AH127" s="431"/>
      <c r="AI127" s="468"/>
      <c r="AJ127" s="468"/>
      <c r="AK127" s="431"/>
      <c r="AL127" s="431"/>
      <c r="AM127" s="431"/>
    </row>
    <row r="128" spans="1:39" s="155" customFormat="1" ht="12" hidden="1" x14ac:dyDescent="0.2">
      <c r="A128" s="168">
        <v>74</v>
      </c>
      <c r="B128" s="171"/>
      <c r="C128" s="172"/>
      <c r="D128" s="432">
        <f t="shared" si="20"/>
        <v>0</v>
      </c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32">
        <f t="shared" si="19"/>
        <v>0</v>
      </c>
      <c r="Q128" s="431"/>
      <c r="R128" s="431"/>
      <c r="S128" s="431"/>
      <c r="T128" s="431"/>
      <c r="U128" s="431"/>
      <c r="V128" s="431"/>
      <c r="W128" s="431"/>
      <c r="X128" s="431"/>
      <c r="Y128" s="431"/>
      <c r="Z128" s="468"/>
      <c r="AA128" s="431"/>
      <c r="AB128" s="431"/>
      <c r="AC128" s="468"/>
      <c r="AD128" s="431"/>
      <c r="AE128" s="431"/>
      <c r="AF128" s="431"/>
      <c r="AG128" s="431"/>
      <c r="AH128" s="431"/>
      <c r="AI128" s="468"/>
      <c r="AJ128" s="468"/>
      <c r="AK128" s="431"/>
      <c r="AL128" s="431"/>
      <c r="AM128" s="431"/>
    </row>
    <row r="129" spans="1:39" s="155" customFormat="1" ht="12" hidden="1" x14ac:dyDescent="0.2">
      <c r="A129" s="168">
        <v>75</v>
      </c>
      <c r="B129" s="171"/>
      <c r="C129" s="172"/>
      <c r="D129" s="432">
        <f t="shared" si="20"/>
        <v>0</v>
      </c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32">
        <f t="shared" si="19"/>
        <v>0</v>
      </c>
      <c r="Q129" s="431"/>
      <c r="R129" s="431"/>
      <c r="S129" s="431"/>
      <c r="T129" s="431"/>
      <c r="U129" s="431"/>
      <c r="V129" s="431"/>
      <c r="W129" s="431"/>
      <c r="X129" s="431"/>
      <c r="Y129" s="431"/>
      <c r="Z129" s="468"/>
      <c r="AA129" s="431"/>
      <c r="AB129" s="431"/>
      <c r="AC129" s="468"/>
      <c r="AD129" s="431"/>
      <c r="AE129" s="431"/>
      <c r="AF129" s="431"/>
      <c r="AG129" s="431"/>
      <c r="AH129" s="431"/>
      <c r="AI129" s="468"/>
      <c r="AJ129" s="468"/>
      <c r="AK129" s="431"/>
      <c r="AL129" s="431"/>
      <c r="AM129" s="431"/>
    </row>
    <row r="130" spans="1:39" s="155" customFormat="1" ht="12" hidden="1" x14ac:dyDescent="0.2">
      <c r="A130" s="168">
        <v>76</v>
      </c>
      <c r="B130" s="171"/>
      <c r="C130" s="172"/>
      <c r="D130" s="432">
        <f t="shared" si="20"/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32">
        <f t="shared" si="19"/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</row>
    <row r="131" spans="1:39" s="155" customFormat="1" ht="12" hidden="1" x14ac:dyDescent="0.2">
      <c r="A131" s="168">
        <v>77</v>
      </c>
      <c r="B131" s="171"/>
      <c r="C131" s="172"/>
      <c r="D131" s="432">
        <f t="shared" si="20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2">
        <f t="shared" si="19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</row>
    <row r="132" spans="1:39" s="155" customFormat="1" ht="12" hidden="1" x14ac:dyDescent="0.2">
      <c r="A132" s="168">
        <v>78</v>
      </c>
      <c r="B132" s="171"/>
      <c r="C132" s="172"/>
      <c r="D132" s="432">
        <f t="shared" si="20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2">
        <f t="shared" si="19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</row>
    <row r="133" spans="1:39" s="155" customFormat="1" ht="12" hidden="1" x14ac:dyDescent="0.2">
      <c r="A133" s="168">
        <v>79</v>
      </c>
      <c r="B133" s="168"/>
      <c r="C133" s="172"/>
      <c r="D133" s="432">
        <f t="shared" si="20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si="19"/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155" customFormat="1" ht="12" hidden="1" x14ac:dyDescent="0.2">
      <c r="A134" s="168">
        <v>80</v>
      </c>
      <c r="B134" s="168"/>
      <c r="C134" s="172"/>
      <c r="D134" s="432">
        <f t="shared" si="20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si="19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155" customFormat="1" ht="12" hidden="1" x14ac:dyDescent="0.2">
      <c r="A135" s="168">
        <v>81</v>
      </c>
      <c r="B135" s="168"/>
      <c r="C135" s="172"/>
      <c r="D135" s="432">
        <f t="shared" si="20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19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155" customFormat="1" ht="12" hidden="1" x14ac:dyDescent="0.2">
      <c r="A136" s="168">
        <v>82</v>
      </c>
      <c r="B136" s="168"/>
      <c r="C136" s="172"/>
      <c r="D136" s="432">
        <f t="shared" si="20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19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155" customFormat="1" ht="12" hidden="1" x14ac:dyDescent="0.2">
      <c r="A137" s="168">
        <v>83</v>
      </c>
      <c r="B137" s="168"/>
      <c r="C137" s="172"/>
      <c r="D137" s="432">
        <f t="shared" si="20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19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68"/>
      <c r="C138" s="172"/>
      <c r="D138" s="432">
        <f t="shared" si="20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9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68"/>
      <c r="C139" s="172"/>
      <c r="D139" s="432">
        <f t="shared" si="20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9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68"/>
      <c r="C140" s="172"/>
      <c r="D140" s="432">
        <f t="shared" si="20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9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173"/>
      <c r="D141" s="432">
        <f t="shared" si="20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9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20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9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20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pane xSplit="3" ySplit="13" topLeftCell="D21" activePane="bottomRight" state="frozen"/>
      <selection pane="topRight" activeCell="D1" sqref="D1"/>
      <selection pane="bottomLeft" activeCell="A14" sqref="A14"/>
      <selection pane="bottomRight" activeCell="B62" sqref="B62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963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1493404299</v>
      </c>
      <c r="E14" s="432">
        <f>SUM(E15,E16,E33,E54)</f>
        <v>429702427</v>
      </c>
      <c r="F14" s="432">
        <f t="shared" ref="F14:O14" si="0">SUM(F15,F16,F33,F54)</f>
        <v>206420902</v>
      </c>
      <c r="G14" s="432">
        <f t="shared" si="0"/>
        <v>72052598</v>
      </c>
      <c r="H14" s="432">
        <f t="shared" si="0"/>
        <v>43889128</v>
      </c>
      <c r="I14" s="432">
        <f t="shared" si="0"/>
        <v>326477054</v>
      </c>
      <c r="J14" s="432">
        <f t="shared" si="0"/>
        <v>20639284</v>
      </c>
      <c r="K14" s="432">
        <f t="shared" si="0"/>
        <v>120427250</v>
      </c>
      <c r="L14" s="432">
        <f t="shared" si="0"/>
        <v>0</v>
      </c>
      <c r="M14" s="432">
        <f t="shared" si="0"/>
        <v>259941102</v>
      </c>
      <c r="N14" s="432">
        <f t="shared" si="0"/>
        <v>279320082</v>
      </c>
      <c r="O14" s="432">
        <f t="shared" si="0"/>
        <v>13007972</v>
      </c>
      <c r="P14" s="432">
        <f>IF(SUM(Q14:AB14)=SUM(AC14:AM14),SUM(Q14:AB14),"  EROARE ART/CAP")</f>
        <v>1443369303</v>
      </c>
      <c r="Q14" s="432">
        <f t="shared" ref="Q14:AM14" si="1">Q15+Q16+Q33+Q54</f>
        <v>397303787</v>
      </c>
      <c r="R14" s="432">
        <f t="shared" si="1"/>
        <v>232119201</v>
      </c>
      <c r="S14" s="432">
        <f t="shared" si="1"/>
        <v>8771355</v>
      </c>
      <c r="T14" s="432">
        <f t="shared" si="1"/>
        <v>9207308</v>
      </c>
      <c r="U14" s="432">
        <f t="shared" si="1"/>
        <v>55418728</v>
      </c>
      <c r="V14" s="432">
        <f t="shared" si="1"/>
        <v>13347408</v>
      </c>
      <c r="W14" s="432">
        <f t="shared" si="1"/>
        <v>417177085</v>
      </c>
      <c r="X14" s="432">
        <f t="shared" si="1"/>
        <v>114580178</v>
      </c>
      <c r="Y14" s="432">
        <f t="shared" si="1"/>
        <v>22597917</v>
      </c>
      <c r="Z14" s="432">
        <f t="shared" si="1"/>
        <v>154664386</v>
      </c>
      <c r="AA14" s="432">
        <f t="shared" si="1"/>
        <v>19048876</v>
      </c>
      <c r="AB14" s="432">
        <f t="shared" si="1"/>
        <v>-866926</v>
      </c>
      <c r="AC14" s="432">
        <f t="shared" si="1"/>
        <v>146310397</v>
      </c>
      <c r="AD14" s="432">
        <f t="shared" si="1"/>
        <v>11956425</v>
      </c>
      <c r="AE14" s="432">
        <f t="shared" si="1"/>
        <v>342260623</v>
      </c>
      <c r="AF14" s="432">
        <f t="shared" si="1"/>
        <v>58069233</v>
      </c>
      <c r="AG14" s="432">
        <f t="shared" si="1"/>
        <v>72311317</v>
      </c>
      <c r="AH14" s="432">
        <f t="shared" si="1"/>
        <v>174106454</v>
      </c>
      <c r="AI14" s="432">
        <f t="shared" si="1"/>
        <v>142536157</v>
      </c>
      <c r="AJ14" s="432">
        <f t="shared" si="1"/>
        <v>262635192</v>
      </c>
      <c r="AK14" s="432">
        <f t="shared" si="1"/>
        <v>7689378</v>
      </c>
      <c r="AL14" s="432">
        <f t="shared" si="1"/>
        <v>190161348</v>
      </c>
      <c r="AM14" s="432">
        <f t="shared" si="1"/>
        <v>35332779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450397735</v>
      </c>
      <c r="E15" s="466">
        <v>73776631</v>
      </c>
      <c r="F15" s="466">
        <v>43815767</v>
      </c>
      <c r="G15" s="466">
        <v>27739681</v>
      </c>
      <c r="H15" s="466">
        <v>43889128</v>
      </c>
      <c r="I15" s="466">
        <v>0</v>
      </c>
      <c r="J15" s="466">
        <v>9340000</v>
      </c>
      <c r="K15" s="466">
        <v>21943000</v>
      </c>
      <c r="L15" s="466">
        <v>0</v>
      </c>
      <c r="M15" s="466">
        <v>149103159</v>
      </c>
      <c r="N15" s="466">
        <v>149754349</v>
      </c>
      <c r="O15" s="466">
        <v>2591468</v>
      </c>
      <c r="P15" s="467">
        <f>IF(SUM(Q15:AB15)=SUM(AC15:AM15),SUM(Q15:AB15),"  EROARE ART/CAP")</f>
        <v>435598798</v>
      </c>
      <c r="Q15" s="466">
        <v>31050588</v>
      </c>
      <c r="R15" s="466">
        <v>23467134</v>
      </c>
      <c r="S15" s="466">
        <v>2533908</v>
      </c>
      <c r="T15" s="466">
        <v>0</v>
      </c>
      <c r="U15" s="466">
        <v>33667729</v>
      </c>
      <c r="V15" s="466">
        <v>9331520</v>
      </c>
      <c r="W15" s="466">
        <v>225695433</v>
      </c>
      <c r="X15" s="466">
        <v>79102762</v>
      </c>
      <c r="Y15" s="466">
        <v>8343800</v>
      </c>
      <c r="Z15" s="466">
        <v>19136611</v>
      </c>
      <c r="AA15" s="466">
        <v>3360000</v>
      </c>
      <c r="AB15" s="466">
        <v>-90687</v>
      </c>
      <c r="AC15" s="466">
        <v>29273564</v>
      </c>
      <c r="AD15" s="466">
        <v>312780</v>
      </c>
      <c r="AE15" s="466">
        <v>21931432</v>
      </c>
      <c r="AF15" s="466">
        <v>12177446</v>
      </c>
      <c r="AG15" s="466">
        <v>22323418</v>
      </c>
      <c r="AH15" s="466">
        <v>98322343</v>
      </c>
      <c r="AI15" s="466">
        <v>0</v>
      </c>
      <c r="AJ15" s="466">
        <v>193633258</v>
      </c>
      <c r="AK15" s="466">
        <v>0</v>
      </c>
      <c r="AL15" s="466">
        <v>50851013</v>
      </c>
      <c r="AM15" s="466">
        <v>6773544</v>
      </c>
    </row>
    <row r="16" spans="1:39" s="155" customFormat="1" ht="12" x14ac:dyDescent="0.2">
      <c r="A16" s="156" t="s">
        <v>72</v>
      </c>
      <c r="B16" s="157"/>
      <c r="C16" s="159"/>
      <c r="D16" s="432">
        <f>E16+SUM(H16:O16)</f>
        <v>572948912</v>
      </c>
      <c r="E16" s="433">
        <f>SUM(E18:E32)</f>
        <v>229024382</v>
      </c>
      <c r="F16" s="433">
        <f t="shared" ref="F16:O16" si="2">SUM(F18:F32)</f>
        <v>119428177</v>
      </c>
      <c r="G16" s="433">
        <f t="shared" si="2"/>
        <v>13289348</v>
      </c>
      <c r="H16" s="433">
        <f t="shared" si="2"/>
        <v>0</v>
      </c>
      <c r="I16" s="433">
        <f t="shared" si="2"/>
        <v>207394356</v>
      </c>
      <c r="J16" s="433">
        <f t="shared" si="2"/>
        <v>1871903</v>
      </c>
      <c r="K16" s="433">
        <f t="shared" si="2"/>
        <v>35013270</v>
      </c>
      <c r="L16" s="433">
        <f t="shared" si="2"/>
        <v>0</v>
      </c>
      <c r="M16" s="433">
        <f t="shared" si="2"/>
        <v>44762132</v>
      </c>
      <c r="N16" s="433">
        <f t="shared" si="2"/>
        <v>51878690</v>
      </c>
      <c r="O16" s="433">
        <f t="shared" si="2"/>
        <v>3004179</v>
      </c>
      <c r="P16" s="432">
        <f t="shared" ref="P16:P54" si="3">IF(SUM(Q16:AB16)=SUM(AC16:AM16),SUM(Q16:AB16),"  EROARE ART/CAP")</f>
        <v>558395762</v>
      </c>
      <c r="Q16" s="432">
        <f>SUM(Q18:Q32)</f>
        <v>225456799</v>
      </c>
      <c r="R16" s="432">
        <f t="shared" ref="R16:AM16" si="4">SUM(R18:R32)</f>
        <v>119142013</v>
      </c>
      <c r="S16" s="432">
        <f t="shared" si="4"/>
        <v>5165359</v>
      </c>
      <c r="T16" s="432">
        <f t="shared" si="4"/>
        <v>8996864</v>
      </c>
      <c r="U16" s="432">
        <f t="shared" si="4"/>
        <v>19811766</v>
      </c>
      <c r="V16" s="432">
        <f t="shared" si="4"/>
        <v>3359715</v>
      </c>
      <c r="W16" s="432">
        <f t="shared" si="4"/>
        <v>83787214</v>
      </c>
      <c r="X16" s="432">
        <f t="shared" si="4"/>
        <v>18883756</v>
      </c>
      <c r="Y16" s="432">
        <f t="shared" si="4"/>
        <v>9769753</v>
      </c>
      <c r="Z16" s="432">
        <f t="shared" si="4"/>
        <v>54731809</v>
      </c>
      <c r="AA16" s="432">
        <f t="shared" si="4"/>
        <v>9643418</v>
      </c>
      <c r="AB16" s="432">
        <f t="shared" si="4"/>
        <v>-352704</v>
      </c>
      <c r="AC16" s="432">
        <f t="shared" si="4"/>
        <v>49564167</v>
      </c>
      <c r="AD16" s="432">
        <f t="shared" si="4"/>
        <v>8364236</v>
      </c>
      <c r="AE16" s="432">
        <f t="shared" si="4"/>
        <v>215103160</v>
      </c>
      <c r="AF16" s="432">
        <f t="shared" si="4"/>
        <v>33807414</v>
      </c>
      <c r="AG16" s="432">
        <f t="shared" si="4"/>
        <v>21390224</v>
      </c>
      <c r="AH16" s="432">
        <f t="shared" si="4"/>
        <v>43184332</v>
      </c>
      <c r="AI16" s="432">
        <f t="shared" si="4"/>
        <v>74887597</v>
      </c>
      <c r="AJ16" s="432">
        <f t="shared" si="4"/>
        <v>50139023</v>
      </c>
      <c r="AK16" s="432">
        <f t="shared" si="4"/>
        <v>7488658</v>
      </c>
      <c r="AL16" s="432">
        <f t="shared" si="4"/>
        <v>40787658</v>
      </c>
      <c r="AM16" s="432">
        <f t="shared" si="4"/>
        <v>13679293</v>
      </c>
    </row>
    <row r="17" spans="1:39" s="155" customFormat="1" ht="22.5" x14ac:dyDescent="0.2">
      <c r="A17" s="277" t="s">
        <v>2306</v>
      </c>
      <c r="B17" s="280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146">
        <v>1</v>
      </c>
      <c r="B18" s="576">
        <v>86687</v>
      </c>
      <c r="C18" s="421" t="s">
        <v>2812</v>
      </c>
      <c r="D18" s="467">
        <f t="shared" ref="D18:D24" si="5">E18+SUM(H18:O18)</f>
        <v>167282761</v>
      </c>
      <c r="E18" s="466">
        <v>79955380</v>
      </c>
      <c r="F18" s="466">
        <v>46138420</v>
      </c>
      <c r="G18" s="466">
        <v>310874</v>
      </c>
      <c r="H18" s="466">
        <v>0</v>
      </c>
      <c r="I18" s="466">
        <v>61962201</v>
      </c>
      <c r="J18" s="466">
        <v>299793</v>
      </c>
      <c r="K18" s="466">
        <v>1311650</v>
      </c>
      <c r="L18" s="466">
        <v>0</v>
      </c>
      <c r="M18" s="466">
        <v>5327146</v>
      </c>
      <c r="N18" s="466">
        <v>17717707</v>
      </c>
      <c r="O18" s="466">
        <v>708884</v>
      </c>
      <c r="P18" s="467">
        <f t="shared" ref="P18:P24" si="6">IF(SUM(Q18:AB18)=SUM(AC18:AM18),SUM(Q18:AB18),"  EROARE ART/CAP")</f>
        <v>167228459</v>
      </c>
      <c r="Q18" s="466">
        <v>68556470</v>
      </c>
      <c r="R18" s="466">
        <v>37917969</v>
      </c>
      <c r="S18" s="466">
        <v>1421355</v>
      </c>
      <c r="T18" s="466">
        <v>4188787</v>
      </c>
      <c r="U18" s="466">
        <v>63046</v>
      </c>
      <c r="V18" s="466">
        <v>1677064</v>
      </c>
      <c r="W18" s="466">
        <v>25413292</v>
      </c>
      <c r="X18" s="466">
        <v>4783832</v>
      </c>
      <c r="Y18" s="466">
        <v>3876934</v>
      </c>
      <c r="Z18" s="466">
        <v>13548762</v>
      </c>
      <c r="AA18" s="466">
        <v>5909806</v>
      </c>
      <c r="AB18" s="466">
        <v>-128858</v>
      </c>
      <c r="AC18" s="466">
        <v>12199213</v>
      </c>
      <c r="AD18" s="466">
        <v>2912595</v>
      </c>
      <c r="AE18" s="466">
        <v>68048528</v>
      </c>
      <c r="AF18" s="466">
        <v>893972</v>
      </c>
      <c r="AG18" s="466">
        <v>5580619</v>
      </c>
      <c r="AH18" s="466">
        <v>11860729</v>
      </c>
      <c r="AI18" s="466">
        <v>38179718</v>
      </c>
      <c r="AJ18" s="466">
        <v>13185725</v>
      </c>
      <c r="AK18" s="466">
        <v>2082687</v>
      </c>
      <c r="AL18" s="466">
        <v>6022592</v>
      </c>
      <c r="AM18" s="466">
        <v>6262081</v>
      </c>
    </row>
    <row r="19" spans="1:39" s="155" customFormat="1" ht="12" x14ac:dyDescent="0.2">
      <c r="A19" s="146">
        <v>2</v>
      </c>
      <c r="B19" s="576">
        <v>87291</v>
      </c>
      <c r="C19" s="422" t="s">
        <v>2813</v>
      </c>
      <c r="D19" s="467">
        <f t="shared" si="5"/>
        <v>36131740</v>
      </c>
      <c r="E19" s="466">
        <v>14205711</v>
      </c>
      <c r="F19" s="466">
        <v>5843522</v>
      </c>
      <c r="G19" s="466">
        <v>4302450</v>
      </c>
      <c r="H19" s="466">
        <v>0</v>
      </c>
      <c r="I19" s="466">
        <v>9659479</v>
      </c>
      <c r="J19" s="466">
        <v>450000</v>
      </c>
      <c r="K19" s="466">
        <v>5369820</v>
      </c>
      <c r="L19" s="466">
        <v>0</v>
      </c>
      <c r="M19" s="466">
        <v>2222709</v>
      </c>
      <c r="N19" s="466">
        <v>4165121</v>
      </c>
      <c r="O19" s="466">
        <v>58900</v>
      </c>
      <c r="P19" s="467">
        <f t="shared" si="6"/>
        <v>34557950</v>
      </c>
      <c r="Q19" s="466">
        <v>10498643</v>
      </c>
      <c r="R19" s="466">
        <v>8871071</v>
      </c>
      <c r="S19" s="466">
        <v>80210</v>
      </c>
      <c r="T19" s="466">
        <v>2676480</v>
      </c>
      <c r="U19" s="466">
        <v>431843</v>
      </c>
      <c r="V19" s="466">
        <v>41839</v>
      </c>
      <c r="W19" s="466">
        <v>5268260</v>
      </c>
      <c r="X19" s="466">
        <v>1095249</v>
      </c>
      <c r="Y19" s="466">
        <v>624827</v>
      </c>
      <c r="Z19" s="466">
        <v>4713718</v>
      </c>
      <c r="AA19" s="466">
        <v>295100</v>
      </c>
      <c r="AB19" s="466">
        <v>-39290</v>
      </c>
      <c r="AC19" s="466">
        <v>3094766</v>
      </c>
      <c r="AD19" s="466">
        <v>359397</v>
      </c>
      <c r="AE19" s="466">
        <v>10377299</v>
      </c>
      <c r="AF19" s="466">
        <v>719117</v>
      </c>
      <c r="AG19" s="466">
        <v>2055177</v>
      </c>
      <c r="AH19" s="466">
        <v>2164588</v>
      </c>
      <c r="AI19" s="466">
        <v>2451736</v>
      </c>
      <c r="AJ19" s="466">
        <v>596551</v>
      </c>
      <c r="AK19" s="466">
        <v>4214141</v>
      </c>
      <c r="AL19" s="466">
        <v>8335290</v>
      </c>
      <c r="AM19" s="466">
        <v>189888</v>
      </c>
    </row>
    <row r="20" spans="1:39" s="155" customFormat="1" ht="12" x14ac:dyDescent="0.2">
      <c r="A20" s="146">
        <v>3</v>
      </c>
      <c r="B20" s="576">
        <v>86810</v>
      </c>
      <c r="C20" s="422" t="s">
        <v>2814</v>
      </c>
      <c r="D20" s="467">
        <f t="shared" si="5"/>
        <v>139503850</v>
      </c>
      <c r="E20" s="466">
        <v>47557104</v>
      </c>
      <c r="F20" s="466">
        <v>19974498</v>
      </c>
      <c r="G20" s="466">
        <v>1716518</v>
      </c>
      <c r="H20" s="466">
        <v>0</v>
      </c>
      <c r="I20" s="466">
        <v>50429601</v>
      </c>
      <c r="J20" s="466">
        <v>500000</v>
      </c>
      <c r="K20" s="466">
        <v>8502860</v>
      </c>
      <c r="L20" s="466">
        <v>0</v>
      </c>
      <c r="M20" s="466">
        <v>16299378</v>
      </c>
      <c r="N20" s="466">
        <v>16162707</v>
      </c>
      <c r="O20" s="466">
        <v>52200</v>
      </c>
      <c r="P20" s="467">
        <f t="shared" si="6"/>
        <v>139209487</v>
      </c>
      <c r="Q20" s="466">
        <v>53358906</v>
      </c>
      <c r="R20" s="466">
        <v>22421201</v>
      </c>
      <c r="S20" s="466">
        <v>1670195</v>
      </c>
      <c r="T20" s="466">
        <v>282390</v>
      </c>
      <c r="U20" s="466">
        <v>3830449</v>
      </c>
      <c r="V20" s="466">
        <v>222991</v>
      </c>
      <c r="W20" s="466">
        <v>32028436</v>
      </c>
      <c r="X20" s="466">
        <v>4470008</v>
      </c>
      <c r="Y20" s="466">
        <v>1846672</v>
      </c>
      <c r="Z20" s="466">
        <v>18711793</v>
      </c>
      <c r="AA20" s="466">
        <v>483700</v>
      </c>
      <c r="AB20" s="466">
        <v>-117254</v>
      </c>
      <c r="AC20" s="466">
        <v>13115341</v>
      </c>
      <c r="AD20" s="466">
        <v>1613203</v>
      </c>
      <c r="AE20" s="466">
        <v>49092576</v>
      </c>
      <c r="AF20" s="466">
        <v>11815528</v>
      </c>
      <c r="AG20" s="466">
        <v>7945860</v>
      </c>
      <c r="AH20" s="466">
        <v>11737248</v>
      </c>
      <c r="AI20" s="466">
        <v>18455362</v>
      </c>
      <c r="AJ20" s="466">
        <v>18629910</v>
      </c>
      <c r="AK20" s="466">
        <v>0</v>
      </c>
      <c r="AL20" s="466">
        <v>6804459</v>
      </c>
      <c r="AM20" s="466">
        <v>0</v>
      </c>
    </row>
    <row r="21" spans="1:39" s="155" customFormat="1" ht="12" x14ac:dyDescent="0.2">
      <c r="A21" s="146">
        <v>4</v>
      </c>
      <c r="B21" s="576">
        <v>87059</v>
      </c>
      <c r="C21" s="422" t="s">
        <v>2815</v>
      </c>
      <c r="D21" s="467">
        <f t="shared" si="5"/>
        <v>55551860</v>
      </c>
      <c r="E21" s="466">
        <v>14980379</v>
      </c>
      <c r="F21" s="466">
        <v>8049003</v>
      </c>
      <c r="G21" s="466">
        <v>2666776</v>
      </c>
      <c r="H21" s="466">
        <v>0</v>
      </c>
      <c r="I21" s="466">
        <v>16651155</v>
      </c>
      <c r="J21" s="466">
        <v>0</v>
      </c>
      <c r="K21" s="466">
        <v>11480200</v>
      </c>
      <c r="L21" s="466">
        <v>0</v>
      </c>
      <c r="M21" s="466">
        <v>3612689</v>
      </c>
      <c r="N21" s="466">
        <v>8827437</v>
      </c>
      <c r="O21" s="466">
        <v>0</v>
      </c>
      <c r="P21" s="467">
        <f t="shared" si="6"/>
        <v>51817418</v>
      </c>
      <c r="Q21" s="466">
        <v>17407422</v>
      </c>
      <c r="R21" s="466">
        <v>11118302</v>
      </c>
      <c r="S21" s="466">
        <v>182278</v>
      </c>
      <c r="T21" s="466">
        <v>0</v>
      </c>
      <c r="U21" s="466">
        <v>4375000</v>
      </c>
      <c r="V21" s="466">
        <v>0</v>
      </c>
      <c r="W21" s="466">
        <v>13264162</v>
      </c>
      <c r="X21" s="466">
        <v>1697694</v>
      </c>
      <c r="Y21" s="466">
        <v>123959</v>
      </c>
      <c r="Z21" s="466">
        <v>3139845</v>
      </c>
      <c r="AA21" s="466">
        <v>514346</v>
      </c>
      <c r="AB21" s="466">
        <v>-5590</v>
      </c>
      <c r="AC21" s="466">
        <v>3973796</v>
      </c>
      <c r="AD21" s="466">
        <v>643644</v>
      </c>
      <c r="AE21" s="466">
        <v>15947873</v>
      </c>
      <c r="AF21" s="466">
        <v>8944883</v>
      </c>
      <c r="AG21" s="466">
        <v>2163642</v>
      </c>
      <c r="AH21" s="466">
        <v>2865843</v>
      </c>
      <c r="AI21" s="466">
        <v>2949085</v>
      </c>
      <c r="AJ21" s="466">
        <v>4158693</v>
      </c>
      <c r="AK21" s="466">
        <v>0</v>
      </c>
      <c r="AL21" s="466">
        <v>3594586</v>
      </c>
      <c r="AM21" s="466">
        <v>6575373</v>
      </c>
    </row>
    <row r="22" spans="1:39" s="155" customFormat="1" ht="12" x14ac:dyDescent="0.2">
      <c r="A22" s="146">
        <v>5</v>
      </c>
      <c r="B22" s="576">
        <v>87638</v>
      </c>
      <c r="C22" s="422" t="s">
        <v>2816</v>
      </c>
      <c r="D22" s="467">
        <f t="shared" si="5"/>
        <v>50393700</v>
      </c>
      <c r="E22" s="466">
        <v>22782832</v>
      </c>
      <c r="F22" s="466">
        <v>12161058</v>
      </c>
      <c r="G22" s="466">
        <v>1561327</v>
      </c>
      <c r="H22" s="466">
        <v>0</v>
      </c>
      <c r="I22" s="466">
        <v>15945660</v>
      </c>
      <c r="J22" s="466">
        <v>0</v>
      </c>
      <c r="K22" s="466">
        <v>2072130</v>
      </c>
      <c r="L22" s="466">
        <v>0</v>
      </c>
      <c r="M22" s="466">
        <v>8785352</v>
      </c>
      <c r="N22" s="466">
        <v>301009</v>
      </c>
      <c r="O22" s="466">
        <v>506717</v>
      </c>
      <c r="P22" s="467">
        <f t="shared" si="6"/>
        <v>48119273</v>
      </c>
      <c r="Q22" s="466">
        <v>19062342</v>
      </c>
      <c r="R22" s="466">
        <v>9666738</v>
      </c>
      <c r="S22" s="466">
        <v>472216</v>
      </c>
      <c r="T22" s="466">
        <v>247800</v>
      </c>
      <c r="U22" s="466">
        <v>3952739</v>
      </c>
      <c r="V22" s="466">
        <v>958440</v>
      </c>
      <c r="W22" s="466">
        <v>1654900</v>
      </c>
      <c r="X22" s="466">
        <v>1336320</v>
      </c>
      <c r="Y22" s="466">
        <v>738497</v>
      </c>
      <c r="Z22" s="466">
        <v>9346911</v>
      </c>
      <c r="AA22" s="466">
        <v>700000</v>
      </c>
      <c r="AB22" s="466">
        <v>-17630</v>
      </c>
      <c r="AC22" s="466">
        <v>4440286</v>
      </c>
      <c r="AD22" s="466">
        <v>852409</v>
      </c>
      <c r="AE22" s="466">
        <v>17428177</v>
      </c>
      <c r="AF22" s="466">
        <v>4179047</v>
      </c>
      <c r="AG22" s="466">
        <v>1234294</v>
      </c>
      <c r="AH22" s="466">
        <v>3567046</v>
      </c>
      <c r="AI22" s="466">
        <v>2545229</v>
      </c>
      <c r="AJ22" s="466">
        <v>7791686</v>
      </c>
      <c r="AK22" s="466">
        <v>0</v>
      </c>
      <c r="AL22" s="466">
        <v>6081099</v>
      </c>
      <c r="AM22" s="466">
        <v>0</v>
      </c>
    </row>
    <row r="23" spans="1:39" s="155" customFormat="1" ht="12" x14ac:dyDescent="0.2">
      <c r="A23" s="146">
        <v>6</v>
      </c>
      <c r="B23" s="576">
        <v>86990</v>
      </c>
      <c r="C23" s="422" t="s">
        <v>2817</v>
      </c>
      <c r="D23" s="467">
        <f t="shared" si="5"/>
        <v>80477418</v>
      </c>
      <c r="E23" s="466">
        <v>32301633</v>
      </c>
      <c r="F23" s="466">
        <v>18960414</v>
      </c>
      <c r="G23" s="466">
        <v>290609</v>
      </c>
      <c r="H23" s="466">
        <v>0</v>
      </c>
      <c r="I23" s="466">
        <v>35401430</v>
      </c>
      <c r="J23" s="466">
        <v>299985</v>
      </c>
      <c r="K23" s="466">
        <v>2152050</v>
      </c>
      <c r="L23" s="466">
        <v>0</v>
      </c>
      <c r="M23" s="466">
        <v>6436908</v>
      </c>
      <c r="N23" s="466">
        <v>2347176</v>
      </c>
      <c r="O23" s="466">
        <v>1538236</v>
      </c>
      <c r="P23" s="467">
        <f t="shared" si="6"/>
        <v>77833563</v>
      </c>
      <c r="Q23" s="466">
        <v>38810568</v>
      </c>
      <c r="R23" s="466">
        <v>19386207</v>
      </c>
      <c r="S23" s="466">
        <v>1282470</v>
      </c>
      <c r="T23" s="466">
        <v>1434618</v>
      </c>
      <c r="U23" s="466">
        <v>7108689</v>
      </c>
      <c r="V23" s="466">
        <v>309101</v>
      </c>
      <c r="W23" s="466">
        <v>2750665</v>
      </c>
      <c r="X23" s="466">
        <v>3340991</v>
      </c>
      <c r="Y23" s="466">
        <v>1330125</v>
      </c>
      <c r="Z23" s="466">
        <v>871144</v>
      </c>
      <c r="AA23" s="466">
        <v>1240466</v>
      </c>
      <c r="AB23" s="466">
        <v>-31481</v>
      </c>
      <c r="AC23" s="466">
        <v>6531573</v>
      </c>
      <c r="AD23" s="466">
        <v>1300487</v>
      </c>
      <c r="AE23" s="466">
        <v>36095938</v>
      </c>
      <c r="AF23" s="466">
        <v>6943678</v>
      </c>
      <c r="AG23" s="466">
        <v>1366809</v>
      </c>
      <c r="AH23" s="466">
        <v>7243622</v>
      </c>
      <c r="AI23" s="466">
        <v>6488626</v>
      </c>
      <c r="AJ23" s="466">
        <v>3420765</v>
      </c>
      <c r="AK23" s="466">
        <v>974365</v>
      </c>
      <c r="AL23" s="466">
        <v>6815749</v>
      </c>
      <c r="AM23" s="466">
        <v>651951</v>
      </c>
    </row>
    <row r="24" spans="1:39" s="155" customFormat="1" ht="12" x14ac:dyDescent="0.2">
      <c r="A24" s="146">
        <v>7</v>
      </c>
      <c r="B24" s="576">
        <v>87175</v>
      </c>
      <c r="C24" s="422" t="s">
        <v>203</v>
      </c>
      <c r="D24" s="467">
        <f t="shared" si="5"/>
        <v>43607583</v>
      </c>
      <c r="E24" s="466">
        <v>17241343</v>
      </c>
      <c r="F24" s="466">
        <v>8301262</v>
      </c>
      <c r="G24" s="466">
        <v>2440794</v>
      </c>
      <c r="H24" s="466">
        <v>0</v>
      </c>
      <c r="I24" s="466">
        <v>17344830</v>
      </c>
      <c r="J24" s="466">
        <v>322125</v>
      </c>
      <c r="K24" s="466">
        <v>4124560</v>
      </c>
      <c r="L24" s="466">
        <v>0</v>
      </c>
      <c r="M24" s="466">
        <v>2077950</v>
      </c>
      <c r="N24" s="466">
        <v>2357533</v>
      </c>
      <c r="O24" s="466">
        <v>139242</v>
      </c>
      <c r="P24" s="467">
        <f t="shared" si="6"/>
        <v>39629612</v>
      </c>
      <c r="Q24" s="466">
        <v>17762448</v>
      </c>
      <c r="R24" s="466">
        <v>9760525</v>
      </c>
      <c r="S24" s="466">
        <v>56635</v>
      </c>
      <c r="T24" s="466">
        <v>166789</v>
      </c>
      <c r="U24" s="466">
        <v>50000</v>
      </c>
      <c r="V24" s="466">
        <v>150280</v>
      </c>
      <c r="W24" s="466">
        <v>3407499</v>
      </c>
      <c r="X24" s="466">
        <v>2159662</v>
      </c>
      <c r="Y24" s="466">
        <v>1228739</v>
      </c>
      <c r="Z24" s="466">
        <v>4399636</v>
      </c>
      <c r="AA24" s="466">
        <v>500000</v>
      </c>
      <c r="AB24" s="466">
        <v>-12601</v>
      </c>
      <c r="AC24" s="466">
        <v>6209192</v>
      </c>
      <c r="AD24" s="466">
        <v>682501</v>
      </c>
      <c r="AE24" s="466">
        <v>18112769</v>
      </c>
      <c r="AF24" s="466">
        <v>311189</v>
      </c>
      <c r="AG24" s="466">
        <v>1043823</v>
      </c>
      <c r="AH24" s="466">
        <v>3745256</v>
      </c>
      <c r="AI24" s="466">
        <v>3817841</v>
      </c>
      <c r="AJ24" s="466">
        <v>2355693</v>
      </c>
      <c r="AK24" s="466">
        <v>217465</v>
      </c>
      <c r="AL24" s="466">
        <v>3133883</v>
      </c>
      <c r="AM24" s="466">
        <v>0</v>
      </c>
    </row>
    <row r="25" spans="1:39" s="155" customFormat="1" ht="12" hidden="1" x14ac:dyDescent="0.2">
      <c r="A25" s="146">
        <v>8</v>
      </c>
      <c r="B25" s="161"/>
      <c r="C25" s="206"/>
      <c r="D25" s="432">
        <f t="shared" ref="D25:D41" si="7">E25+SUM(H25:O25)</f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3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61"/>
      <c r="C26" s="206"/>
      <c r="D26" s="432">
        <f t="shared" si="7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3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61"/>
      <c r="C27" s="206"/>
      <c r="D27" s="432">
        <f t="shared" si="7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3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61"/>
      <c r="C28" s="206"/>
      <c r="D28" s="432">
        <f t="shared" si="7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3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61"/>
      <c r="C29" s="206"/>
      <c r="D29" s="432">
        <f t="shared" si="7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3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61"/>
      <c r="C30" s="206"/>
      <c r="D30" s="432">
        <f t="shared" si="7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3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61"/>
      <c r="C31" s="206"/>
      <c r="D31" s="432">
        <f t="shared" si="7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3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61"/>
      <c r="C32" s="207"/>
      <c r="D32" s="432">
        <f t="shared" si="7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3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5"/>
      <c r="C33" s="208"/>
      <c r="D33" s="432">
        <f t="shared" si="7"/>
        <v>180109591</v>
      </c>
      <c r="E33" s="432">
        <f>SUM(E34:E53)</f>
        <v>50944813</v>
      </c>
      <c r="F33" s="432">
        <f t="shared" ref="F33:O33" si="8">SUM(F34:F53)</f>
        <v>22830619</v>
      </c>
      <c r="G33" s="432">
        <f t="shared" si="8"/>
        <v>6154331</v>
      </c>
      <c r="H33" s="432">
        <f t="shared" si="8"/>
        <v>0</v>
      </c>
      <c r="I33" s="432">
        <f t="shared" si="8"/>
        <v>57073829</v>
      </c>
      <c r="J33" s="432">
        <f t="shared" si="8"/>
        <v>1130777</v>
      </c>
      <c r="K33" s="432">
        <f t="shared" si="8"/>
        <v>13785080</v>
      </c>
      <c r="L33" s="432">
        <f t="shared" si="8"/>
        <v>0</v>
      </c>
      <c r="M33" s="432">
        <f t="shared" si="8"/>
        <v>23051960</v>
      </c>
      <c r="N33" s="432">
        <f t="shared" si="8"/>
        <v>31033868</v>
      </c>
      <c r="O33" s="432">
        <f t="shared" si="8"/>
        <v>3089264</v>
      </c>
      <c r="P33" s="432">
        <f t="shared" si="3"/>
        <v>178085939</v>
      </c>
      <c r="Q33" s="432">
        <f>SUM(Q34:Q53)</f>
        <v>64572846</v>
      </c>
      <c r="R33" s="432">
        <f t="shared" ref="R33:AM33" si="9">SUM(R34:R53)</f>
        <v>29502080</v>
      </c>
      <c r="S33" s="432">
        <f t="shared" si="9"/>
        <v>388466</v>
      </c>
      <c r="T33" s="432">
        <f t="shared" si="9"/>
        <v>25344</v>
      </c>
      <c r="U33" s="432">
        <f t="shared" si="9"/>
        <v>1738404</v>
      </c>
      <c r="V33" s="432">
        <f t="shared" si="9"/>
        <v>532361</v>
      </c>
      <c r="W33" s="432">
        <f t="shared" si="9"/>
        <v>51545011</v>
      </c>
      <c r="X33" s="432">
        <f t="shared" si="9"/>
        <v>5822323</v>
      </c>
      <c r="Y33" s="432">
        <f t="shared" si="9"/>
        <v>1886817</v>
      </c>
      <c r="Z33" s="432">
        <f t="shared" si="9"/>
        <v>20642269</v>
      </c>
      <c r="AA33" s="432">
        <f t="shared" si="9"/>
        <v>1460748</v>
      </c>
      <c r="AB33" s="432">
        <f t="shared" si="9"/>
        <v>-30730</v>
      </c>
      <c r="AC33" s="432">
        <f t="shared" si="9"/>
        <v>18119807</v>
      </c>
      <c r="AD33" s="432">
        <f t="shared" si="9"/>
        <v>2231571</v>
      </c>
      <c r="AE33" s="432">
        <f t="shared" si="9"/>
        <v>52556329</v>
      </c>
      <c r="AF33" s="432">
        <f t="shared" si="9"/>
        <v>11439040</v>
      </c>
      <c r="AG33" s="432">
        <f t="shared" si="9"/>
        <v>6232542</v>
      </c>
      <c r="AH33" s="432">
        <f t="shared" si="9"/>
        <v>12244897</v>
      </c>
      <c r="AI33" s="432">
        <f t="shared" si="9"/>
        <v>32441932</v>
      </c>
      <c r="AJ33" s="432">
        <f t="shared" si="9"/>
        <v>6091280</v>
      </c>
      <c r="AK33" s="432">
        <f t="shared" si="9"/>
        <v>0</v>
      </c>
      <c r="AL33" s="432">
        <f t="shared" si="9"/>
        <v>35689694</v>
      </c>
      <c r="AM33" s="432">
        <f t="shared" si="9"/>
        <v>1038847</v>
      </c>
    </row>
    <row r="34" spans="1:39" s="155" customFormat="1" ht="12" x14ac:dyDescent="0.2">
      <c r="A34" s="146">
        <v>1</v>
      </c>
      <c r="B34" s="576">
        <v>87219</v>
      </c>
      <c r="C34" s="422" t="s">
        <v>2818</v>
      </c>
      <c r="D34" s="467">
        <f t="shared" ref="D34:D40" si="10">E34+SUM(H34:O34)</f>
        <v>9784177</v>
      </c>
      <c r="E34" s="466">
        <v>3572150</v>
      </c>
      <c r="F34" s="466">
        <v>876439</v>
      </c>
      <c r="G34" s="466">
        <v>2035789</v>
      </c>
      <c r="H34" s="466">
        <v>0</v>
      </c>
      <c r="I34" s="466">
        <v>2449000</v>
      </c>
      <c r="J34" s="466">
        <v>0</v>
      </c>
      <c r="K34" s="466">
        <v>2697650</v>
      </c>
      <c r="L34" s="466">
        <v>0</v>
      </c>
      <c r="M34" s="466">
        <v>1065377</v>
      </c>
      <c r="N34" s="466">
        <v>0</v>
      </c>
      <c r="O34" s="466">
        <v>0</v>
      </c>
      <c r="P34" s="467">
        <f t="shared" ref="P34:P40" si="11">IF(SUM(Q34:AB34)=SUM(AC34:AM34),SUM(Q34:AB34),"  EROARE ART/CAP")</f>
        <v>10031299</v>
      </c>
      <c r="Q34" s="466">
        <v>3070922</v>
      </c>
      <c r="R34" s="466">
        <v>1501858</v>
      </c>
      <c r="S34" s="466">
        <v>0</v>
      </c>
      <c r="T34" s="466">
        <v>0</v>
      </c>
      <c r="U34" s="466">
        <v>0</v>
      </c>
      <c r="V34" s="466">
        <v>169241</v>
      </c>
      <c r="W34" s="466">
        <v>0</v>
      </c>
      <c r="X34" s="466">
        <v>346558</v>
      </c>
      <c r="Y34" s="466">
        <v>39205</v>
      </c>
      <c r="Z34" s="466">
        <v>4903515</v>
      </c>
      <c r="AA34" s="466">
        <v>0</v>
      </c>
      <c r="AB34" s="466">
        <v>0</v>
      </c>
      <c r="AC34" s="466">
        <v>1254498</v>
      </c>
      <c r="AD34" s="466">
        <v>233572</v>
      </c>
      <c r="AE34" s="466">
        <v>2099668</v>
      </c>
      <c r="AF34" s="466">
        <v>0</v>
      </c>
      <c r="AG34" s="466">
        <v>155509</v>
      </c>
      <c r="AH34" s="466">
        <v>605020</v>
      </c>
      <c r="AI34" s="466">
        <v>989498</v>
      </c>
      <c r="AJ34" s="466">
        <v>211445</v>
      </c>
      <c r="AK34" s="466">
        <v>0</v>
      </c>
      <c r="AL34" s="466">
        <v>4482089</v>
      </c>
      <c r="AM34" s="466">
        <v>0</v>
      </c>
    </row>
    <row r="35" spans="1:39" s="155" customFormat="1" ht="12" x14ac:dyDescent="0.2">
      <c r="A35" s="146">
        <v>2</v>
      </c>
      <c r="B35" s="576">
        <v>87424</v>
      </c>
      <c r="C35" s="422" t="s">
        <v>2819</v>
      </c>
      <c r="D35" s="467">
        <f t="shared" si="10"/>
        <v>39885830</v>
      </c>
      <c r="E35" s="466">
        <v>6312582</v>
      </c>
      <c r="F35" s="466">
        <v>1972987</v>
      </c>
      <c r="G35" s="466">
        <v>1451535</v>
      </c>
      <c r="H35" s="466">
        <v>0</v>
      </c>
      <c r="I35" s="466">
        <v>8448000</v>
      </c>
      <c r="J35" s="466">
        <v>450000</v>
      </c>
      <c r="K35" s="466">
        <v>4064210</v>
      </c>
      <c r="L35" s="466">
        <v>0</v>
      </c>
      <c r="M35" s="466">
        <v>6745444</v>
      </c>
      <c r="N35" s="466">
        <v>10938078</v>
      </c>
      <c r="O35" s="466">
        <v>2927516</v>
      </c>
      <c r="P35" s="467">
        <f t="shared" si="11"/>
        <v>39893061</v>
      </c>
      <c r="Q35" s="466">
        <v>9724742</v>
      </c>
      <c r="R35" s="466">
        <v>3465905</v>
      </c>
      <c r="S35" s="466">
        <v>0</v>
      </c>
      <c r="T35" s="466">
        <v>25344</v>
      </c>
      <c r="U35" s="466">
        <v>91035</v>
      </c>
      <c r="V35" s="466">
        <v>312148</v>
      </c>
      <c r="W35" s="466">
        <v>20709369</v>
      </c>
      <c r="X35" s="466">
        <v>888637</v>
      </c>
      <c r="Y35" s="466">
        <v>381888</v>
      </c>
      <c r="Z35" s="466">
        <v>4295113</v>
      </c>
      <c r="AA35" s="466">
        <v>0</v>
      </c>
      <c r="AB35" s="466">
        <v>-1120</v>
      </c>
      <c r="AC35" s="466">
        <v>1315577</v>
      </c>
      <c r="AD35" s="466">
        <v>429537</v>
      </c>
      <c r="AE35" s="466">
        <v>8498083</v>
      </c>
      <c r="AF35" s="466">
        <v>1770021</v>
      </c>
      <c r="AG35" s="466">
        <v>625839</v>
      </c>
      <c r="AH35" s="466">
        <v>1300548</v>
      </c>
      <c r="AI35" s="466">
        <v>22970984</v>
      </c>
      <c r="AJ35" s="466">
        <v>1740252</v>
      </c>
      <c r="AK35" s="466">
        <v>0</v>
      </c>
      <c r="AL35" s="466">
        <v>1242220</v>
      </c>
      <c r="AM35" s="466">
        <v>0</v>
      </c>
    </row>
    <row r="36" spans="1:39" s="155" customFormat="1" ht="12" x14ac:dyDescent="0.2">
      <c r="A36" s="146">
        <v>3</v>
      </c>
      <c r="B36" s="576">
        <v>89561</v>
      </c>
      <c r="C36" s="422" t="s">
        <v>2820</v>
      </c>
      <c r="D36" s="467">
        <f t="shared" si="10"/>
        <v>12932659</v>
      </c>
      <c r="E36" s="466">
        <v>4440559</v>
      </c>
      <c r="F36" s="466">
        <v>1585502</v>
      </c>
      <c r="G36" s="466">
        <v>980230</v>
      </c>
      <c r="H36" s="466">
        <v>0</v>
      </c>
      <c r="I36" s="466">
        <v>5493000</v>
      </c>
      <c r="J36" s="466">
        <v>200000</v>
      </c>
      <c r="K36" s="466">
        <v>1623130</v>
      </c>
      <c r="L36" s="466">
        <v>0</v>
      </c>
      <c r="M36" s="466">
        <v>124958</v>
      </c>
      <c r="N36" s="466">
        <v>1051012</v>
      </c>
      <c r="O36" s="466">
        <v>0</v>
      </c>
      <c r="P36" s="467">
        <f t="shared" si="11"/>
        <v>12931379</v>
      </c>
      <c r="Q36" s="466">
        <v>5674919</v>
      </c>
      <c r="R36" s="466">
        <v>4429004</v>
      </c>
      <c r="S36" s="466">
        <v>37080</v>
      </c>
      <c r="T36" s="466">
        <v>0</v>
      </c>
      <c r="U36" s="466">
        <v>0</v>
      </c>
      <c r="V36" s="466">
        <v>0</v>
      </c>
      <c r="W36" s="466">
        <v>1031893</v>
      </c>
      <c r="X36" s="466">
        <v>576037</v>
      </c>
      <c r="Y36" s="466">
        <v>35703</v>
      </c>
      <c r="Z36" s="466">
        <v>1026543</v>
      </c>
      <c r="AA36" s="466">
        <v>120200</v>
      </c>
      <c r="AB36" s="466">
        <v>0</v>
      </c>
      <c r="AC36" s="466">
        <v>2128128</v>
      </c>
      <c r="AD36" s="466">
        <v>16571</v>
      </c>
      <c r="AE36" s="466">
        <v>5748331</v>
      </c>
      <c r="AF36" s="466">
        <v>107591</v>
      </c>
      <c r="AG36" s="466">
        <v>1618587</v>
      </c>
      <c r="AH36" s="466">
        <v>963012</v>
      </c>
      <c r="AI36" s="466">
        <v>931898</v>
      </c>
      <c r="AJ36" s="466">
        <v>245462</v>
      </c>
      <c r="AK36" s="466">
        <v>0</v>
      </c>
      <c r="AL36" s="466">
        <v>1171799</v>
      </c>
      <c r="AM36" s="466">
        <v>0</v>
      </c>
    </row>
    <row r="37" spans="1:39" s="155" customFormat="1" ht="12" x14ac:dyDescent="0.2">
      <c r="A37" s="146">
        <v>4</v>
      </c>
      <c r="B37" s="576">
        <v>87576</v>
      </c>
      <c r="C37" s="422" t="s">
        <v>2821</v>
      </c>
      <c r="D37" s="467">
        <f t="shared" si="10"/>
        <v>32084787</v>
      </c>
      <c r="E37" s="466">
        <v>10478265</v>
      </c>
      <c r="F37" s="466">
        <v>5225447</v>
      </c>
      <c r="G37" s="466">
        <v>346106</v>
      </c>
      <c r="H37" s="466">
        <v>0</v>
      </c>
      <c r="I37" s="466">
        <v>9887599</v>
      </c>
      <c r="J37" s="466">
        <v>180777</v>
      </c>
      <c r="K37" s="466">
        <v>865530</v>
      </c>
      <c r="L37" s="466">
        <v>0</v>
      </c>
      <c r="M37" s="466">
        <v>3778160</v>
      </c>
      <c r="N37" s="466">
        <v>6831309</v>
      </c>
      <c r="O37" s="466">
        <v>63147</v>
      </c>
      <c r="P37" s="467">
        <f t="shared" si="11"/>
        <v>31510552</v>
      </c>
      <c r="Q37" s="466">
        <v>11928511</v>
      </c>
      <c r="R37" s="466">
        <v>4857466</v>
      </c>
      <c r="S37" s="466">
        <v>59700</v>
      </c>
      <c r="T37" s="466">
        <v>0</v>
      </c>
      <c r="U37" s="466">
        <v>400830</v>
      </c>
      <c r="V37" s="466">
        <v>0</v>
      </c>
      <c r="W37" s="466">
        <v>9755314</v>
      </c>
      <c r="X37" s="466">
        <v>634665</v>
      </c>
      <c r="Y37" s="466">
        <v>254400</v>
      </c>
      <c r="Z37" s="466">
        <v>3460666</v>
      </c>
      <c r="AA37" s="466">
        <v>159000</v>
      </c>
      <c r="AB37" s="466">
        <v>0</v>
      </c>
      <c r="AC37" s="466">
        <v>3254238</v>
      </c>
      <c r="AD37" s="466">
        <v>542626</v>
      </c>
      <c r="AE37" s="466">
        <v>9439599</v>
      </c>
      <c r="AF37" s="466">
        <v>444908</v>
      </c>
      <c r="AG37" s="466">
        <v>735819</v>
      </c>
      <c r="AH37" s="466">
        <v>2018070</v>
      </c>
      <c r="AI37" s="466">
        <v>3043374</v>
      </c>
      <c r="AJ37" s="466">
        <v>1600564</v>
      </c>
      <c r="AK37" s="466">
        <v>0</v>
      </c>
      <c r="AL37" s="466">
        <v>10431354</v>
      </c>
      <c r="AM37" s="466">
        <v>0</v>
      </c>
    </row>
    <row r="38" spans="1:39" s="155" customFormat="1" ht="12" x14ac:dyDescent="0.2">
      <c r="A38" s="146">
        <v>5</v>
      </c>
      <c r="B38" s="576">
        <v>87077</v>
      </c>
      <c r="C38" s="422" t="s">
        <v>2822</v>
      </c>
      <c r="D38" s="467">
        <f t="shared" si="10"/>
        <v>46692783</v>
      </c>
      <c r="E38" s="466">
        <v>11696757</v>
      </c>
      <c r="F38" s="466">
        <v>6180335</v>
      </c>
      <c r="G38" s="466">
        <v>656672</v>
      </c>
      <c r="H38" s="466">
        <v>0</v>
      </c>
      <c r="I38" s="466">
        <v>15896604</v>
      </c>
      <c r="J38" s="466">
        <v>200000</v>
      </c>
      <c r="K38" s="466">
        <v>2675140</v>
      </c>
      <c r="L38" s="466">
        <v>0</v>
      </c>
      <c r="M38" s="466">
        <v>6303989</v>
      </c>
      <c r="N38" s="466">
        <v>9821692</v>
      </c>
      <c r="O38" s="466">
        <v>98601</v>
      </c>
      <c r="P38" s="467">
        <f t="shared" si="11"/>
        <v>45117301</v>
      </c>
      <c r="Q38" s="466">
        <v>17514937</v>
      </c>
      <c r="R38" s="466">
        <v>7047015</v>
      </c>
      <c r="S38" s="466">
        <v>0</v>
      </c>
      <c r="T38" s="466">
        <v>0</v>
      </c>
      <c r="U38" s="466">
        <v>467443</v>
      </c>
      <c r="V38" s="466">
        <v>0</v>
      </c>
      <c r="W38" s="466">
        <v>16542925</v>
      </c>
      <c r="X38" s="466">
        <v>1604138</v>
      </c>
      <c r="Y38" s="466">
        <v>266256</v>
      </c>
      <c r="Z38" s="466">
        <v>1674587</v>
      </c>
      <c r="AA38" s="466">
        <v>0</v>
      </c>
      <c r="AB38" s="466">
        <v>0</v>
      </c>
      <c r="AC38" s="466">
        <v>4419615</v>
      </c>
      <c r="AD38" s="466">
        <v>218342</v>
      </c>
      <c r="AE38" s="466">
        <v>13494032</v>
      </c>
      <c r="AF38" s="466">
        <v>5737434</v>
      </c>
      <c r="AG38" s="466">
        <v>572045</v>
      </c>
      <c r="AH38" s="466">
        <v>3815014</v>
      </c>
      <c r="AI38" s="466">
        <v>2122765</v>
      </c>
      <c r="AJ38" s="466">
        <v>1089963</v>
      </c>
      <c r="AK38" s="466">
        <v>0</v>
      </c>
      <c r="AL38" s="466">
        <v>13181843</v>
      </c>
      <c r="AM38" s="466">
        <v>466248</v>
      </c>
    </row>
    <row r="39" spans="1:39" s="155" customFormat="1" ht="12" x14ac:dyDescent="0.2">
      <c r="A39" s="146">
        <v>6</v>
      </c>
      <c r="B39" s="576">
        <v>87665</v>
      </c>
      <c r="C39" s="422" t="s">
        <v>2823</v>
      </c>
      <c r="D39" s="467">
        <f t="shared" si="10"/>
        <v>19544987</v>
      </c>
      <c r="E39" s="466">
        <v>8994807</v>
      </c>
      <c r="F39" s="466">
        <v>4848732</v>
      </c>
      <c r="G39" s="466">
        <v>287797</v>
      </c>
      <c r="H39" s="466">
        <v>0</v>
      </c>
      <c r="I39" s="466">
        <v>9178173</v>
      </c>
      <c r="J39" s="466">
        <v>100000</v>
      </c>
      <c r="K39" s="466">
        <v>746260</v>
      </c>
      <c r="L39" s="466">
        <v>0</v>
      </c>
      <c r="M39" s="466">
        <v>525747</v>
      </c>
      <c r="N39" s="466">
        <v>0</v>
      </c>
      <c r="O39" s="466">
        <v>0</v>
      </c>
      <c r="P39" s="467">
        <f t="shared" si="11"/>
        <v>19529637</v>
      </c>
      <c r="Q39" s="466">
        <v>9910802</v>
      </c>
      <c r="R39" s="466">
        <v>5106776</v>
      </c>
      <c r="S39" s="466">
        <v>291686</v>
      </c>
      <c r="T39" s="466">
        <v>0</v>
      </c>
      <c r="U39" s="466">
        <v>779096</v>
      </c>
      <c r="V39" s="466">
        <v>23057</v>
      </c>
      <c r="W39" s="466">
        <v>8644</v>
      </c>
      <c r="X39" s="466">
        <v>1051735</v>
      </c>
      <c r="Y39" s="466">
        <v>335458</v>
      </c>
      <c r="Z39" s="466">
        <v>865789</v>
      </c>
      <c r="AA39" s="466">
        <v>1181548</v>
      </c>
      <c r="AB39" s="466">
        <v>-24954</v>
      </c>
      <c r="AC39" s="466">
        <v>3801598</v>
      </c>
      <c r="AD39" s="466">
        <v>677981</v>
      </c>
      <c r="AE39" s="466">
        <v>8145153</v>
      </c>
      <c r="AF39" s="466">
        <v>234207</v>
      </c>
      <c r="AG39" s="466">
        <v>1334528</v>
      </c>
      <c r="AH39" s="466">
        <v>2486159</v>
      </c>
      <c r="AI39" s="466">
        <v>907134</v>
      </c>
      <c r="AJ39" s="466">
        <v>577851</v>
      </c>
      <c r="AK39" s="466">
        <v>0</v>
      </c>
      <c r="AL39" s="466">
        <v>1335203</v>
      </c>
      <c r="AM39" s="466">
        <v>29823</v>
      </c>
    </row>
    <row r="40" spans="1:39" s="155" customFormat="1" ht="12" x14ac:dyDescent="0.2">
      <c r="A40" s="146">
        <v>7</v>
      </c>
      <c r="B40" s="576">
        <v>87139</v>
      </c>
      <c r="C40" s="422" t="s">
        <v>2824</v>
      </c>
      <c r="D40" s="467">
        <f t="shared" si="10"/>
        <v>19184368</v>
      </c>
      <c r="E40" s="466">
        <v>5449693</v>
      </c>
      <c r="F40" s="466">
        <v>2141177</v>
      </c>
      <c r="G40" s="466">
        <v>396202</v>
      </c>
      <c r="H40" s="466">
        <v>0</v>
      </c>
      <c r="I40" s="466">
        <v>5721453</v>
      </c>
      <c r="J40" s="466">
        <v>0</v>
      </c>
      <c r="K40" s="466">
        <v>1113160</v>
      </c>
      <c r="L40" s="466">
        <v>0</v>
      </c>
      <c r="M40" s="466">
        <v>4508285</v>
      </c>
      <c r="N40" s="466">
        <v>2391777</v>
      </c>
      <c r="O40" s="466">
        <v>0</v>
      </c>
      <c r="P40" s="467">
        <f t="shared" si="11"/>
        <v>19072710</v>
      </c>
      <c r="Q40" s="466">
        <v>6748013</v>
      </c>
      <c r="R40" s="466">
        <v>3094056</v>
      </c>
      <c r="S40" s="466">
        <v>0</v>
      </c>
      <c r="T40" s="466">
        <v>0</v>
      </c>
      <c r="U40" s="466">
        <v>0</v>
      </c>
      <c r="V40" s="466">
        <v>27915</v>
      </c>
      <c r="W40" s="466">
        <v>3496866</v>
      </c>
      <c r="X40" s="466">
        <v>720553</v>
      </c>
      <c r="Y40" s="466">
        <v>573907</v>
      </c>
      <c r="Z40" s="466">
        <v>4416056</v>
      </c>
      <c r="AA40" s="466">
        <v>0</v>
      </c>
      <c r="AB40" s="466">
        <v>-4656</v>
      </c>
      <c r="AC40" s="466">
        <v>1946153</v>
      </c>
      <c r="AD40" s="466">
        <v>112942</v>
      </c>
      <c r="AE40" s="466">
        <v>5131463</v>
      </c>
      <c r="AF40" s="466">
        <v>3144879</v>
      </c>
      <c r="AG40" s="466">
        <v>1190215</v>
      </c>
      <c r="AH40" s="466">
        <v>1057074</v>
      </c>
      <c r="AI40" s="466">
        <v>1476279</v>
      </c>
      <c r="AJ40" s="466">
        <v>625743</v>
      </c>
      <c r="AK40" s="466">
        <v>0</v>
      </c>
      <c r="AL40" s="466">
        <v>3845186</v>
      </c>
      <c r="AM40" s="466">
        <v>542776</v>
      </c>
    </row>
    <row r="41" spans="1:39" s="155" customFormat="1" ht="12" hidden="1" x14ac:dyDescent="0.2">
      <c r="A41" s="146">
        <v>8</v>
      </c>
      <c r="B41" s="161"/>
      <c r="C41" s="173"/>
      <c r="D41" s="432">
        <f t="shared" si="7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3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146">
        <v>9</v>
      </c>
      <c r="B42" s="161"/>
      <c r="C42" s="206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3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161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3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61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3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61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3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61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3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61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3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61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3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61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3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61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3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61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3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61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3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61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3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5"/>
      <c r="C54" s="208"/>
      <c r="D54" s="432">
        <f t="shared" ref="D54:D117" si="12">E54+SUM(H54:O54)</f>
        <v>289948061</v>
      </c>
      <c r="E54" s="432">
        <f>SUM(E55:E143)</f>
        <v>75956601</v>
      </c>
      <c r="F54" s="432">
        <f t="shared" ref="F54:O54" si="13">SUM(F55:F143)</f>
        <v>20346339</v>
      </c>
      <c r="G54" s="432">
        <f t="shared" si="13"/>
        <v>24869238</v>
      </c>
      <c r="H54" s="432">
        <f t="shared" si="13"/>
        <v>0</v>
      </c>
      <c r="I54" s="432">
        <f t="shared" si="13"/>
        <v>62008869</v>
      </c>
      <c r="J54" s="432">
        <f t="shared" si="13"/>
        <v>8296604</v>
      </c>
      <c r="K54" s="432">
        <f t="shared" si="13"/>
        <v>49685900</v>
      </c>
      <c r="L54" s="432">
        <f t="shared" si="13"/>
        <v>0</v>
      </c>
      <c r="M54" s="432">
        <f t="shared" si="13"/>
        <v>43023851</v>
      </c>
      <c r="N54" s="432">
        <f t="shared" si="13"/>
        <v>46653175</v>
      </c>
      <c r="O54" s="432">
        <f t="shared" si="13"/>
        <v>4323061</v>
      </c>
      <c r="P54" s="432">
        <f t="shared" si="3"/>
        <v>271288804</v>
      </c>
      <c r="Q54" s="432">
        <f>SUM(Q55:Q143)</f>
        <v>76223554</v>
      </c>
      <c r="R54" s="432">
        <f t="shared" ref="R54:AM54" si="14">SUM(R55:R143)</f>
        <v>60007974</v>
      </c>
      <c r="S54" s="432">
        <f t="shared" si="14"/>
        <v>683622</v>
      </c>
      <c r="T54" s="432">
        <f t="shared" si="14"/>
        <v>185100</v>
      </c>
      <c r="U54" s="432">
        <f t="shared" si="14"/>
        <v>200829</v>
      </c>
      <c r="V54" s="432">
        <f t="shared" si="14"/>
        <v>123812</v>
      </c>
      <c r="W54" s="432">
        <f t="shared" si="14"/>
        <v>56149427</v>
      </c>
      <c r="X54" s="432">
        <f t="shared" si="14"/>
        <v>10771337</v>
      </c>
      <c r="Y54" s="432">
        <f t="shared" si="14"/>
        <v>2597547</v>
      </c>
      <c r="Z54" s="432">
        <f t="shared" si="14"/>
        <v>60153697</v>
      </c>
      <c r="AA54" s="432">
        <f t="shared" si="14"/>
        <v>4584710</v>
      </c>
      <c r="AB54" s="432">
        <f t="shared" si="14"/>
        <v>-392805</v>
      </c>
      <c r="AC54" s="432">
        <f t="shared" si="14"/>
        <v>49352859</v>
      </c>
      <c r="AD54" s="432">
        <f t="shared" si="14"/>
        <v>1047838</v>
      </c>
      <c r="AE54" s="432">
        <f t="shared" si="14"/>
        <v>52669702</v>
      </c>
      <c r="AF54" s="432">
        <f t="shared" si="14"/>
        <v>645333</v>
      </c>
      <c r="AG54" s="432">
        <f t="shared" si="14"/>
        <v>22365133</v>
      </c>
      <c r="AH54" s="432">
        <f t="shared" si="14"/>
        <v>20354882</v>
      </c>
      <c r="AI54" s="432">
        <f t="shared" si="14"/>
        <v>35206628</v>
      </c>
      <c r="AJ54" s="432">
        <f t="shared" si="14"/>
        <v>12771631</v>
      </c>
      <c r="AK54" s="432">
        <f t="shared" si="14"/>
        <v>200720</v>
      </c>
      <c r="AL54" s="432">
        <f>SUM(AL55:AL143)</f>
        <v>62832983</v>
      </c>
      <c r="AM54" s="432">
        <f t="shared" si="14"/>
        <v>13841095</v>
      </c>
    </row>
    <row r="55" spans="1:39" s="155" customFormat="1" ht="12" x14ac:dyDescent="0.2">
      <c r="A55" s="168">
        <v>1</v>
      </c>
      <c r="B55" s="576">
        <v>87745</v>
      </c>
      <c r="C55" s="422" t="s">
        <v>2825</v>
      </c>
      <c r="D55" s="467">
        <f t="shared" ref="D55:D86" si="15">E55+SUM(H55:O55)</f>
        <v>3926430</v>
      </c>
      <c r="E55" s="466">
        <v>1039014</v>
      </c>
      <c r="F55" s="466">
        <v>212805</v>
      </c>
      <c r="G55" s="466">
        <v>377613</v>
      </c>
      <c r="H55" s="466">
        <v>0</v>
      </c>
      <c r="I55" s="466">
        <v>1401888</v>
      </c>
      <c r="J55" s="466">
        <v>200000</v>
      </c>
      <c r="K55" s="466">
        <v>685040</v>
      </c>
      <c r="L55" s="466">
        <v>0</v>
      </c>
      <c r="M55" s="466">
        <v>190977</v>
      </c>
      <c r="N55" s="466">
        <v>409511</v>
      </c>
      <c r="O55" s="466">
        <v>0</v>
      </c>
      <c r="P55" s="467">
        <f>IF(SUM(Q55:AB55)=SUM(AC55:AM55),SUM(Q55:AB55),"  EROARE ART/CAP")</f>
        <v>3744006</v>
      </c>
      <c r="Q55" s="466">
        <v>1517327</v>
      </c>
      <c r="R55" s="466">
        <v>696455</v>
      </c>
      <c r="S55" s="466">
        <v>0</v>
      </c>
      <c r="T55" s="466">
        <v>0</v>
      </c>
      <c r="U55" s="466">
        <v>0</v>
      </c>
      <c r="V55" s="466">
        <v>10286</v>
      </c>
      <c r="W55" s="466">
        <v>530645</v>
      </c>
      <c r="X55" s="466">
        <v>312259</v>
      </c>
      <c r="Y55" s="466">
        <v>52112</v>
      </c>
      <c r="Z55" s="466">
        <v>624922</v>
      </c>
      <c r="AA55" s="466">
        <v>0</v>
      </c>
      <c r="AB55" s="466">
        <v>0</v>
      </c>
      <c r="AC55" s="466">
        <v>785563</v>
      </c>
      <c r="AD55" s="466">
        <v>50991</v>
      </c>
      <c r="AE55" s="466">
        <v>1092172</v>
      </c>
      <c r="AF55" s="466">
        <v>13130</v>
      </c>
      <c r="AG55" s="466">
        <v>644964</v>
      </c>
      <c r="AH55" s="466">
        <v>429065</v>
      </c>
      <c r="AI55" s="466">
        <v>294959</v>
      </c>
      <c r="AJ55" s="466">
        <v>80000</v>
      </c>
      <c r="AK55" s="466">
        <v>0</v>
      </c>
      <c r="AL55" s="466">
        <v>353162</v>
      </c>
      <c r="AM55" s="466">
        <v>0</v>
      </c>
    </row>
    <row r="56" spans="1:39" s="155" customFormat="1" ht="12" x14ac:dyDescent="0.2">
      <c r="A56" s="168">
        <v>2</v>
      </c>
      <c r="B56" s="576">
        <v>87843</v>
      </c>
      <c r="C56" s="422" t="s">
        <v>2826</v>
      </c>
      <c r="D56" s="467">
        <f t="shared" si="15"/>
        <v>3138976</v>
      </c>
      <c r="E56" s="466">
        <v>793990</v>
      </c>
      <c r="F56" s="466">
        <v>45835</v>
      </c>
      <c r="G56" s="466">
        <v>589900</v>
      </c>
      <c r="H56" s="466">
        <v>0</v>
      </c>
      <c r="I56" s="466">
        <v>362000</v>
      </c>
      <c r="J56" s="466">
        <v>200000</v>
      </c>
      <c r="K56" s="466">
        <v>884820</v>
      </c>
      <c r="L56" s="466">
        <v>0</v>
      </c>
      <c r="M56" s="466">
        <v>173227</v>
      </c>
      <c r="N56" s="466">
        <v>653145</v>
      </c>
      <c r="O56" s="466">
        <v>71794</v>
      </c>
      <c r="P56" s="467">
        <f>IF(SUM(Q56:AB56)=SUM(AC56:AM56),SUM(Q56:AB56),"  EROARE ART/CAP")</f>
        <v>2414524</v>
      </c>
      <c r="Q56" s="466">
        <v>510558</v>
      </c>
      <c r="R56" s="466">
        <v>561109</v>
      </c>
      <c r="S56" s="466">
        <v>0</v>
      </c>
      <c r="T56" s="466">
        <v>0</v>
      </c>
      <c r="U56" s="466">
        <v>0</v>
      </c>
      <c r="V56" s="466">
        <v>0</v>
      </c>
      <c r="W56" s="466">
        <v>369882</v>
      </c>
      <c r="X56" s="466">
        <v>170562</v>
      </c>
      <c r="Y56" s="466">
        <v>15728</v>
      </c>
      <c r="Z56" s="466">
        <v>786685</v>
      </c>
      <c r="AA56" s="466">
        <v>0</v>
      </c>
      <c r="AB56" s="466">
        <v>0</v>
      </c>
      <c r="AC56" s="466">
        <v>674207</v>
      </c>
      <c r="AD56" s="466">
        <v>0</v>
      </c>
      <c r="AE56" s="466">
        <v>149920</v>
      </c>
      <c r="AF56" s="466">
        <v>0</v>
      </c>
      <c r="AG56" s="466">
        <v>803716</v>
      </c>
      <c r="AH56" s="466">
        <v>218354</v>
      </c>
      <c r="AI56" s="466">
        <v>78184</v>
      </c>
      <c r="AJ56" s="466">
        <v>0</v>
      </c>
      <c r="AK56" s="466">
        <v>0</v>
      </c>
      <c r="AL56" s="466">
        <v>464430</v>
      </c>
      <c r="AM56" s="466">
        <v>25713</v>
      </c>
    </row>
    <row r="57" spans="1:39" s="155" customFormat="1" ht="12" x14ac:dyDescent="0.2">
      <c r="A57" s="168">
        <v>3</v>
      </c>
      <c r="B57" s="576">
        <v>87996</v>
      </c>
      <c r="C57" s="422" t="s">
        <v>2827</v>
      </c>
      <c r="D57" s="467">
        <f t="shared" si="15"/>
        <v>4762017</v>
      </c>
      <c r="E57" s="466">
        <v>1397299</v>
      </c>
      <c r="F57" s="466">
        <v>459899</v>
      </c>
      <c r="G57" s="466">
        <v>344241</v>
      </c>
      <c r="H57" s="466">
        <v>0</v>
      </c>
      <c r="I57" s="466">
        <v>2089334</v>
      </c>
      <c r="J57" s="466">
        <v>150000</v>
      </c>
      <c r="K57" s="466">
        <v>809170</v>
      </c>
      <c r="L57" s="466">
        <v>0</v>
      </c>
      <c r="M57" s="466">
        <v>96810</v>
      </c>
      <c r="N57" s="466">
        <v>118364</v>
      </c>
      <c r="O57" s="466">
        <v>101040</v>
      </c>
      <c r="P57" s="467">
        <f>IF(SUM(Q57:AB57)=SUM(AC57:AM57),SUM(Q57:AB57),"  EROARE ART/CAP")</f>
        <v>4570124</v>
      </c>
      <c r="Q57" s="466">
        <v>2313774</v>
      </c>
      <c r="R57" s="466">
        <v>1233699</v>
      </c>
      <c r="S57" s="466">
        <v>0</v>
      </c>
      <c r="T57" s="466">
        <v>0</v>
      </c>
      <c r="U57" s="466">
        <v>100000</v>
      </c>
      <c r="V57" s="466">
        <v>0</v>
      </c>
      <c r="W57" s="466">
        <v>183695</v>
      </c>
      <c r="X57" s="466">
        <v>249244</v>
      </c>
      <c r="Y57" s="466">
        <v>124255</v>
      </c>
      <c r="Z57" s="466">
        <v>365457</v>
      </c>
      <c r="AA57" s="466">
        <v>0</v>
      </c>
      <c r="AB57" s="466">
        <v>0</v>
      </c>
      <c r="AC57" s="466">
        <v>987969</v>
      </c>
      <c r="AD57" s="466">
        <v>64171</v>
      </c>
      <c r="AE57" s="466">
        <v>1775414</v>
      </c>
      <c r="AF57" s="466">
        <v>0</v>
      </c>
      <c r="AG57" s="466">
        <v>605653</v>
      </c>
      <c r="AH57" s="466">
        <v>593110</v>
      </c>
      <c r="AI57" s="466">
        <v>297865</v>
      </c>
      <c r="AJ57" s="466">
        <v>4294</v>
      </c>
      <c r="AK57" s="466">
        <v>0</v>
      </c>
      <c r="AL57" s="466">
        <v>59767</v>
      </c>
      <c r="AM57" s="466">
        <v>181881</v>
      </c>
    </row>
    <row r="58" spans="1:39" s="155" customFormat="1" ht="12" x14ac:dyDescent="0.2">
      <c r="A58" s="168">
        <v>4</v>
      </c>
      <c r="B58" s="576">
        <v>88047</v>
      </c>
      <c r="C58" s="422" t="s">
        <v>2828</v>
      </c>
      <c r="D58" s="467">
        <f t="shared" si="15"/>
        <v>3577899</v>
      </c>
      <c r="E58" s="466">
        <v>1804370</v>
      </c>
      <c r="F58" s="466">
        <v>757119</v>
      </c>
      <c r="G58" s="466">
        <v>143631</v>
      </c>
      <c r="H58" s="466">
        <v>0</v>
      </c>
      <c r="I58" s="466">
        <v>866890</v>
      </c>
      <c r="J58" s="466">
        <v>50000</v>
      </c>
      <c r="K58" s="466">
        <v>308480</v>
      </c>
      <c r="L58" s="466">
        <v>0</v>
      </c>
      <c r="M58" s="466">
        <v>122779</v>
      </c>
      <c r="N58" s="466">
        <v>399910</v>
      </c>
      <c r="O58" s="466">
        <v>25470</v>
      </c>
      <c r="P58" s="467">
        <f>IF(SUM(Q58:AB58)=SUM(AC58:AM58),SUM(Q58:AB58),"  EROARE ART/CAP")</f>
        <v>3436207</v>
      </c>
      <c r="Q58" s="466">
        <v>1102336</v>
      </c>
      <c r="R58" s="466">
        <v>1110078</v>
      </c>
      <c r="S58" s="466">
        <v>150000</v>
      </c>
      <c r="T58" s="466">
        <v>0</v>
      </c>
      <c r="U58" s="466">
        <v>0</v>
      </c>
      <c r="V58" s="466">
        <v>0</v>
      </c>
      <c r="W58" s="466">
        <v>364704</v>
      </c>
      <c r="X58" s="466">
        <v>181734</v>
      </c>
      <c r="Y58" s="466">
        <v>15000</v>
      </c>
      <c r="Z58" s="466">
        <v>293192</v>
      </c>
      <c r="AA58" s="466">
        <v>225000</v>
      </c>
      <c r="AB58" s="466">
        <v>-5837</v>
      </c>
      <c r="AC58" s="466">
        <v>877451</v>
      </c>
      <c r="AD58" s="466">
        <v>0</v>
      </c>
      <c r="AE58" s="466">
        <v>738682</v>
      </c>
      <c r="AF58" s="466">
        <v>11645</v>
      </c>
      <c r="AG58" s="466">
        <v>947717</v>
      </c>
      <c r="AH58" s="466">
        <v>257102</v>
      </c>
      <c r="AI58" s="466">
        <v>394441</v>
      </c>
      <c r="AJ58" s="466">
        <v>0</v>
      </c>
      <c r="AK58" s="466">
        <v>0</v>
      </c>
      <c r="AL58" s="466">
        <v>42809</v>
      </c>
      <c r="AM58" s="466">
        <v>166360</v>
      </c>
    </row>
    <row r="59" spans="1:39" s="155" customFormat="1" ht="12" x14ac:dyDescent="0.2">
      <c r="A59" s="168">
        <v>5</v>
      </c>
      <c r="B59" s="576">
        <v>88092</v>
      </c>
      <c r="C59" s="422" t="s">
        <v>2829</v>
      </c>
      <c r="D59" s="467">
        <f t="shared" si="15"/>
        <v>5861520</v>
      </c>
      <c r="E59" s="466">
        <v>1469537</v>
      </c>
      <c r="F59" s="466">
        <v>230436</v>
      </c>
      <c r="G59" s="466">
        <v>549262</v>
      </c>
      <c r="H59" s="466">
        <v>0</v>
      </c>
      <c r="I59" s="466">
        <v>2082321</v>
      </c>
      <c r="J59" s="466">
        <v>100000</v>
      </c>
      <c r="K59" s="466">
        <v>1443470</v>
      </c>
      <c r="L59" s="466">
        <v>0</v>
      </c>
      <c r="M59" s="466">
        <v>466188</v>
      </c>
      <c r="N59" s="466">
        <v>232854</v>
      </c>
      <c r="O59" s="466">
        <v>67150</v>
      </c>
      <c r="P59" s="467">
        <f>IF(SUM(Q59:AB59)=SUM(AC59:AM59),SUM(Q59:AB59),"  EROARE ART/CAP")</f>
        <v>5950932</v>
      </c>
      <c r="Q59" s="466">
        <v>2198022</v>
      </c>
      <c r="R59" s="466">
        <v>1605858</v>
      </c>
      <c r="S59" s="466">
        <v>0</v>
      </c>
      <c r="T59" s="466">
        <v>0</v>
      </c>
      <c r="U59" s="466">
        <v>0</v>
      </c>
      <c r="V59" s="466">
        <v>0</v>
      </c>
      <c r="W59" s="466">
        <v>473657</v>
      </c>
      <c r="X59" s="466">
        <v>433188</v>
      </c>
      <c r="Y59" s="466">
        <v>108000</v>
      </c>
      <c r="Z59" s="466">
        <v>1132207</v>
      </c>
      <c r="AA59" s="466">
        <v>0</v>
      </c>
      <c r="AB59" s="466">
        <v>0</v>
      </c>
      <c r="AC59" s="466">
        <v>729980</v>
      </c>
      <c r="AD59" s="466">
        <v>3626</v>
      </c>
      <c r="AE59" s="466">
        <v>1823684</v>
      </c>
      <c r="AF59" s="466">
        <v>0</v>
      </c>
      <c r="AG59" s="466">
        <v>1058048</v>
      </c>
      <c r="AH59" s="466">
        <v>572214</v>
      </c>
      <c r="AI59" s="466">
        <v>643551</v>
      </c>
      <c r="AJ59" s="466">
        <v>40382</v>
      </c>
      <c r="AK59" s="466">
        <v>0</v>
      </c>
      <c r="AL59" s="466">
        <v>1012297</v>
      </c>
      <c r="AM59" s="466">
        <v>67150</v>
      </c>
    </row>
    <row r="60" spans="1:39" s="155" customFormat="1" ht="12" x14ac:dyDescent="0.2">
      <c r="A60" s="168">
        <v>6</v>
      </c>
      <c r="B60" s="576">
        <v>87246</v>
      </c>
      <c r="C60" s="422" t="s">
        <v>2830</v>
      </c>
      <c r="D60" s="467">
        <f t="shared" si="15"/>
        <v>2954442</v>
      </c>
      <c r="E60" s="466">
        <v>810038</v>
      </c>
      <c r="F60" s="466">
        <v>98571</v>
      </c>
      <c r="G60" s="466">
        <v>509679</v>
      </c>
      <c r="H60" s="466">
        <v>0</v>
      </c>
      <c r="I60" s="466">
        <v>795876</v>
      </c>
      <c r="J60" s="466">
        <v>200000</v>
      </c>
      <c r="K60" s="466">
        <v>673670</v>
      </c>
      <c r="L60" s="466">
        <v>0</v>
      </c>
      <c r="M60" s="466">
        <v>102931</v>
      </c>
      <c r="N60" s="466">
        <v>323347</v>
      </c>
      <c r="O60" s="466">
        <v>48580</v>
      </c>
      <c r="P60" s="467">
        <f t="shared" ref="P60:P71" si="16">IF(SUM(Q60:AB60)=SUM(AC60:AM60),SUM(Q60:AB60),"  EROARE ART/CAP")</f>
        <v>2779353</v>
      </c>
      <c r="Q60" s="466">
        <v>1058750</v>
      </c>
      <c r="R60" s="466">
        <v>878903</v>
      </c>
      <c r="S60" s="466">
        <v>0</v>
      </c>
      <c r="T60" s="466">
        <v>0</v>
      </c>
      <c r="U60" s="466">
        <v>0</v>
      </c>
      <c r="V60" s="466">
        <v>0</v>
      </c>
      <c r="W60" s="466">
        <v>425536</v>
      </c>
      <c r="X60" s="466">
        <v>89703</v>
      </c>
      <c r="Y60" s="466">
        <v>20000</v>
      </c>
      <c r="Z60" s="466">
        <v>306461</v>
      </c>
      <c r="AA60" s="466">
        <v>0</v>
      </c>
      <c r="AB60" s="466">
        <v>0</v>
      </c>
      <c r="AC60" s="466">
        <v>600522</v>
      </c>
      <c r="AD60" s="466">
        <v>0</v>
      </c>
      <c r="AE60" s="466">
        <v>667943</v>
      </c>
      <c r="AF60" s="466">
        <v>0</v>
      </c>
      <c r="AG60" s="466">
        <v>128439</v>
      </c>
      <c r="AH60" s="466">
        <v>212429</v>
      </c>
      <c r="AI60" s="466">
        <v>198000</v>
      </c>
      <c r="AJ60" s="466">
        <v>0</v>
      </c>
      <c r="AK60" s="466">
        <v>0</v>
      </c>
      <c r="AL60" s="466">
        <v>917020</v>
      </c>
      <c r="AM60" s="466">
        <v>55000</v>
      </c>
    </row>
    <row r="61" spans="1:39" s="155" customFormat="1" ht="12" x14ac:dyDescent="0.2">
      <c r="A61" s="168">
        <v>7</v>
      </c>
      <c r="B61" s="576">
        <v>88216</v>
      </c>
      <c r="C61" s="422" t="s">
        <v>2831</v>
      </c>
      <c r="D61" s="467">
        <f t="shared" si="15"/>
        <v>1695546</v>
      </c>
      <c r="E61" s="466">
        <v>756686</v>
      </c>
      <c r="F61" s="466">
        <v>7360</v>
      </c>
      <c r="G61" s="466">
        <v>636856</v>
      </c>
      <c r="H61" s="466">
        <v>0</v>
      </c>
      <c r="I61" s="466">
        <v>58850</v>
      </c>
      <c r="J61" s="466">
        <v>50000</v>
      </c>
      <c r="K61" s="466">
        <v>805010</v>
      </c>
      <c r="L61" s="466">
        <v>0</v>
      </c>
      <c r="M61" s="466">
        <v>0</v>
      </c>
      <c r="N61" s="466">
        <v>0</v>
      </c>
      <c r="O61" s="466">
        <v>25000</v>
      </c>
      <c r="P61" s="467">
        <f t="shared" si="16"/>
        <v>1542456</v>
      </c>
      <c r="Q61" s="466">
        <v>176775</v>
      </c>
      <c r="R61" s="466">
        <v>178867</v>
      </c>
      <c r="S61" s="466">
        <v>0</v>
      </c>
      <c r="T61" s="466">
        <v>0</v>
      </c>
      <c r="U61" s="466">
        <v>0</v>
      </c>
      <c r="V61" s="466">
        <v>0</v>
      </c>
      <c r="W61" s="466">
        <v>0</v>
      </c>
      <c r="X61" s="466">
        <v>58850</v>
      </c>
      <c r="Y61" s="466">
        <v>0</v>
      </c>
      <c r="Z61" s="466">
        <v>1127964</v>
      </c>
      <c r="AA61" s="466">
        <v>0</v>
      </c>
      <c r="AB61" s="466">
        <v>0</v>
      </c>
      <c r="AC61" s="466">
        <v>408850</v>
      </c>
      <c r="AD61" s="466">
        <v>0</v>
      </c>
      <c r="AE61" s="466">
        <v>0</v>
      </c>
      <c r="AF61" s="466">
        <v>0</v>
      </c>
      <c r="AG61" s="466">
        <v>0</v>
      </c>
      <c r="AH61" s="466">
        <v>58850</v>
      </c>
      <c r="AI61" s="466">
        <v>195248</v>
      </c>
      <c r="AJ61" s="466">
        <v>0</v>
      </c>
      <c r="AK61" s="466">
        <v>0</v>
      </c>
      <c r="AL61" s="466">
        <v>879508</v>
      </c>
      <c r="AM61" s="466">
        <v>0</v>
      </c>
    </row>
    <row r="62" spans="1:39" s="155" customFormat="1" ht="12" x14ac:dyDescent="0.2">
      <c r="A62" s="168">
        <v>8</v>
      </c>
      <c r="B62" s="576">
        <v>88261</v>
      </c>
      <c r="C62" s="422" t="s">
        <v>2832</v>
      </c>
      <c r="D62" s="467">
        <f t="shared" si="15"/>
        <v>5895913</v>
      </c>
      <c r="E62" s="466">
        <v>1751282</v>
      </c>
      <c r="F62" s="466">
        <v>417457</v>
      </c>
      <c r="G62" s="466">
        <v>459415</v>
      </c>
      <c r="H62" s="466">
        <v>0</v>
      </c>
      <c r="I62" s="466">
        <v>1533976</v>
      </c>
      <c r="J62" s="466">
        <v>250000</v>
      </c>
      <c r="K62" s="466">
        <v>1077510</v>
      </c>
      <c r="L62" s="466">
        <v>0</v>
      </c>
      <c r="M62" s="466">
        <v>291146</v>
      </c>
      <c r="N62" s="466">
        <v>191522</v>
      </c>
      <c r="O62" s="466">
        <v>800477</v>
      </c>
      <c r="P62" s="467">
        <f t="shared" si="16"/>
        <v>5944959</v>
      </c>
      <c r="Q62" s="466">
        <v>1888698</v>
      </c>
      <c r="R62" s="466">
        <v>1393861</v>
      </c>
      <c r="S62" s="466">
        <v>0</v>
      </c>
      <c r="T62" s="466">
        <v>0</v>
      </c>
      <c r="U62" s="466">
        <v>0</v>
      </c>
      <c r="V62" s="466">
        <v>0</v>
      </c>
      <c r="W62" s="466">
        <f>195571+16306</f>
        <v>211877</v>
      </c>
      <c r="X62" s="466">
        <f>198512</f>
        <v>198512</v>
      </c>
      <c r="Y62" s="466">
        <v>68140</v>
      </c>
      <c r="Z62" s="466">
        <v>2183871</v>
      </c>
      <c r="AA62" s="466">
        <v>0</v>
      </c>
      <c r="AB62" s="466">
        <v>0</v>
      </c>
      <c r="AC62" s="466">
        <v>931956</v>
      </c>
      <c r="AD62" s="466">
        <v>0</v>
      </c>
      <c r="AE62" s="466">
        <v>1419114</v>
      </c>
      <c r="AF62" s="466">
        <v>0</v>
      </c>
      <c r="AG62" s="466">
        <v>202731</v>
      </c>
      <c r="AH62" s="466">
        <v>443564</v>
      </c>
      <c r="AI62" s="466">
        <v>170552</v>
      </c>
      <c r="AJ62" s="466">
        <v>1796469</v>
      </c>
      <c r="AK62" s="466">
        <v>0</v>
      </c>
      <c r="AL62" s="466">
        <v>917584</v>
      </c>
      <c r="AM62" s="466">
        <v>62989</v>
      </c>
    </row>
    <row r="63" spans="1:39" s="155" customFormat="1" ht="12" x14ac:dyDescent="0.2">
      <c r="A63" s="168">
        <v>9</v>
      </c>
      <c r="B63" s="576">
        <v>88350</v>
      </c>
      <c r="C63" s="422" t="s">
        <v>2833</v>
      </c>
      <c r="D63" s="467">
        <f t="shared" si="15"/>
        <v>4422898</v>
      </c>
      <c r="E63" s="466">
        <v>764379</v>
      </c>
      <c r="F63" s="466">
        <v>44842</v>
      </c>
      <c r="G63" s="466">
        <v>622183</v>
      </c>
      <c r="H63" s="466">
        <v>0</v>
      </c>
      <c r="I63" s="466">
        <v>765499</v>
      </c>
      <c r="J63" s="466">
        <v>150000</v>
      </c>
      <c r="K63" s="466">
        <v>1057770</v>
      </c>
      <c r="L63" s="466">
        <v>0</v>
      </c>
      <c r="M63" s="466">
        <v>1210230</v>
      </c>
      <c r="N63" s="466">
        <v>423478</v>
      </c>
      <c r="O63" s="466">
        <v>51542</v>
      </c>
      <c r="P63" s="467">
        <f t="shared" si="16"/>
        <v>3636680</v>
      </c>
      <c r="Q63" s="466">
        <v>932843</v>
      </c>
      <c r="R63" s="466">
        <v>499764</v>
      </c>
      <c r="S63" s="466">
        <v>0</v>
      </c>
      <c r="T63" s="466">
        <v>0</v>
      </c>
      <c r="U63" s="466">
        <v>0</v>
      </c>
      <c r="V63" s="466">
        <v>0</v>
      </c>
      <c r="W63" s="466">
        <v>543244</v>
      </c>
      <c r="X63" s="466">
        <v>215767</v>
      </c>
      <c r="Y63" s="466">
        <v>9280</v>
      </c>
      <c r="Z63" s="466">
        <v>1435782</v>
      </c>
      <c r="AA63" s="466">
        <v>0</v>
      </c>
      <c r="AB63" s="466">
        <v>0</v>
      </c>
      <c r="AC63" s="466">
        <v>606186</v>
      </c>
      <c r="AD63" s="466">
        <v>0</v>
      </c>
      <c r="AE63" s="466">
        <v>247237</v>
      </c>
      <c r="AF63" s="466">
        <v>0</v>
      </c>
      <c r="AG63" s="466">
        <v>67189</v>
      </c>
      <c r="AH63" s="466">
        <v>550267</v>
      </c>
      <c r="AI63" s="466">
        <v>162747</v>
      </c>
      <c r="AJ63" s="466">
        <v>0</v>
      </c>
      <c r="AK63" s="466">
        <v>0</v>
      </c>
      <c r="AL63" s="466">
        <v>1998706</v>
      </c>
      <c r="AM63" s="466">
        <v>4348</v>
      </c>
    </row>
    <row r="64" spans="1:39" s="155" customFormat="1" ht="12" x14ac:dyDescent="0.2">
      <c r="A64" s="168">
        <v>10</v>
      </c>
      <c r="B64" s="576">
        <v>88449</v>
      </c>
      <c r="C64" s="422" t="s">
        <v>2834</v>
      </c>
      <c r="D64" s="467">
        <f t="shared" si="15"/>
        <v>5186126</v>
      </c>
      <c r="E64" s="466">
        <v>1288022</v>
      </c>
      <c r="F64" s="466">
        <v>116724</v>
      </c>
      <c r="G64" s="466">
        <v>439765</v>
      </c>
      <c r="H64" s="466">
        <v>0</v>
      </c>
      <c r="I64" s="466">
        <v>1433846</v>
      </c>
      <c r="J64" s="466">
        <v>0</v>
      </c>
      <c r="K64" s="466">
        <v>815560</v>
      </c>
      <c r="L64" s="466">
        <v>0</v>
      </c>
      <c r="M64" s="466">
        <v>1071908</v>
      </c>
      <c r="N64" s="466">
        <v>551790</v>
      </c>
      <c r="O64" s="466">
        <v>25000</v>
      </c>
      <c r="P64" s="467">
        <f t="shared" si="16"/>
        <v>4922373</v>
      </c>
      <c r="Q64" s="466">
        <v>1900370</v>
      </c>
      <c r="R64" s="466">
        <v>675285</v>
      </c>
      <c r="S64" s="466">
        <v>0</v>
      </c>
      <c r="T64" s="466">
        <v>0</v>
      </c>
      <c r="U64" s="466">
        <v>0</v>
      </c>
      <c r="V64" s="466">
        <v>5406</v>
      </c>
      <c r="W64" s="466">
        <v>729120</v>
      </c>
      <c r="X64" s="466">
        <v>116371</v>
      </c>
      <c r="Y64" s="466">
        <v>77681</v>
      </c>
      <c r="Z64" s="466">
        <v>1418140</v>
      </c>
      <c r="AA64" s="466">
        <v>0</v>
      </c>
      <c r="AB64" s="466">
        <v>0</v>
      </c>
      <c r="AC64" s="466">
        <v>618837</v>
      </c>
      <c r="AD64" s="466">
        <v>79904</v>
      </c>
      <c r="AE64" s="466">
        <v>1254793</v>
      </c>
      <c r="AF64" s="466">
        <v>0</v>
      </c>
      <c r="AG64" s="466">
        <v>212140</v>
      </c>
      <c r="AH64" s="466">
        <v>412269</v>
      </c>
      <c r="AI64" s="466">
        <v>190906</v>
      </c>
      <c r="AJ64" s="466">
        <v>938487</v>
      </c>
      <c r="AK64" s="466">
        <v>0</v>
      </c>
      <c r="AL64" s="466">
        <v>484147</v>
      </c>
      <c r="AM64" s="466">
        <v>730890</v>
      </c>
    </row>
    <row r="65" spans="1:39" s="155" customFormat="1" ht="12" x14ac:dyDescent="0.2">
      <c r="A65" s="168">
        <v>11</v>
      </c>
      <c r="B65" s="576">
        <v>88546</v>
      </c>
      <c r="C65" s="422" t="s">
        <v>2835</v>
      </c>
      <c r="D65" s="467">
        <f t="shared" si="15"/>
        <v>4981500</v>
      </c>
      <c r="E65" s="466">
        <v>984529</v>
      </c>
      <c r="F65" s="466">
        <v>110350</v>
      </c>
      <c r="G65" s="466">
        <v>490115</v>
      </c>
      <c r="H65" s="466">
        <v>0</v>
      </c>
      <c r="I65" s="466">
        <v>827036</v>
      </c>
      <c r="J65" s="466">
        <v>100000</v>
      </c>
      <c r="K65" s="466">
        <v>803540</v>
      </c>
      <c r="L65" s="466">
        <v>0</v>
      </c>
      <c r="M65" s="466">
        <v>1615740</v>
      </c>
      <c r="N65" s="466">
        <v>604433</v>
      </c>
      <c r="O65" s="466">
        <v>46222</v>
      </c>
      <c r="P65" s="467">
        <f t="shared" si="16"/>
        <v>5068614</v>
      </c>
      <c r="Q65" s="466">
        <v>1189507</v>
      </c>
      <c r="R65" s="466">
        <v>863804</v>
      </c>
      <c r="S65" s="466">
        <v>0</v>
      </c>
      <c r="T65" s="466">
        <v>0</v>
      </c>
      <c r="U65" s="466">
        <v>18000</v>
      </c>
      <c r="V65" s="466">
        <v>0</v>
      </c>
      <c r="W65" s="466">
        <v>1034276</v>
      </c>
      <c r="X65" s="466">
        <v>164122</v>
      </c>
      <c r="Y65" s="466">
        <v>25440</v>
      </c>
      <c r="Z65" s="466">
        <v>1785765</v>
      </c>
      <c r="AA65" s="466">
        <v>0</v>
      </c>
      <c r="AB65" s="466">
        <v>-12300</v>
      </c>
      <c r="AC65" s="466">
        <v>693398</v>
      </c>
      <c r="AD65" s="466">
        <v>41223</v>
      </c>
      <c r="AE65" s="466">
        <v>645546</v>
      </c>
      <c r="AF65" s="466">
        <v>10000</v>
      </c>
      <c r="AG65" s="466">
        <v>77525</v>
      </c>
      <c r="AH65" s="466">
        <v>275084</v>
      </c>
      <c r="AI65" s="466">
        <v>493049</v>
      </c>
      <c r="AJ65" s="466">
        <v>8000</v>
      </c>
      <c r="AK65" s="466">
        <v>0</v>
      </c>
      <c r="AL65" s="466">
        <v>2496838</v>
      </c>
      <c r="AM65" s="466">
        <v>327951</v>
      </c>
    </row>
    <row r="66" spans="1:39" s="155" customFormat="1" ht="12" x14ac:dyDescent="0.2">
      <c r="A66" s="168">
        <v>12</v>
      </c>
      <c r="B66" s="576">
        <v>88644</v>
      </c>
      <c r="C66" s="422" t="s">
        <v>2836</v>
      </c>
      <c r="D66" s="467">
        <f t="shared" si="15"/>
        <v>4361602</v>
      </c>
      <c r="E66" s="466">
        <v>1456639</v>
      </c>
      <c r="F66" s="466">
        <v>338915</v>
      </c>
      <c r="G66" s="466">
        <v>365129</v>
      </c>
      <c r="H66" s="466">
        <v>0</v>
      </c>
      <c r="I66" s="466">
        <v>1627524</v>
      </c>
      <c r="J66" s="466">
        <v>196666</v>
      </c>
      <c r="K66" s="466">
        <v>1063520</v>
      </c>
      <c r="L66" s="466">
        <v>0</v>
      </c>
      <c r="M66" s="466">
        <v>17253</v>
      </c>
      <c r="N66" s="466">
        <v>0</v>
      </c>
      <c r="O66" s="466">
        <v>0</v>
      </c>
      <c r="P66" s="467">
        <f t="shared" si="16"/>
        <v>3789891</v>
      </c>
      <c r="Q66" s="466">
        <v>1925398</v>
      </c>
      <c r="R66" s="466">
        <v>773274</v>
      </c>
      <c r="S66" s="466">
        <v>0</v>
      </c>
      <c r="T66" s="466">
        <v>0</v>
      </c>
      <c r="U66" s="466">
        <v>0</v>
      </c>
      <c r="V66" s="466">
        <v>7756</v>
      </c>
      <c r="W66" s="466">
        <v>0</v>
      </c>
      <c r="X66" s="466">
        <v>176704</v>
      </c>
      <c r="Y66" s="466">
        <v>39990</v>
      </c>
      <c r="Z66" s="466">
        <v>868369</v>
      </c>
      <c r="AA66" s="466">
        <v>0</v>
      </c>
      <c r="AB66" s="466">
        <v>-1600</v>
      </c>
      <c r="AC66" s="466">
        <v>596396</v>
      </c>
      <c r="AD66" s="466">
        <v>157720</v>
      </c>
      <c r="AE66" s="466">
        <v>1370641</v>
      </c>
      <c r="AF66" s="466">
        <v>0</v>
      </c>
      <c r="AG66" s="466">
        <v>40885</v>
      </c>
      <c r="AH66" s="466">
        <v>488979</v>
      </c>
      <c r="AI66" s="466">
        <v>537411</v>
      </c>
      <c r="AJ66" s="466">
        <v>25197</v>
      </c>
      <c r="AK66" s="466">
        <v>0</v>
      </c>
      <c r="AL66" s="466">
        <v>572662</v>
      </c>
      <c r="AM66" s="466">
        <v>0</v>
      </c>
    </row>
    <row r="67" spans="1:39" s="155" customFormat="1" ht="12" x14ac:dyDescent="0.2">
      <c r="A67" s="168">
        <v>13</v>
      </c>
      <c r="B67" s="576">
        <v>88788</v>
      </c>
      <c r="C67" s="422" t="s">
        <v>2837</v>
      </c>
      <c r="D67" s="467">
        <f t="shared" si="15"/>
        <v>19269140</v>
      </c>
      <c r="E67" s="466">
        <v>952712</v>
      </c>
      <c r="F67" s="466">
        <v>236353</v>
      </c>
      <c r="G67" s="466">
        <v>505767</v>
      </c>
      <c r="H67" s="466">
        <v>0</v>
      </c>
      <c r="I67" s="466">
        <v>1282158</v>
      </c>
      <c r="J67" s="466">
        <v>200000</v>
      </c>
      <c r="K67" s="466">
        <v>2581190</v>
      </c>
      <c r="L67" s="466">
        <v>0</v>
      </c>
      <c r="M67" s="466">
        <v>5845518</v>
      </c>
      <c r="N67" s="466">
        <v>8334262</v>
      </c>
      <c r="O67" s="466">
        <v>73300</v>
      </c>
      <c r="P67" s="467">
        <f t="shared" si="16"/>
        <v>15126023</v>
      </c>
      <c r="Q67" s="466">
        <v>1405466</v>
      </c>
      <c r="R67" s="466">
        <v>751907</v>
      </c>
      <c r="S67" s="466">
        <v>10000</v>
      </c>
      <c r="T67" s="466">
        <v>0</v>
      </c>
      <c r="U67" s="466">
        <v>0</v>
      </c>
      <c r="V67" s="466">
        <v>0</v>
      </c>
      <c r="W67" s="466">
        <v>5194126</v>
      </c>
      <c r="X67" s="466">
        <v>236585</v>
      </c>
      <c r="Y67" s="466">
        <v>13975</v>
      </c>
      <c r="Z67" s="466">
        <v>7498373</v>
      </c>
      <c r="AA67" s="466">
        <v>30486</v>
      </c>
      <c r="AB67" s="466">
        <v>-14895</v>
      </c>
      <c r="AC67" s="466">
        <v>6759933</v>
      </c>
      <c r="AD67" s="466">
        <v>0</v>
      </c>
      <c r="AE67" s="466">
        <v>890189</v>
      </c>
      <c r="AF67" s="466">
        <v>25860</v>
      </c>
      <c r="AG67" s="466">
        <v>271208</v>
      </c>
      <c r="AH67" s="466">
        <v>526931</v>
      </c>
      <c r="AI67" s="466">
        <v>2828083</v>
      </c>
      <c r="AJ67" s="466">
        <v>94148</v>
      </c>
      <c r="AK67" s="466">
        <v>0</v>
      </c>
      <c r="AL67" s="466">
        <v>3702678</v>
      </c>
      <c r="AM67" s="466">
        <v>26993</v>
      </c>
    </row>
    <row r="68" spans="1:39" s="155" customFormat="1" ht="12" x14ac:dyDescent="0.2">
      <c r="A68" s="168">
        <v>14</v>
      </c>
      <c r="B68" s="576">
        <v>88868</v>
      </c>
      <c r="C68" s="422" t="s">
        <v>2838</v>
      </c>
      <c r="D68" s="467">
        <f t="shared" si="15"/>
        <v>3509399</v>
      </c>
      <c r="E68" s="466">
        <v>832110</v>
      </c>
      <c r="F68" s="466">
        <v>63046</v>
      </c>
      <c r="G68" s="466">
        <v>540985</v>
      </c>
      <c r="H68" s="466">
        <v>0</v>
      </c>
      <c r="I68" s="466">
        <v>970000</v>
      </c>
      <c r="J68" s="466">
        <v>100000</v>
      </c>
      <c r="K68" s="466">
        <v>872800</v>
      </c>
      <c r="L68" s="466">
        <v>0</v>
      </c>
      <c r="M68" s="466">
        <v>106035</v>
      </c>
      <c r="N68" s="466">
        <v>446250</v>
      </c>
      <c r="O68" s="466">
        <v>182204</v>
      </c>
      <c r="P68" s="467">
        <f t="shared" si="16"/>
        <v>3509218</v>
      </c>
      <c r="Q68" s="466">
        <v>1132939</v>
      </c>
      <c r="R68" s="466">
        <v>1153081</v>
      </c>
      <c r="S68" s="466">
        <v>0</v>
      </c>
      <c r="T68" s="466">
        <v>0</v>
      </c>
      <c r="U68" s="466">
        <v>0</v>
      </c>
      <c r="V68" s="466">
        <v>15000</v>
      </c>
      <c r="W68" s="466">
        <v>527372</v>
      </c>
      <c r="X68" s="466">
        <v>215492</v>
      </c>
      <c r="Y68" s="466">
        <v>20147</v>
      </c>
      <c r="Z68" s="466">
        <v>445187</v>
      </c>
      <c r="AA68" s="466">
        <v>0</v>
      </c>
      <c r="AB68" s="466">
        <v>0</v>
      </c>
      <c r="AC68" s="466">
        <v>604864</v>
      </c>
      <c r="AD68" s="466">
        <v>36150</v>
      </c>
      <c r="AE68" s="466">
        <v>716000</v>
      </c>
      <c r="AF68" s="466">
        <v>5147</v>
      </c>
      <c r="AG68" s="466">
        <v>215696</v>
      </c>
      <c r="AH68" s="466">
        <v>283902</v>
      </c>
      <c r="AI68" s="466">
        <v>431885</v>
      </c>
      <c r="AJ68" s="466">
        <v>70000</v>
      </c>
      <c r="AK68" s="466">
        <v>0</v>
      </c>
      <c r="AL68" s="466">
        <v>1122017</v>
      </c>
      <c r="AM68" s="466">
        <v>23557</v>
      </c>
    </row>
    <row r="69" spans="1:39" s="155" customFormat="1" ht="12" x14ac:dyDescent="0.2">
      <c r="A69" s="168">
        <v>15</v>
      </c>
      <c r="B69" s="576">
        <v>88920</v>
      </c>
      <c r="C69" s="422" t="s">
        <v>1519</v>
      </c>
      <c r="D69" s="467">
        <f t="shared" si="15"/>
        <v>2175118</v>
      </c>
      <c r="E69" s="466">
        <v>674192</v>
      </c>
      <c r="F69" s="466">
        <v>17041</v>
      </c>
      <c r="G69" s="466">
        <v>615335</v>
      </c>
      <c r="H69" s="466">
        <v>0</v>
      </c>
      <c r="I69" s="466">
        <v>145205</v>
      </c>
      <c r="J69" s="466">
        <v>150000</v>
      </c>
      <c r="K69" s="466">
        <v>761470</v>
      </c>
      <c r="L69" s="466">
        <v>0</v>
      </c>
      <c r="M69" s="466">
        <v>68400</v>
      </c>
      <c r="N69" s="466">
        <v>344827</v>
      </c>
      <c r="O69" s="466">
        <v>31024</v>
      </c>
      <c r="P69" s="467">
        <f t="shared" si="16"/>
        <v>1563764</v>
      </c>
      <c r="Q69" s="466">
        <v>393330</v>
      </c>
      <c r="R69" s="466">
        <v>646667</v>
      </c>
      <c r="S69" s="466">
        <v>0</v>
      </c>
      <c r="T69" s="466">
        <v>0</v>
      </c>
      <c r="U69" s="466">
        <v>0</v>
      </c>
      <c r="V69" s="466">
        <v>0</v>
      </c>
      <c r="W69" s="466">
        <v>248152</v>
      </c>
      <c r="X69" s="466">
        <v>20536</v>
      </c>
      <c r="Y69" s="466">
        <v>2340</v>
      </c>
      <c r="Z69" s="466">
        <v>252739</v>
      </c>
      <c r="AA69" s="466">
        <v>0</v>
      </c>
      <c r="AB69" s="466">
        <v>0</v>
      </c>
      <c r="AC69" s="466">
        <v>714024</v>
      </c>
      <c r="AD69" s="466">
        <v>9876</v>
      </c>
      <c r="AE69" s="466">
        <v>96669</v>
      </c>
      <c r="AF69" s="466">
        <v>0</v>
      </c>
      <c r="AG69" s="466">
        <v>119999</v>
      </c>
      <c r="AH69" s="466">
        <v>88522</v>
      </c>
      <c r="AI69" s="466">
        <v>36783</v>
      </c>
      <c r="AJ69" s="466">
        <v>0</v>
      </c>
      <c r="AK69" s="466">
        <v>0</v>
      </c>
      <c r="AL69" s="466">
        <v>497891</v>
      </c>
      <c r="AM69" s="466">
        <v>0</v>
      </c>
    </row>
    <row r="70" spans="1:39" s="155" customFormat="1" ht="12" x14ac:dyDescent="0.2">
      <c r="A70" s="168">
        <v>16</v>
      </c>
      <c r="B70" s="576">
        <v>89026</v>
      </c>
      <c r="C70" s="422" t="s">
        <v>2839</v>
      </c>
      <c r="D70" s="467">
        <f t="shared" si="15"/>
        <v>2041570</v>
      </c>
      <c r="E70" s="466">
        <v>785462</v>
      </c>
      <c r="F70" s="466">
        <v>13062</v>
      </c>
      <c r="G70" s="466">
        <v>600660</v>
      </c>
      <c r="H70" s="466">
        <v>0</v>
      </c>
      <c r="I70" s="466">
        <v>61232</v>
      </c>
      <c r="J70" s="466">
        <v>100000</v>
      </c>
      <c r="K70" s="466">
        <v>786220</v>
      </c>
      <c r="L70" s="466">
        <v>0</v>
      </c>
      <c r="M70" s="466">
        <v>59637</v>
      </c>
      <c r="N70" s="466">
        <v>212094</v>
      </c>
      <c r="O70" s="466">
        <v>36925</v>
      </c>
      <c r="P70" s="467">
        <f t="shared" si="16"/>
        <v>1982720</v>
      </c>
      <c r="Q70" s="466">
        <v>310567</v>
      </c>
      <c r="R70" s="466">
        <v>1173395</v>
      </c>
      <c r="S70" s="466">
        <v>0</v>
      </c>
      <c r="T70" s="466">
        <v>0</v>
      </c>
      <c r="U70" s="466">
        <v>0</v>
      </c>
      <c r="V70" s="466">
        <v>0</v>
      </c>
      <c r="W70" s="466">
        <v>285342</v>
      </c>
      <c r="X70" s="466">
        <v>20752</v>
      </c>
      <c r="Y70" s="466">
        <v>0</v>
      </c>
      <c r="Z70" s="466">
        <v>192664</v>
      </c>
      <c r="AA70" s="466">
        <v>0</v>
      </c>
      <c r="AB70" s="466">
        <v>0</v>
      </c>
      <c r="AC70" s="466">
        <v>717472</v>
      </c>
      <c r="AD70" s="466">
        <v>2499</v>
      </c>
      <c r="AE70" s="466">
        <v>0</v>
      </c>
      <c r="AF70" s="466">
        <v>0</v>
      </c>
      <c r="AG70" s="466">
        <v>196732</v>
      </c>
      <c r="AH70" s="466">
        <v>64858</v>
      </c>
      <c r="AI70" s="466">
        <v>70283</v>
      </c>
      <c r="AJ70" s="466">
        <v>0</v>
      </c>
      <c r="AK70" s="466">
        <v>0</v>
      </c>
      <c r="AL70" s="466">
        <v>848524</v>
      </c>
      <c r="AM70" s="466">
        <v>82352</v>
      </c>
    </row>
    <row r="71" spans="1:39" s="155" customFormat="1" ht="12" x14ac:dyDescent="0.2">
      <c r="A71" s="168">
        <v>17</v>
      </c>
      <c r="B71" s="576">
        <v>89080</v>
      </c>
      <c r="C71" s="422" t="s">
        <v>2840</v>
      </c>
      <c r="D71" s="467">
        <f t="shared" si="15"/>
        <v>2805242</v>
      </c>
      <c r="E71" s="466">
        <v>770745</v>
      </c>
      <c r="F71" s="466">
        <v>25894</v>
      </c>
      <c r="G71" s="466">
        <v>597726</v>
      </c>
      <c r="H71" s="466">
        <v>0</v>
      </c>
      <c r="I71" s="466">
        <v>372924</v>
      </c>
      <c r="J71" s="466">
        <v>0</v>
      </c>
      <c r="K71" s="466">
        <v>804600</v>
      </c>
      <c r="L71" s="466">
        <v>0</v>
      </c>
      <c r="M71" s="466">
        <v>646760</v>
      </c>
      <c r="N71" s="466">
        <v>171234</v>
      </c>
      <c r="O71" s="466">
        <v>38979</v>
      </c>
      <c r="P71" s="467">
        <f t="shared" si="16"/>
        <v>2818849</v>
      </c>
      <c r="Q71" s="466">
        <v>589077</v>
      </c>
      <c r="R71" s="466">
        <v>744731</v>
      </c>
      <c r="S71" s="466">
        <v>0</v>
      </c>
      <c r="T71" s="466">
        <v>0</v>
      </c>
      <c r="U71" s="466">
        <v>4175</v>
      </c>
      <c r="V71" s="466">
        <v>0</v>
      </c>
      <c r="W71" s="466">
        <v>421672</v>
      </c>
      <c r="X71" s="466">
        <v>92784</v>
      </c>
      <c r="Y71" s="466">
        <v>56000</v>
      </c>
      <c r="Z71" s="466">
        <v>910410</v>
      </c>
      <c r="AA71" s="466">
        <v>0</v>
      </c>
      <c r="AB71" s="466">
        <v>0</v>
      </c>
      <c r="AC71" s="466">
        <v>523790</v>
      </c>
      <c r="AD71" s="466">
        <v>0</v>
      </c>
      <c r="AE71" s="466">
        <v>284975</v>
      </c>
      <c r="AF71" s="466">
        <v>0</v>
      </c>
      <c r="AG71" s="466">
        <v>108389</v>
      </c>
      <c r="AH71" s="466">
        <v>122188</v>
      </c>
      <c r="AI71" s="466">
        <v>80435</v>
      </c>
      <c r="AJ71" s="466">
        <v>80616</v>
      </c>
      <c r="AK71" s="466">
        <v>0</v>
      </c>
      <c r="AL71" s="466">
        <v>1618456</v>
      </c>
      <c r="AM71" s="466">
        <v>0</v>
      </c>
    </row>
    <row r="72" spans="1:39" s="155" customFormat="1" ht="12" x14ac:dyDescent="0.2">
      <c r="A72" s="168">
        <v>18</v>
      </c>
      <c r="B72" s="576">
        <v>89151</v>
      </c>
      <c r="C72" s="422" t="s">
        <v>2841</v>
      </c>
      <c r="D72" s="467">
        <f t="shared" si="15"/>
        <v>2267399</v>
      </c>
      <c r="E72" s="466">
        <v>774350</v>
      </c>
      <c r="F72" s="466">
        <v>20075</v>
      </c>
      <c r="G72" s="466">
        <v>609465</v>
      </c>
      <c r="H72" s="466">
        <v>0</v>
      </c>
      <c r="I72" s="466">
        <v>196122</v>
      </c>
      <c r="J72" s="466">
        <v>200000</v>
      </c>
      <c r="K72" s="466">
        <v>791730</v>
      </c>
      <c r="L72" s="466">
        <v>0</v>
      </c>
      <c r="M72" s="466">
        <v>57735</v>
      </c>
      <c r="N72" s="466">
        <v>183184</v>
      </c>
      <c r="O72" s="466">
        <v>64278</v>
      </c>
      <c r="P72" s="467">
        <f t="shared" ref="P72:P109" si="17">IF(SUM(Q72:AB72)=SUM(AC72:AM72),SUM(Q72:AB72),"  EROARE ART/CAP")</f>
        <v>1527122</v>
      </c>
      <c r="Q72" s="466">
        <v>457077</v>
      </c>
      <c r="R72" s="466">
        <v>248839</v>
      </c>
      <c r="S72" s="466">
        <v>0</v>
      </c>
      <c r="T72" s="466">
        <v>0</v>
      </c>
      <c r="U72" s="466">
        <v>0</v>
      </c>
      <c r="V72" s="466">
        <v>0</v>
      </c>
      <c r="W72" s="466">
        <v>239103</v>
      </c>
      <c r="X72" s="466">
        <v>99694</v>
      </c>
      <c r="Y72" s="466">
        <v>11156</v>
      </c>
      <c r="Z72" s="466">
        <v>471253</v>
      </c>
      <c r="AA72" s="466">
        <v>0</v>
      </c>
      <c r="AB72" s="466">
        <v>0</v>
      </c>
      <c r="AC72" s="466">
        <v>388507</v>
      </c>
      <c r="AD72" s="466">
        <v>1595</v>
      </c>
      <c r="AE72" s="466">
        <v>208237</v>
      </c>
      <c r="AF72" s="466">
        <v>0</v>
      </c>
      <c r="AG72" s="466">
        <v>9461</v>
      </c>
      <c r="AH72" s="466">
        <v>99694</v>
      </c>
      <c r="AI72" s="466">
        <v>264885</v>
      </c>
      <c r="AJ72" s="466">
        <v>242203</v>
      </c>
      <c r="AK72" s="466">
        <v>0</v>
      </c>
      <c r="AL72" s="466">
        <v>312540</v>
      </c>
      <c r="AM72" s="466">
        <v>0</v>
      </c>
    </row>
    <row r="73" spans="1:39" s="155" customFormat="1" ht="12" x14ac:dyDescent="0.2">
      <c r="A73" s="168">
        <v>19</v>
      </c>
      <c r="B73" s="576">
        <v>89240</v>
      </c>
      <c r="C73" s="422" t="s">
        <v>2842</v>
      </c>
      <c r="D73" s="467">
        <f t="shared" si="15"/>
        <v>5515265</v>
      </c>
      <c r="E73" s="466">
        <v>2978574</v>
      </c>
      <c r="F73" s="466">
        <v>950144</v>
      </c>
      <c r="G73" s="466">
        <v>281565</v>
      </c>
      <c r="H73" s="466">
        <v>0</v>
      </c>
      <c r="I73" s="466">
        <v>1712800</v>
      </c>
      <c r="J73" s="466">
        <v>100000</v>
      </c>
      <c r="K73" s="466">
        <v>660110</v>
      </c>
      <c r="L73" s="466">
        <v>0</v>
      </c>
      <c r="M73" s="466">
        <v>10445</v>
      </c>
      <c r="N73" s="466">
        <v>0</v>
      </c>
      <c r="O73" s="466">
        <v>53336</v>
      </c>
      <c r="P73" s="467">
        <f t="shared" si="17"/>
        <v>4988727</v>
      </c>
      <c r="Q73" s="466">
        <v>2178937</v>
      </c>
      <c r="R73" s="466">
        <v>1695199</v>
      </c>
      <c r="S73" s="466">
        <v>0</v>
      </c>
      <c r="T73" s="466">
        <v>0</v>
      </c>
      <c r="U73" s="466">
        <v>0</v>
      </c>
      <c r="V73" s="466">
        <v>3078</v>
      </c>
      <c r="W73" s="466">
        <v>0</v>
      </c>
      <c r="X73" s="466">
        <v>331836</v>
      </c>
      <c r="Y73" s="466">
        <v>57400</v>
      </c>
      <c r="Z73" s="466">
        <v>833893</v>
      </c>
      <c r="AA73" s="466">
        <v>0</v>
      </c>
      <c r="AB73" s="466">
        <v>-111616</v>
      </c>
      <c r="AC73" s="466">
        <v>677692</v>
      </c>
      <c r="AD73" s="466">
        <v>54722</v>
      </c>
      <c r="AE73" s="466">
        <v>1537921</v>
      </c>
      <c r="AF73" s="466">
        <v>15390</v>
      </c>
      <c r="AG73" s="466">
        <v>278948</v>
      </c>
      <c r="AH73" s="466">
        <v>799221</v>
      </c>
      <c r="AI73" s="466">
        <v>507875</v>
      </c>
      <c r="AJ73" s="466">
        <v>74335</v>
      </c>
      <c r="AK73" s="466">
        <v>0</v>
      </c>
      <c r="AL73" s="466">
        <v>998824</v>
      </c>
      <c r="AM73" s="466">
        <v>43799</v>
      </c>
    </row>
    <row r="74" spans="1:39" s="155" customFormat="1" ht="12" x14ac:dyDescent="0.2">
      <c r="A74" s="168">
        <v>20</v>
      </c>
      <c r="B74" s="576">
        <v>86749</v>
      </c>
      <c r="C74" s="422" t="s">
        <v>2843</v>
      </c>
      <c r="D74" s="467">
        <f t="shared" si="15"/>
        <v>1755466</v>
      </c>
      <c r="E74" s="466">
        <v>793683</v>
      </c>
      <c r="F74" s="466">
        <v>37461</v>
      </c>
      <c r="G74" s="466">
        <v>562508</v>
      </c>
      <c r="H74" s="466">
        <v>0</v>
      </c>
      <c r="I74" s="466">
        <v>42338</v>
      </c>
      <c r="J74" s="466">
        <v>150000</v>
      </c>
      <c r="K74" s="466">
        <v>740270</v>
      </c>
      <c r="L74" s="466">
        <v>0</v>
      </c>
      <c r="M74" s="466">
        <v>1971</v>
      </c>
      <c r="N74" s="466">
        <v>0</v>
      </c>
      <c r="O74" s="466">
        <v>27204</v>
      </c>
      <c r="P74" s="467">
        <f t="shared" si="17"/>
        <v>1755466</v>
      </c>
      <c r="Q74" s="466">
        <v>356700</v>
      </c>
      <c r="R74" s="466">
        <v>319242</v>
      </c>
      <c r="S74" s="466">
        <v>0</v>
      </c>
      <c r="T74" s="466">
        <v>0</v>
      </c>
      <c r="U74" s="466">
        <v>0</v>
      </c>
      <c r="V74" s="466">
        <v>5876</v>
      </c>
      <c r="W74" s="466">
        <v>0</v>
      </c>
      <c r="X74" s="466">
        <v>27057</v>
      </c>
      <c r="Y74" s="466">
        <v>0</v>
      </c>
      <c r="Z74" s="466">
        <v>1046591</v>
      </c>
      <c r="AA74" s="466">
        <v>0</v>
      </c>
      <c r="AB74" s="466">
        <v>0</v>
      </c>
      <c r="AC74" s="466">
        <v>468984</v>
      </c>
      <c r="AD74" s="466">
        <v>4531</v>
      </c>
      <c r="AE74" s="466">
        <v>0</v>
      </c>
      <c r="AF74" s="466">
        <v>3305</v>
      </c>
      <c r="AG74" s="466">
        <v>54579</v>
      </c>
      <c r="AH74" s="466">
        <v>52139</v>
      </c>
      <c r="AI74" s="466">
        <v>69278</v>
      </c>
      <c r="AJ74" s="466">
        <v>3807</v>
      </c>
      <c r="AK74" s="466">
        <v>0</v>
      </c>
      <c r="AL74" s="466">
        <v>1098843</v>
      </c>
      <c r="AM74" s="466">
        <v>0</v>
      </c>
    </row>
    <row r="75" spans="1:39" s="155" customFormat="1" ht="12" x14ac:dyDescent="0.2">
      <c r="A75" s="168">
        <v>21</v>
      </c>
      <c r="B75" s="576">
        <v>87362</v>
      </c>
      <c r="C75" s="422" t="s">
        <v>2844</v>
      </c>
      <c r="D75" s="467">
        <f t="shared" si="15"/>
        <v>9062712</v>
      </c>
      <c r="E75" s="466">
        <v>1785138</v>
      </c>
      <c r="F75" s="466">
        <v>585617</v>
      </c>
      <c r="G75" s="466">
        <v>679572</v>
      </c>
      <c r="H75" s="466">
        <v>0</v>
      </c>
      <c r="I75" s="466">
        <v>3791660</v>
      </c>
      <c r="J75" s="466">
        <v>250000</v>
      </c>
      <c r="K75" s="466">
        <v>1700870</v>
      </c>
      <c r="L75" s="466">
        <v>0</v>
      </c>
      <c r="M75" s="466">
        <v>1118539</v>
      </c>
      <c r="N75" s="466">
        <v>392391</v>
      </c>
      <c r="O75" s="466">
        <v>24114</v>
      </c>
      <c r="P75" s="467">
        <f t="shared" si="17"/>
        <v>8903572</v>
      </c>
      <c r="Q75" s="466">
        <v>3949870</v>
      </c>
      <c r="R75" s="466">
        <v>2092390</v>
      </c>
      <c r="S75" s="466">
        <v>0</v>
      </c>
      <c r="T75" s="466">
        <v>185100</v>
      </c>
      <c r="U75" s="466">
        <v>0</v>
      </c>
      <c r="V75" s="466">
        <v>0</v>
      </c>
      <c r="W75" s="466">
        <v>676509</v>
      </c>
      <c r="X75" s="466">
        <v>467165</v>
      </c>
      <c r="Y75" s="466">
        <v>113500</v>
      </c>
      <c r="Z75" s="466">
        <v>1419038</v>
      </c>
      <c r="AA75" s="466">
        <v>0</v>
      </c>
      <c r="AB75" s="466">
        <v>0</v>
      </c>
      <c r="AC75" s="466">
        <v>980799</v>
      </c>
      <c r="AD75" s="466">
        <v>5310</v>
      </c>
      <c r="AE75" s="466">
        <v>3550404</v>
      </c>
      <c r="AF75" s="466">
        <v>28544</v>
      </c>
      <c r="AG75" s="466">
        <v>844595</v>
      </c>
      <c r="AH75" s="466">
        <v>698158</v>
      </c>
      <c r="AI75" s="466">
        <v>681176</v>
      </c>
      <c r="AJ75" s="466">
        <v>84046</v>
      </c>
      <c r="AK75" s="466">
        <v>200720</v>
      </c>
      <c r="AL75" s="466">
        <v>1507512</v>
      </c>
      <c r="AM75" s="466">
        <v>322308</v>
      </c>
    </row>
    <row r="76" spans="1:39" s="155" customFormat="1" ht="12" x14ac:dyDescent="0.2">
      <c r="A76" s="168">
        <v>22</v>
      </c>
      <c r="B76" s="576">
        <v>89348</v>
      </c>
      <c r="C76" s="422" t="s">
        <v>2845</v>
      </c>
      <c r="D76" s="467">
        <f t="shared" si="15"/>
        <v>4967735</v>
      </c>
      <c r="E76" s="466">
        <v>1187787</v>
      </c>
      <c r="F76" s="466">
        <v>218999</v>
      </c>
      <c r="G76" s="466">
        <v>374678</v>
      </c>
      <c r="H76" s="466">
        <v>0</v>
      </c>
      <c r="I76" s="466">
        <v>1075307</v>
      </c>
      <c r="J76" s="466">
        <v>300000</v>
      </c>
      <c r="K76" s="466">
        <v>640880</v>
      </c>
      <c r="L76" s="466">
        <v>0</v>
      </c>
      <c r="M76" s="466">
        <v>986253</v>
      </c>
      <c r="N76" s="466">
        <v>696072</v>
      </c>
      <c r="O76" s="466">
        <v>81436</v>
      </c>
      <c r="P76" s="467">
        <f t="shared" si="17"/>
        <v>4659286</v>
      </c>
      <c r="Q76" s="466">
        <v>1393594</v>
      </c>
      <c r="R76" s="466">
        <v>1309612</v>
      </c>
      <c r="S76" s="466">
        <v>64085</v>
      </c>
      <c r="T76" s="466">
        <v>0</v>
      </c>
      <c r="U76" s="466">
        <v>0</v>
      </c>
      <c r="V76" s="466">
        <v>0</v>
      </c>
      <c r="W76" s="466">
        <v>359061</v>
      </c>
      <c r="X76" s="466">
        <v>109508</v>
      </c>
      <c r="Y76" s="466">
        <v>14980</v>
      </c>
      <c r="Z76" s="466">
        <v>0</v>
      </c>
      <c r="AA76" s="466">
        <v>1408446</v>
      </c>
      <c r="AB76" s="466">
        <v>0</v>
      </c>
      <c r="AC76" s="466">
        <v>1124270</v>
      </c>
      <c r="AD76" s="466">
        <v>2200</v>
      </c>
      <c r="AE76" s="466">
        <v>885588</v>
      </c>
      <c r="AF76" s="466">
        <v>10070</v>
      </c>
      <c r="AG76" s="466">
        <v>113934</v>
      </c>
      <c r="AH76" s="466">
        <v>369693</v>
      </c>
      <c r="AI76" s="466">
        <v>399070</v>
      </c>
      <c r="AJ76" s="466">
        <v>22358</v>
      </c>
      <c r="AK76" s="466">
        <v>0</v>
      </c>
      <c r="AL76" s="466">
        <v>1583752</v>
      </c>
      <c r="AM76" s="466">
        <v>148351</v>
      </c>
    </row>
    <row r="77" spans="1:39" s="155" customFormat="1" ht="12" x14ac:dyDescent="0.2">
      <c r="A77" s="168">
        <v>23</v>
      </c>
      <c r="B77" s="576">
        <v>89428</v>
      </c>
      <c r="C77" s="422" t="s">
        <v>2846</v>
      </c>
      <c r="D77" s="467">
        <f t="shared" si="15"/>
        <v>5447047</v>
      </c>
      <c r="E77" s="466">
        <v>1524827</v>
      </c>
      <c r="F77" s="466">
        <v>355861</v>
      </c>
      <c r="G77" s="466">
        <v>473218</v>
      </c>
      <c r="H77" s="466">
        <v>0</v>
      </c>
      <c r="I77" s="466">
        <v>1881617</v>
      </c>
      <c r="J77" s="466">
        <v>50000</v>
      </c>
      <c r="K77" s="466">
        <v>976720</v>
      </c>
      <c r="L77" s="466">
        <v>0</v>
      </c>
      <c r="M77" s="466">
        <v>667576</v>
      </c>
      <c r="N77" s="466">
        <v>290307</v>
      </c>
      <c r="O77" s="466">
        <v>56000</v>
      </c>
      <c r="P77" s="467">
        <f t="shared" si="17"/>
        <v>5515588</v>
      </c>
      <c r="Q77" s="466">
        <v>2142536</v>
      </c>
      <c r="R77" s="466">
        <v>864726</v>
      </c>
      <c r="S77" s="466">
        <v>0</v>
      </c>
      <c r="T77" s="466">
        <v>0</v>
      </c>
      <c r="U77" s="466">
        <v>28965</v>
      </c>
      <c r="V77" s="466">
        <v>11932</v>
      </c>
      <c r="W77" s="466">
        <v>376658</v>
      </c>
      <c r="X77" s="466">
        <v>265591</v>
      </c>
      <c r="Y77" s="466">
        <v>90325</v>
      </c>
      <c r="Z77" s="466">
        <v>1734855</v>
      </c>
      <c r="AA77" s="466">
        <v>0</v>
      </c>
      <c r="AB77" s="466">
        <v>0</v>
      </c>
      <c r="AC77" s="466">
        <v>778546</v>
      </c>
      <c r="AD77" s="466">
        <v>11628</v>
      </c>
      <c r="AE77" s="466">
        <v>1704788</v>
      </c>
      <c r="AF77" s="466">
        <v>28965</v>
      </c>
      <c r="AG77" s="466">
        <v>596906</v>
      </c>
      <c r="AH77" s="466">
        <v>450598</v>
      </c>
      <c r="AI77" s="466">
        <v>381529</v>
      </c>
      <c r="AJ77" s="466">
        <v>352887</v>
      </c>
      <c r="AK77" s="466">
        <v>0</v>
      </c>
      <c r="AL77" s="466">
        <v>1160936</v>
      </c>
      <c r="AM77" s="466">
        <v>48805</v>
      </c>
    </row>
    <row r="78" spans="1:39" s="155" customFormat="1" ht="12" x14ac:dyDescent="0.2">
      <c r="A78" s="168">
        <v>24</v>
      </c>
      <c r="B78" s="576">
        <v>91731</v>
      </c>
      <c r="C78" s="422" t="s">
        <v>2847</v>
      </c>
      <c r="D78" s="467">
        <f t="shared" si="15"/>
        <v>4572380</v>
      </c>
      <c r="E78" s="466">
        <v>824123</v>
      </c>
      <c r="F78" s="466">
        <v>51999</v>
      </c>
      <c r="G78" s="466">
        <v>398484</v>
      </c>
      <c r="H78" s="466">
        <v>0</v>
      </c>
      <c r="I78" s="466">
        <v>332037</v>
      </c>
      <c r="J78" s="466">
        <v>250000</v>
      </c>
      <c r="K78" s="466">
        <v>558650</v>
      </c>
      <c r="L78" s="466">
        <v>0</v>
      </c>
      <c r="M78" s="466">
        <v>650540</v>
      </c>
      <c r="N78" s="466">
        <v>1938534</v>
      </c>
      <c r="O78" s="466">
        <v>18496</v>
      </c>
      <c r="P78" s="467">
        <f t="shared" si="17"/>
        <v>3121705</v>
      </c>
      <c r="Q78" s="466">
        <v>617347</v>
      </c>
      <c r="R78" s="466">
        <v>477294</v>
      </c>
      <c r="S78" s="466">
        <v>0</v>
      </c>
      <c r="T78" s="466">
        <v>0</v>
      </c>
      <c r="U78" s="466">
        <v>0</v>
      </c>
      <c r="V78" s="466">
        <v>0</v>
      </c>
      <c r="W78" s="466">
        <v>836754</v>
      </c>
      <c r="X78" s="466">
        <v>43939</v>
      </c>
      <c r="Y78" s="466">
        <v>4320</v>
      </c>
      <c r="Z78" s="466">
        <v>1142051</v>
      </c>
      <c r="AA78" s="466">
        <v>0</v>
      </c>
      <c r="AB78" s="466">
        <v>0</v>
      </c>
      <c r="AC78" s="466">
        <v>527117</v>
      </c>
      <c r="AD78" s="466">
        <v>9098</v>
      </c>
      <c r="AE78" s="466">
        <v>273011</v>
      </c>
      <c r="AF78" s="466">
        <v>20917</v>
      </c>
      <c r="AG78" s="466">
        <v>795818</v>
      </c>
      <c r="AH78" s="466">
        <v>114355</v>
      </c>
      <c r="AI78" s="466">
        <v>117159</v>
      </c>
      <c r="AJ78" s="466">
        <v>609574</v>
      </c>
      <c r="AK78" s="466">
        <v>0</v>
      </c>
      <c r="AL78" s="466">
        <v>651457</v>
      </c>
      <c r="AM78" s="466">
        <v>3199</v>
      </c>
    </row>
    <row r="79" spans="1:39" s="155" customFormat="1" ht="12" x14ac:dyDescent="0.2">
      <c r="A79" s="168">
        <v>25</v>
      </c>
      <c r="B79" s="576">
        <v>86883</v>
      </c>
      <c r="C79" s="422" t="s">
        <v>2848</v>
      </c>
      <c r="D79" s="467">
        <f t="shared" si="15"/>
        <v>6068606</v>
      </c>
      <c r="E79" s="466">
        <v>1066342</v>
      </c>
      <c r="F79" s="466">
        <v>97511</v>
      </c>
      <c r="G79" s="466">
        <v>583193</v>
      </c>
      <c r="H79" s="466">
        <v>0</v>
      </c>
      <c r="I79" s="466">
        <v>1630902</v>
      </c>
      <c r="J79" s="466">
        <v>50000</v>
      </c>
      <c r="K79" s="466">
        <v>898340</v>
      </c>
      <c r="L79" s="466">
        <v>0</v>
      </c>
      <c r="M79" s="466">
        <v>1727093</v>
      </c>
      <c r="N79" s="466">
        <v>667999</v>
      </c>
      <c r="O79" s="466">
        <v>27930</v>
      </c>
      <c r="P79" s="467">
        <f t="shared" si="17"/>
        <v>5932505</v>
      </c>
      <c r="Q79" s="466">
        <v>1863532</v>
      </c>
      <c r="R79" s="466">
        <v>802673</v>
      </c>
      <c r="S79" s="466">
        <v>0</v>
      </c>
      <c r="T79" s="466">
        <v>0</v>
      </c>
      <c r="U79" s="466">
        <v>0</v>
      </c>
      <c r="V79" s="466">
        <v>0</v>
      </c>
      <c r="W79" s="466">
        <v>857652</v>
      </c>
      <c r="X79" s="466">
        <v>160649</v>
      </c>
      <c r="Y79" s="466">
        <v>136370</v>
      </c>
      <c r="Z79" s="466">
        <v>2111629</v>
      </c>
      <c r="AA79" s="466">
        <v>0</v>
      </c>
      <c r="AB79" s="466">
        <v>0</v>
      </c>
      <c r="AC79" s="466">
        <v>1030256</v>
      </c>
      <c r="AD79" s="466">
        <v>0</v>
      </c>
      <c r="AE79" s="466">
        <v>1347391</v>
      </c>
      <c r="AF79" s="466">
        <v>0</v>
      </c>
      <c r="AG79" s="466">
        <v>205965</v>
      </c>
      <c r="AH79" s="466">
        <v>437832</v>
      </c>
      <c r="AI79" s="466">
        <v>573362</v>
      </c>
      <c r="AJ79" s="466">
        <v>9287</v>
      </c>
      <c r="AK79" s="466">
        <v>0</v>
      </c>
      <c r="AL79" s="466">
        <v>1608994</v>
      </c>
      <c r="AM79" s="466">
        <v>719418</v>
      </c>
    </row>
    <row r="80" spans="1:39" s="155" customFormat="1" ht="12" x14ac:dyDescent="0.2">
      <c r="A80" s="168">
        <v>26</v>
      </c>
      <c r="B80" s="576">
        <v>89687</v>
      </c>
      <c r="C80" s="422" t="s">
        <v>2849</v>
      </c>
      <c r="D80" s="467">
        <f t="shared" si="15"/>
        <v>3084342</v>
      </c>
      <c r="E80" s="466">
        <v>985161</v>
      </c>
      <c r="F80" s="466">
        <v>163787</v>
      </c>
      <c r="G80" s="466">
        <v>439245</v>
      </c>
      <c r="H80" s="466">
        <v>0</v>
      </c>
      <c r="I80" s="466">
        <v>839486</v>
      </c>
      <c r="J80" s="466">
        <v>50000</v>
      </c>
      <c r="K80" s="466">
        <v>688050</v>
      </c>
      <c r="L80" s="466">
        <v>0</v>
      </c>
      <c r="M80" s="466">
        <v>198258</v>
      </c>
      <c r="N80" s="466">
        <v>263253</v>
      </c>
      <c r="O80" s="466">
        <v>60134</v>
      </c>
      <c r="P80" s="467">
        <f t="shared" si="17"/>
        <v>3117098</v>
      </c>
      <c r="Q80" s="466">
        <v>990740</v>
      </c>
      <c r="R80" s="466">
        <v>1000448</v>
      </c>
      <c r="S80" s="466">
        <v>0</v>
      </c>
      <c r="T80" s="466">
        <v>0</v>
      </c>
      <c r="U80" s="466">
        <v>0</v>
      </c>
      <c r="V80" s="466">
        <v>7231</v>
      </c>
      <c r="W80" s="466">
        <v>610624</v>
      </c>
      <c r="X80" s="466">
        <v>214108</v>
      </c>
      <c r="Y80" s="466">
        <v>22000</v>
      </c>
      <c r="Z80" s="466">
        <v>271947</v>
      </c>
      <c r="AA80" s="466">
        <v>0</v>
      </c>
      <c r="AB80" s="466">
        <v>0</v>
      </c>
      <c r="AC80" s="466">
        <v>605030</v>
      </c>
      <c r="AD80" s="466">
        <v>1479</v>
      </c>
      <c r="AE80" s="466">
        <v>686893</v>
      </c>
      <c r="AF80" s="466">
        <v>7360</v>
      </c>
      <c r="AG80" s="466">
        <v>74118</v>
      </c>
      <c r="AH80" s="466">
        <v>331708</v>
      </c>
      <c r="AI80" s="466">
        <v>146873</v>
      </c>
      <c r="AJ80" s="466">
        <v>92839</v>
      </c>
      <c r="AK80" s="466">
        <v>0</v>
      </c>
      <c r="AL80" s="466">
        <v>395839</v>
      </c>
      <c r="AM80" s="466">
        <v>774959</v>
      </c>
    </row>
    <row r="81" spans="1:39" s="155" customFormat="1" ht="12" x14ac:dyDescent="0.2">
      <c r="A81" s="168">
        <v>27</v>
      </c>
      <c r="B81" s="576">
        <v>89801</v>
      </c>
      <c r="C81" s="422" t="s">
        <v>2850</v>
      </c>
      <c r="D81" s="467">
        <f t="shared" si="15"/>
        <v>3287281</v>
      </c>
      <c r="E81" s="466">
        <v>1047006</v>
      </c>
      <c r="F81" s="466">
        <v>160265</v>
      </c>
      <c r="G81" s="466">
        <v>286263</v>
      </c>
      <c r="H81" s="466">
        <v>0</v>
      </c>
      <c r="I81" s="466">
        <v>1213605</v>
      </c>
      <c r="J81" s="466">
        <v>100000</v>
      </c>
      <c r="K81" s="466">
        <v>608510</v>
      </c>
      <c r="L81" s="466">
        <v>0</v>
      </c>
      <c r="M81" s="466">
        <v>107350</v>
      </c>
      <c r="N81" s="466">
        <v>173188</v>
      </c>
      <c r="O81" s="466">
        <v>37622</v>
      </c>
      <c r="P81" s="467">
        <f t="shared" si="17"/>
        <v>3470242</v>
      </c>
      <c r="Q81" s="466">
        <v>1499182</v>
      </c>
      <c r="R81" s="466">
        <v>715598</v>
      </c>
      <c r="S81" s="466">
        <v>0</v>
      </c>
      <c r="T81" s="466">
        <v>0</v>
      </c>
      <c r="U81" s="466">
        <v>10590</v>
      </c>
      <c r="V81" s="466">
        <v>0</v>
      </c>
      <c r="W81" s="466">
        <v>451210</v>
      </c>
      <c r="X81" s="466">
        <v>193282</v>
      </c>
      <c r="Y81" s="466">
        <v>113280</v>
      </c>
      <c r="Z81" s="466">
        <v>488330</v>
      </c>
      <c r="AA81" s="466">
        <v>0</v>
      </c>
      <c r="AB81" s="466">
        <v>-1230</v>
      </c>
      <c r="AC81" s="466">
        <v>574968</v>
      </c>
      <c r="AD81" s="466">
        <v>5096</v>
      </c>
      <c r="AE81" s="466">
        <v>1027465</v>
      </c>
      <c r="AF81" s="466">
        <v>10590</v>
      </c>
      <c r="AG81" s="466">
        <v>189962</v>
      </c>
      <c r="AH81" s="466">
        <v>396994</v>
      </c>
      <c r="AI81" s="466">
        <v>486632</v>
      </c>
      <c r="AJ81" s="466">
        <v>0</v>
      </c>
      <c r="AK81" s="466">
        <v>0</v>
      </c>
      <c r="AL81" s="466">
        <v>705519</v>
      </c>
      <c r="AM81" s="466">
        <v>73016</v>
      </c>
    </row>
    <row r="82" spans="1:39" s="155" customFormat="1" ht="12" x14ac:dyDescent="0.2">
      <c r="A82" s="168">
        <v>28</v>
      </c>
      <c r="B82" s="576">
        <v>89856</v>
      </c>
      <c r="C82" s="422" t="s">
        <v>2851</v>
      </c>
      <c r="D82" s="467">
        <f t="shared" si="15"/>
        <v>9490003</v>
      </c>
      <c r="E82" s="466">
        <v>3879169</v>
      </c>
      <c r="F82" s="466">
        <v>2565105</v>
      </c>
      <c r="G82" s="466">
        <v>358272</v>
      </c>
      <c r="H82" s="466">
        <v>0</v>
      </c>
      <c r="I82" s="466">
        <v>3108925</v>
      </c>
      <c r="J82" s="466">
        <v>750000</v>
      </c>
      <c r="K82" s="466">
        <v>950100</v>
      </c>
      <c r="L82" s="466">
        <v>0</v>
      </c>
      <c r="M82" s="466">
        <v>189999</v>
      </c>
      <c r="N82" s="466">
        <v>556758</v>
      </c>
      <c r="O82" s="466">
        <v>55052</v>
      </c>
      <c r="P82" s="467">
        <f t="shared" si="17"/>
        <v>8769383</v>
      </c>
      <c r="Q82" s="466">
        <v>3053026</v>
      </c>
      <c r="R82" s="466">
        <v>4044446</v>
      </c>
      <c r="S82" s="466">
        <v>114134</v>
      </c>
      <c r="T82" s="466">
        <v>0</v>
      </c>
      <c r="U82" s="466">
        <v>22520</v>
      </c>
      <c r="V82" s="466">
        <v>0</v>
      </c>
      <c r="W82" s="466">
        <v>465190</v>
      </c>
      <c r="X82" s="466">
        <v>493134</v>
      </c>
      <c r="Y82" s="466">
        <v>19950</v>
      </c>
      <c r="Z82" s="466">
        <v>450800</v>
      </c>
      <c r="AA82" s="466">
        <v>106183</v>
      </c>
      <c r="AB82" s="466">
        <v>0</v>
      </c>
      <c r="AC82" s="466">
        <v>930521</v>
      </c>
      <c r="AD82" s="466">
        <v>0</v>
      </c>
      <c r="AE82" s="466">
        <v>2757872</v>
      </c>
      <c r="AF82" s="466">
        <v>68394</v>
      </c>
      <c r="AG82" s="466">
        <v>1438455</v>
      </c>
      <c r="AH82" s="466">
        <v>808531</v>
      </c>
      <c r="AI82" s="466">
        <v>498557</v>
      </c>
      <c r="AJ82" s="466">
        <v>113928</v>
      </c>
      <c r="AK82" s="466">
        <v>0</v>
      </c>
      <c r="AL82" s="466">
        <v>1731821</v>
      </c>
      <c r="AM82" s="466">
        <v>421304</v>
      </c>
    </row>
    <row r="83" spans="1:39" s="155" customFormat="1" ht="12" x14ac:dyDescent="0.2">
      <c r="A83" s="168">
        <v>29</v>
      </c>
      <c r="B83" s="576">
        <v>89954</v>
      </c>
      <c r="C83" s="422" t="s">
        <v>2852</v>
      </c>
      <c r="D83" s="467">
        <f t="shared" si="15"/>
        <v>3932867</v>
      </c>
      <c r="E83" s="466">
        <v>1088826</v>
      </c>
      <c r="F83" s="466">
        <v>161617</v>
      </c>
      <c r="G83" s="466">
        <v>446093</v>
      </c>
      <c r="H83" s="466">
        <v>0</v>
      </c>
      <c r="I83" s="466">
        <v>1052587</v>
      </c>
      <c r="J83" s="466">
        <v>50000</v>
      </c>
      <c r="K83" s="466">
        <v>678440</v>
      </c>
      <c r="L83" s="466">
        <v>0</v>
      </c>
      <c r="M83" s="466">
        <v>238443</v>
      </c>
      <c r="N83" s="466">
        <v>771909</v>
      </c>
      <c r="O83" s="466">
        <v>52662</v>
      </c>
      <c r="P83" s="467">
        <f t="shared" si="17"/>
        <v>3614758</v>
      </c>
      <c r="Q83" s="466">
        <v>1249125</v>
      </c>
      <c r="R83" s="466">
        <v>807775</v>
      </c>
      <c r="S83" s="466">
        <v>0</v>
      </c>
      <c r="T83" s="466">
        <v>0</v>
      </c>
      <c r="U83" s="466">
        <v>0</v>
      </c>
      <c r="V83" s="466">
        <v>0</v>
      </c>
      <c r="W83" s="466">
        <v>896734</v>
      </c>
      <c r="X83" s="466">
        <v>166726</v>
      </c>
      <c r="Y83" s="466">
        <v>24210</v>
      </c>
      <c r="Z83" s="466">
        <v>470188</v>
      </c>
      <c r="AA83" s="466">
        <v>0</v>
      </c>
      <c r="AB83" s="466">
        <v>0</v>
      </c>
      <c r="AC83" s="466">
        <v>586222</v>
      </c>
      <c r="AD83" s="466">
        <v>506</v>
      </c>
      <c r="AE83" s="466">
        <v>855530</v>
      </c>
      <c r="AF83" s="466">
        <v>14847</v>
      </c>
      <c r="AG83" s="466">
        <v>479149</v>
      </c>
      <c r="AH83" s="466">
        <v>266498</v>
      </c>
      <c r="AI83" s="466">
        <v>159900</v>
      </c>
      <c r="AJ83" s="466">
        <v>142794</v>
      </c>
      <c r="AK83" s="466">
        <v>0</v>
      </c>
      <c r="AL83" s="466">
        <v>471401</v>
      </c>
      <c r="AM83" s="466">
        <v>637911</v>
      </c>
    </row>
    <row r="84" spans="1:39" s="155" customFormat="1" ht="12" x14ac:dyDescent="0.2">
      <c r="A84" s="168">
        <v>30</v>
      </c>
      <c r="B84" s="576">
        <v>90066</v>
      </c>
      <c r="C84" s="422" t="s">
        <v>2853</v>
      </c>
      <c r="D84" s="467">
        <f t="shared" si="15"/>
        <v>4781427</v>
      </c>
      <c r="E84" s="466">
        <v>816216</v>
      </c>
      <c r="F84" s="466">
        <v>24753</v>
      </c>
      <c r="G84" s="466">
        <v>624139</v>
      </c>
      <c r="H84" s="466">
        <v>0</v>
      </c>
      <c r="I84" s="466">
        <v>206000</v>
      </c>
      <c r="J84" s="466">
        <v>0</v>
      </c>
      <c r="K84" s="466">
        <v>842950</v>
      </c>
      <c r="L84" s="466">
        <v>0</v>
      </c>
      <c r="M84" s="466">
        <v>1006832</v>
      </c>
      <c r="N84" s="466">
        <v>1863836</v>
      </c>
      <c r="O84" s="466">
        <v>45593</v>
      </c>
      <c r="P84" s="467">
        <f t="shared" si="17"/>
        <v>4540280</v>
      </c>
      <c r="Q84" s="466">
        <v>494040</v>
      </c>
      <c r="R84" s="466">
        <v>726758</v>
      </c>
      <c r="S84" s="466">
        <v>0</v>
      </c>
      <c r="T84" s="466">
        <v>0</v>
      </c>
      <c r="U84" s="466">
        <v>0</v>
      </c>
      <c r="V84" s="466">
        <v>0</v>
      </c>
      <c r="W84" s="466">
        <v>2768964</v>
      </c>
      <c r="X84" s="466">
        <v>41904</v>
      </c>
      <c r="Y84" s="466">
        <v>5280</v>
      </c>
      <c r="Z84" s="466">
        <v>503934</v>
      </c>
      <c r="AA84" s="466">
        <v>0</v>
      </c>
      <c r="AB84" s="466">
        <v>-600</v>
      </c>
      <c r="AC84" s="466">
        <v>563167</v>
      </c>
      <c r="AD84" s="466">
        <v>0</v>
      </c>
      <c r="AE84" s="466">
        <v>108656</v>
      </c>
      <c r="AF84" s="466">
        <v>0</v>
      </c>
      <c r="AG84" s="466">
        <v>435051</v>
      </c>
      <c r="AH84" s="466">
        <v>128956</v>
      </c>
      <c r="AI84" s="466">
        <v>214527</v>
      </c>
      <c r="AJ84" s="466">
        <v>0</v>
      </c>
      <c r="AK84" s="466">
        <v>0</v>
      </c>
      <c r="AL84" s="466">
        <v>3055931</v>
      </c>
      <c r="AM84" s="466">
        <v>33992</v>
      </c>
    </row>
    <row r="85" spans="1:39" s="155" customFormat="1" ht="12" x14ac:dyDescent="0.2">
      <c r="A85" s="168">
        <v>31</v>
      </c>
      <c r="B85" s="576">
        <v>90119</v>
      </c>
      <c r="C85" s="422" t="s">
        <v>2854</v>
      </c>
      <c r="D85" s="467">
        <f t="shared" si="15"/>
        <v>3640531</v>
      </c>
      <c r="E85" s="466">
        <v>1576039</v>
      </c>
      <c r="F85" s="466">
        <v>49030</v>
      </c>
      <c r="G85" s="466">
        <v>570334</v>
      </c>
      <c r="H85" s="466">
        <v>0</v>
      </c>
      <c r="I85" s="466">
        <v>773000</v>
      </c>
      <c r="J85" s="466">
        <v>100000</v>
      </c>
      <c r="K85" s="466">
        <v>783650</v>
      </c>
      <c r="L85" s="466">
        <v>0</v>
      </c>
      <c r="M85" s="466">
        <v>79810</v>
      </c>
      <c r="N85" s="466">
        <v>253032</v>
      </c>
      <c r="O85" s="466">
        <v>75000</v>
      </c>
      <c r="P85" s="467">
        <f t="shared" si="17"/>
        <v>3000682</v>
      </c>
      <c r="Q85" s="466">
        <v>1024191</v>
      </c>
      <c r="R85" s="466">
        <v>667940</v>
      </c>
      <c r="S85" s="466">
        <v>0</v>
      </c>
      <c r="T85" s="466">
        <v>0</v>
      </c>
      <c r="U85" s="466">
        <v>0</v>
      </c>
      <c r="V85" s="466">
        <v>0</v>
      </c>
      <c r="W85" s="466">
        <v>247363</v>
      </c>
      <c r="X85" s="466">
        <v>99675</v>
      </c>
      <c r="Y85" s="466">
        <v>48990</v>
      </c>
      <c r="Z85" s="466">
        <v>917673</v>
      </c>
      <c r="AA85" s="466">
        <v>0</v>
      </c>
      <c r="AB85" s="466">
        <v>-5150</v>
      </c>
      <c r="AC85" s="466">
        <v>453716</v>
      </c>
      <c r="AD85" s="466">
        <v>0</v>
      </c>
      <c r="AE85" s="466">
        <v>1053000</v>
      </c>
      <c r="AF85" s="466">
        <v>0</v>
      </c>
      <c r="AG85" s="466">
        <v>239538</v>
      </c>
      <c r="AH85" s="466">
        <v>216404</v>
      </c>
      <c r="AI85" s="466">
        <v>156603</v>
      </c>
      <c r="AJ85" s="466">
        <v>0</v>
      </c>
      <c r="AK85" s="466">
        <v>0</v>
      </c>
      <c r="AL85" s="466">
        <v>811362</v>
      </c>
      <c r="AM85" s="466">
        <v>70059</v>
      </c>
    </row>
    <row r="86" spans="1:39" s="155" customFormat="1" ht="12" x14ac:dyDescent="0.2">
      <c r="A86" s="168">
        <v>32</v>
      </c>
      <c r="B86" s="576">
        <v>90208</v>
      </c>
      <c r="C86" s="422" t="s">
        <v>2855</v>
      </c>
      <c r="D86" s="467">
        <f t="shared" si="15"/>
        <v>5227476</v>
      </c>
      <c r="E86" s="466">
        <v>881575</v>
      </c>
      <c r="F86" s="466">
        <v>195374</v>
      </c>
      <c r="G86" s="466">
        <v>497942</v>
      </c>
      <c r="H86" s="466">
        <v>0</v>
      </c>
      <c r="I86" s="466">
        <v>1068207</v>
      </c>
      <c r="J86" s="466">
        <v>150000</v>
      </c>
      <c r="K86" s="466">
        <v>1231380</v>
      </c>
      <c r="L86" s="466">
        <v>0</v>
      </c>
      <c r="M86" s="466">
        <v>1402026</v>
      </c>
      <c r="N86" s="466">
        <v>461288</v>
      </c>
      <c r="O86" s="466">
        <v>33000</v>
      </c>
      <c r="P86" s="467">
        <f t="shared" si="17"/>
        <v>4722073</v>
      </c>
      <c r="Q86" s="466">
        <v>1100540</v>
      </c>
      <c r="R86" s="466">
        <v>1424161</v>
      </c>
      <c r="S86" s="466">
        <v>0</v>
      </c>
      <c r="T86" s="466">
        <v>0</v>
      </c>
      <c r="U86" s="466">
        <v>0</v>
      </c>
      <c r="V86" s="466">
        <v>0</v>
      </c>
      <c r="W86" s="466">
        <v>542624</v>
      </c>
      <c r="X86" s="466">
        <v>317823</v>
      </c>
      <c r="Y86" s="466">
        <v>14500</v>
      </c>
      <c r="Z86" s="466">
        <v>1322425</v>
      </c>
      <c r="AA86" s="466">
        <v>0</v>
      </c>
      <c r="AB86" s="466">
        <v>0</v>
      </c>
      <c r="AC86" s="466">
        <v>746435</v>
      </c>
      <c r="AD86" s="466">
        <v>0</v>
      </c>
      <c r="AE86" s="466">
        <v>761000</v>
      </c>
      <c r="AF86" s="466">
        <v>20000</v>
      </c>
      <c r="AG86" s="466">
        <v>187203</v>
      </c>
      <c r="AH86" s="466">
        <v>370022</v>
      </c>
      <c r="AI86" s="466">
        <v>775277</v>
      </c>
      <c r="AJ86" s="466">
        <v>64950</v>
      </c>
      <c r="AK86" s="466">
        <v>0</v>
      </c>
      <c r="AL86" s="466">
        <v>1775695</v>
      </c>
      <c r="AM86" s="466">
        <v>21491</v>
      </c>
    </row>
    <row r="87" spans="1:39" s="155" customFormat="1" ht="12" x14ac:dyDescent="0.2">
      <c r="A87" s="168">
        <v>33</v>
      </c>
      <c r="B87" s="576">
        <v>90262</v>
      </c>
      <c r="C87" s="422" t="s">
        <v>2856</v>
      </c>
      <c r="D87" s="467">
        <f t="shared" ref="D87:D109" si="18">E87+SUM(H87:O87)</f>
        <v>2310634</v>
      </c>
      <c r="E87" s="466">
        <v>976105</v>
      </c>
      <c r="F87" s="466">
        <v>36654</v>
      </c>
      <c r="G87" s="466">
        <v>530226</v>
      </c>
      <c r="H87" s="466">
        <v>0</v>
      </c>
      <c r="I87" s="466">
        <v>302345</v>
      </c>
      <c r="J87" s="466">
        <v>0</v>
      </c>
      <c r="K87" s="466">
        <v>721540</v>
      </c>
      <c r="L87" s="466">
        <v>0</v>
      </c>
      <c r="M87" s="466">
        <v>68645</v>
      </c>
      <c r="N87" s="466">
        <v>205623</v>
      </c>
      <c r="O87" s="466">
        <v>36376</v>
      </c>
      <c r="P87" s="467">
        <f t="shared" si="17"/>
        <v>1902931</v>
      </c>
      <c r="Q87" s="466">
        <v>543425</v>
      </c>
      <c r="R87" s="466">
        <v>370092</v>
      </c>
      <c r="S87" s="466">
        <v>0</v>
      </c>
      <c r="T87" s="466">
        <v>0</v>
      </c>
      <c r="U87" s="466">
        <v>0</v>
      </c>
      <c r="V87" s="466">
        <v>0</v>
      </c>
      <c r="W87" s="466">
        <v>131526</v>
      </c>
      <c r="X87" s="466">
        <v>105190</v>
      </c>
      <c r="Y87" s="466">
        <v>3000</v>
      </c>
      <c r="Z87" s="466">
        <v>751971</v>
      </c>
      <c r="AA87" s="466">
        <v>0</v>
      </c>
      <c r="AB87" s="466">
        <v>-2273</v>
      </c>
      <c r="AC87" s="466">
        <v>534784</v>
      </c>
      <c r="AD87" s="466">
        <v>6954</v>
      </c>
      <c r="AE87" s="466">
        <v>255435</v>
      </c>
      <c r="AF87" s="466">
        <v>9193</v>
      </c>
      <c r="AG87" s="466">
        <v>568011</v>
      </c>
      <c r="AH87" s="466">
        <v>108681</v>
      </c>
      <c r="AI87" s="466">
        <v>149372</v>
      </c>
      <c r="AJ87" s="466">
        <v>2963</v>
      </c>
      <c r="AK87" s="466">
        <v>0</v>
      </c>
      <c r="AL87" s="466">
        <v>267538</v>
      </c>
      <c r="AM87" s="466">
        <v>0</v>
      </c>
    </row>
    <row r="88" spans="1:39" s="155" customFormat="1" ht="12" x14ac:dyDescent="0.2">
      <c r="A88" s="168">
        <v>34</v>
      </c>
      <c r="B88" s="576">
        <v>90342</v>
      </c>
      <c r="C88" s="422" t="s">
        <v>2857</v>
      </c>
      <c r="D88" s="467">
        <f t="shared" si="18"/>
        <v>4567050</v>
      </c>
      <c r="E88" s="466">
        <v>1331898</v>
      </c>
      <c r="F88" s="466">
        <v>193419</v>
      </c>
      <c r="G88" s="466">
        <v>472801</v>
      </c>
      <c r="H88" s="466">
        <v>0</v>
      </c>
      <c r="I88" s="466">
        <v>1495160</v>
      </c>
      <c r="J88" s="466">
        <v>100000</v>
      </c>
      <c r="K88" s="466">
        <v>852710</v>
      </c>
      <c r="L88" s="466">
        <v>0</v>
      </c>
      <c r="M88" s="466">
        <v>127709</v>
      </c>
      <c r="N88" s="466">
        <v>298564</v>
      </c>
      <c r="O88" s="466">
        <v>361009</v>
      </c>
      <c r="P88" s="467">
        <f t="shared" si="17"/>
        <v>4315938</v>
      </c>
      <c r="Q88" s="466">
        <v>1750041</v>
      </c>
      <c r="R88" s="466">
        <v>858519</v>
      </c>
      <c r="S88" s="466">
        <v>62500</v>
      </c>
      <c r="T88" s="466">
        <v>0</v>
      </c>
      <c r="U88" s="466">
        <v>0</v>
      </c>
      <c r="V88" s="466">
        <v>18392</v>
      </c>
      <c r="W88" s="466">
        <v>490852</v>
      </c>
      <c r="X88" s="466">
        <v>261178</v>
      </c>
      <c r="Y88" s="466">
        <v>56978</v>
      </c>
      <c r="Z88" s="466">
        <v>705672</v>
      </c>
      <c r="AA88" s="466">
        <v>111806</v>
      </c>
      <c r="AB88" s="466">
        <v>0</v>
      </c>
      <c r="AC88" s="466">
        <v>856173</v>
      </c>
      <c r="AD88" s="466">
        <v>0</v>
      </c>
      <c r="AE88" s="466">
        <v>1281014</v>
      </c>
      <c r="AF88" s="466">
        <v>0</v>
      </c>
      <c r="AG88" s="466">
        <v>735927</v>
      </c>
      <c r="AH88" s="466">
        <v>382350</v>
      </c>
      <c r="AI88" s="466">
        <v>300450</v>
      </c>
      <c r="AJ88" s="466">
        <v>708108</v>
      </c>
      <c r="AK88" s="466">
        <v>0</v>
      </c>
      <c r="AL88" s="466">
        <v>46138</v>
      </c>
      <c r="AM88" s="466">
        <v>5778</v>
      </c>
    </row>
    <row r="89" spans="1:39" s="155" customFormat="1" ht="12" x14ac:dyDescent="0.2">
      <c r="A89" s="168">
        <v>35</v>
      </c>
      <c r="B89" s="576">
        <v>90431</v>
      </c>
      <c r="C89" s="422" t="s">
        <v>2858</v>
      </c>
      <c r="D89" s="467">
        <f t="shared" si="18"/>
        <v>2497445</v>
      </c>
      <c r="E89" s="466">
        <v>996766</v>
      </c>
      <c r="F89" s="466">
        <v>157349</v>
      </c>
      <c r="G89" s="466">
        <v>269428</v>
      </c>
      <c r="H89" s="466">
        <v>0</v>
      </c>
      <c r="I89" s="466">
        <v>393488</v>
      </c>
      <c r="J89" s="466">
        <v>99999</v>
      </c>
      <c r="K89" s="466">
        <v>451350</v>
      </c>
      <c r="L89" s="466">
        <v>0</v>
      </c>
      <c r="M89" s="466">
        <v>354985</v>
      </c>
      <c r="N89" s="466">
        <v>170557</v>
      </c>
      <c r="O89" s="466">
        <v>30300</v>
      </c>
      <c r="P89" s="467">
        <f t="shared" si="17"/>
        <v>2504265</v>
      </c>
      <c r="Q89" s="466">
        <v>673373</v>
      </c>
      <c r="R89" s="466">
        <v>718963</v>
      </c>
      <c r="S89" s="466">
        <v>0</v>
      </c>
      <c r="T89" s="466">
        <v>0</v>
      </c>
      <c r="U89" s="466">
        <v>0</v>
      </c>
      <c r="V89" s="466">
        <v>0</v>
      </c>
      <c r="W89" s="466">
        <v>163102</v>
      </c>
      <c r="X89" s="466">
        <v>106363</v>
      </c>
      <c r="Y89" s="466">
        <v>11500</v>
      </c>
      <c r="Z89" s="466">
        <v>830964</v>
      </c>
      <c r="AA89" s="466">
        <v>0</v>
      </c>
      <c r="AB89" s="466">
        <v>0</v>
      </c>
      <c r="AC89" s="466">
        <v>628573</v>
      </c>
      <c r="AD89" s="466">
        <v>3800</v>
      </c>
      <c r="AE89" s="466">
        <v>178570</v>
      </c>
      <c r="AF89" s="466">
        <v>119173</v>
      </c>
      <c r="AG89" s="466">
        <v>230768</v>
      </c>
      <c r="AH89" s="466">
        <v>242233</v>
      </c>
      <c r="AI89" s="466">
        <v>540026</v>
      </c>
      <c r="AJ89" s="466">
        <v>92402</v>
      </c>
      <c r="AK89" s="466">
        <v>0</v>
      </c>
      <c r="AL89" s="466">
        <v>449574</v>
      </c>
      <c r="AM89" s="466">
        <v>19146</v>
      </c>
    </row>
    <row r="90" spans="1:39" s="155" customFormat="1" ht="12" x14ac:dyDescent="0.2">
      <c r="A90" s="168">
        <v>36</v>
      </c>
      <c r="B90" s="576">
        <v>90538</v>
      </c>
      <c r="C90" s="422" t="s">
        <v>2859</v>
      </c>
      <c r="D90" s="467">
        <f t="shared" si="18"/>
        <v>8168727</v>
      </c>
      <c r="E90" s="466">
        <v>1836792</v>
      </c>
      <c r="F90" s="466">
        <v>522487</v>
      </c>
      <c r="G90" s="466">
        <v>585682</v>
      </c>
      <c r="H90" s="466">
        <v>0</v>
      </c>
      <c r="I90" s="466">
        <v>3399134</v>
      </c>
      <c r="J90" s="466">
        <v>350000</v>
      </c>
      <c r="K90" s="466">
        <v>1611520</v>
      </c>
      <c r="L90" s="466">
        <v>0</v>
      </c>
      <c r="M90" s="466">
        <v>170179</v>
      </c>
      <c r="N90" s="466">
        <v>432591</v>
      </c>
      <c r="O90" s="466">
        <v>368511</v>
      </c>
      <c r="P90" s="467">
        <f t="shared" si="17"/>
        <v>7668247</v>
      </c>
      <c r="Q90" s="466">
        <v>3783609</v>
      </c>
      <c r="R90" s="466">
        <v>2057434</v>
      </c>
      <c r="S90" s="466">
        <v>0</v>
      </c>
      <c r="T90" s="466">
        <v>0</v>
      </c>
      <c r="U90" s="466">
        <v>0</v>
      </c>
      <c r="V90" s="466">
        <v>0</v>
      </c>
      <c r="W90" s="466">
        <v>108443</v>
      </c>
      <c r="X90" s="466">
        <v>403362</v>
      </c>
      <c r="Y90" s="466">
        <v>11080</v>
      </c>
      <c r="Z90" s="466">
        <v>1304319</v>
      </c>
      <c r="AA90" s="466">
        <v>0</v>
      </c>
      <c r="AB90" s="466">
        <v>0</v>
      </c>
      <c r="AC90" s="466">
        <v>1002310</v>
      </c>
      <c r="AD90" s="466">
        <v>97993</v>
      </c>
      <c r="AE90" s="466">
        <v>2540652</v>
      </c>
      <c r="AF90" s="466">
        <v>0</v>
      </c>
      <c r="AG90" s="466">
        <v>622161</v>
      </c>
      <c r="AH90" s="466">
        <v>1075244</v>
      </c>
      <c r="AI90" s="466">
        <v>1516837</v>
      </c>
      <c r="AJ90" s="466">
        <v>65304</v>
      </c>
      <c r="AK90" s="466">
        <v>0</v>
      </c>
      <c r="AL90" s="466">
        <v>373242</v>
      </c>
      <c r="AM90" s="466">
        <v>374504</v>
      </c>
    </row>
    <row r="91" spans="1:39" s="155" customFormat="1" ht="12" x14ac:dyDescent="0.2">
      <c r="A91" s="168">
        <v>37</v>
      </c>
      <c r="B91" s="576">
        <v>90663</v>
      </c>
      <c r="C91" s="422" t="s">
        <v>2860</v>
      </c>
      <c r="D91" s="467">
        <f t="shared" si="18"/>
        <v>4581422</v>
      </c>
      <c r="E91" s="466">
        <v>1214661</v>
      </c>
      <c r="F91" s="466">
        <v>121544</v>
      </c>
      <c r="G91" s="466">
        <v>505469</v>
      </c>
      <c r="H91" s="466">
        <v>0</v>
      </c>
      <c r="I91" s="466">
        <v>1127458</v>
      </c>
      <c r="J91" s="466">
        <v>50000</v>
      </c>
      <c r="K91" s="466">
        <v>807120</v>
      </c>
      <c r="L91" s="466">
        <v>0</v>
      </c>
      <c r="M91" s="466">
        <v>942454</v>
      </c>
      <c r="N91" s="466">
        <v>391160</v>
      </c>
      <c r="O91" s="466">
        <v>48569</v>
      </c>
      <c r="P91" s="467">
        <f t="shared" si="17"/>
        <v>4150285</v>
      </c>
      <c r="Q91" s="466">
        <v>1278255</v>
      </c>
      <c r="R91" s="466">
        <v>681574</v>
      </c>
      <c r="S91" s="466">
        <v>0</v>
      </c>
      <c r="T91" s="466">
        <v>0</v>
      </c>
      <c r="U91" s="466">
        <v>0</v>
      </c>
      <c r="V91" s="466">
        <v>0</v>
      </c>
      <c r="W91" s="466">
        <v>752860</v>
      </c>
      <c r="X91" s="466">
        <v>294475</v>
      </c>
      <c r="Y91" s="466">
        <v>10000</v>
      </c>
      <c r="Z91" s="466">
        <v>1133121</v>
      </c>
      <c r="AA91" s="466">
        <v>0</v>
      </c>
      <c r="AB91" s="466">
        <v>0</v>
      </c>
      <c r="AC91" s="466">
        <v>567269</v>
      </c>
      <c r="AD91" s="466">
        <v>0</v>
      </c>
      <c r="AE91" s="466">
        <v>831458</v>
      </c>
      <c r="AF91" s="466">
        <v>9945</v>
      </c>
      <c r="AG91" s="466">
        <v>492504</v>
      </c>
      <c r="AH91" s="466">
        <v>382676</v>
      </c>
      <c r="AI91" s="466">
        <v>396130</v>
      </c>
      <c r="AJ91" s="466">
        <v>810342</v>
      </c>
      <c r="AK91" s="466">
        <v>0</v>
      </c>
      <c r="AL91" s="466">
        <v>408520</v>
      </c>
      <c r="AM91" s="466">
        <v>251441</v>
      </c>
    </row>
    <row r="92" spans="1:39" s="155" customFormat="1" ht="12" x14ac:dyDescent="0.2">
      <c r="A92" s="168">
        <v>38</v>
      </c>
      <c r="B92" s="576">
        <v>90725</v>
      </c>
      <c r="C92" s="422" t="s">
        <v>2861</v>
      </c>
      <c r="D92" s="467">
        <f t="shared" si="18"/>
        <v>4369170</v>
      </c>
      <c r="E92" s="466">
        <v>936479</v>
      </c>
      <c r="F92" s="466">
        <v>143801</v>
      </c>
      <c r="G92" s="466">
        <v>399135</v>
      </c>
      <c r="H92" s="466">
        <v>0</v>
      </c>
      <c r="I92" s="466">
        <v>946766</v>
      </c>
      <c r="J92" s="466">
        <v>300000</v>
      </c>
      <c r="K92" s="466">
        <v>649550</v>
      </c>
      <c r="L92" s="466">
        <v>0</v>
      </c>
      <c r="M92" s="466">
        <v>1262063</v>
      </c>
      <c r="N92" s="466">
        <v>232782</v>
      </c>
      <c r="O92" s="466">
        <v>41530</v>
      </c>
      <c r="P92" s="467">
        <f t="shared" si="17"/>
        <v>7299859</v>
      </c>
      <c r="Q92" s="466">
        <v>1300944</v>
      </c>
      <c r="R92" s="466">
        <v>815820</v>
      </c>
      <c r="S92" s="466">
        <v>22476</v>
      </c>
      <c r="T92" s="466">
        <v>0</v>
      </c>
      <c r="U92" s="466">
        <v>0</v>
      </c>
      <c r="V92" s="466">
        <v>0</v>
      </c>
      <c r="W92" s="466">
        <v>3579473</v>
      </c>
      <c r="X92" s="466">
        <v>122236</v>
      </c>
      <c r="Y92" s="466">
        <v>52071</v>
      </c>
      <c r="Z92" s="466">
        <v>4505</v>
      </c>
      <c r="AA92" s="466">
        <v>1416642</v>
      </c>
      <c r="AB92" s="466">
        <v>-14308</v>
      </c>
      <c r="AC92" s="466">
        <v>986849</v>
      </c>
      <c r="AD92" s="466">
        <v>0</v>
      </c>
      <c r="AE92" s="466">
        <v>838966</v>
      </c>
      <c r="AF92" s="466">
        <v>23576</v>
      </c>
      <c r="AG92" s="466">
        <v>1121461</v>
      </c>
      <c r="AH92" s="466">
        <v>209848</v>
      </c>
      <c r="AI92" s="466">
        <v>1446266</v>
      </c>
      <c r="AJ92" s="466">
        <v>2378612</v>
      </c>
      <c r="AK92" s="466">
        <v>0</v>
      </c>
      <c r="AL92" s="466">
        <v>291656</v>
      </c>
      <c r="AM92" s="466">
        <v>2625</v>
      </c>
    </row>
    <row r="93" spans="1:39" s="155" customFormat="1" ht="12" x14ac:dyDescent="0.2">
      <c r="A93" s="168">
        <v>39</v>
      </c>
      <c r="B93" s="576">
        <v>90805</v>
      </c>
      <c r="C93" s="422" t="s">
        <v>2862</v>
      </c>
      <c r="D93" s="467">
        <f t="shared" si="18"/>
        <v>4772895</v>
      </c>
      <c r="E93" s="466">
        <v>1825888</v>
      </c>
      <c r="F93" s="466">
        <v>1366797</v>
      </c>
      <c r="G93" s="466">
        <v>58696</v>
      </c>
      <c r="H93" s="466">
        <v>0</v>
      </c>
      <c r="I93" s="466">
        <v>870623</v>
      </c>
      <c r="J93" s="466">
        <v>100000</v>
      </c>
      <c r="K93" s="466">
        <v>127240</v>
      </c>
      <c r="L93" s="466">
        <v>0</v>
      </c>
      <c r="M93" s="466">
        <v>1089462</v>
      </c>
      <c r="N93" s="466">
        <v>752682</v>
      </c>
      <c r="O93" s="466">
        <v>7000</v>
      </c>
      <c r="P93" s="467">
        <f t="shared" si="17"/>
        <v>4371315</v>
      </c>
      <c r="Q93" s="466">
        <v>1184052</v>
      </c>
      <c r="R93" s="466">
        <v>915076</v>
      </c>
      <c r="S93" s="466">
        <v>2500</v>
      </c>
      <c r="T93" s="466">
        <v>0</v>
      </c>
      <c r="U93" s="466">
        <v>0</v>
      </c>
      <c r="V93" s="466">
        <v>0</v>
      </c>
      <c r="W93" s="466">
        <v>922624</v>
      </c>
      <c r="X93" s="466">
        <v>135782</v>
      </c>
      <c r="Y93" s="466">
        <v>103180</v>
      </c>
      <c r="Z93" s="466">
        <v>1099403</v>
      </c>
      <c r="AA93" s="466">
        <v>31096</v>
      </c>
      <c r="AB93" s="466">
        <v>-22398</v>
      </c>
      <c r="AC93" s="466">
        <v>1228822</v>
      </c>
      <c r="AD93" s="466">
        <v>32247</v>
      </c>
      <c r="AE93" s="466">
        <v>724149</v>
      </c>
      <c r="AF93" s="466">
        <v>0</v>
      </c>
      <c r="AG93" s="466">
        <v>421940</v>
      </c>
      <c r="AH93" s="466">
        <v>210644</v>
      </c>
      <c r="AI93" s="466">
        <v>60366</v>
      </c>
      <c r="AJ93" s="466">
        <v>63499</v>
      </c>
      <c r="AK93" s="466">
        <v>0</v>
      </c>
      <c r="AL93" s="466">
        <v>1629648</v>
      </c>
      <c r="AM93" s="466">
        <v>0</v>
      </c>
    </row>
    <row r="94" spans="1:39" s="155" customFormat="1" ht="12" x14ac:dyDescent="0.2">
      <c r="A94" s="168">
        <v>40</v>
      </c>
      <c r="B94" s="576">
        <v>90878</v>
      </c>
      <c r="C94" s="422" t="s">
        <v>2863</v>
      </c>
      <c r="D94" s="467">
        <f t="shared" si="18"/>
        <v>9309206</v>
      </c>
      <c r="E94" s="466">
        <v>2154452</v>
      </c>
      <c r="F94" s="466">
        <v>636147</v>
      </c>
      <c r="G94" s="466">
        <v>242276</v>
      </c>
      <c r="H94" s="466">
        <v>0</v>
      </c>
      <c r="I94" s="466">
        <v>2016976</v>
      </c>
      <c r="J94" s="466">
        <v>300000</v>
      </c>
      <c r="K94" s="466">
        <v>819940</v>
      </c>
      <c r="L94" s="466">
        <v>0</v>
      </c>
      <c r="M94" s="466">
        <v>1326855</v>
      </c>
      <c r="N94" s="466">
        <v>2562983</v>
      </c>
      <c r="O94" s="466">
        <v>128000</v>
      </c>
      <c r="P94" s="467">
        <f t="shared" si="17"/>
        <v>9309206</v>
      </c>
      <c r="Q94" s="466">
        <v>2498934</v>
      </c>
      <c r="R94" s="466">
        <v>1739785</v>
      </c>
      <c r="S94" s="466">
        <v>50211</v>
      </c>
      <c r="T94" s="466">
        <v>0</v>
      </c>
      <c r="U94" s="466">
        <v>2500</v>
      </c>
      <c r="V94" s="466">
        <v>0</v>
      </c>
      <c r="W94" s="466">
        <v>3670002</v>
      </c>
      <c r="X94" s="466">
        <v>166933</v>
      </c>
      <c r="Y94" s="466">
        <v>83136</v>
      </c>
      <c r="Z94" s="466">
        <v>916271</v>
      </c>
      <c r="AA94" s="466">
        <v>181434</v>
      </c>
      <c r="AB94" s="466">
        <v>0</v>
      </c>
      <c r="AC94" s="466">
        <v>1401738</v>
      </c>
      <c r="AD94" s="466">
        <v>60799</v>
      </c>
      <c r="AE94" s="466">
        <v>1721068</v>
      </c>
      <c r="AF94" s="466">
        <v>22736</v>
      </c>
      <c r="AG94" s="466">
        <v>255248</v>
      </c>
      <c r="AH94" s="466">
        <v>512428</v>
      </c>
      <c r="AI94" s="466">
        <v>329330</v>
      </c>
      <c r="AJ94" s="466">
        <v>128411</v>
      </c>
      <c r="AK94" s="466">
        <v>0</v>
      </c>
      <c r="AL94" s="466">
        <v>1051043</v>
      </c>
      <c r="AM94" s="466">
        <v>3826405</v>
      </c>
    </row>
    <row r="95" spans="1:39" s="155" customFormat="1" ht="12" x14ac:dyDescent="0.2">
      <c r="A95" s="168">
        <v>41</v>
      </c>
      <c r="B95" s="576">
        <v>90994</v>
      </c>
      <c r="C95" s="422" t="s">
        <v>2864</v>
      </c>
      <c r="D95" s="467">
        <f t="shared" si="18"/>
        <v>5684811</v>
      </c>
      <c r="E95" s="466">
        <v>1477067</v>
      </c>
      <c r="F95" s="466">
        <v>428452</v>
      </c>
      <c r="G95" s="466">
        <v>170255</v>
      </c>
      <c r="H95" s="466">
        <v>0</v>
      </c>
      <c r="I95" s="466">
        <v>1470755</v>
      </c>
      <c r="J95" s="466">
        <v>100000</v>
      </c>
      <c r="K95" s="466">
        <v>669640</v>
      </c>
      <c r="L95" s="466">
        <v>0</v>
      </c>
      <c r="M95" s="466">
        <v>1628873</v>
      </c>
      <c r="N95" s="466">
        <v>279334</v>
      </c>
      <c r="O95" s="466">
        <v>59142</v>
      </c>
      <c r="P95" s="467">
        <f t="shared" si="17"/>
        <v>5704777</v>
      </c>
      <c r="Q95" s="466">
        <v>1687706</v>
      </c>
      <c r="R95" s="466">
        <v>1165484</v>
      </c>
      <c r="S95" s="466">
        <v>6671</v>
      </c>
      <c r="T95" s="466">
        <v>0</v>
      </c>
      <c r="U95" s="466">
        <v>0</v>
      </c>
      <c r="V95" s="466">
        <v>10286</v>
      </c>
      <c r="W95" s="466">
        <v>199166</v>
      </c>
      <c r="X95" s="466">
        <v>325779</v>
      </c>
      <c r="Y95" s="466">
        <v>46618</v>
      </c>
      <c r="Z95" s="466">
        <v>1693425</v>
      </c>
      <c r="AA95" s="466">
        <v>569642</v>
      </c>
      <c r="AB95" s="466">
        <v>0</v>
      </c>
      <c r="AC95" s="466">
        <v>877561</v>
      </c>
      <c r="AD95" s="466">
        <v>6862</v>
      </c>
      <c r="AE95" s="466">
        <v>1141668</v>
      </c>
      <c r="AF95" s="466">
        <v>22000</v>
      </c>
      <c r="AG95" s="466">
        <v>271171</v>
      </c>
      <c r="AH95" s="466">
        <v>444492</v>
      </c>
      <c r="AI95" s="466">
        <v>176323</v>
      </c>
      <c r="AJ95" s="466">
        <v>48556</v>
      </c>
      <c r="AK95" s="466">
        <v>0</v>
      </c>
      <c r="AL95" s="466">
        <v>2712598</v>
      </c>
      <c r="AM95" s="466">
        <v>3546</v>
      </c>
    </row>
    <row r="96" spans="1:39" s="155" customFormat="1" ht="12" x14ac:dyDescent="0.2">
      <c r="A96" s="168">
        <v>42</v>
      </c>
      <c r="B96" s="576">
        <v>91054</v>
      </c>
      <c r="C96" s="422" t="s">
        <v>2865</v>
      </c>
      <c r="D96" s="467">
        <f t="shared" si="18"/>
        <v>4648600</v>
      </c>
      <c r="E96" s="466">
        <v>863865</v>
      </c>
      <c r="F96" s="466">
        <v>78114</v>
      </c>
      <c r="G96" s="466">
        <v>545877</v>
      </c>
      <c r="H96" s="466">
        <v>0</v>
      </c>
      <c r="I96" s="466">
        <v>882208</v>
      </c>
      <c r="J96" s="466">
        <v>350000</v>
      </c>
      <c r="K96" s="466">
        <v>852650</v>
      </c>
      <c r="L96" s="466">
        <v>0</v>
      </c>
      <c r="M96" s="466">
        <v>1476273</v>
      </c>
      <c r="N96" s="466">
        <v>173435</v>
      </c>
      <c r="O96" s="466">
        <v>50169</v>
      </c>
      <c r="P96" s="467">
        <f t="shared" si="17"/>
        <v>4648322</v>
      </c>
      <c r="Q96" s="466">
        <v>1150214</v>
      </c>
      <c r="R96" s="466">
        <v>1382820</v>
      </c>
      <c r="S96" s="466">
        <v>0</v>
      </c>
      <c r="T96" s="466">
        <v>0</v>
      </c>
      <c r="U96" s="466">
        <v>0</v>
      </c>
      <c r="V96" s="466">
        <v>0</v>
      </c>
      <c r="W96" s="466">
        <v>226378</v>
      </c>
      <c r="X96" s="466">
        <v>47219</v>
      </c>
      <c r="Y96" s="466">
        <v>0</v>
      </c>
      <c r="Z96" s="466">
        <v>1841691</v>
      </c>
      <c r="AA96" s="466">
        <v>0</v>
      </c>
      <c r="AB96" s="466">
        <v>0</v>
      </c>
      <c r="AC96" s="466">
        <v>797421</v>
      </c>
      <c r="AD96" s="466">
        <v>0</v>
      </c>
      <c r="AE96" s="466">
        <v>668849</v>
      </c>
      <c r="AF96" s="466">
        <v>24354</v>
      </c>
      <c r="AG96" s="466">
        <v>79328</v>
      </c>
      <c r="AH96" s="466">
        <v>227571</v>
      </c>
      <c r="AI96" s="466">
        <v>1644579</v>
      </c>
      <c r="AJ96" s="466">
        <v>0</v>
      </c>
      <c r="AK96" s="466">
        <v>0</v>
      </c>
      <c r="AL96" s="466">
        <v>1206220</v>
      </c>
      <c r="AM96" s="466">
        <v>0</v>
      </c>
    </row>
    <row r="97" spans="1:39" s="155" customFormat="1" ht="12" x14ac:dyDescent="0.2">
      <c r="A97" s="168">
        <v>43</v>
      </c>
      <c r="B97" s="576">
        <v>91116</v>
      </c>
      <c r="C97" s="422" t="s">
        <v>2866</v>
      </c>
      <c r="D97" s="467">
        <f t="shared" si="18"/>
        <v>5872987</v>
      </c>
      <c r="E97" s="466">
        <v>1406149</v>
      </c>
      <c r="F97" s="466">
        <v>143258</v>
      </c>
      <c r="G97" s="466">
        <v>516590</v>
      </c>
      <c r="H97" s="466">
        <v>0</v>
      </c>
      <c r="I97" s="466">
        <v>995087</v>
      </c>
      <c r="J97" s="466">
        <v>99999</v>
      </c>
      <c r="K97" s="466">
        <v>1057960</v>
      </c>
      <c r="L97" s="466">
        <v>0</v>
      </c>
      <c r="M97" s="466">
        <v>1233426</v>
      </c>
      <c r="N97" s="466">
        <v>552051</v>
      </c>
      <c r="O97" s="466">
        <v>528315</v>
      </c>
      <c r="P97" s="467">
        <f t="shared" si="17"/>
        <v>5430531</v>
      </c>
      <c r="Q97" s="466">
        <v>1220649</v>
      </c>
      <c r="R97" s="466">
        <v>865112</v>
      </c>
      <c r="S97" s="466">
        <v>0</v>
      </c>
      <c r="T97" s="466">
        <v>0</v>
      </c>
      <c r="U97" s="466">
        <v>0</v>
      </c>
      <c r="V97" s="466">
        <v>0</v>
      </c>
      <c r="W97" s="466">
        <v>760870</v>
      </c>
      <c r="X97" s="466">
        <v>227768</v>
      </c>
      <c r="Y97" s="466">
        <v>22000</v>
      </c>
      <c r="Z97" s="466">
        <v>2514132</v>
      </c>
      <c r="AA97" s="466">
        <v>0</v>
      </c>
      <c r="AB97" s="466">
        <v>-180000</v>
      </c>
      <c r="AC97" s="466">
        <v>2104580</v>
      </c>
      <c r="AD97" s="466">
        <v>14042</v>
      </c>
      <c r="AE97" s="466">
        <v>627658</v>
      </c>
      <c r="AF97" s="466">
        <v>0</v>
      </c>
      <c r="AG97" s="466">
        <v>71809</v>
      </c>
      <c r="AH97" s="466">
        <v>437894</v>
      </c>
      <c r="AI97" s="466">
        <v>1532688</v>
      </c>
      <c r="AJ97" s="466">
        <v>42036</v>
      </c>
      <c r="AK97" s="466">
        <v>0</v>
      </c>
      <c r="AL97" s="466">
        <v>493893</v>
      </c>
      <c r="AM97" s="466">
        <v>105931</v>
      </c>
    </row>
    <row r="98" spans="1:39" s="155" customFormat="1" ht="12" x14ac:dyDescent="0.2">
      <c r="A98" s="168">
        <v>44</v>
      </c>
      <c r="B98" s="576">
        <v>91232</v>
      </c>
      <c r="C98" s="422" t="s">
        <v>2867</v>
      </c>
      <c r="D98" s="467">
        <f t="shared" si="18"/>
        <v>5829963</v>
      </c>
      <c r="E98" s="466">
        <v>1553676</v>
      </c>
      <c r="F98" s="466">
        <v>482257</v>
      </c>
      <c r="G98" s="466">
        <v>349691</v>
      </c>
      <c r="H98" s="466">
        <v>0</v>
      </c>
      <c r="I98" s="466">
        <v>1907946</v>
      </c>
      <c r="J98" s="466">
        <v>100000</v>
      </c>
      <c r="K98" s="466">
        <v>814100</v>
      </c>
      <c r="L98" s="466">
        <v>0</v>
      </c>
      <c r="M98" s="466">
        <v>1069762</v>
      </c>
      <c r="N98" s="466">
        <v>299335</v>
      </c>
      <c r="O98" s="466">
        <v>85144</v>
      </c>
      <c r="P98" s="467">
        <f t="shared" si="17"/>
        <v>5832902</v>
      </c>
      <c r="Q98" s="466">
        <v>2238776</v>
      </c>
      <c r="R98" s="466">
        <v>1371204</v>
      </c>
      <c r="S98" s="466">
        <v>0</v>
      </c>
      <c r="T98" s="466">
        <v>0</v>
      </c>
      <c r="U98" s="466">
        <v>0</v>
      </c>
      <c r="V98" s="466">
        <v>8462</v>
      </c>
      <c r="W98" s="466">
        <v>438111</v>
      </c>
      <c r="X98" s="466">
        <v>277347</v>
      </c>
      <c r="Y98" s="466">
        <v>40503</v>
      </c>
      <c r="Z98" s="466">
        <v>1458499</v>
      </c>
      <c r="AA98" s="466">
        <v>0</v>
      </c>
      <c r="AB98" s="466">
        <v>0</v>
      </c>
      <c r="AC98" s="466">
        <v>928165</v>
      </c>
      <c r="AD98" s="466">
        <v>79955</v>
      </c>
      <c r="AE98" s="466">
        <v>1744078</v>
      </c>
      <c r="AF98" s="466">
        <v>22757</v>
      </c>
      <c r="AG98" s="466">
        <v>715314</v>
      </c>
      <c r="AH98" s="466">
        <v>361269</v>
      </c>
      <c r="AI98" s="466">
        <v>694937</v>
      </c>
      <c r="AJ98" s="466">
        <v>14537</v>
      </c>
      <c r="AK98" s="466">
        <v>0</v>
      </c>
      <c r="AL98" s="466">
        <v>1225390</v>
      </c>
      <c r="AM98" s="466">
        <v>46500</v>
      </c>
    </row>
    <row r="99" spans="1:39" s="155" customFormat="1" ht="12" x14ac:dyDescent="0.2">
      <c r="A99" s="168">
        <v>45</v>
      </c>
      <c r="B99" s="576">
        <v>91330</v>
      </c>
      <c r="C99" s="422" t="s">
        <v>2868</v>
      </c>
      <c r="D99" s="467">
        <f t="shared" si="18"/>
        <v>17320356</v>
      </c>
      <c r="E99" s="466">
        <v>4766360</v>
      </c>
      <c r="F99" s="466">
        <v>1558422</v>
      </c>
      <c r="G99" s="466">
        <v>77950</v>
      </c>
      <c r="H99" s="466">
        <v>0</v>
      </c>
      <c r="I99" s="466">
        <v>1547341</v>
      </c>
      <c r="J99" s="466">
        <v>150000</v>
      </c>
      <c r="K99" s="466">
        <v>3469440</v>
      </c>
      <c r="L99" s="466">
        <v>0</v>
      </c>
      <c r="M99" s="466">
        <v>2042609</v>
      </c>
      <c r="N99" s="466">
        <v>5299560</v>
      </c>
      <c r="O99" s="466">
        <v>45046</v>
      </c>
      <c r="P99" s="467">
        <f t="shared" si="17"/>
        <v>14345586</v>
      </c>
      <c r="Q99" s="466">
        <v>1890285</v>
      </c>
      <c r="R99" s="466">
        <v>3589758</v>
      </c>
      <c r="S99" s="466">
        <v>200288</v>
      </c>
      <c r="T99" s="466">
        <v>0</v>
      </c>
      <c r="U99" s="466">
        <v>0</v>
      </c>
      <c r="V99" s="466">
        <v>0</v>
      </c>
      <c r="W99" s="466">
        <v>6629923</v>
      </c>
      <c r="X99" s="466">
        <v>316434</v>
      </c>
      <c r="Y99" s="466">
        <v>417130</v>
      </c>
      <c r="Z99" s="466">
        <v>844653</v>
      </c>
      <c r="AA99" s="466">
        <v>457115</v>
      </c>
      <c r="AB99" s="466">
        <v>0</v>
      </c>
      <c r="AC99" s="466">
        <v>1113888</v>
      </c>
      <c r="AD99" s="466">
        <v>72941</v>
      </c>
      <c r="AE99" s="466">
        <v>1466856</v>
      </c>
      <c r="AF99" s="466">
        <v>0</v>
      </c>
      <c r="AG99" s="466">
        <v>834238</v>
      </c>
      <c r="AH99" s="466">
        <v>392784</v>
      </c>
      <c r="AI99" s="466">
        <v>8499712</v>
      </c>
      <c r="AJ99" s="466">
        <v>689875</v>
      </c>
      <c r="AK99" s="466">
        <v>0</v>
      </c>
      <c r="AL99" s="466">
        <v>1275292</v>
      </c>
      <c r="AM99" s="466">
        <v>0</v>
      </c>
    </row>
    <row r="100" spans="1:39" s="155" customFormat="1" ht="12" x14ac:dyDescent="0.2">
      <c r="A100" s="168">
        <v>46</v>
      </c>
      <c r="B100" s="576">
        <v>86936</v>
      </c>
      <c r="C100" s="422" t="s">
        <v>2869</v>
      </c>
      <c r="D100" s="467">
        <f t="shared" si="18"/>
        <v>7323970</v>
      </c>
      <c r="E100" s="466">
        <v>1567718</v>
      </c>
      <c r="F100" s="466">
        <v>307784</v>
      </c>
      <c r="G100" s="466">
        <v>525510</v>
      </c>
      <c r="H100" s="466">
        <v>0</v>
      </c>
      <c r="I100" s="466">
        <v>1322928</v>
      </c>
      <c r="J100" s="466">
        <v>140000</v>
      </c>
      <c r="K100" s="466">
        <v>1094980</v>
      </c>
      <c r="L100" s="466">
        <v>0</v>
      </c>
      <c r="M100" s="466">
        <v>745401</v>
      </c>
      <c r="N100" s="466">
        <v>2428979</v>
      </c>
      <c r="O100" s="466">
        <v>23964</v>
      </c>
      <c r="P100" s="467">
        <f t="shared" si="17"/>
        <v>6885441</v>
      </c>
      <c r="Q100" s="466">
        <v>1716083</v>
      </c>
      <c r="R100" s="466">
        <v>1312317</v>
      </c>
      <c r="S100" s="466">
        <v>757</v>
      </c>
      <c r="T100" s="466">
        <v>0</v>
      </c>
      <c r="U100" s="466">
        <v>0</v>
      </c>
      <c r="V100" s="466">
        <v>0</v>
      </c>
      <c r="W100" s="466">
        <v>3056897</v>
      </c>
      <c r="X100" s="466">
        <v>142168</v>
      </c>
      <c r="Y100" s="466">
        <v>35130</v>
      </c>
      <c r="Z100" s="466">
        <v>575229</v>
      </c>
      <c r="AA100" s="466">
        <v>46860</v>
      </c>
      <c r="AB100" s="466">
        <v>0</v>
      </c>
      <c r="AC100" s="466">
        <v>745331</v>
      </c>
      <c r="AD100" s="466">
        <v>9296</v>
      </c>
      <c r="AE100" s="466">
        <v>1787496</v>
      </c>
      <c r="AF100" s="466">
        <v>0</v>
      </c>
      <c r="AG100" s="466">
        <v>1194179</v>
      </c>
      <c r="AH100" s="466">
        <v>318370</v>
      </c>
      <c r="AI100" s="466">
        <v>614688</v>
      </c>
      <c r="AJ100" s="466">
        <v>881533</v>
      </c>
      <c r="AK100" s="466">
        <v>0</v>
      </c>
      <c r="AL100" s="466">
        <v>1099128</v>
      </c>
      <c r="AM100" s="466">
        <v>235420</v>
      </c>
    </row>
    <row r="101" spans="1:39" s="155" customFormat="1" ht="12" x14ac:dyDescent="0.2">
      <c r="A101" s="168">
        <v>47</v>
      </c>
      <c r="B101" s="576">
        <v>91447</v>
      </c>
      <c r="C101" s="422" t="s">
        <v>794</v>
      </c>
      <c r="D101" s="467">
        <f t="shared" si="18"/>
        <v>2722751</v>
      </c>
      <c r="E101" s="466">
        <v>738685</v>
      </c>
      <c r="F101" s="466">
        <v>27943</v>
      </c>
      <c r="G101" s="466">
        <v>614356</v>
      </c>
      <c r="H101" s="466">
        <v>0</v>
      </c>
      <c r="I101" s="466">
        <v>453255</v>
      </c>
      <c r="J101" s="466">
        <v>50000</v>
      </c>
      <c r="K101" s="466">
        <v>810710</v>
      </c>
      <c r="L101" s="466">
        <v>0</v>
      </c>
      <c r="M101" s="466">
        <v>659102</v>
      </c>
      <c r="N101" s="466">
        <v>0</v>
      </c>
      <c r="O101" s="466">
        <v>10999</v>
      </c>
      <c r="P101" s="467">
        <f t="shared" si="17"/>
        <v>2442193</v>
      </c>
      <c r="Q101" s="466">
        <v>697109</v>
      </c>
      <c r="R101" s="466">
        <v>559505</v>
      </c>
      <c r="S101" s="466">
        <v>0</v>
      </c>
      <c r="T101" s="466">
        <v>0</v>
      </c>
      <c r="U101" s="466">
        <v>0</v>
      </c>
      <c r="V101" s="466">
        <v>0</v>
      </c>
      <c r="W101" s="466">
        <v>0</v>
      </c>
      <c r="X101" s="466">
        <v>128951</v>
      </c>
      <c r="Y101" s="466">
        <v>7680</v>
      </c>
      <c r="Z101" s="466">
        <v>1048948</v>
      </c>
      <c r="AA101" s="466">
        <v>0</v>
      </c>
      <c r="AB101" s="466">
        <v>0</v>
      </c>
      <c r="AC101" s="466">
        <v>592124</v>
      </c>
      <c r="AD101" s="466">
        <v>1031</v>
      </c>
      <c r="AE101" s="466">
        <v>335161</v>
      </c>
      <c r="AF101" s="466">
        <v>0</v>
      </c>
      <c r="AG101" s="466">
        <v>40123</v>
      </c>
      <c r="AH101" s="466">
        <v>182868</v>
      </c>
      <c r="AI101" s="466">
        <v>137735</v>
      </c>
      <c r="AJ101" s="466">
        <v>35365</v>
      </c>
      <c r="AK101" s="466">
        <v>0</v>
      </c>
      <c r="AL101" s="466">
        <v>1117786</v>
      </c>
      <c r="AM101" s="466">
        <v>0</v>
      </c>
    </row>
    <row r="102" spans="1:39" s="155" customFormat="1" ht="12" x14ac:dyDescent="0.2">
      <c r="A102" s="168">
        <v>48</v>
      </c>
      <c r="B102" s="576">
        <v>91535</v>
      </c>
      <c r="C102" s="422" t="s">
        <v>2870</v>
      </c>
      <c r="D102" s="467">
        <f t="shared" si="18"/>
        <v>2164582</v>
      </c>
      <c r="E102" s="466">
        <v>751455</v>
      </c>
      <c r="F102" s="466">
        <v>31610</v>
      </c>
      <c r="G102" s="466">
        <v>620225</v>
      </c>
      <c r="H102" s="466">
        <v>0</v>
      </c>
      <c r="I102" s="466">
        <v>179784</v>
      </c>
      <c r="J102" s="466">
        <v>100000</v>
      </c>
      <c r="K102" s="466">
        <v>821050</v>
      </c>
      <c r="L102" s="466">
        <v>0</v>
      </c>
      <c r="M102" s="466">
        <v>61545</v>
      </c>
      <c r="N102" s="466">
        <v>217677</v>
      </c>
      <c r="O102" s="466">
        <v>33071</v>
      </c>
      <c r="P102" s="467">
        <f t="shared" si="17"/>
        <v>1430697</v>
      </c>
      <c r="Q102" s="466">
        <v>441046</v>
      </c>
      <c r="R102" s="466">
        <v>562175</v>
      </c>
      <c r="S102" s="466">
        <v>0</v>
      </c>
      <c r="T102" s="466">
        <v>0</v>
      </c>
      <c r="U102" s="466">
        <v>0</v>
      </c>
      <c r="V102" s="466">
        <v>0</v>
      </c>
      <c r="W102" s="466">
        <v>303981</v>
      </c>
      <c r="X102" s="466">
        <v>57950</v>
      </c>
      <c r="Y102" s="466">
        <v>68696</v>
      </c>
      <c r="Z102" s="466">
        <v>0</v>
      </c>
      <c r="AA102" s="466">
        <v>0</v>
      </c>
      <c r="AB102" s="466">
        <v>-3151</v>
      </c>
      <c r="AC102" s="466">
        <v>464489</v>
      </c>
      <c r="AD102" s="466">
        <v>19308</v>
      </c>
      <c r="AE102" s="466">
        <v>171194</v>
      </c>
      <c r="AF102" s="466">
        <v>0</v>
      </c>
      <c r="AG102" s="466">
        <v>352195</v>
      </c>
      <c r="AH102" s="466">
        <v>57950</v>
      </c>
      <c r="AI102" s="466">
        <v>155088</v>
      </c>
      <c r="AJ102" s="466">
        <v>0</v>
      </c>
      <c r="AK102" s="466">
        <v>0</v>
      </c>
      <c r="AL102" s="466">
        <v>182887</v>
      </c>
      <c r="AM102" s="466">
        <v>27586</v>
      </c>
    </row>
    <row r="103" spans="1:39" s="155" customFormat="1" ht="12" x14ac:dyDescent="0.2">
      <c r="A103" s="168">
        <v>49</v>
      </c>
      <c r="B103" s="576">
        <v>91624</v>
      </c>
      <c r="C103" s="422" t="s">
        <v>2871</v>
      </c>
      <c r="D103" s="467">
        <f t="shared" si="18"/>
        <v>6716323</v>
      </c>
      <c r="E103" s="466">
        <v>1007340</v>
      </c>
      <c r="F103" s="466">
        <v>258710</v>
      </c>
      <c r="G103" s="466">
        <v>442180</v>
      </c>
      <c r="H103" s="466">
        <v>0</v>
      </c>
      <c r="I103" s="466">
        <v>723697</v>
      </c>
      <c r="J103" s="466">
        <v>50000</v>
      </c>
      <c r="K103" s="466">
        <v>688770</v>
      </c>
      <c r="L103" s="466">
        <v>0</v>
      </c>
      <c r="M103" s="466">
        <v>3908241</v>
      </c>
      <c r="N103" s="466">
        <v>338275</v>
      </c>
      <c r="O103" s="466">
        <v>0</v>
      </c>
      <c r="P103" s="467">
        <f t="shared" si="17"/>
        <v>6522189</v>
      </c>
      <c r="Q103" s="466">
        <v>1047032</v>
      </c>
      <c r="R103" s="466">
        <v>830052</v>
      </c>
      <c r="S103" s="466">
        <v>0</v>
      </c>
      <c r="T103" s="466">
        <v>0</v>
      </c>
      <c r="U103" s="466">
        <v>0</v>
      </c>
      <c r="V103" s="466">
        <v>0</v>
      </c>
      <c r="W103" s="466">
        <v>149035</v>
      </c>
      <c r="X103" s="466">
        <v>101223</v>
      </c>
      <c r="Y103" s="466">
        <v>0</v>
      </c>
      <c r="Z103" s="466">
        <v>4394847</v>
      </c>
      <c r="AA103" s="466">
        <v>0</v>
      </c>
      <c r="AB103" s="466">
        <v>0</v>
      </c>
      <c r="AC103" s="466">
        <v>770590</v>
      </c>
      <c r="AD103" s="466">
        <v>0</v>
      </c>
      <c r="AE103" s="466">
        <v>917429</v>
      </c>
      <c r="AF103" s="466">
        <v>22219</v>
      </c>
      <c r="AG103" s="466">
        <v>608771</v>
      </c>
      <c r="AH103" s="466">
        <v>252092</v>
      </c>
      <c r="AI103" s="466">
        <v>82413</v>
      </c>
      <c r="AJ103" s="466">
        <v>0</v>
      </c>
      <c r="AK103" s="466">
        <v>0</v>
      </c>
      <c r="AL103" s="466">
        <v>68760</v>
      </c>
      <c r="AM103" s="466">
        <v>3799915</v>
      </c>
    </row>
    <row r="104" spans="1:39" s="155" customFormat="1" ht="12" x14ac:dyDescent="0.2">
      <c r="A104" s="168">
        <v>50</v>
      </c>
      <c r="B104" s="576">
        <v>91688</v>
      </c>
      <c r="C104" s="422" t="s">
        <v>2872</v>
      </c>
      <c r="D104" s="467">
        <f t="shared" si="18"/>
        <v>2760324</v>
      </c>
      <c r="E104" s="466">
        <v>935779</v>
      </c>
      <c r="F104" s="466">
        <v>206931</v>
      </c>
      <c r="G104" s="466">
        <v>256308</v>
      </c>
      <c r="H104" s="466">
        <v>0</v>
      </c>
      <c r="I104" s="466">
        <v>620153</v>
      </c>
      <c r="J104" s="466">
        <v>50000</v>
      </c>
      <c r="K104" s="466">
        <v>433180</v>
      </c>
      <c r="L104" s="466">
        <v>0</v>
      </c>
      <c r="M104" s="466">
        <v>701601</v>
      </c>
      <c r="N104" s="466">
        <v>0</v>
      </c>
      <c r="O104" s="466">
        <v>19611</v>
      </c>
      <c r="P104" s="467">
        <f t="shared" si="17"/>
        <v>2723478</v>
      </c>
      <c r="Q104" s="466">
        <v>1014891</v>
      </c>
      <c r="R104" s="466">
        <v>548664</v>
      </c>
      <c r="S104" s="466">
        <v>0</v>
      </c>
      <c r="T104" s="466">
        <v>0</v>
      </c>
      <c r="U104" s="466">
        <v>0</v>
      </c>
      <c r="V104" s="466">
        <v>0</v>
      </c>
      <c r="W104" s="466">
        <v>0</v>
      </c>
      <c r="X104" s="466">
        <v>150970</v>
      </c>
      <c r="Y104" s="466">
        <v>27320</v>
      </c>
      <c r="Z104" s="466">
        <v>987495</v>
      </c>
      <c r="AA104" s="466">
        <v>0</v>
      </c>
      <c r="AB104" s="466">
        <v>-5862</v>
      </c>
      <c r="AC104" s="466">
        <v>837978</v>
      </c>
      <c r="AD104" s="466">
        <v>57361</v>
      </c>
      <c r="AE104" s="466">
        <v>535484</v>
      </c>
      <c r="AF104" s="466">
        <v>0</v>
      </c>
      <c r="AG104" s="466">
        <v>191522</v>
      </c>
      <c r="AH104" s="466">
        <v>150970</v>
      </c>
      <c r="AI104" s="466">
        <v>201999</v>
      </c>
      <c r="AJ104" s="466">
        <v>361918</v>
      </c>
      <c r="AK104" s="466">
        <v>0</v>
      </c>
      <c r="AL104" s="466">
        <v>386246</v>
      </c>
      <c r="AM104" s="466">
        <v>0</v>
      </c>
    </row>
    <row r="105" spans="1:39" s="155" customFormat="1" ht="12" x14ac:dyDescent="0.2">
      <c r="A105" s="168">
        <v>51</v>
      </c>
      <c r="B105" s="576">
        <v>91795</v>
      </c>
      <c r="C105" s="422" t="s">
        <v>2873</v>
      </c>
      <c r="D105" s="467">
        <f t="shared" si="18"/>
        <v>6361042</v>
      </c>
      <c r="E105" s="466">
        <v>1891539</v>
      </c>
      <c r="F105" s="466">
        <v>208057</v>
      </c>
      <c r="G105" s="466">
        <v>568978</v>
      </c>
      <c r="H105" s="466">
        <v>0</v>
      </c>
      <c r="I105" s="466">
        <v>2149386</v>
      </c>
      <c r="J105" s="466">
        <v>310000</v>
      </c>
      <c r="K105" s="466">
        <v>1512980</v>
      </c>
      <c r="L105" s="466">
        <v>0</v>
      </c>
      <c r="M105" s="466">
        <v>121902</v>
      </c>
      <c r="N105" s="466">
        <v>307735</v>
      </c>
      <c r="O105" s="466">
        <v>67500</v>
      </c>
      <c r="P105" s="467">
        <f t="shared" si="17"/>
        <v>6326267</v>
      </c>
      <c r="Q105" s="466">
        <v>2749649</v>
      </c>
      <c r="R105" s="466">
        <v>2240591</v>
      </c>
      <c r="S105" s="466">
        <v>0</v>
      </c>
      <c r="T105" s="466">
        <v>0</v>
      </c>
      <c r="U105" s="466">
        <v>0</v>
      </c>
      <c r="V105" s="466">
        <v>10107</v>
      </c>
      <c r="W105" s="466">
        <v>493480</v>
      </c>
      <c r="X105" s="466">
        <v>533195</v>
      </c>
      <c r="Y105" s="466">
        <v>89240</v>
      </c>
      <c r="Z105" s="466">
        <v>210005</v>
      </c>
      <c r="AA105" s="466">
        <v>0</v>
      </c>
      <c r="AB105" s="466">
        <v>0</v>
      </c>
      <c r="AC105" s="466">
        <v>1738011</v>
      </c>
      <c r="AD105" s="466">
        <v>38377</v>
      </c>
      <c r="AE105" s="466">
        <v>1636111</v>
      </c>
      <c r="AF105" s="466">
        <v>16810</v>
      </c>
      <c r="AG105" s="466">
        <v>315324</v>
      </c>
      <c r="AH105" s="466">
        <v>840823</v>
      </c>
      <c r="AI105" s="466">
        <v>151931</v>
      </c>
      <c r="AJ105" s="466">
        <v>251123</v>
      </c>
      <c r="AK105" s="466">
        <v>0</v>
      </c>
      <c r="AL105" s="466">
        <v>1337757</v>
      </c>
      <c r="AM105" s="466">
        <v>0</v>
      </c>
    </row>
    <row r="106" spans="1:39" s="155" customFormat="1" ht="12" x14ac:dyDescent="0.2">
      <c r="A106" s="168">
        <v>52</v>
      </c>
      <c r="B106" s="576">
        <v>91937</v>
      </c>
      <c r="C106" s="422" t="s">
        <v>2874</v>
      </c>
      <c r="D106" s="467">
        <f t="shared" si="18"/>
        <v>3651475</v>
      </c>
      <c r="E106" s="466">
        <v>791043</v>
      </c>
      <c r="F106" s="466">
        <v>49376</v>
      </c>
      <c r="G106" s="466">
        <v>595769</v>
      </c>
      <c r="H106" s="466">
        <v>0</v>
      </c>
      <c r="I106" s="466">
        <v>734830</v>
      </c>
      <c r="J106" s="466">
        <v>350000</v>
      </c>
      <c r="K106" s="466">
        <v>856860</v>
      </c>
      <c r="L106" s="466">
        <v>0</v>
      </c>
      <c r="M106" s="466">
        <v>505849</v>
      </c>
      <c r="N106" s="466">
        <v>392352</v>
      </c>
      <c r="O106" s="466">
        <v>20541</v>
      </c>
      <c r="P106" s="467">
        <f t="shared" si="17"/>
        <v>3427757</v>
      </c>
      <c r="Q106" s="466">
        <v>916290</v>
      </c>
      <c r="R106" s="466">
        <v>1397972</v>
      </c>
      <c r="S106" s="466">
        <v>0</v>
      </c>
      <c r="T106" s="466">
        <v>0</v>
      </c>
      <c r="U106" s="466">
        <v>0</v>
      </c>
      <c r="V106" s="466">
        <v>0</v>
      </c>
      <c r="W106" s="466">
        <v>504680</v>
      </c>
      <c r="X106" s="466">
        <v>149199</v>
      </c>
      <c r="Y106" s="466">
        <v>5920</v>
      </c>
      <c r="Z106" s="466">
        <v>453876</v>
      </c>
      <c r="AA106" s="466">
        <v>0</v>
      </c>
      <c r="AB106" s="466">
        <v>-180</v>
      </c>
      <c r="AC106" s="466">
        <v>747243</v>
      </c>
      <c r="AD106" s="466">
        <v>0</v>
      </c>
      <c r="AE106" s="466">
        <v>569171</v>
      </c>
      <c r="AF106" s="466">
        <v>0</v>
      </c>
      <c r="AG106" s="466">
        <v>131985</v>
      </c>
      <c r="AH106" s="466">
        <v>239199</v>
      </c>
      <c r="AI106" s="466">
        <v>655711</v>
      </c>
      <c r="AJ106" s="466">
        <v>0</v>
      </c>
      <c r="AK106" s="466">
        <v>0</v>
      </c>
      <c r="AL106" s="466">
        <v>1038483</v>
      </c>
      <c r="AM106" s="466">
        <v>45965</v>
      </c>
    </row>
    <row r="107" spans="1:39" s="155" customFormat="1" ht="12" x14ac:dyDescent="0.2">
      <c r="A107" s="168">
        <v>53</v>
      </c>
      <c r="B107" s="576">
        <v>91982</v>
      </c>
      <c r="C107" s="422" t="s">
        <v>2875</v>
      </c>
      <c r="D107" s="467">
        <f t="shared" si="18"/>
        <v>12876320</v>
      </c>
      <c r="E107" s="466">
        <v>5283676</v>
      </c>
      <c r="F107" s="466">
        <v>3902441</v>
      </c>
      <c r="G107" s="466">
        <v>21199</v>
      </c>
      <c r="H107" s="466">
        <v>0</v>
      </c>
      <c r="I107" s="466">
        <v>1163252</v>
      </c>
      <c r="J107" s="466">
        <v>50000</v>
      </c>
      <c r="K107" s="466">
        <v>101770</v>
      </c>
      <c r="L107" s="466">
        <v>0</v>
      </c>
      <c r="M107" s="466">
        <v>1259501</v>
      </c>
      <c r="N107" s="466">
        <v>5018121</v>
      </c>
      <c r="O107" s="466">
        <v>0</v>
      </c>
      <c r="P107" s="467">
        <f t="shared" si="17"/>
        <v>14697645</v>
      </c>
      <c r="Q107" s="466">
        <v>1600153</v>
      </c>
      <c r="R107" s="466">
        <v>2378386</v>
      </c>
      <c r="S107" s="466">
        <v>0</v>
      </c>
      <c r="T107" s="466">
        <v>0</v>
      </c>
      <c r="U107" s="466">
        <v>0</v>
      </c>
      <c r="V107" s="466">
        <v>0</v>
      </c>
      <c r="W107" s="466">
        <v>9235954</v>
      </c>
      <c r="X107" s="466">
        <v>258386</v>
      </c>
      <c r="Y107" s="466">
        <v>107526</v>
      </c>
      <c r="Z107" s="466">
        <v>1124801</v>
      </c>
      <c r="AA107" s="466">
        <v>0</v>
      </c>
      <c r="AB107" s="466">
        <v>-7561</v>
      </c>
      <c r="AC107" s="466">
        <v>1171543</v>
      </c>
      <c r="AD107" s="466">
        <v>4547</v>
      </c>
      <c r="AE107" s="466">
        <v>1335374</v>
      </c>
      <c r="AF107" s="466">
        <v>32225</v>
      </c>
      <c r="AG107" s="466">
        <v>725247</v>
      </c>
      <c r="AH107" s="466">
        <v>1559691</v>
      </c>
      <c r="AI107" s="466">
        <v>2766993</v>
      </c>
      <c r="AJ107" s="466">
        <v>1246446</v>
      </c>
      <c r="AK107" s="466">
        <v>0</v>
      </c>
      <c r="AL107" s="466">
        <v>5847584</v>
      </c>
      <c r="AM107" s="466">
        <v>7995</v>
      </c>
    </row>
    <row r="108" spans="1:39" s="155" customFormat="1" ht="12" x14ac:dyDescent="0.2">
      <c r="A108" s="168">
        <v>54</v>
      </c>
      <c r="B108" s="576">
        <v>92097</v>
      </c>
      <c r="C108" s="422" t="s">
        <v>2876</v>
      </c>
      <c r="D108" s="467">
        <f t="shared" si="18"/>
        <v>5748385</v>
      </c>
      <c r="E108" s="466">
        <v>1004293</v>
      </c>
      <c r="F108" s="466">
        <v>254352</v>
      </c>
      <c r="G108" s="466">
        <v>587943</v>
      </c>
      <c r="H108" s="466">
        <v>0</v>
      </c>
      <c r="I108" s="466">
        <v>560032</v>
      </c>
      <c r="J108" s="466">
        <v>149940</v>
      </c>
      <c r="K108" s="466">
        <v>869510</v>
      </c>
      <c r="L108" s="466">
        <v>0</v>
      </c>
      <c r="M108" s="466">
        <v>788703</v>
      </c>
      <c r="N108" s="466">
        <v>2354207</v>
      </c>
      <c r="O108" s="466">
        <v>21700</v>
      </c>
      <c r="P108" s="467">
        <f t="shared" si="17"/>
        <v>4789016</v>
      </c>
      <c r="Q108" s="466">
        <v>784553</v>
      </c>
      <c r="R108" s="466">
        <v>569999</v>
      </c>
      <c r="S108" s="466">
        <v>0</v>
      </c>
      <c r="T108" s="466">
        <v>0</v>
      </c>
      <c r="U108" s="466">
        <v>0</v>
      </c>
      <c r="V108" s="466">
        <v>10000</v>
      </c>
      <c r="W108" s="466">
        <v>3013657</v>
      </c>
      <c r="X108" s="466">
        <v>125919</v>
      </c>
      <c r="Y108" s="466">
        <v>9490</v>
      </c>
      <c r="Z108" s="466">
        <v>279242</v>
      </c>
      <c r="AA108" s="466">
        <v>0</v>
      </c>
      <c r="AB108" s="466">
        <v>-3844</v>
      </c>
      <c r="AC108" s="466">
        <v>553658</v>
      </c>
      <c r="AD108" s="466">
        <v>0</v>
      </c>
      <c r="AE108" s="466">
        <v>462521</v>
      </c>
      <c r="AF108" s="466">
        <v>12102</v>
      </c>
      <c r="AG108" s="466">
        <v>565328</v>
      </c>
      <c r="AH108" s="466">
        <v>278260</v>
      </c>
      <c r="AI108" s="466">
        <v>50432</v>
      </c>
      <c r="AJ108" s="466">
        <v>0</v>
      </c>
      <c r="AK108" s="466">
        <v>0</v>
      </c>
      <c r="AL108" s="466">
        <v>2866715</v>
      </c>
      <c r="AM108" s="466">
        <v>0</v>
      </c>
    </row>
    <row r="109" spans="1:39" s="155" customFormat="1" ht="12" x14ac:dyDescent="0.2">
      <c r="A109" s="168">
        <v>55</v>
      </c>
      <c r="B109" s="576">
        <v>92177</v>
      </c>
      <c r="C109" s="422" t="s">
        <v>2877</v>
      </c>
      <c r="D109" s="467">
        <f t="shared" si="18"/>
        <v>6023748</v>
      </c>
      <c r="E109" s="466">
        <v>1105093</v>
      </c>
      <c r="F109" s="466">
        <v>397127</v>
      </c>
      <c r="G109" s="466">
        <v>339461</v>
      </c>
      <c r="H109" s="466">
        <v>0</v>
      </c>
      <c r="I109" s="466">
        <v>1145113</v>
      </c>
      <c r="J109" s="466">
        <v>200000</v>
      </c>
      <c r="K109" s="466">
        <v>606840</v>
      </c>
      <c r="L109" s="466">
        <v>0</v>
      </c>
      <c r="M109" s="466">
        <v>950302</v>
      </c>
      <c r="N109" s="466">
        <v>2016400</v>
      </c>
      <c r="O109" s="466">
        <v>0</v>
      </c>
      <c r="P109" s="467">
        <f t="shared" si="17"/>
        <v>4120777</v>
      </c>
      <c r="Q109" s="466">
        <v>1140311</v>
      </c>
      <c r="R109" s="466">
        <v>938833</v>
      </c>
      <c r="S109" s="466">
        <v>0</v>
      </c>
      <c r="T109" s="466">
        <v>0</v>
      </c>
      <c r="U109" s="466">
        <v>14079</v>
      </c>
      <c r="V109" s="466">
        <v>0</v>
      </c>
      <c r="W109" s="466">
        <v>446667</v>
      </c>
      <c r="X109" s="466">
        <v>348054</v>
      </c>
      <c r="Y109" s="466">
        <v>65000</v>
      </c>
      <c r="Z109" s="466">
        <v>1167833</v>
      </c>
      <c r="AA109" s="466">
        <v>0</v>
      </c>
      <c r="AB109" s="466">
        <v>0</v>
      </c>
      <c r="AC109" s="466">
        <v>436131</v>
      </c>
      <c r="AD109" s="466">
        <v>0</v>
      </c>
      <c r="AE109" s="466">
        <v>968605</v>
      </c>
      <c r="AF109" s="466">
        <v>14079</v>
      </c>
      <c r="AG109" s="466">
        <v>175866</v>
      </c>
      <c r="AH109" s="466">
        <v>348054</v>
      </c>
      <c r="AI109" s="466">
        <v>565537</v>
      </c>
      <c r="AJ109" s="466">
        <v>0</v>
      </c>
      <c r="AK109" s="466">
        <v>0</v>
      </c>
      <c r="AL109" s="466">
        <v>1597963</v>
      </c>
      <c r="AM109" s="466">
        <v>14542</v>
      </c>
    </row>
    <row r="110" spans="1:39" s="155" customFormat="1" ht="12" hidden="1" x14ac:dyDescent="0.2">
      <c r="A110" s="168">
        <v>56</v>
      </c>
      <c r="B110" s="171"/>
      <c r="C110" s="172"/>
      <c r="D110" s="432">
        <f t="shared" si="12"/>
        <v>0</v>
      </c>
      <c r="E110" s="431"/>
      <c r="F110" s="431"/>
      <c r="G110" s="431"/>
      <c r="H110" s="431"/>
      <c r="I110" s="431"/>
      <c r="J110" s="431"/>
      <c r="K110" s="431"/>
      <c r="L110" s="431"/>
      <c r="M110" s="431"/>
      <c r="N110" s="431"/>
      <c r="O110" s="431"/>
      <c r="P110" s="432">
        <f t="shared" ref="P110:P142" si="19">IF(SUM(Q110:AB110)=SUM(AC110:AM110),SUM(Q110:AB110),"  EROARE ART/CAP")</f>
        <v>0</v>
      </c>
      <c r="Q110" s="431"/>
      <c r="R110" s="431"/>
      <c r="S110" s="431"/>
      <c r="T110" s="431"/>
      <c r="U110" s="431"/>
      <c r="V110" s="431"/>
      <c r="W110" s="431"/>
      <c r="X110" s="431"/>
      <c r="Y110" s="431"/>
      <c r="Z110" s="468"/>
      <c r="AA110" s="431"/>
      <c r="AB110" s="431"/>
      <c r="AC110" s="468"/>
      <c r="AD110" s="431"/>
      <c r="AE110" s="431"/>
      <c r="AF110" s="431"/>
      <c r="AG110" s="431"/>
      <c r="AH110" s="431"/>
      <c r="AI110" s="468"/>
      <c r="AJ110" s="468"/>
      <c r="AK110" s="431"/>
      <c r="AL110" s="431"/>
      <c r="AM110" s="431"/>
    </row>
    <row r="111" spans="1:39" s="155" customFormat="1" ht="12" hidden="1" x14ac:dyDescent="0.2">
      <c r="A111" s="168">
        <v>57</v>
      </c>
      <c r="B111" s="171"/>
      <c r="C111" s="172"/>
      <c r="D111" s="432">
        <f t="shared" si="12"/>
        <v>0</v>
      </c>
      <c r="E111" s="431"/>
      <c r="F111" s="431"/>
      <c r="G111" s="431"/>
      <c r="H111" s="431"/>
      <c r="I111" s="431"/>
      <c r="J111" s="431"/>
      <c r="K111" s="431"/>
      <c r="L111" s="431"/>
      <c r="M111" s="431"/>
      <c r="N111" s="431"/>
      <c r="O111" s="431"/>
      <c r="P111" s="432">
        <f t="shared" si="19"/>
        <v>0</v>
      </c>
      <c r="Q111" s="431"/>
      <c r="R111" s="431"/>
      <c r="S111" s="431"/>
      <c r="T111" s="431"/>
      <c r="U111" s="431"/>
      <c r="V111" s="431"/>
      <c r="W111" s="431"/>
      <c r="X111" s="431"/>
      <c r="Y111" s="431"/>
      <c r="Z111" s="468"/>
      <c r="AA111" s="431"/>
      <c r="AB111" s="431"/>
      <c r="AC111" s="468"/>
      <c r="AD111" s="431"/>
      <c r="AE111" s="431"/>
      <c r="AF111" s="431"/>
      <c r="AG111" s="431"/>
      <c r="AH111" s="431"/>
      <c r="AI111" s="468"/>
      <c r="AJ111" s="468"/>
      <c r="AK111" s="431"/>
      <c r="AL111" s="431"/>
      <c r="AM111" s="431"/>
    </row>
    <row r="112" spans="1:39" s="155" customFormat="1" ht="12" hidden="1" x14ac:dyDescent="0.2">
      <c r="A112" s="168">
        <v>58</v>
      </c>
      <c r="B112" s="171"/>
      <c r="C112" s="172"/>
      <c r="D112" s="432">
        <f t="shared" si="12"/>
        <v>0</v>
      </c>
      <c r="E112" s="431"/>
      <c r="F112" s="431"/>
      <c r="G112" s="431"/>
      <c r="H112" s="431"/>
      <c r="I112" s="431"/>
      <c r="J112" s="431"/>
      <c r="K112" s="431"/>
      <c r="L112" s="431"/>
      <c r="M112" s="431"/>
      <c r="N112" s="431"/>
      <c r="O112" s="431"/>
      <c r="P112" s="432">
        <f t="shared" si="19"/>
        <v>0</v>
      </c>
      <c r="Q112" s="431"/>
      <c r="R112" s="468"/>
      <c r="S112" s="431"/>
      <c r="T112" s="431"/>
      <c r="U112" s="431"/>
      <c r="V112" s="431"/>
      <c r="W112" s="431"/>
      <c r="X112" s="431"/>
      <c r="Y112" s="431"/>
      <c r="Z112" s="468"/>
      <c r="AA112" s="431"/>
      <c r="AB112" s="431"/>
      <c r="AC112" s="468"/>
      <c r="AD112" s="431"/>
      <c r="AE112" s="431"/>
      <c r="AF112" s="431"/>
      <c r="AG112" s="431"/>
      <c r="AH112" s="431"/>
      <c r="AI112" s="468"/>
      <c r="AJ112" s="468"/>
      <c r="AK112" s="431"/>
      <c r="AL112" s="431"/>
      <c r="AM112" s="431"/>
    </row>
    <row r="113" spans="1:39" s="155" customFormat="1" ht="12" hidden="1" x14ac:dyDescent="0.2">
      <c r="A113" s="168">
        <v>59</v>
      </c>
      <c r="B113" s="171"/>
      <c r="C113" s="172"/>
      <c r="D113" s="432">
        <f t="shared" si="12"/>
        <v>0</v>
      </c>
      <c r="E113" s="431"/>
      <c r="F113" s="431"/>
      <c r="G113" s="431"/>
      <c r="H113" s="431"/>
      <c r="I113" s="431"/>
      <c r="J113" s="431"/>
      <c r="K113" s="431"/>
      <c r="L113" s="431"/>
      <c r="M113" s="431"/>
      <c r="N113" s="431"/>
      <c r="O113" s="431"/>
      <c r="P113" s="432">
        <f t="shared" si="19"/>
        <v>0</v>
      </c>
      <c r="Q113" s="431"/>
      <c r="R113" s="431"/>
      <c r="S113" s="431"/>
      <c r="T113" s="431"/>
      <c r="U113" s="431"/>
      <c r="V113" s="431"/>
      <c r="W113" s="431"/>
      <c r="X113" s="431"/>
      <c r="Y113" s="431"/>
      <c r="Z113" s="468"/>
      <c r="AA113" s="431"/>
      <c r="AB113" s="431"/>
      <c r="AC113" s="468"/>
      <c r="AD113" s="431"/>
      <c r="AE113" s="431"/>
      <c r="AF113" s="431"/>
      <c r="AG113" s="431"/>
      <c r="AH113" s="431"/>
      <c r="AI113" s="468"/>
      <c r="AJ113" s="468"/>
      <c r="AK113" s="431"/>
      <c r="AL113" s="431"/>
      <c r="AM113" s="431"/>
    </row>
    <row r="114" spans="1:39" s="155" customFormat="1" ht="12" hidden="1" x14ac:dyDescent="0.2">
      <c r="A114" s="168">
        <v>60</v>
      </c>
      <c r="B114" s="171"/>
      <c r="C114" s="182"/>
      <c r="D114" s="432">
        <f t="shared" si="12"/>
        <v>0</v>
      </c>
      <c r="E114" s="431"/>
      <c r="F114" s="431"/>
      <c r="G114" s="431"/>
      <c r="H114" s="431"/>
      <c r="I114" s="431"/>
      <c r="J114" s="431"/>
      <c r="K114" s="431"/>
      <c r="L114" s="431"/>
      <c r="M114" s="431"/>
      <c r="N114" s="431"/>
      <c r="O114" s="431"/>
      <c r="P114" s="432">
        <f t="shared" si="19"/>
        <v>0</v>
      </c>
      <c r="Q114" s="431"/>
      <c r="R114" s="431"/>
      <c r="S114" s="431"/>
      <c r="T114" s="431"/>
      <c r="U114" s="431"/>
      <c r="V114" s="431"/>
      <c r="W114" s="431"/>
      <c r="X114" s="431"/>
      <c r="Y114" s="431"/>
      <c r="Z114" s="468"/>
      <c r="AA114" s="431"/>
      <c r="AB114" s="431"/>
      <c r="AC114" s="468"/>
      <c r="AD114" s="431"/>
      <c r="AE114" s="431"/>
      <c r="AF114" s="431"/>
      <c r="AG114" s="431"/>
      <c r="AH114" s="431"/>
      <c r="AI114" s="468"/>
      <c r="AJ114" s="468"/>
      <c r="AK114" s="431"/>
      <c r="AL114" s="431"/>
      <c r="AM114" s="431"/>
    </row>
    <row r="115" spans="1:39" s="155" customFormat="1" ht="12" hidden="1" x14ac:dyDescent="0.2">
      <c r="A115" s="168">
        <v>61</v>
      </c>
      <c r="B115" s="171"/>
      <c r="C115" s="172"/>
      <c r="D115" s="432">
        <f t="shared" si="12"/>
        <v>0</v>
      </c>
      <c r="E115" s="431"/>
      <c r="F115" s="431"/>
      <c r="G115" s="431"/>
      <c r="H115" s="431"/>
      <c r="I115" s="431"/>
      <c r="J115" s="431"/>
      <c r="K115" s="431"/>
      <c r="L115" s="431"/>
      <c r="M115" s="431"/>
      <c r="N115" s="431"/>
      <c r="O115" s="431"/>
      <c r="P115" s="432">
        <f t="shared" si="19"/>
        <v>0</v>
      </c>
      <c r="Q115" s="431"/>
      <c r="R115" s="431"/>
      <c r="S115" s="431"/>
      <c r="T115" s="431"/>
      <c r="U115" s="431"/>
      <c r="V115" s="431"/>
      <c r="W115" s="431"/>
      <c r="X115" s="431"/>
      <c r="Y115" s="431"/>
      <c r="Z115" s="468"/>
      <c r="AA115" s="431"/>
      <c r="AB115" s="431"/>
      <c r="AC115" s="468"/>
      <c r="AD115" s="431"/>
      <c r="AE115" s="431"/>
      <c r="AF115" s="431"/>
      <c r="AG115" s="431"/>
      <c r="AH115" s="431"/>
      <c r="AI115" s="468"/>
      <c r="AJ115" s="468"/>
      <c r="AK115" s="431"/>
      <c r="AL115" s="431"/>
      <c r="AM115" s="431"/>
    </row>
    <row r="116" spans="1:39" s="155" customFormat="1" ht="12" hidden="1" x14ac:dyDescent="0.2">
      <c r="A116" s="168">
        <v>62</v>
      </c>
      <c r="B116" s="171"/>
      <c r="C116" s="172"/>
      <c r="D116" s="432">
        <f t="shared" si="12"/>
        <v>0</v>
      </c>
      <c r="E116" s="431"/>
      <c r="F116" s="431"/>
      <c r="G116" s="431"/>
      <c r="H116" s="431"/>
      <c r="I116" s="431"/>
      <c r="J116" s="431"/>
      <c r="K116" s="431"/>
      <c r="L116" s="431"/>
      <c r="M116" s="431"/>
      <c r="N116" s="431"/>
      <c r="O116" s="431"/>
      <c r="P116" s="432">
        <f t="shared" si="19"/>
        <v>0</v>
      </c>
      <c r="Q116" s="431"/>
      <c r="R116" s="431"/>
      <c r="S116" s="431"/>
      <c r="T116" s="431"/>
      <c r="U116" s="431"/>
      <c r="V116" s="431"/>
      <c r="W116" s="431"/>
      <c r="X116" s="431"/>
      <c r="Y116" s="431"/>
      <c r="Z116" s="468"/>
      <c r="AA116" s="431"/>
      <c r="AB116" s="431"/>
      <c r="AC116" s="468"/>
      <c r="AD116" s="431"/>
      <c r="AE116" s="431"/>
      <c r="AF116" s="431"/>
      <c r="AG116" s="431"/>
      <c r="AH116" s="431"/>
      <c r="AI116" s="468"/>
      <c r="AJ116" s="468"/>
      <c r="AK116" s="431"/>
      <c r="AL116" s="431"/>
      <c r="AM116" s="431"/>
    </row>
    <row r="117" spans="1:39" s="155" customFormat="1" ht="12" hidden="1" x14ac:dyDescent="0.2">
      <c r="A117" s="168">
        <v>63</v>
      </c>
      <c r="B117" s="171"/>
      <c r="C117" s="182"/>
      <c r="D117" s="432">
        <f t="shared" si="12"/>
        <v>0</v>
      </c>
      <c r="E117" s="431"/>
      <c r="F117" s="431"/>
      <c r="G117" s="431"/>
      <c r="H117" s="431"/>
      <c r="I117" s="431"/>
      <c r="J117" s="431"/>
      <c r="K117" s="431"/>
      <c r="L117" s="431"/>
      <c r="M117" s="431"/>
      <c r="N117" s="431"/>
      <c r="O117" s="431"/>
      <c r="P117" s="432">
        <f t="shared" si="19"/>
        <v>0</v>
      </c>
      <c r="Q117" s="431"/>
      <c r="R117" s="431"/>
      <c r="S117" s="431"/>
      <c r="T117" s="431"/>
      <c r="U117" s="431"/>
      <c r="V117" s="431"/>
      <c r="W117" s="431"/>
      <c r="X117" s="431"/>
      <c r="Y117" s="431"/>
      <c r="Z117" s="468"/>
      <c r="AA117" s="431"/>
      <c r="AB117" s="431"/>
      <c r="AC117" s="468"/>
      <c r="AD117" s="431"/>
      <c r="AE117" s="431"/>
      <c r="AF117" s="431"/>
      <c r="AG117" s="431"/>
      <c r="AH117" s="431"/>
      <c r="AI117" s="468"/>
      <c r="AJ117" s="468"/>
      <c r="AK117" s="431"/>
      <c r="AL117" s="431"/>
      <c r="AM117" s="431"/>
    </row>
    <row r="118" spans="1:39" s="155" customFormat="1" ht="12" hidden="1" x14ac:dyDescent="0.2">
      <c r="A118" s="168">
        <v>64</v>
      </c>
      <c r="B118" s="171"/>
      <c r="C118" s="172"/>
      <c r="D118" s="432">
        <f t="shared" ref="D118:D143" si="20">E118+SUM(H118:O118)</f>
        <v>0</v>
      </c>
      <c r="E118" s="431"/>
      <c r="F118" s="431"/>
      <c r="G118" s="431"/>
      <c r="H118" s="431"/>
      <c r="I118" s="431"/>
      <c r="J118" s="431"/>
      <c r="K118" s="431"/>
      <c r="L118" s="431"/>
      <c r="M118" s="431"/>
      <c r="N118" s="431"/>
      <c r="O118" s="431"/>
      <c r="P118" s="432">
        <f t="shared" si="19"/>
        <v>0</v>
      </c>
      <c r="Q118" s="431"/>
      <c r="R118" s="431"/>
      <c r="S118" s="431"/>
      <c r="T118" s="431"/>
      <c r="U118" s="431"/>
      <c r="V118" s="431"/>
      <c r="W118" s="431"/>
      <c r="X118" s="431"/>
      <c r="Y118" s="431"/>
      <c r="Z118" s="468"/>
      <c r="AA118" s="431"/>
      <c r="AB118" s="431"/>
      <c r="AC118" s="468"/>
      <c r="AD118" s="431"/>
      <c r="AE118" s="431"/>
      <c r="AF118" s="431"/>
      <c r="AG118" s="431"/>
      <c r="AH118" s="431"/>
      <c r="AI118" s="468"/>
      <c r="AJ118" s="468"/>
      <c r="AK118" s="431"/>
      <c r="AL118" s="431"/>
      <c r="AM118" s="431"/>
    </row>
    <row r="119" spans="1:39" s="155" customFormat="1" ht="12" hidden="1" x14ac:dyDescent="0.2">
      <c r="A119" s="168">
        <v>65</v>
      </c>
      <c r="B119" s="171"/>
      <c r="C119" s="172"/>
      <c r="D119" s="432">
        <f t="shared" si="20"/>
        <v>0</v>
      </c>
      <c r="E119" s="431"/>
      <c r="F119" s="431"/>
      <c r="G119" s="431"/>
      <c r="H119" s="431"/>
      <c r="I119" s="431"/>
      <c r="J119" s="431"/>
      <c r="K119" s="431"/>
      <c r="L119" s="431"/>
      <c r="M119" s="431"/>
      <c r="N119" s="431"/>
      <c r="O119" s="431"/>
      <c r="P119" s="432">
        <f t="shared" si="19"/>
        <v>0</v>
      </c>
      <c r="Q119" s="431"/>
      <c r="R119" s="431"/>
      <c r="S119" s="431"/>
      <c r="T119" s="431"/>
      <c r="U119" s="431"/>
      <c r="V119" s="431"/>
      <c r="W119" s="431"/>
      <c r="X119" s="431"/>
      <c r="Y119" s="431"/>
      <c r="Z119" s="468"/>
      <c r="AA119" s="431"/>
      <c r="AB119" s="431"/>
      <c r="AC119" s="468"/>
      <c r="AD119" s="431"/>
      <c r="AE119" s="431"/>
      <c r="AF119" s="431"/>
      <c r="AG119" s="431"/>
      <c r="AH119" s="431"/>
      <c r="AI119" s="468"/>
      <c r="AJ119" s="468"/>
      <c r="AK119" s="431"/>
      <c r="AL119" s="431"/>
      <c r="AM119" s="431"/>
    </row>
    <row r="120" spans="1:39" s="155" customFormat="1" ht="12" hidden="1" x14ac:dyDescent="0.2">
      <c r="A120" s="168">
        <v>66</v>
      </c>
      <c r="B120" s="171"/>
      <c r="C120" s="172"/>
      <c r="D120" s="432">
        <f t="shared" si="20"/>
        <v>0</v>
      </c>
      <c r="E120" s="431"/>
      <c r="F120" s="431"/>
      <c r="G120" s="431"/>
      <c r="H120" s="431"/>
      <c r="I120" s="431"/>
      <c r="J120" s="431"/>
      <c r="K120" s="431"/>
      <c r="L120" s="431"/>
      <c r="M120" s="431"/>
      <c r="N120" s="431"/>
      <c r="O120" s="431"/>
      <c r="P120" s="432">
        <f t="shared" si="19"/>
        <v>0</v>
      </c>
      <c r="Q120" s="431"/>
      <c r="R120" s="431"/>
      <c r="S120" s="431"/>
      <c r="T120" s="431"/>
      <c r="U120" s="431"/>
      <c r="V120" s="431"/>
      <c r="W120" s="431"/>
      <c r="X120" s="431"/>
      <c r="Y120" s="431"/>
      <c r="Z120" s="468"/>
      <c r="AA120" s="431"/>
      <c r="AB120" s="431"/>
      <c r="AC120" s="468"/>
      <c r="AD120" s="431"/>
      <c r="AE120" s="431"/>
      <c r="AF120" s="431"/>
      <c r="AG120" s="431"/>
      <c r="AH120" s="431"/>
      <c r="AI120" s="468"/>
      <c r="AJ120" s="468"/>
      <c r="AK120" s="431"/>
      <c r="AL120" s="431"/>
      <c r="AM120" s="431"/>
    </row>
    <row r="121" spans="1:39" s="155" customFormat="1" ht="12" hidden="1" x14ac:dyDescent="0.2">
      <c r="A121" s="168">
        <v>67</v>
      </c>
      <c r="B121" s="171"/>
      <c r="C121" s="172"/>
      <c r="D121" s="432">
        <f t="shared" si="20"/>
        <v>0</v>
      </c>
      <c r="E121" s="431"/>
      <c r="F121" s="431"/>
      <c r="G121" s="431"/>
      <c r="H121" s="431"/>
      <c r="I121" s="431"/>
      <c r="J121" s="431"/>
      <c r="K121" s="431"/>
      <c r="L121" s="431"/>
      <c r="M121" s="431"/>
      <c r="N121" s="431"/>
      <c r="O121" s="431"/>
      <c r="P121" s="432">
        <f t="shared" si="19"/>
        <v>0</v>
      </c>
      <c r="Q121" s="431"/>
      <c r="R121" s="431"/>
      <c r="S121" s="431"/>
      <c r="T121" s="431"/>
      <c r="U121" s="431"/>
      <c r="V121" s="431"/>
      <c r="W121" s="431"/>
      <c r="X121" s="431"/>
      <c r="Y121" s="431"/>
      <c r="Z121" s="468"/>
      <c r="AA121" s="431"/>
      <c r="AB121" s="431"/>
      <c r="AC121" s="468"/>
      <c r="AD121" s="431"/>
      <c r="AE121" s="431"/>
      <c r="AF121" s="431"/>
      <c r="AG121" s="431"/>
      <c r="AH121" s="431"/>
      <c r="AI121" s="468"/>
      <c r="AJ121" s="468"/>
      <c r="AK121" s="431"/>
      <c r="AL121" s="431"/>
      <c r="AM121" s="431"/>
    </row>
    <row r="122" spans="1:39" s="155" customFormat="1" ht="12" hidden="1" x14ac:dyDescent="0.2">
      <c r="A122" s="168">
        <v>68</v>
      </c>
      <c r="B122" s="171"/>
      <c r="C122" s="172"/>
      <c r="D122" s="432">
        <f t="shared" si="20"/>
        <v>0</v>
      </c>
      <c r="E122" s="431"/>
      <c r="F122" s="431"/>
      <c r="G122" s="431"/>
      <c r="H122" s="431"/>
      <c r="I122" s="431"/>
      <c r="J122" s="431"/>
      <c r="K122" s="431"/>
      <c r="L122" s="431"/>
      <c r="M122" s="431"/>
      <c r="N122" s="431"/>
      <c r="O122" s="431"/>
      <c r="P122" s="432">
        <f t="shared" si="19"/>
        <v>0</v>
      </c>
      <c r="Q122" s="431"/>
      <c r="R122" s="431"/>
      <c r="S122" s="431"/>
      <c r="T122" s="431"/>
      <c r="U122" s="431"/>
      <c r="V122" s="431"/>
      <c r="W122" s="431"/>
      <c r="X122" s="431"/>
      <c r="Y122" s="431"/>
      <c r="Z122" s="468"/>
      <c r="AA122" s="431"/>
      <c r="AB122" s="431"/>
      <c r="AC122" s="468"/>
      <c r="AD122" s="431"/>
      <c r="AE122" s="431"/>
      <c r="AF122" s="431"/>
      <c r="AG122" s="431"/>
      <c r="AH122" s="431"/>
      <c r="AI122" s="468"/>
      <c r="AJ122" s="468"/>
      <c r="AK122" s="431"/>
      <c r="AL122" s="431"/>
      <c r="AM122" s="431"/>
    </row>
    <row r="123" spans="1:39" s="155" customFormat="1" ht="12" hidden="1" x14ac:dyDescent="0.2">
      <c r="A123" s="168">
        <v>69</v>
      </c>
      <c r="B123" s="171"/>
      <c r="C123" s="172"/>
      <c r="D123" s="432">
        <f t="shared" si="20"/>
        <v>0</v>
      </c>
      <c r="E123" s="431"/>
      <c r="F123" s="431"/>
      <c r="G123" s="431"/>
      <c r="H123" s="431"/>
      <c r="I123" s="431"/>
      <c r="J123" s="431"/>
      <c r="K123" s="431"/>
      <c r="L123" s="431"/>
      <c r="M123" s="431"/>
      <c r="N123" s="431"/>
      <c r="O123" s="431"/>
      <c r="P123" s="432">
        <f t="shared" si="19"/>
        <v>0</v>
      </c>
      <c r="Q123" s="431"/>
      <c r="R123" s="431"/>
      <c r="S123" s="431"/>
      <c r="T123" s="431"/>
      <c r="U123" s="431"/>
      <c r="V123" s="431"/>
      <c r="W123" s="431"/>
      <c r="X123" s="431"/>
      <c r="Y123" s="431"/>
      <c r="Z123" s="468"/>
      <c r="AA123" s="431"/>
      <c r="AB123" s="431"/>
      <c r="AC123" s="468"/>
      <c r="AD123" s="431"/>
      <c r="AE123" s="431"/>
      <c r="AF123" s="431"/>
      <c r="AG123" s="431"/>
      <c r="AH123" s="431"/>
      <c r="AI123" s="468"/>
      <c r="AJ123" s="468"/>
      <c r="AK123" s="431"/>
      <c r="AL123" s="431"/>
      <c r="AM123" s="431"/>
    </row>
    <row r="124" spans="1:39" s="155" customFormat="1" ht="12" hidden="1" x14ac:dyDescent="0.2">
      <c r="A124" s="168">
        <v>70</v>
      </c>
      <c r="B124" s="171"/>
      <c r="C124" s="172"/>
      <c r="D124" s="432">
        <f t="shared" si="20"/>
        <v>0</v>
      </c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32">
        <f t="shared" si="19"/>
        <v>0</v>
      </c>
      <c r="Q124" s="431"/>
      <c r="R124" s="431"/>
      <c r="S124" s="431"/>
      <c r="T124" s="431"/>
      <c r="U124" s="431"/>
      <c r="V124" s="431"/>
      <c r="W124" s="431"/>
      <c r="X124" s="431"/>
      <c r="Y124" s="431"/>
      <c r="Z124" s="468"/>
      <c r="AA124" s="431"/>
      <c r="AB124" s="431"/>
      <c r="AC124" s="468"/>
      <c r="AD124" s="431"/>
      <c r="AE124" s="431"/>
      <c r="AF124" s="431"/>
      <c r="AG124" s="431"/>
      <c r="AH124" s="431"/>
      <c r="AI124" s="468"/>
      <c r="AJ124" s="468"/>
      <c r="AK124" s="431"/>
      <c r="AL124" s="431"/>
      <c r="AM124" s="431"/>
    </row>
    <row r="125" spans="1:39" s="155" customFormat="1" ht="12" hidden="1" x14ac:dyDescent="0.2">
      <c r="A125" s="168">
        <v>71</v>
      </c>
      <c r="B125" s="171"/>
      <c r="C125" s="172"/>
      <c r="D125" s="432">
        <f t="shared" si="20"/>
        <v>0</v>
      </c>
      <c r="E125" s="431"/>
      <c r="F125" s="431"/>
      <c r="G125" s="431"/>
      <c r="H125" s="431"/>
      <c r="I125" s="431"/>
      <c r="J125" s="431"/>
      <c r="K125" s="431"/>
      <c r="L125" s="431"/>
      <c r="M125" s="431"/>
      <c r="N125" s="431"/>
      <c r="O125" s="431"/>
      <c r="P125" s="432">
        <f t="shared" si="19"/>
        <v>0</v>
      </c>
      <c r="Q125" s="431"/>
      <c r="R125" s="431"/>
      <c r="S125" s="431"/>
      <c r="T125" s="431"/>
      <c r="U125" s="431"/>
      <c r="V125" s="431"/>
      <c r="W125" s="431"/>
      <c r="X125" s="431"/>
      <c r="Y125" s="431"/>
      <c r="Z125" s="468"/>
      <c r="AA125" s="431"/>
      <c r="AB125" s="431"/>
      <c r="AC125" s="468"/>
      <c r="AD125" s="431"/>
      <c r="AE125" s="431"/>
      <c r="AF125" s="431"/>
      <c r="AG125" s="431"/>
      <c r="AH125" s="431"/>
      <c r="AI125" s="468"/>
      <c r="AJ125" s="468"/>
      <c r="AK125" s="431"/>
      <c r="AL125" s="431"/>
      <c r="AM125" s="431"/>
    </row>
    <row r="126" spans="1:39" s="155" customFormat="1" ht="12" hidden="1" x14ac:dyDescent="0.2">
      <c r="A126" s="168">
        <v>72</v>
      </c>
      <c r="B126" s="171"/>
      <c r="C126" s="172"/>
      <c r="D126" s="432">
        <f t="shared" si="20"/>
        <v>0</v>
      </c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32">
        <f t="shared" si="19"/>
        <v>0</v>
      </c>
      <c r="Q126" s="431"/>
      <c r="R126" s="431"/>
      <c r="S126" s="431"/>
      <c r="T126" s="431"/>
      <c r="U126" s="431"/>
      <c r="V126" s="431"/>
      <c r="W126" s="431"/>
      <c r="X126" s="431"/>
      <c r="Y126" s="431"/>
      <c r="Z126" s="468"/>
      <c r="AA126" s="431"/>
      <c r="AB126" s="431"/>
      <c r="AC126" s="468"/>
      <c r="AD126" s="431"/>
      <c r="AE126" s="431"/>
      <c r="AF126" s="431"/>
      <c r="AG126" s="431"/>
      <c r="AH126" s="431"/>
      <c r="AI126" s="468"/>
      <c r="AJ126" s="468"/>
      <c r="AK126" s="431"/>
      <c r="AL126" s="431"/>
      <c r="AM126" s="431"/>
    </row>
    <row r="127" spans="1:39" s="155" customFormat="1" ht="12" hidden="1" x14ac:dyDescent="0.2">
      <c r="A127" s="168">
        <v>73</v>
      </c>
      <c r="B127" s="171"/>
      <c r="C127" s="172"/>
      <c r="D127" s="432">
        <f t="shared" si="20"/>
        <v>0</v>
      </c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32">
        <f t="shared" si="19"/>
        <v>0</v>
      </c>
      <c r="Q127" s="431"/>
      <c r="R127" s="431"/>
      <c r="S127" s="431"/>
      <c r="T127" s="431"/>
      <c r="U127" s="431"/>
      <c r="V127" s="431"/>
      <c r="W127" s="431"/>
      <c r="X127" s="431"/>
      <c r="Y127" s="431"/>
      <c r="Z127" s="468"/>
      <c r="AA127" s="431"/>
      <c r="AB127" s="431"/>
      <c r="AC127" s="468"/>
      <c r="AD127" s="431"/>
      <c r="AE127" s="431"/>
      <c r="AF127" s="431"/>
      <c r="AG127" s="431"/>
      <c r="AH127" s="431"/>
      <c r="AI127" s="468"/>
      <c r="AJ127" s="468"/>
      <c r="AK127" s="431"/>
      <c r="AL127" s="431"/>
      <c r="AM127" s="431"/>
    </row>
    <row r="128" spans="1:39" s="155" customFormat="1" ht="12" hidden="1" x14ac:dyDescent="0.2">
      <c r="A128" s="168">
        <v>74</v>
      </c>
      <c r="B128" s="168"/>
      <c r="C128" s="172"/>
      <c r="D128" s="432">
        <f t="shared" si="20"/>
        <v>0</v>
      </c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32">
        <f t="shared" si="19"/>
        <v>0</v>
      </c>
      <c r="Q128" s="431"/>
      <c r="R128" s="431"/>
      <c r="S128" s="431"/>
      <c r="T128" s="431"/>
      <c r="U128" s="431"/>
      <c r="V128" s="431"/>
      <c r="W128" s="431"/>
      <c r="X128" s="431"/>
      <c r="Y128" s="431"/>
      <c r="Z128" s="468"/>
      <c r="AA128" s="431"/>
      <c r="AB128" s="431"/>
      <c r="AC128" s="468"/>
      <c r="AD128" s="431"/>
      <c r="AE128" s="431"/>
      <c r="AF128" s="431"/>
      <c r="AG128" s="431"/>
      <c r="AH128" s="431"/>
      <c r="AI128" s="468"/>
      <c r="AJ128" s="468"/>
      <c r="AK128" s="431"/>
      <c r="AL128" s="431"/>
      <c r="AM128" s="431"/>
    </row>
    <row r="129" spans="1:39" s="155" customFormat="1" ht="12" hidden="1" x14ac:dyDescent="0.2">
      <c r="A129" s="168">
        <v>75</v>
      </c>
      <c r="B129" s="168"/>
      <c r="C129" s="172"/>
      <c r="D129" s="432">
        <f t="shared" si="20"/>
        <v>0</v>
      </c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32">
        <f t="shared" si="19"/>
        <v>0</v>
      </c>
      <c r="Q129" s="431"/>
      <c r="R129" s="431"/>
      <c r="S129" s="431"/>
      <c r="T129" s="431"/>
      <c r="U129" s="431"/>
      <c r="V129" s="431"/>
      <c r="W129" s="431"/>
      <c r="X129" s="431"/>
      <c r="Y129" s="431"/>
      <c r="Z129" s="468"/>
      <c r="AA129" s="431"/>
      <c r="AB129" s="431"/>
      <c r="AC129" s="468"/>
      <c r="AD129" s="431"/>
      <c r="AE129" s="431"/>
      <c r="AF129" s="431"/>
      <c r="AG129" s="431"/>
      <c r="AH129" s="431"/>
      <c r="AI129" s="468"/>
      <c r="AJ129" s="468"/>
      <c r="AK129" s="431"/>
      <c r="AL129" s="431"/>
      <c r="AM129" s="431"/>
    </row>
    <row r="130" spans="1:39" s="155" customFormat="1" ht="12" hidden="1" x14ac:dyDescent="0.2">
      <c r="A130" s="168">
        <v>76</v>
      </c>
      <c r="B130" s="168"/>
      <c r="C130" s="172"/>
      <c r="D130" s="432">
        <f t="shared" si="20"/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32">
        <f t="shared" si="19"/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</row>
    <row r="131" spans="1:39" s="155" customFormat="1" ht="12" hidden="1" x14ac:dyDescent="0.2">
      <c r="A131" s="168">
        <v>77</v>
      </c>
      <c r="B131" s="168"/>
      <c r="C131" s="172"/>
      <c r="D131" s="432">
        <f t="shared" si="20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2">
        <f t="shared" si="19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</row>
    <row r="132" spans="1:39" s="155" customFormat="1" ht="12" hidden="1" x14ac:dyDescent="0.2">
      <c r="A132" s="168">
        <v>78</v>
      </c>
      <c r="B132" s="168"/>
      <c r="C132" s="172"/>
      <c r="D132" s="432">
        <f t="shared" si="20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2">
        <f t="shared" si="19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</row>
    <row r="133" spans="1:39" s="155" customFormat="1" ht="12" hidden="1" x14ac:dyDescent="0.2">
      <c r="A133" s="168">
        <v>79</v>
      </c>
      <c r="B133" s="168"/>
      <c r="C133" s="172"/>
      <c r="D133" s="432">
        <f t="shared" si="20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si="19"/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155" customFormat="1" ht="12" hidden="1" x14ac:dyDescent="0.2">
      <c r="A134" s="168">
        <v>80</v>
      </c>
      <c r="B134" s="168"/>
      <c r="C134" s="172"/>
      <c r="D134" s="432">
        <f t="shared" si="20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si="19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155" customFormat="1" ht="12" hidden="1" x14ac:dyDescent="0.2">
      <c r="A135" s="168">
        <v>81</v>
      </c>
      <c r="B135" s="168"/>
      <c r="C135" s="172"/>
      <c r="D135" s="432">
        <f t="shared" si="20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19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155" customFormat="1" ht="12" hidden="1" x14ac:dyDescent="0.2">
      <c r="A136" s="168">
        <v>82</v>
      </c>
      <c r="B136" s="168"/>
      <c r="C136" s="172"/>
      <c r="D136" s="432">
        <f t="shared" si="20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19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155" customFormat="1" ht="12" hidden="1" x14ac:dyDescent="0.2">
      <c r="A137" s="168">
        <v>83</v>
      </c>
      <c r="B137" s="168"/>
      <c r="C137" s="172"/>
      <c r="D137" s="432">
        <f t="shared" si="20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19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68"/>
      <c r="C138" s="172"/>
      <c r="D138" s="432">
        <f t="shared" si="20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9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68"/>
      <c r="C139" s="172"/>
      <c r="D139" s="432">
        <f t="shared" si="20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9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68"/>
      <c r="C140" s="172"/>
      <c r="D140" s="432">
        <f t="shared" si="20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9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173"/>
      <c r="D141" s="432">
        <f t="shared" si="20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9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20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9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20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964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687590791</v>
      </c>
      <c r="E14" s="432">
        <f>SUM(E15,E16,E33,E54)</f>
        <v>246023181</v>
      </c>
      <c r="F14" s="432">
        <f t="shared" ref="F14:O14" si="0">SUM(F15,F16,F33,F54)</f>
        <v>89310765</v>
      </c>
      <c r="G14" s="432">
        <f t="shared" si="0"/>
        <v>31228519</v>
      </c>
      <c r="H14" s="432">
        <f t="shared" si="0"/>
        <v>23466215</v>
      </c>
      <c r="I14" s="432">
        <f t="shared" si="0"/>
        <v>169713763</v>
      </c>
      <c r="J14" s="432">
        <f t="shared" si="0"/>
        <v>18055226</v>
      </c>
      <c r="K14" s="432">
        <f t="shared" si="0"/>
        <v>122607081</v>
      </c>
      <c r="L14" s="432">
        <f t="shared" si="0"/>
        <v>0</v>
      </c>
      <c r="M14" s="432">
        <f t="shared" si="0"/>
        <v>78063499</v>
      </c>
      <c r="N14" s="432">
        <f t="shared" si="0"/>
        <v>27151247</v>
      </c>
      <c r="O14" s="432">
        <f t="shared" si="0"/>
        <v>2510579</v>
      </c>
      <c r="P14" s="432">
        <f>IF(SUM(Q14:AB14)=SUM(AC14:AM14),SUM(Q14:AB14),"  EROARE ART/CAP")</f>
        <v>593560688</v>
      </c>
      <c r="Q14" s="432">
        <f t="shared" ref="Q14:AM14" si="1">Q15+Q16+Q33+Q54</f>
        <v>212521376</v>
      </c>
      <c r="R14" s="432">
        <f t="shared" si="1"/>
        <v>130959150</v>
      </c>
      <c r="S14" s="432">
        <f t="shared" si="1"/>
        <v>1697069</v>
      </c>
      <c r="T14" s="432">
        <f t="shared" si="1"/>
        <v>155059</v>
      </c>
      <c r="U14" s="432">
        <f t="shared" si="1"/>
        <v>27041769</v>
      </c>
      <c r="V14" s="432">
        <f t="shared" si="1"/>
        <v>1373382</v>
      </c>
      <c r="W14" s="432">
        <f t="shared" si="1"/>
        <v>56197172</v>
      </c>
      <c r="X14" s="432">
        <f t="shared" si="1"/>
        <v>52763632</v>
      </c>
      <c r="Y14" s="432">
        <f t="shared" si="1"/>
        <v>3308986</v>
      </c>
      <c r="Z14" s="432">
        <f t="shared" si="1"/>
        <v>100983273</v>
      </c>
      <c r="AA14" s="432">
        <f t="shared" si="1"/>
        <v>7495346</v>
      </c>
      <c r="AB14" s="432">
        <f t="shared" si="1"/>
        <v>-935526</v>
      </c>
      <c r="AC14" s="432">
        <f t="shared" si="1"/>
        <v>77066401</v>
      </c>
      <c r="AD14" s="432">
        <f t="shared" si="1"/>
        <v>7251757</v>
      </c>
      <c r="AE14" s="432">
        <f t="shared" si="1"/>
        <v>200468490</v>
      </c>
      <c r="AF14" s="432">
        <f t="shared" si="1"/>
        <v>10138939</v>
      </c>
      <c r="AG14" s="432">
        <f t="shared" si="1"/>
        <v>33871760</v>
      </c>
      <c r="AH14" s="432">
        <f t="shared" si="1"/>
        <v>86584680</v>
      </c>
      <c r="AI14" s="432">
        <f t="shared" si="1"/>
        <v>46629526</v>
      </c>
      <c r="AJ14" s="432">
        <f t="shared" si="1"/>
        <v>20232621</v>
      </c>
      <c r="AK14" s="432">
        <f t="shared" si="1"/>
        <v>0</v>
      </c>
      <c r="AL14" s="432">
        <f t="shared" si="1"/>
        <v>103545221</v>
      </c>
      <c r="AM14" s="432">
        <f t="shared" si="1"/>
        <v>7771293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152513420</v>
      </c>
      <c r="E15" s="431">
        <v>40893179</v>
      </c>
      <c r="F15" s="431">
        <v>18957478</v>
      </c>
      <c r="G15" s="431">
        <v>16977834</v>
      </c>
      <c r="H15" s="431">
        <v>23466215</v>
      </c>
      <c r="I15" s="431">
        <v>0</v>
      </c>
      <c r="J15" s="431">
        <v>3500000</v>
      </c>
      <c r="K15" s="431">
        <v>46876000</v>
      </c>
      <c r="L15" s="436"/>
      <c r="M15" s="431">
        <v>36098391</v>
      </c>
      <c r="N15" s="431">
        <v>1587355</v>
      </c>
      <c r="O15" s="431">
        <v>92280</v>
      </c>
      <c r="P15" s="432">
        <f t="shared" ref="P15:P78" si="2">IF(SUM(Q15:AB15)=SUM(AC15:AM15),SUM(Q15:AB15),"  EROARE ART/CAP")</f>
        <v>103993445</v>
      </c>
      <c r="Q15" s="447">
        <v>14611932</v>
      </c>
      <c r="R15" s="447">
        <v>11597173</v>
      </c>
      <c r="S15" s="447">
        <v>655183</v>
      </c>
      <c r="T15" s="447">
        <v>0</v>
      </c>
      <c r="U15" s="447">
        <v>18006995</v>
      </c>
      <c r="V15" s="447">
        <v>18156</v>
      </c>
      <c r="W15" s="447">
        <v>2599482</v>
      </c>
      <c r="X15" s="447">
        <v>36143941</v>
      </c>
      <c r="Y15" s="447">
        <v>1945879</v>
      </c>
      <c r="Z15" s="447">
        <v>14534558</v>
      </c>
      <c r="AA15" s="447">
        <v>3950000</v>
      </c>
      <c r="AB15" s="447">
        <v>-69854</v>
      </c>
      <c r="AC15" s="431">
        <v>10941260</v>
      </c>
      <c r="AD15" s="431">
        <v>419952</v>
      </c>
      <c r="AE15" s="431">
        <v>8549977</v>
      </c>
      <c r="AF15" s="431">
        <v>5887179</v>
      </c>
      <c r="AG15" s="431">
        <v>7237905</v>
      </c>
      <c r="AH15" s="431">
        <v>54139645</v>
      </c>
      <c r="AI15" s="431">
        <v>320828</v>
      </c>
      <c r="AJ15" s="431">
        <v>73095</v>
      </c>
      <c r="AK15" s="431">
        <v>0</v>
      </c>
      <c r="AL15" s="431">
        <v>14919502</v>
      </c>
      <c r="AM15" s="431">
        <v>1504102</v>
      </c>
    </row>
    <row r="16" spans="1:39" s="155" customFormat="1" ht="12" x14ac:dyDescent="0.2">
      <c r="A16" s="156" t="s">
        <v>72</v>
      </c>
      <c r="B16" s="157"/>
      <c r="C16" s="159"/>
      <c r="D16" s="432">
        <f>E16+SUM(H16:O16)</f>
        <v>222074475</v>
      </c>
      <c r="E16" s="433">
        <f>SUM(E18:E32)</f>
        <v>110986945</v>
      </c>
      <c r="F16" s="433">
        <f t="shared" ref="F16:O16" si="3">SUM(F18:F32)</f>
        <v>45537162</v>
      </c>
      <c r="G16" s="433">
        <f t="shared" si="3"/>
        <v>2613579</v>
      </c>
      <c r="H16" s="433">
        <f t="shared" si="3"/>
        <v>0</v>
      </c>
      <c r="I16" s="433">
        <f t="shared" si="3"/>
        <v>81552157</v>
      </c>
      <c r="J16" s="433">
        <f t="shared" si="3"/>
        <v>120000</v>
      </c>
      <c r="K16" s="433">
        <f t="shared" si="3"/>
        <v>12854980</v>
      </c>
      <c r="L16" s="433">
        <f t="shared" si="3"/>
        <v>0</v>
      </c>
      <c r="M16" s="433">
        <f t="shared" si="3"/>
        <v>11871009</v>
      </c>
      <c r="N16" s="433">
        <f t="shared" si="3"/>
        <v>4659284</v>
      </c>
      <c r="O16" s="433">
        <f t="shared" si="3"/>
        <v>30100</v>
      </c>
      <c r="P16" s="432">
        <f t="shared" si="2"/>
        <v>219886923</v>
      </c>
      <c r="Q16" s="432">
        <f>SUM(Q18:Q32)</f>
        <v>93355118</v>
      </c>
      <c r="R16" s="432">
        <f t="shared" ref="R16:AM16" si="4">SUM(R18:R32)</f>
        <v>57022256</v>
      </c>
      <c r="S16" s="432">
        <f t="shared" si="4"/>
        <v>960941</v>
      </c>
      <c r="T16" s="432">
        <f t="shared" si="4"/>
        <v>155059</v>
      </c>
      <c r="U16" s="432">
        <f t="shared" si="4"/>
        <v>4787409</v>
      </c>
      <c r="V16" s="432">
        <f t="shared" si="4"/>
        <v>0</v>
      </c>
      <c r="W16" s="432">
        <f t="shared" si="4"/>
        <v>34167539</v>
      </c>
      <c r="X16" s="432">
        <f t="shared" si="4"/>
        <v>4594993</v>
      </c>
      <c r="Y16" s="432">
        <f t="shared" si="4"/>
        <v>973060</v>
      </c>
      <c r="Z16" s="432">
        <f t="shared" si="4"/>
        <v>20784269</v>
      </c>
      <c r="AA16" s="432">
        <f t="shared" si="4"/>
        <v>3399152</v>
      </c>
      <c r="AB16" s="432">
        <f t="shared" si="4"/>
        <v>-312873</v>
      </c>
      <c r="AC16" s="432">
        <f t="shared" si="4"/>
        <v>16897044</v>
      </c>
      <c r="AD16" s="432">
        <f t="shared" si="4"/>
        <v>3286424</v>
      </c>
      <c r="AE16" s="432">
        <f t="shared" si="4"/>
        <v>107525634</v>
      </c>
      <c r="AF16" s="432">
        <f t="shared" si="4"/>
        <v>2841382</v>
      </c>
      <c r="AG16" s="432">
        <f t="shared" si="4"/>
        <v>14506407</v>
      </c>
      <c r="AH16" s="432">
        <f t="shared" si="4"/>
        <v>11983390</v>
      </c>
      <c r="AI16" s="432">
        <f t="shared" si="4"/>
        <v>21343687</v>
      </c>
      <c r="AJ16" s="432">
        <f t="shared" si="4"/>
        <v>11415965</v>
      </c>
      <c r="AK16" s="432">
        <f t="shared" si="4"/>
        <v>0</v>
      </c>
      <c r="AL16" s="432">
        <f t="shared" si="4"/>
        <v>28856527</v>
      </c>
      <c r="AM16" s="432">
        <f t="shared" si="4"/>
        <v>1230463</v>
      </c>
    </row>
    <row r="17" spans="1:39" s="155" customFormat="1" ht="22.5" x14ac:dyDescent="0.2">
      <c r="A17" s="277" t="s">
        <v>2306</v>
      </c>
      <c r="B17" s="279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146">
        <v>1</v>
      </c>
      <c r="B18" s="579">
        <v>92658</v>
      </c>
      <c r="C18" s="268" t="s">
        <v>3171</v>
      </c>
      <c r="D18" s="432">
        <f t="shared" ref="D18:D41" si="5">E18+SUM(H18:O18)</f>
        <v>108186367</v>
      </c>
      <c r="E18" s="431">
        <v>56100678</v>
      </c>
      <c r="F18" s="431">
        <v>29863219</v>
      </c>
      <c r="G18" s="431">
        <v>445318</v>
      </c>
      <c r="H18" s="431">
        <v>0</v>
      </c>
      <c r="I18" s="431">
        <v>41192172</v>
      </c>
      <c r="J18" s="431">
        <v>120000</v>
      </c>
      <c r="K18" s="431">
        <v>1852810</v>
      </c>
      <c r="L18" s="436"/>
      <c r="M18" s="431">
        <v>4849096</v>
      </c>
      <c r="N18" s="431">
        <v>4069511</v>
      </c>
      <c r="O18" s="431">
        <v>2100</v>
      </c>
      <c r="P18" s="432">
        <f t="shared" si="2"/>
        <v>107950617</v>
      </c>
      <c r="Q18" s="431">
        <v>48791388</v>
      </c>
      <c r="R18" s="431">
        <v>27429145</v>
      </c>
      <c r="S18" s="431">
        <v>870000</v>
      </c>
      <c r="T18" s="431">
        <v>83059</v>
      </c>
      <c r="U18" s="431">
        <v>3922581</v>
      </c>
      <c r="V18" s="431">
        <v>0</v>
      </c>
      <c r="W18" s="431">
        <v>11509233</v>
      </c>
      <c r="X18" s="431">
        <v>2251691</v>
      </c>
      <c r="Y18" s="431">
        <v>555678</v>
      </c>
      <c r="Z18" s="431">
        <v>10118692</v>
      </c>
      <c r="AA18" s="431">
        <v>2500000</v>
      </c>
      <c r="AB18" s="431">
        <v>-80850</v>
      </c>
      <c r="AC18" s="431">
        <v>8873014</v>
      </c>
      <c r="AD18" s="431">
        <v>2467068</v>
      </c>
      <c r="AE18" s="431">
        <v>43388868</v>
      </c>
      <c r="AF18" s="431">
        <v>1192010</v>
      </c>
      <c r="AG18" s="431">
        <v>10217352</v>
      </c>
      <c r="AH18" s="431">
        <v>7793786</v>
      </c>
      <c r="AI18" s="431">
        <v>15394526</v>
      </c>
      <c r="AJ18" s="431">
        <v>6811944</v>
      </c>
      <c r="AK18" s="431">
        <v>0</v>
      </c>
      <c r="AL18" s="431">
        <v>10581685</v>
      </c>
      <c r="AM18" s="431">
        <v>1230364</v>
      </c>
    </row>
    <row r="19" spans="1:39" s="155" customFormat="1" ht="12" x14ac:dyDescent="0.2">
      <c r="A19" s="146">
        <v>2</v>
      </c>
      <c r="B19" s="579">
        <v>100683</v>
      </c>
      <c r="C19" s="268" t="s">
        <v>3172</v>
      </c>
      <c r="D19" s="432">
        <f t="shared" si="5"/>
        <v>42484335</v>
      </c>
      <c r="E19" s="431">
        <v>17897015</v>
      </c>
      <c r="F19" s="431">
        <v>8694672</v>
      </c>
      <c r="G19" s="431">
        <v>1106653</v>
      </c>
      <c r="H19" s="431">
        <v>0</v>
      </c>
      <c r="I19" s="431">
        <v>17167439</v>
      </c>
      <c r="J19" s="431">
        <v>0</v>
      </c>
      <c r="K19" s="431">
        <v>5217150</v>
      </c>
      <c r="L19" s="436"/>
      <c r="M19" s="431">
        <v>2202731</v>
      </c>
      <c r="N19" s="431">
        <v>0</v>
      </c>
      <c r="O19" s="431">
        <v>0</v>
      </c>
      <c r="P19" s="432">
        <f t="shared" si="2"/>
        <v>40901890</v>
      </c>
      <c r="Q19" s="431">
        <v>18669532</v>
      </c>
      <c r="R19" s="431">
        <v>17042015</v>
      </c>
      <c r="S19" s="431">
        <v>0</v>
      </c>
      <c r="T19" s="431">
        <v>0</v>
      </c>
      <c r="U19" s="431">
        <v>300000</v>
      </c>
      <c r="V19" s="431">
        <v>0</v>
      </c>
      <c r="W19" s="431">
        <v>0</v>
      </c>
      <c r="X19" s="431">
        <v>541575</v>
      </c>
      <c r="Y19" s="431">
        <v>349960</v>
      </c>
      <c r="Z19" s="431">
        <v>4036414</v>
      </c>
      <c r="AA19" s="431">
        <v>0</v>
      </c>
      <c r="AB19" s="431">
        <v>-37606</v>
      </c>
      <c r="AC19" s="431">
        <v>2544497</v>
      </c>
      <c r="AD19" s="431">
        <v>141086</v>
      </c>
      <c r="AE19" s="431">
        <v>17954827</v>
      </c>
      <c r="AF19" s="431">
        <v>695711</v>
      </c>
      <c r="AG19" s="431">
        <v>1697609</v>
      </c>
      <c r="AH19" s="431">
        <v>1029534</v>
      </c>
      <c r="AI19" s="431">
        <v>2076552</v>
      </c>
      <c r="AJ19" s="431">
        <v>1693530</v>
      </c>
      <c r="AK19" s="431">
        <v>0</v>
      </c>
      <c r="AL19" s="431">
        <v>13068544</v>
      </c>
      <c r="AM19" s="431">
        <v>0</v>
      </c>
    </row>
    <row r="20" spans="1:39" s="155" customFormat="1" ht="12" x14ac:dyDescent="0.2">
      <c r="A20" s="146">
        <v>3</v>
      </c>
      <c r="B20" s="579">
        <v>92701</v>
      </c>
      <c r="C20" s="268" t="s">
        <v>3173</v>
      </c>
      <c r="D20" s="432">
        <f t="shared" si="5"/>
        <v>71403773</v>
      </c>
      <c r="E20" s="431">
        <v>36989252</v>
      </c>
      <c r="F20" s="431">
        <v>6979271</v>
      </c>
      <c r="G20" s="431">
        <v>1061608</v>
      </c>
      <c r="H20" s="431">
        <v>0</v>
      </c>
      <c r="I20" s="431">
        <v>23192546</v>
      </c>
      <c r="J20" s="431">
        <v>0</v>
      </c>
      <c r="K20" s="431">
        <v>5785020</v>
      </c>
      <c r="L20" s="436"/>
      <c r="M20" s="431">
        <v>4819182</v>
      </c>
      <c r="N20" s="431">
        <v>589773</v>
      </c>
      <c r="O20" s="431">
        <v>28000</v>
      </c>
      <c r="P20" s="432">
        <f t="shared" si="2"/>
        <v>71034416</v>
      </c>
      <c r="Q20" s="431">
        <v>25894198</v>
      </c>
      <c r="R20" s="431">
        <v>12551096</v>
      </c>
      <c r="S20" s="431">
        <v>90941</v>
      </c>
      <c r="T20" s="431">
        <v>72000</v>
      </c>
      <c r="U20" s="431">
        <v>564828</v>
      </c>
      <c r="V20" s="431">
        <v>0</v>
      </c>
      <c r="W20" s="431">
        <v>22658306</v>
      </c>
      <c r="X20" s="431">
        <v>1801727</v>
      </c>
      <c r="Y20" s="431">
        <v>67422</v>
      </c>
      <c r="Z20" s="431">
        <v>6629163</v>
      </c>
      <c r="AA20" s="431">
        <v>899152</v>
      </c>
      <c r="AB20" s="431">
        <v>-194417</v>
      </c>
      <c r="AC20" s="431">
        <v>5479533</v>
      </c>
      <c r="AD20" s="431">
        <v>678270</v>
      </c>
      <c r="AE20" s="431">
        <v>46181939</v>
      </c>
      <c r="AF20" s="431">
        <v>953661</v>
      </c>
      <c r="AG20" s="431">
        <v>2591446</v>
      </c>
      <c r="AH20" s="431">
        <v>3160070</v>
      </c>
      <c r="AI20" s="431">
        <v>3872609</v>
      </c>
      <c r="AJ20" s="431">
        <v>2910491</v>
      </c>
      <c r="AK20" s="431">
        <v>0</v>
      </c>
      <c r="AL20" s="431">
        <v>5206298</v>
      </c>
      <c r="AM20" s="431">
        <v>99</v>
      </c>
    </row>
    <row r="21" spans="1:39" s="155" customFormat="1" ht="12" hidden="1" x14ac:dyDescent="0.2">
      <c r="A21" s="146">
        <v>4</v>
      </c>
      <c r="B21" s="161"/>
      <c r="C21" s="206"/>
      <c r="D21" s="432">
        <f t="shared" si="5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2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146">
        <v>5</v>
      </c>
      <c r="B22" s="161"/>
      <c r="C22" s="206"/>
      <c r="D22" s="432">
        <f t="shared" si="5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2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161"/>
      <c r="C23" s="206"/>
      <c r="D23" s="432">
        <f t="shared" si="5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2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61"/>
      <c r="C24" s="206"/>
      <c r="D24" s="432">
        <f t="shared" si="5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2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61"/>
      <c r="C25" s="206"/>
      <c r="D25" s="432">
        <f t="shared" si="5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2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61"/>
      <c r="C26" s="206"/>
      <c r="D26" s="432">
        <f t="shared" si="5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2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61"/>
      <c r="C27" s="206"/>
      <c r="D27" s="432">
        <f t="shared" si="5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2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61"/>
      <c r="C28" s="206"/>
      <c r="D28" s="432">
        <f t="shared" si="5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2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61"/>
      <c r="C29" s="206"/>
      <c r="D29" s="432">
        <f t="shared" si="5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2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61"/>
      <c r="C30" s="206"/>
      <c r="D30" s="432">
        <f t="shared" si="5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2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61"/>
      <c r="C31" s="206"/>
      <c r="D31" s="432">
        <f t="shared" si="5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2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61"/>
      <c r="C32" s="207"/>
      <c r="D32" s="432">
        <f t="shared" si="5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2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5"/>
      <c r="C33" s="208"/>
      <c r="D33" s="432">
        <f t="shared" si="5"/>
        <v>59171025</v>
      </c>
      <c r="E33" s="432">
        <f>SUM(E34:E53)</f>
        <v>19404632</v>
      </c>
      <c r="F33" s="432">
        <f t="shared" ref="F33:O33" si="6">SUM(F34:F53)</f>
        <v>5708104</v>
      </c>
      <c r="G33" s="432">
        <f t="shared" si="6"/>
        <v>2198157</v>
      </c>
      <c r="H33" s="432">
        <f t="shared" si="6"/>
        <v>0</v>
      </c>
      <c r="I33" s="432">
        <f t="shared" si="6"/>
        <v>16581339</v>
      </c>
      <c r="J33" s="432">
        <f t="shared" si="6"/>
        <v>950000</v>
      </c>
      <c r="K33" s="432">
        <f t="shared" si="6"/>
        <v>13599101</v>
      </c>
      <c r="L33" s="432">
        <f t="shared" si="6"/>
        <v>0</v>
      </c>
      <c r="M33" s="432">
        <f t="shared" si="6"/>
        <v>5277227</v>
      </c>
      <c r="N33" s="432">
        <f t="shared" si="6"/>
        <v>2957267</v>
      </c>
      <c r="O33" s="432">
        <f t="shared" si="6"/>
        <v>401459</v>
      </c>
      <c r="P33" s="432">
        <f t="shared" si="2"/>
        <v>48226897</v>
      </c>
      <c r="Q33" s="432">
        <f>SUM(Q34:Q53)</f>
        <v>18722965</v>
      </c>
      <c r="R33" s="432">
        <f t="shared" ref="R33:AM33" si="7">SUM(R34:R53)</f>
        <v>9471224</v>
      </c>
      <c r="S33" s="432">
        <f t="shared" si="7"/>
        <v>12311</v>
      </c>
      <c r="T33" s="432">
        <f t="shared" si="7"/>
        <v>0</v>
      </c>
      <c r="U33" s="432">
        <f t="shared" si="7"/>
        <v>4217365</v>
      </c>
      <c r="V33" s="432">
        <f t="shared" si="7"/>
        <v>214373</v>
      </c>
      <c r="W33" s="432">
        <f t="shared" si="7"/>
        <v>5231811</v>
      </c>
      <c r="X33" s="432">
        <f t="shared" si="7"/>
        <v>1535578</v>
      </c>
      <c r="Y33" s="432">
        <f t="shared" si="7"/>
        <v>71507</v>
      </c>
      <c r="Z33" s="432">
        <f t="shared" si="7"/>
        <v>9073193</v>
      </c>
      <c r="AA33" s="432">
        <f t="shared" si="7"/>
        <v>0</v>
      </c>
      <c r="AB33" s="432">
        <f t="shared" si="7"/>
        <v>-323430</v>
      </c>
      <c r="AC33" s="432">
        <f t="shared" si="7"/>
        <v>6818224</v>
      </c>
      <c r="AD33" s="432">
        <f t="shared" si="7"/>
        <v>795133</v>
      </c>
      <c r="AE33" s="432">
        <f t="shared" si="7"/>
        <v>17441049</v>
      </c>
      <c r="AF33" s="432">
        <f t="shared" si="7"/>
        <v>845290</v>
      </c>
      <c r="AG33" s="432">
        <f t="shared" si="7"/>
        <v>1766692</v>
      </c>
      <c r="AH33" s="432">
        <f t="shared" si="7"/>
        <v>3055882</v>
      </c>
      <c r="AI33" s="432">
        <f t="shared" si="7"/>
        <v>6583867</v>
      </c>
      <c r="AJ33" s="432">
        <f t="shared" si="7"/>
        <v>928484</v>
      </c>
      <c r="AK33" s="432">
        <f t="shared" si="7"/>
        <v>0</v>
      </c>
      <c r="AL33" s="432">
        <f t="shared" si="7"/>
        <v>6521930</v>
      </c>
      <c r="AM33" s="432">
        <f t="shared" si="7"/>
        <v>3470346</v>
      </c>
    </row>
    <row r="34" spans="1:39" s="155" customFormat="1" ht="12" x14ac:dyDescent="0.2">
      <c r="A34" s="146">
        <v>1</v>
      </c>
      <c r="B34" s="579">
        <v>92765</v>
      </c>
      <c r="C34" s="268" t="s">
        <v>3167</v>
      </c>
      <c r="D34" s="432">
        <f t="shared" si="5"/>
        <v>19233562</v>
      </c>
      <c r="E34" s="431">
        <v>7794795</v>
      </c>
      <c r="F34" s="431">
        <v>2993965</v>
      </c>
      <c r="G34" s="431">
        <v>495078</v>
      </c>
      <c r="H34" s="431">
        <v>0</v>
      </c>
      <c r="I34" s="431">
        <v>8485312</v>
      </c>
      <c r="J34" s="431">
        <v>0</v>
      </c>
      <c r="K34" s="431">
        <v>2577060</v>
      </c>
      <c r="L34" s="436"/>
      <c r="M34" s="431">
        <v>376395</v>
      </c>
      <c r="N34" s="431">
        <v>0</v>
      </c>
      <c r="O34" s="431">
        <v>0</v>
      </c>
      <c r="P34" s="432">
        <f t="shared" si="2"/>
        <v>14981791</v>
      </c>
      <c r="Q34" s="431">
        <v>9792004</v>
      </c>
      <c r="R34" s="431">
        <v>3061891</v>
      </c>
      <c r="S34" s="431">
        <v>0</v>
      </c>
      <c r="T34" s="431">
        <v>0</v>
      </c>
      <c r="U34" s="431">
        <v>600000</v>
      </c>
      <c r="V34" s="431">
        <v>0</v>
      </c>
      <c r="W34" s="431">
        <v>0</v>
      </c>
      <c r="X34" s="431">
        <v>613381</v>
      </c>
      <c r="Y34" s="431">
        <v>33942</v>
      </c>
      <c r="Z34" s="431">
        <v>940960</v>
      </c>
      <c r="AA34" s="431">
        <v>0</v>
      </c>
      <c r="AB34" s="431">
        <v>-60387</v>
      </c>
      <c r="AC34" s="431">
        <v>1540949</v>
      </c>
      <c r="AD34" s="431">
        <v>231822</v>
      </c>
      <c r="AE34" s="431">
        <v>7991253</v>
      </c>
      <c r="AF34" s="431">
        <v>816724</v>
      </c>
      <c r="AG34" s="431">
        <v>439033</v>
      </c>
      <c r="AH34" s="431">
        <v>1599494</v>
      </c>
      <c r="AI34" s="431">
        <v>1606394</v>
      </c>
      <c r="AJ34" s="431">
        <v>283646</v>
      </c>
      <c r="AK34" s="431">
        <v>0</v>
      </c>
      <c r="AL34" s="431">
        <v>467476</v>
      </c>
      <c r="AM34" s="431">
        <v>5000</v>
      </c>
    </row>
    <row r="35" spans="1:39" s="155" customFormat="1" ht="12" x14ac:dyDescent="0.2">
      <c r="A35" s="146">
        <v>2</v>
      </c>
      <c r="B35" s="579">
        <v>92836</v>
      </c>
      <c r="C35" s="268" t="s">
        <v>3168</v>
      </c>
      <c r="D35" s="432">
        <f t="shared" si="5"/>
        <v>16540051</v>
      </c>
      <c r="E35" s="431">
        <v>4890968</v>
      </c>
      <c r="F35" s="431">
        <v>1234237</v>
      </c>
      <c r="G35" s="431">
        <v>356482</v>
      </c>
      <c r="H35" s="431">
        <v>0</v>
      </c>
      <c r="I35" s="431">
        <v>2861000</v>
      </c>
      <c r="J35" s="431">
        <v>550000</v>
      </c>
      <c r="K35" s="431">
        <v>5160521</v>
      </c>
      <c r="L35" s="436"/>
      <c r="M35" s="431">
        <v>1493422</v>
      </c>
      <c r="N35" s="431">
        <v>1212181</v>
      </c>
      <c r="O35" s="431">
        <v>371959</v>
      </c>
      <c r="P35" s="432">
        <f t="shared" si="2"/>
        <v>15136445</v>
      </c>
      <c r="Q35" s="431">
        <v>3078073</v>
      </c>
      <c r="R35" s="431">
        <v>3066457</v>
      </c>
      <c r="S35" s="431">
        <v>12311</v>
      </c>
      <c r="T35" s="431">
        <v>0</v>
      </c>
      <c r="U35" s="431">
        <v>3617365</v>
      </c>
      <c r="V35" s="431">
        <v>0</v>
      </c>
      <c r="W35" s="431">
        <v>2240234</v>
      </c>
      <c r="X35" s="431">
        <v>567052</v>
      </c>
      <c r="Y35" s="431">
        <v>18865</v>
      </c>
      <c r="Z35" s="431">
        <v>2798944</v>
      </c>
      <c r="AA35" s="431">
        <v>0</v>
      </c>
      <c r="AB35" s="431">
        <v>-262856</v>
      </c>
      <c r="AC35" s="431">
        <v>1662576</v>
      </c>
      <c r="AD35" s="431">
        <v>117553</v>
      </c>
      <c r="AE35" s="431">
        <v>2306106</v>
      </c>
      <c r="AF35" s="431">
        <v>26106</v>
      </c>
      <c r="AG35" s="431">
        <v>834796</v>
      </c>
      <c r="AH35" s="431">
        <v>771101</v>
      </c>
      <c r="AI35" s="431">
        <v>3749762</v>
      </c>
      <c r="AJ35" s="431">
        <v>469316</v>
      </c>
      <c r="AK35" s="431">
        <v>0</v>
      </c>
      <c r="AL35" s="431">
        <v>1799128</v>
      </c>
      <c r="AM35" s="431">
        <v>3400001</v>
      </c>
    </row>
    <row r="36" spans="1:39" s="155" customFormat="1" ht="12" x14ac:dyDescent="0.2">
      <c r="A36" s="146">
        <v>3</v>
      </c>
      <c r="B36" s="579">
        <v>102749</v>
      </c>
      <c r="C36" s="268" t="s">
        <v>3169</v>
      </c>
      <c r="D36" s="432">
        <f t="shared" si="5"/>
        <v>11856191</v>
      </c>
      <c r="E36" s="431">
        <v>2537549</v>
      </c>
      <c r="F36" s="431">
        <v>625110</v>
      </c>
      <c r="G36" s="431">
        <v>634614</v>
      </c>
      <c r="H36" s="431">
        <v>0</v>
      </c>
      <c r="I36" s="431">
        <v>3170571</v>
      </c>
      <c r="J36" s="431">
        <v>400000</v>
      </c>
      <c r="K36" s="431">
        <v>2740730</v>
      </c>
      <c r="L36" s="436"/>
      <c r="M36" s="431">
        <v>1252255</v>
      </c>
      <c r="N36" s="431">
        <v>1745086</v>
      </c>
      <c r="O36" s="431">
        <v>10000</v>
      </c>
      <c r="P36" s="432">
        <f t="shared" si="2"/>
        <v>10627318</v>
      </c>
      <c r="Q36" s="431">
        <v>3319881</v>
      </c>
      <c r="R36" s="431">
        <v>1630333</v>
      </c>
      <c r="S36" s="431">
        <v>0</v>
      </c>
      <c r="T36" s="431">
        <v>0</v>
      </c>
      <c r="U36" s="431">
        <v>0</v>
      </c>
      <c r="V36" s="431">
        <v>214373</v>
      </c>
      <c r="W36" s="431">
        <v>2991577</v>
      </c>
      <c r="X36" s="431">
        <v>177777</v>
      </c>
      <c r="Y36" s="431">
        <v>6000</v>
      </c>
      <c r="Z36" s="431">
        <v>2287438</v>
      </c>
      <c r="AA36" s="431">
        <v>0</v>
      </c>
      <c r="AB36" s="431">
        <v>-61</v>
      </c>
      <c r="AC36" s="431">
        <v>2209558</v>
      </c>
      <c r="AD36" s="431">
        <v>80348</v>
      </c>
      <c r="AE36" s="431">
        <v>4956051</v>
      </c>
      <c r="AF36" s="431">
        <v>2460</v>
      </c>
      <c r="AG36" s="431">
        <v>226392</v>
      </c>
      <c r="AH36" s="431">
        <v>339762</v>
      </c>
      <c r="AI36" s="431">
        <v>1118354</v>
      </c>
      <c r="AJ36" s="431">
        <v>46974</v>
      </c>
      <c r="AK36" s="431">
        <v>0</v>
      </c>
      <c r="AL36" s="431">
        <v>1585425</v>
      </c>
      <c r="AM36" s="431">
        <v>61994</v>
      </c>
    </row>
    <row r="37" spans="1:39" s="155" customFormat="1" ht="12" x14ac:dyDescent="0.2">
      <c r="A37" s="146">
        <v>4</v>
      </c>
      <c r="B37" s="579">
        <v>93067</v>
      </c>
      <c r="C37" s="268" t="s">
        <v>3170</v>
      </c>
      <c r="D37" s="432">
        <f t="shared" si="5"/>
        <v>11541221</v>
      </c>
      <c r="E37" s="431">
        <v>4181320</v>
      </c>
      <c r="F37" s="431">
        <v>854792</v>
      </c>
      <c r="G37" s="431">
        <v>711983</v>
      </c>
      <c r="H37" s="431">
        <v>0</v>
      </c>
      <c r="I37" s="431">
        <v>2064456</v>
      </c>
      <c r="J37" s="431">
        <v>0</v>
      </c>
      <c r="K37" s="431">
        <v>3120790</v>
      </c>
      <c r="L37" s="436"/>
      <c r="M37" s="431">
        <v>2155155</v>
      </c>
      <c r="N37" s="431">
        <v>0</v>
      </c>
      <c r="O37" s="431">
        <v>19500</v>
      </c>
      <c r="P37" s="432">
        <f t="shared" si="2"/>
        <v>7481343</v>
      </c>
      <c r="Q37" s="431">
        <v>2533007</v>
      </c>
      <c r="R37" s="431">
        <v>1712543</v>
      </c>
      <c r="S37" s="431">
        <v>0</v>
      </c>
      <c r="T37" s="431">
        <v>0</v>
      </c>
      <c r="U37" s="431">
        <v>0</v>
      </c>
      <c r="V37" s="431">
        <v>0</v>
      </c>
      <c r="W37" s="431">
        <v>0</v>
      </c>
      <c r="X37" s="431">
        <v>177368</v>
      </c>
      <c r="Y37" s="431">
        <v>12700</v>
      </c>
      <c r="Z37" s="431">
        <v>3045851</v>
      </c>
      <c r="AA37" s="431">
        <v>0</v>
      </c>
      <c r="AB37" s="431">
        <v>-126</v>
      </c>
      <c r="AC37" s="431">
        <v>1405141</v>
      </c>
      <c r="AD37" s="431">
        <v>365410</v>
      </c>
      <c r="AE37" s="431">
        <v>2187639</v>
      </c>
      <c r="AF37" s="431">
        <v>0</v>
      </c>
      <c r="AG37" s="431">
        <v>266471</v>
      </c>
      <c r="AH37" s="431">
        <v>345525</v>
      </c>
      <c r="AI37" s="431">
        <v>109357</v>
      </c>
      <c r="AJ37" s="431">
        <v>128548</v>
      </c>
      <c r="AK37" s="431">
        <v>0</v>
      </c>
      <c r="AL37" s="431">
        <v>2669901</v>
      </c>
      <c r="AM37" s="431">
        <v>3351</v>
      </c>
    </row>
    <row r="38" spans="1:39" s="155" customFormat="1" ht="12" hidden="1" x14ac:dyDescent="0.2">
      <c r="A38" s="146">
        <v>5</v>
      </c>
      <c r="B38" s="146"/>
      <c r="C38" s="172"/>
      <c r="D38" s="432">
        <f t="shared" si="5"/>
        <v>0</v>
      </c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2">
        <f t="shared" si="2"/>
        <v>0</v>
      </c>
      <c r="Q38" s="435"/>
      <c r="R38" s="435"/>
      <c r="S38" s="435"/>
      <c r="T38" s="435"/>
      <c r="U38" s="435"/>
      <c r="V38" s="431"/>
      <c r="W38" s="431"/>
      <c r="X38" s="431"/>
      <c r="Y38" s="431"/>
      <c r="Z38" s="435"/>
      <c r="AA38" s="431"/>
      <c r="AB38" s="431"/>
      <c r="AC38" s="445"/>
      <c r="AD38" s="435"/>
      <c r="AE38" s="435"/>
      <c r="AF38" s="435"/>
      <c r="AG38" s="435"/>
      <c r="AH38" s="435"/>
      <c r="AI38" s="435"/>
      <c r="AJ38" s="435"/>
      <c r="AK38" s="435"/>
      <c r="AL38" s="435"/>
      <c r="AM38" s="435"/>
    </row>
    <row r="39" spans="1:39" s="155" customFormat="1" ht="12" hidden="1" x14ac:dyDescent="0.2">
      <c r="A39" s="146">
        <v>6</v>
      </c>
      <c r="B39" s="146"/>
      <c r="C39" s="172"/>
      <c r="D39" s="432">
        <f t="shared" si="5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2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</row>
    <row r="40" spans="1:39" s="155" customFormat="1" ht="12" hidden="1" x14ac:dyDescent="0.2">
      <c r="A40" s="146">
        <v>7</v>
      </c>
      <c r="B40" s="146"/>
      <c r="C40" s="182"/>
      <c r="D40" s="432">
        <f t="shared" si="5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2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155" customFormat="1" ht="12" hidden="1" x14ac:dyDescent="0.2">
      <c r="A41" s="146">
        <v>8</v>
      </c>
      <c r="B41" s="146"/>
      <c r="C41" s="173"/>
      <c r="D41" s="432">
        <f t="shared" si="5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2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146">
        <v>9</v>
      </c>
      <c r="B42" s="146"/>
      <c r="C42" s="206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2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146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2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46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2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46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2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46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2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46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2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46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2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46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2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46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2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46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2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46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2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46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2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4"/>
      <c r="C54" s="208"/>
      <c r="D54" s="432">
        <f t="shared" ref="D54:D117" si="8">E54+SUM(H54:O54)</f>
        <v>253831871</v>
      </c>
      <c r="E54" s="432">
        <f>SUM(E55:E143)</f>
        <v>74738425</v>
      </c>
      <c r="F54" s="432">
        <f t="shared" ref="F54:O54" si="9">SUM(F55:F143)</f>
        <v>19108021</v>
      </c>
      <c r="G54" s="432">
        <f t="shared" si="9"/>
        <v>9438949</v>
      </c>
      <c r="H54" s="432">
        <f t="shared" si="9"/>
        <v>0</v>
      </c>
      <c r="I54" s="432">
        <f t="shared" si="9"/>
        <v>71580267</v>
      </c>
      <c r="J54" s="432">
        <f t="shared" si="9"/>
        <v>13485226</v>
      </c>
      <c r="K54" s="432">
        <f t="shared" si="9"/>
        <v>49277000</v>
      </c>
      <c r="L54" s="432">
        <f t="shared" si="9"/>
        <v>0</v>
      </c>
      <c r="M54" s="432">
        <f t="shared" si="9"/>
        <v>24816872</v>
      </c>
      <c r="N54" s="432">
        <f t="shared" si="9"/>
        <v>17947341</v>
      </c>
      <c r="O54" s="432">
        <f t="shared" si="9"/>
        <v>1986740</v>
      </c>
      <c r="P54" s="432">
        <f t="shared" si="2"/>
        <v>221453423</v>
      </c>
      <c r="Q54" s="432">
        <f>SUM(Q55:Q143)</f>
        <v>85831361</v>
      </c>
      <c r="R54" s="432">
        <f t="shared" ref="R54:AM54" si="10">SUM(R55:R143)</f>
        <v>52868497</v>
      </c>
      <c r="S54" s="432">
        <f t="shared" si="10"/>
        <v>68634</v>
      </c>
      <c r="T54" s="432">
        <f t="shared" si="10"/>
        <v>0</v>
      </c>
      <c r="U54" s="432">
        <f t="shared" si="10"/>
        <v>30000</v>
      </c>
      <c r="V54" s="432">
        <f t="shared" si="10"/>
        <v>1140853</v>
      </c>
      <c r="W54" s="432">
        <f t="shared" si="10"/>
        <v>14198340</v>
      </c>
      <c r="X54" s="432">
        <f t="shared" si="10"/>
        <v>10489120</v>
      </c>
      <c r="Y54" s="432">
        <f t="shared" si="10"/>
        <v>318540</v>
      </c>
      <c r="Z54" s="432">
        <f t="shared" si="10"/>
        <v>56591253</v>
      </c>
      <c r="AA54" s="432">
        <f t="shared" si="10"/>
        <v>146194</v>
      </c>
      <c r="AB54" s="432">
        <f t="shared" si="10"/>
        <v>-229369</v>
      </c>
      <c r="AC54" s="432">
        <f t="shared" si="10"/>
        <v>42409873</v>
      </c>
      <c r="AD54" s="432">
        <f t="shared" si="10"/>
        <v>2750248</v>
      </c>
      <c r="AE54" s="432">
        <f t="shared" si="10"/>
        <v>66951830</v>
      </c>
      <c r="AF54" s="432">
        <f t="shared" si="10"/>
        <v>565088</v>
      </c>
      <c r="AG54" s="432">
        <f t="shared" si="10"/>
        <v>10360756</v>
      </c>
      <c r="AH54" s="432">
        <f t="shared" si="10"/>
        <v>17405763</v>
      </c>
      <c r="AI54" s="432">
        <f t="shared" si="10"/>
        <v>18381144</v>
      </c>
      <c r="AJ54" s="432">
        <f t="shared" si="10"/>
        <v>7815077</v>
      </c>
      <c r="AK54" s="432">
        <f t="shared" si="10"/>
        <v>0</v>
      </c>
      <c r="AL54" s="432">
        <f>SUM(AL55:AL143)</f>
        <v>53247262</v>
      </c>
      <c r="AM54" s="432">
        <f t="shared" si="10"/>
        <v>1566382</v>
      </c>
    </row>
    <row r="55" spans="1:39" s="155" customFormat="1" ht="12" x14ac:dyDescent="0.2">
      <c r="A55" s="168">
        <v>1</v>
      </c>
      <c r="B55" s="579">
        <v>100754</v>
      </c>
      <c r="C55" s="268" t="s">
        <v>3116</v>
      </c>
      <c r="D55" s="432">
        <f t="shared" si="8"/>
        <v>3579051</v>
      </c>
      <c r="E55" s="431">
        <v>792664</v>
      </c>
      <c r="F55" s="431">
        <v>199058</v>
      </c>
      <c r="G55" s="431">
        <v>171384</v>
      </c>
      <c r="H55" s="431">
        <v>0</v>
      </c>
      <c r="I55" s="431">
        <v>907262</v>
      </c>
      <c r="J55" s="431">
        <v>0</v>
      </c>
      <c r="K55" s="431">
        <v>1016330</v>
      </c>
      <c r="L55" s="436"/>
      <c r="M55" s="431">
        <v>7900</v>
      </c>
      <c r="N55" s="431">
        <v>0</v>
      </c>
      <c r="O55" s="431">
        <v>854895</v>
      </c>
      <c r="P55" s="432">
        <f t="shared" si="2"/>
        <v>3817131</v>
      </c>
      <c r="Q55" s="431">
        <v>1076081</v>
      </c>
      <c r="R55" s="431">
        <v>1138530</v>
      </c>
      <c r="S55" s="431">
        <v>0</v>
      </c>
      <c r="T55" s="431">
        <v>0</v>
      </c>
      <c r="U55" s="431">
        <v>0</v>
      </c>
      <c r="V55" s="431">
        <v>0</v>
      </c>
      <c r="W55" s="431">
        <v>0</v>
      </c>
      <c r="X55" s="431">
        <v>166189</v>
      </c>
      <c r="Y55" s="431">
        <v>0</v>
      </c>
      <c r="Z55" s="431">
        <v>1436331</v>
      </c>
      <c r="AA55" s="431">
        <v>0</v>
      </c>
      <c r="AB55" s="431">
        <v>0</v>
      </c>
      <c r="AC55" s="431">
        <v>575182</v>
      </c>
      <c r="AD55" s="431">
        <v>0</v>
      </c>
      <c r="AE55" s="431">
        <v>809218</v>
      </c>
      <c r="AF55" s="431">
        <v>0</v>
      </c>
      <c r="AG55" s="431">
        <v>123192</v>
      </c>
      <c r="AH55" s="431">
        <v>254390</v>
      </c>
      <c r="AI55" s="431">
        <v>1403865</v>
      </c>
      <c r="AJ55" s="431">
        <v>140890</v>
      </c>
      <c r="AK55" s="431">
        <v>0</v>
      </c>
      <c r="AL55" s="431">
        <v>506922</v>
      </c>
      <c r="AM55" s="431">
        <v>3472</v>
      </c>
    </row>
    <row r="56" spans="1:39" s="155" customFormat="1" ht="12" x14ac:dyDescent="0.2">
      <c r="A56" s="168">
        <v>2</v>
      </c>
      <c r="B56" s="579">
        <v>92783</v>
      </c>
      <c r="C56" s="268" t="s">
        <v>2958</v>
      </c>
      <c r="D56" s="432">
        <f t="shared" si="8"/>
        <v>4984687</v>
      </c>
      <c r="E56" s="431">
        <v>734381</v>
      </c>
      <c r="F56" s="431">
        <v>96107</v>
      </c>
      <c r="G56" s="431">
        <v>189992</v>
      </c>
      <c r="H56" s="431">
        <v>0</v>
      </c>
      <c r="I56" s="431">
        <v>837513</v>
      </c>
      <c r="J56" s="431">
        <v>0</v>
      </c>
      <c r="K56" s="431">
        <v>899440</v>
      </c>
      <c r="L56" s="436"/>
      <c r="M56" s="431">
        <v>845899</v>
      </c>
      <c r="N56" s="431">
        <v>1661854</v>
      </c>
      <c r="O56" s="431">
        <v>5600</v>
      </c>
      <c r="P56" s="432">
        <f t="shared" si="2"/>
        <v>3122034</v>
      </c>
      <c r="Q56" s="431">
        <v>1105052</v>
      </c>
      <c r="R56" s="431">
        <v>1172471</v>
      </c>
      <c r="S56" s="431">
        <v>0</v>
      </c>
      <c r="T56" s="431">
        <v>0</v>
      </c>
      <c r="U56" s="431">
        <v>0</v>
      </c>
      <c r="V56" s="431">
        <v>0</v>
      </c>
      <c r="W56" s="431">
        <v>0</v>
      </c>
      <c r="X56" s="431">
        <v>78930</v>
      </c>
      <c r="Y56" s="431">
        <v>0</v>
      </c>
      <c r="Z56" s="431">
        <v>766739</v>
      </c>
      <c r="AA56" s="431">
        <v>0</v>
      </c>
      <c r="AB56" s="431">
        <v>-1158</v>
      </c>
      <c r="AC56" s="431">
        <v>559247</v>
      </c>
      <c r="AD56" s="431">
        <v>0</v>
      </c>
      <c r="AE56" s="431">
        <v>889854</v>
      </c>
      <c r="AF56" s="431">
        <v>25969</v>
      </c>
      <c r="AG56" s="431">
        <v>172792</v>
      </c>
      <c r="AH56" s="431">
        <v>78880</v>
      </c>
      <c r="AI56" s="431">
        <v>258252</v>
      </c>
      <c r="AJ56" s="431">
        <v>73239</v>
      </c>
      <c r="AK56" s="431">
        <v>0</v>
      </c>
      <c r="AL56" s="431">
        <v>1032849</v>
      </c>
      <c r="AM56" s="431">
        <v>30952</v>
      </c>
    </row>
    <row r="57" spans="1:39" s="155" customFormat="1" ht="12" x14ac:dyDescent="0.2">
      <c r="A57" s="168">
        <v>3</v>
      </c>
      <c r="B57" s="579">
        <v>100852</v>
      </c>
      <c r="C57" s="268" t="s">
        <v>3117</v>
      </c>
      <c r="D57" s="432">
        <f t="shared" si="8"/>
        <v>3148819</v>
      </c>
      <c r="E57" s="431">
        <v>675566</v>
      </c>
      <c r="F57" s="431">
        <v>95714</v>
      </c>
      <c r="G57" s="431">
        <v>199786</v>
      </c>
      <c r="H57" s="431">
        <v>0</v>
      </c>
      <c r="I57" s="431">
        <v>1034609</v>
      </c>
      <c r="J57" s="431">
        <v>0</v>
      </c>
      <c r="K57" s="431">
        <v>1002280</v>
      </c>
      <c r="L57" s="436"/>
      <c r="M57" s="431">
        <v>436364</v>
      </c>
      <c r="N57" s="431">
        <v>0</v>
      </c>
      <c r="O57" s="431">
        <v>0</v>
      </c>
      <c r="P57" s="432">
        <f t="shared" si="2"/>
        <v>3022423</v>
      </c>
      <c r="Q57" s="431">
        <v>1215397</v>
      </c>
      <c r="R57" s="431">
        <v>588101</v>
      </c>
      <c r="S57" s="431">
        <v>0</v>
      </c>
      <c r="T57" s="431">
        <v>0</v>
      </c>
      <c r="U57" s="431">
        <v>0</v>
      </c>
      <c r="V57" s="431">
        <v>0</v>
      </c>
      <c r="W57" s="431">
        <v>0</v>
      </c>
      <c r="X57" s="431">
        <v>124629</v>
      </c>
      <c r="Y57" s="431">
        <v>2000</v>
      </c>
      <c r="Z57" s="431">
        <v>1099142</v>
      </c>
      <c r="AA57" s="431">
        <v>0</v>
      </c>
      <c r="AB57" s="431">
        <v>-6846</v>
      </c>
      <c r="AC57" s="431">
        <v>519543</v>
      </c>
      <c r="AD57" s="431">
        <v>0</v>
      </c>
      <c r="AE57" s="431">
        <v>1173164</v>
      </c>
      <c r="AF57" s="431">
        <v>0</v>
      </c>
      <c r="AG57" s="431">
        <v>165490</v>
      </c>
      <c r="AH57" s="431">
        <v>220722</v>
      </c>
      <c r="AI57" s="431">
        <v>74066</v>
      </c>
      <c r="AJ57" s="431">
        <v>5317</v>
      </c>
      <c r="AK57" s="431">
        <v>0</v>
      </c>
      <c r="AL57" s="431">
        <v>831915</v>
      </c>
      <c r="AM57" s="431">
        <v>32206</v>
      </c>
    </row>
    <row r="58" spans="1:39" s="155" customFormat="1" ht="12" x14ac:dyDescent="0.2">
      <c r="A58" s="168">
        <v>4</v>
      </c>
      <c r="B58" s="579">
        <v>179793</v>
      </c>
      <c r="C58" s="268" t="s">
        <v>3118</v>
      </c>
      <c r="D58" s="432">
        <f t="shared" si="8"/>
        <v>2771402</v>
      </c>
      <c r="E58" s="431">
        <v>509241</v>
      </c>
      <c r="F58" s="431">
        <v>63248</v>
      </c>
      <c r="G58" s="431">
        <v>222310</v>
      </c>
      <c r="H58" s="431">
        <v>0</v>
      </c>
      <c r="I58" s="431">
        <v>380664</v>
      </c>
      <c r="J58" s="431">
        <v>332928</v>
      </c>
      <c r="K58" s="431">
        <v>1071160</v>
      </c>
      <c r="L58" s="436"/>
      <c r="M58" s="431">
        <v>113553</v>
      </c>
      <c r="N58" s="431">
        <v>358856</v>
      </c>
      <c r="O58" s="431">
        <v>5000</v>
      </c>
      <c r="P58" s="432">
        <f t="shared" si="2"/>
        <v>2434597</v>
      </c>
      <c r="Q58" s="431">
        <v>567367</v>
      </c>
      <c r="R58" s="431">
        <v>298650</v>
      </c>
      <c r="S58" s="431">
        <v>0</v>
      </c>
      <c r="T58" s="431">
        <v>0</v>
      </c>
      <c r="U58" s="431">
        <v>0</v>
      </c>
      <c r="V58" s="431">
        <v>0</v>
      </c>
      <c r="W58" s="431">
        <v>488360</v>
      </c>
      <c r="X58" s="431">
        <v>116664</v>
      </c>
      <c r="Y58" s="431">
        <v>0</v>
      </c>
      <c r="Z58" s="431">
        <v>968391</v>
      </c>
      <c r="AA58" s="431">
        <v>0</v>
      </c>
      <c r="AB58" s="431">
        <v>-4835</v>
      </c>
      <c r="AC58" s="431">
        <v>390549</v>
      </c>
      <c r="AD58" s="431">
        <v>43459</v>
      </c>
      <c r="AE58" s="431">
        <v>301238</v>
      </c>
      <c r="AF58" s="431">
        <v>410</v>
      </c>
      <c r="AG58" s="431">
        <v>57897</v>
      </c>
      <c r="AH58" s="431">
        <v>116548</v>
      </c>
      <c r="AI58" s="431">
        <v>87700</v>
      </c>
      <c r="AJ58" s="431">
        <v>14377</v>
      </c>
      <c r="AK58" s="431">
        <v>0</v>
      </c>
      <c r="AL58" s="431">
        <v>1422419</v>
      </c>
      <c r="AM58" s="431">
        <v>0</v>
      </c>
    </row>
    <row r="59" spans="1:39" s="155" customFormat="1" ht="12" x14ac:dyDescent="0.2">
      <c r="A59" s="168">
        <v>5</v>
      </c>
      <c r="B59" s="579">
        <v>92872</v>
      </c>
      <c r="C59" s="268" t="s">
        <v>3119</v>
      </c>
      <c r="D59" s="432">
        <f t="shared" si="8"/>
        <v>3414561</v>
      </c>
      <c r="E59" s="431">
        <v>881516</v>
      </c>
      <c r="F59" s="431">
        <v>295480</v>
      </c>
      <c r="G59" s="431">
        <v>176280</v>
      </c>
      <c r="H59" s="431">
        <v>0</v>
      </c>
      <c r="I59" s="431">
        <v>954152</v>
      </c>
      <c r="J59" s="431">
        <v>350000</v>
      </c>
      <c r="K59" s="431">
        <v>890500</v>
      </c>
      <c r="L59" s="436"/>
      <c r="M59" s="431">
        <v>253980</v>
      </c>
      <c r="N59" s="431">
        <v>84413</v>
      </c>
      <c r="O59" s="431">
        <v>0</v>
      </c>
      <c r="P59" s="432">
        <f t="shared" si="2"/>
        <v>2572796</v>
      </c>
      <c r="Q59" s="431">
        <v>1127652</v>
      </c>
      <c r="R59" s="431">
        <v>690226</v>
      </c>
      <c r="S59" s="431">
        <v>0</v>
      </c>
      <c r="T59" s="431">
        <v>0</v>
      </c>
      <c r="U59" s="431">
        <v>0</v>
      </c>
      <c r="V59" s="431">
        <v>0</v>
      </c>
      <c r="W59" s="431">
        <v>73422</v>
      </c>
      <c r="X59" s="431">
        <v>159613</v>
      </c>
      <c r="Y59" s="431">
        <v>0</v>
      </c>
      <c r="Z59" s="431">
        <v>521883</v>
      </c>
      <c r="AA59" s="431">
        <v>0</v>
      </c>
      <c r="AB59" s="431">
        <v>0</v>
      </c>
      <c r="AC59" s="431">
        <v>514323</v>
      </c>
      <c r="AD59" s="431">
        <v>4258</v>
      </c>
      <c r="AE59" s="431">
        <v>779285</v>
      </c>
      <c r="AF59" s="431">
        <v>0</v>
      </c>
      <c r="AG59" s="431">
        <v>85672</v>
      </c>
      <c r="AH59" s="431">
        <v>355825</v>
      </c>
      <c r="AI59" s="431">
        <v>142694</v>
      </c>
      <c r="AJ59" s="431">
        <v>24735</v>
      </c>
      <c r="AK59" s="431">
        <v>0</v>
      </c>
      <c r="AL59" s="431">
        <v>665830</v>
      </c>
      <c r="AM59" s="431">
        <v>174</v>
      </c>
    </row>
    <row r="60" spans="1:39" s="155" customFormat="1" ht="12" x14ac:dyDescent="0.2">
      <c r="A60" s="168">
        <v>6</v>
      </c>
      <c r="B60" s="579">
        <v>100870</v>
      </c>
      <c r="C60" s="268" t="s">
        <v>3120</v>
      </c>
      <c r="D60" s="432">
        <f t="shared" si="8"/>
        <v>4747548</v>
      </c>
      <c r="E60" s="431">
        <v>1119320</v>
      </c>
      <c r="F60" s="431">
        <v>254962</v>
      </c>
      <c r="G60" s="431">
        <v>179220</v>
      </c>
      <c r="H60" s="431">
        <v>0</v>
      </c>
      <c r="I60" s="431">
        <v>2165876</v>
      </c>
      <c r="J60" s="431">
        <v>451673</v>
      </c>
      <c r="K60" s="431">
        <v>965310</v>
      </c>
      <c r="L60" s="436"/>
      <c r="M60" s="431">
        <v>19369</v>
      </c>
      <c r="N60" s="431">
        <v>0</v>
      </c>
      <c r="O60" s="431">
        <v>26000</v>
      </c>
      <c r="P60" s="432">
        <f t="shared" si="2"/>
        <v>4289502</v>
      </c>
      <c r="Q60" s="431">
        <v>2300355</v>
      </c>
      <c r="R60" s="431">
        <v>978428</v>
      </c>
      <c r="S60" s="431">
        <v>0</v>
      </c>
      <c r="T60" s="431">
        <v>0</v>
      </c>
      <c r="U60" s="431">
        <v>0</v>
      </c>
      <c r="V60" s="431">
        <v>37000</v>
      </c>
      <c r="W60" s="431">
        <v>0</v>
      </c>
      <c r="X60" s="431">
        <v>183549</v>
      </c>
      <c r="Y60" s="431">
        <v>0</v>
      </c>
      <c r="Z60" s="431">
        <v>792951</v>
      </c>
      <c r="AA60" s="431">
        <v>0</v>
      </c>
      <c r="AB60" s="431">
        <v>-2781</v>
      </c>
      <c r="AC60" s="431">
        <v>466240</v>
      </c>
      <c r="AD60" s="431">
        <v>72685</v>
      </c>
      <c r="AE60" s="431">
        <v>2134938</v>
      </c>
      <c r="AF60" s="431">
        <v>18337</v>
      </c>
      <c r="AG60" s="431">
        <v>79597</v>
      </c>
      <c r="AH60" s="431">
        <v>203302</v>
      </c>
      <c r="AI60" s="431">
        <v>65895</v>
      </c>
      <c r="AJ60" s="431">
        <v>28870</v>
      </c>
      <c r="AK60" s="431">
        <v>0</v>
      </c>
      <c r="AL60" s="431">
        <v>1185498</v>
      </c>
      <c r="AM60" s="431">
        <v>34140</v>
      </c>
    </row>
    <row r="61" spans="1:39" s="155" customFormat="1" ht="12" x14ac:dyDescent="0.2">
      <c r="A61" s="168">
        <v>7</v>
      </c>
      <c r="B61" s="579">
        <v>100923</v>
      </c>
      <c r="C61" s="268" t="s">
        <v>3121</v>
      </c>
      <c r="D61" s="432">
        <f t="shared" si="8"/>
        <v>3469588</v>
      </c>
      <c r="E61" s="431">
        <v>1194856</v>
      </c>
      <c r="F61" s="431">
        <v>225695</v>
      </c>
      <c r="G61" s="431">
        <v>91079</v>
      </c>
      <c r="H61" s="431">
        <v>0</v>
      </c>
      <c r="I61" s="431">
        <v>1165661</v>
      </c>
      <c r="J61" s="431">
        <v>300000</v>
      </c>
      <c r="K61" s="431">
        <v>510800</v>
      </c>
      <c r="L61" s="436"/>
      <c r="M61" s="431">
        <v>66306</v>
      </c>
      <c r="N61" s="431">
        <v>210565</v>
      </c>
      <c r="O61" s="431">
        <v>21400</v>
      </c>
      <c r="P61" s="432">
        <f t="shared" si="2"/>
        <v>2633523</v>
      </c>
      <c r="Q61" s="431">
        <v>1386253</v>
      </c>
      <c r="R61" s="431">
        <v>852793</v>
      </c>
      <c r="S61" s="431">
        <v>0</v>
      </c>
      <c r="T61" s="431">
        <v>0</v>
      </c>
      <c r="U61" s="431">
        <v>0</v>
      </c>
      <c r="V61" s="431">
        <v>81840</v>
      </c>
      <c r="W61" s="431">
        <v>0</v>
      </c>
      <c r="X61" s="431">
        <v>43140</v>
      </c>
      <c r="Y61" s="431">
        <v>0</v>
      </c>
      <c r="Z61" s="431">
        <v>286677</v>
      </c>
      <c r="AA61" s="431">
        <v>0</v>
      </c>
      <c r="AB61" s="431">
        <v>-17180</v>
      </c>
      <c r="AC61" s="431">
        <v>576890</v>
      </c>
      <c r="AD61" s="431">
        <v>97000</v>
      </c>
      <c r="AE61" s="431">
        <v>1150774</v>
      </c>
      <c r="AF61" s="431">
        <v>0</v>
      </c>
      <c r="AG61" s="431">
        <v>22695</v>
      </c>
      <c r="AH61" s="431">
        <v>259897</v>
      </c>
      <c r="AI61" s="431">
        <v>158273</v>
      </c>
      <c r="AJ61" s="431">
        <v>16861</v>
      </c>
      <c r="AK61" s="431">
        <v>0</v>
      </c>
      <c r="AL61" s="431">
        <v>179129</v>
      </c>
      <c r="AM61" s="431">
        <v>172004</v>
      </c>
    </row>
    <row r="62" spans="1:39" s="155" customFormat="1" ht="12" x14ac:dyDescent="0.2">
      <c r="A62" s="168">
        <v>8</v>
      </c>
      <c r="B62" s="579">
        <v>92907</v>
      </c>
      <c r="C62" s="268" t="s">
        <v>3122</v>
      </c>
      <c r="D62" s="432">
        <f t="shared" si="8"/>
        <v>3454029</v>
      </c>
      <c r="E62" s="431">
        <v>1607389</v>
      </c>
      <c r="F62" s="431">
        <v>571528</v>
      </c>
      <c r="G62" s="431">
        <v>103809</v>
      </c>
      <c r="H62" s="431">
        <v>0</v>
      </c>
      <c r="I62" s="431">
        <v>916137</v>
      </c>
      <c r="J62" s="431">
        <v>400000</v>
      </c>
      <c r="K62" s="431">
        <v>526240</v>
      </c>
      <c r="L62" s="436"/>
      <c r="M62" s="431">
        <v>4263</v>
      </c>
      <c r="N62" s="431">
        <v>0</v>
      </c>
      <c r="O62" s="431">
        <v>0</v>
      </c>
      <c r="P62" s="432">
        <f t="shared" si="2"/>
        <v>2448921</v>
      </c>
      <c r="Q62" s="431">
        <v>1185579</v>
      </c>
      <c r="R62" s="431">
        <v>801913</v>
      </c>
      <c r="S62" s="431">
        <v>0</v>
      </c>
      <c r="T62" s="431">
        <v>0</v>
      </c>
      <c r="U62" s="431">
        <v>0</v>
      </c>
      <c r="V62" s="431">
        <v>0</v>
      </c>
      <c r="W62" s="431">
        <v>0</v>
      </c>
      <c r="X62" s="431">
        <v>99599</v>
      </c>
      <c r="Y62" s="431">
        <v>0</v>
      </c>
      <c r="Z62" s="431">
        <v>388604</v>
      </c>
      <c r="AA62" s="431">
        <v>0</v>
      </c>
      <c r="AB62" s="431">
        <v>-26774</v>
      </c>
      <c r="AC62" s="431">
        <v>648440</v>
      </c>
      <c r="AD62" s="431">
        <v>59861</v>
      </c>
      <c r="AE62" s="431">
        <v>886740</v>
      </c>
      <c r="AF62" s="431">
        <v>0</v>
      </c>
      <c r="AG62" s="431">
        <v>37085</v>
      </c>
      <c r="AH62" s="431">
        <v>129003</v>
      </c>
      <c r="AI62" s="431">
        <v>239554</v>
      </c>
      <c r="AJ62" s="431">
        <v>7500</v>
      </c>
      <c r="AK62" s="431">
        <v>0</v>
      </c>
      <c r="AL62" s="431">
        <v>440738</v>
      </c>
      <c r="AM62" s="431">
        <v>0</v>
      </c>
    </row>
    <row r="63" spans="1:39" s="155" customFormat="1" ht="12" x14ac:dyDescent="0.2">
      <c r="A63" s="168">
        <v>9</v>
      </c>
      <c r="B63" s="579">
        <v>101056</v>
      </c>
      <c r="C63" s="268" t="s">
        <v>1822</v>
      </c>
      <c r="D63" s="432">
        <f t="shared" si="8"/>
        <v>4487869</v>
      </c>
      <c r="E63" s="431">
        <v>1486354</v>
      </c>
      <c r="F63" s="431">
        <v>205208</v>
      </c>
      <c r="G63" s="431">
        <v>175751</v>
      </c>
      <c r="H63" s="431">
        <v>0</v>
      </c>
      <c r="I63" s="431">
        <v>1746110</v>
      </c>
      <c r="J63" s="431">
        <v>244925</v>
      </c>
      <c r="K63" s="431">
        <v>901480</v>
      </c>
      <c r="L63" s="436"/>
      <c r="M63" s="431">
        <v>23765</v>
      </c>
      <c r="N63" s="431">
        <v>0</v>
      </c>
      <c r="O63" s="431">
        <v>85235</v>
      </c>
      <c r="P63" s="432">
        <f t="shared" si="2"/>
        <v>4447676</v>
      </c>
      <c r="Q63" s="431">
        <v>2162647</v>
      </c>
      <c r="R63" s="431">
        <v>1912578</v>
      </c>
      <c r="S63" s="431">
        <v>0</v>
      </c>
      <c r="T63" s="431">
        <v>0</v>
      </c>
      <c r="U63" s="431">
        <v>0</v>
      </c>
      <c r="V63" s="431">
        <v>46604</v>
      </c>
      <c r="W63" s="431">
        <v>0</v>
      </c>
      <c r="X63" s="431">
        <v>149123</v>
      </c>
      <c r="Y63" s="431">
        <v>0</v>
      </c>
      <c r="Z63" s="431">
        <v>190387</v>
      </c>
      <c r="AA63" s="431">
        <v>0</v>
      </c>
      <c r="AB63" s="431">
        <v>-13663</v>
      </c>
      <c r="AC63" s="431">
        <v>866597</v>
      </c>
      <c r="AD63" s="431">
        <v>169251</v>
      </c>
      <c r="AE63" s="431">
        <v>1954471</v>
      </c>
      <c r="AF63" s="431">
        <v>15478</v>
      </c>
      <c r="AG63" s="431">
        <v>115122</v>
      </c>
      <c r="AH63" s="431">
        <v>376304</v>
      </c>
      <c r="AI63" s="431">
        <v>228507</v>
      </c>
      <c r="AJ63" s="431">
        <v>52601</v>
      </c>
      <c r="AK63" s="431">
        <v>0</v>
      </c>
      <c r="AL63" s="431">
        <v>517785</v>
      </c>
      <c r="AM63" s="431">
        <v>151560</v>
      </c>
    </row>
    <row r="64" spans="1:39" s="155" customFormat="1" ht="12" x14ac:dyDescent="0.2">
      <c r="A64" s="168">
        <v>10</v>
      </c>
      <c r="B64" s="579">
        <v>92989</v>
      </c>
      <c r="C64" s="268" t="s">
        <v>3123</v>
      </c>
      <c r="D64" s="432">
        <f t="shared" si="8"/>
        <v>6110067</v>
      </c>
      <c r="E64" s="431">
        <v>2026383</v>
      </c>
      <c r="F64" s="431">
        <v>465822</v>
      </c>
      <c r="G64" s="431">
        <v>218617</v>
      </c>
      <c r="H64" s="431">
        <v>0</v>
      </c>
      <c r="I64" s="431">
        <v>2622550</v>
      </c>
      <c r="J64" s="431">
        <v>198290</v>
      </c>
      <c r="K64" s="431">
        <v>918170</v>
      </c>
      <c r="L64" s="436"/>
      <c r="M64" s="431">
        <v>109687</v>
      </c>
      <c r="N64" s="431">
        <v>227987</v>
      </c>
      <c r="O64" s="431">
        <v>7000</v>
      </c>
      <c r="P64" s="432">
        <f t="shared" si="2"/>
        <v>4595021</v>
      </c>
      <c r="Q64" s="431">
        <v>2972041</v>
      </c>
      <c r="R64" s="431">
        <v>706879</v>
      </c>
      <c r="S64" s="431">
        <v>0</v>
      </c>
      <c r="T64" s="431">
        <v>0</v>
      </c>
      <c r="U64" s="431">
        <v>0</v>
      </c>
      <c r="V64" s="431">
        <v>0</v>
      </c>
      <c r="W64" s="431">
        <v>280750</v>
      </c>
      <c r="X64" s="431">
        <v>232104</v>
      </c>
      <c r="Y64" s="431">
        <v>9876</v>
      </c>
      <c r="Z64" s="431">
        <v>393371</v>
      </c>
      <c r="AA64" s="431">
        <v>0</v>
      </c>
      <c r="AB64" s="431">
        <v>0</v>
      </c>
      <c r="AC64" s="431">
        <v>981602</v>
      </c>
      <c r="AD64" s="431">
        <v>12380</v>
      </c>
      <c r="AE64" s="431">
        <v>2272362</v>
      </c>
      <c r="AF64" s="431">
        <v>0</v>
      </c>
      <c r="AG64" s="431">
        <v>66831</v>
      </c>
      <c r="AH64" s="431">
        <v>573404</v>
      </c>
      <c r="AI64" s="431">
        <v>95373</v>
      </c>
      <c r="AJ64" s="431">
        <v>113504</v>
      </c>
      <c r="AK64" s="431">
        <v>0</v>
      </c>
      <c r="AL64" s="431">
        <v>479565</v>
      </c>
      <c r="AM64" s="431">
        <v>0</v>
      </c>
    </row>
    <row r="65" spans="1:39" s="155" customFormat="1" ht="12" x14ac:dyDescent="0.2">
      <c r="A65" s="168">
        <v>11</v>
      </c>
      <c r="B65" s="579">
        <v>101243</v>
      </c>
      <c r="C65" s="268" t="s">
        <v>3124</v>
      </c>
      <c r="D65" s="432">
        <f t="shared" si="8"/>
        <v>2822531</v>
      </c>
      <c r="E65" s="431">
        <v>592306</v>
      </c>
      <c r="F65" s="431">
        <v>121589</v>
      </c>
      <c r="G65" s="431">
        <v>212514</v>
      </c>
      <c r="H65" s="431">
        <v>0</v>
      </c>
      <c r="I65" s="431">
        <v>677726</v>
      </c>
      <c r="J65" s="431">
        <v>546736</v>
      </c>
      <c r="K65" s="431">
        <v>989420</v>
      </c>
      <c r="L65" s="436"/>
      <c r="M65" s="431">
        <v>16343</v>
      </c>
      <c r="N65" s="431">
        <v>0</v>
      </c>
      <c r="O65" s="431">
        <v>0</v>
      </c>
      <c r="P65" s="432">
        <f t="shared" si="2"/>
        <v>2293686</v>
      </c>
      <c r="Q65" s="431">
        <v>835093</v>
      </c>
      <c r="R65" s="431">
        <v>557893</v>
      </c>
      <c r="S65" s="431">
        <v>0</v>
      </c>
      <c r="T65" s="431">
        <v>0</v>
      </c>
      <c r="U65" s="431">
        <v>0</v>
      </c>
      <c r="V65" s="431">
        <v>0</v>
      </c>
      <c r="W65" s="431">
        <v>0</v>
      </c>
      <c r="X65" s="431">
        <v>141680</v>
      </c>
      <c r="Y65" s="431">
        <v>2340</v>
      </c>
      <c r="Z65" s="431">
        <v>756680</v>
      </c>
      <c r="AA65" s="431">
        <v>0</v>
      </c>
      <c r="AB65" s="431">
        <v>0</v>
      </c>
      <c r="AC65" s="431">
        <v>635703</v>
      </c>
      <c r="AD65" s="431">
        <v>0</v>
      </c>
      <c r="AE65" s="431">
        <v>626372</v>
      </c>
      <c r="AF65" s="431">
        <v>2340</v>
      </c>
      <c r="AG65" s="431">
        <v>467089</v>
      </c>
      <c r="AH65" s="431">
        <v>171069</v>
      </c>
      <c r="AI65" s="431">
        <v>47593</v>
      </c>
      <c r="AJ65" s="431">
        <v>15000</v>
      </c>
      <c r="AK65" s="431">
        <v>0</v>
      </c>
      <c r="AL65" s="431">
        <v>310974</v>
      </c>
      <c r="AM65" s="431">
        <v>17546</v>
      </c>
    </row>
    <row r="66" spans="1:39" s="155" customFormat="1" ht="12" x14ac:dyDescent="0.2">
      <c r="A66" s="168">
        <v>12</v>
      </c>
      <c r="B66" s="579">
        <v>93021</v>
      </c>
      <c r="C66" s="268" t="s">
        <v>3125</v>
      </c>
      <c r="D66" s="432">
        <f t="shared" si="8"/>
        <v>3465721</v>
      </c>
      <c r="E66" s="431">
        <v>1723113</v>
      </c>
      <c r="F66" s="431">
        <v>764279</v>
      </c>
      <c r="G66" s="431">
        <v>69317</v>
      </c>
      <c r="H66" s="431">
        <v>0</v>
      </c>
      <c r="I66" s="431">
        <v>1064020</v>
      </c>
      <c r="J66" s="431">
        <v>0</v>
      </c>
      <c r="K66" s="431">
        <v>264670</v>
      </c>
      <c r="L66" s="436"/>
      <c r="M66" s="431">
        <v>122333</v>
      </c>
      <c r="N66" s="431">
        <v>291585</v>
      </c>
      <c r="O66" s="431">
        <v>0</v>
      </c>
      <c r="P66" s="432">
        <f t="shared" si="2"/>
        <v>2709444</v>
      </c>
      <c r="Q66" s="431">
        <v>1290446</v>
      </c>
      <c r="R66" s="431">
        <v>492318</v>
      </c>
      <c r="S66" s="431">
        <v>0</v>
      </c>
      <c r="T66" s="431">
        <v>0</v>
      </c>
      <c r="U66" s="431">
        <v>0</v>
      </c>
      <c r="V66" s="431">
        <v>0</v>
      </c>
      <c r="W66" s="431">
        <v>351913</v>
      </c>
      <c r="X66" s="431">
        <v>171669</v>
      </c>
      <c r="Y66" s="431">
        <v>1511</v>
      </c>
      <c r="Z66" s="431">
        <v>401587</v>
      </c>
      <c r="AA66" s="431">
        <v>0</v>
      </c>
      <c r="AB66" s="431">
        <v>0</v>
      </c>
      <c r="AC66" s="431">
        <v>657523</v>
      </c>
      <c r="AD66" s="431">
        <v>160806</v>
      </c>
      <c r="AE66" s="431">
        <v>889252</v>
      </c>
      <c r="AF66" s="431">
        <v>0</v>
      </c>
      <c r="AG66" s="431">
        <v>103211</v>
      </c>
      <c r="AH66" s="431">
        <v>274135</v>
      </c>
      <c r="AI66" s="431">
        <v>136597</v>
      </c>
      <c r="AJ66" s="431">
        <v>62496</v>
      </c>
      <c r="AK66" s="431">
        <v>0</v>
      </c>
      <c r="AL66" s="431">
        <v>425424</v>
      </c>
      <c r="AM66" s="431">
        <v>0</v>
      </c>
    </row>
    <row r="67" spans="1:39" s="155" customFormat="1" ht="12" x14ac:dyDescent="0.2">
      <c r="A67" s="168">
        <v>13</v>
      </c>
      <c r="B67" s="579">
        <v>179971</v>
      </c>
      <c r="C67" s="268" t="s">
        <v>3126</v>
      </c>
      <c r="D67" s="432">
        <f t="shared" si="8"/>
        <v>2768328</v>
      </c>
      <c r="E67" s="431">
        <v>588731</v>
      </c>
      <c r="F67" s="431">
        <v>73466</v>
      </c>
      <c r="G67" s="431">
        <v>209578</v>
      </c>
      <c r="H67" s="431">
        <v>0</v>
      </c>
      <c r="I67" s="431">
        <v>574679</v>
      </c>
      <c r="J67" s="431">
        <v>320000</v>
      </c>
      <c r="K67" s="431">
        <v>1012310</v>
      </c>
      <c r="L67" s="436"/>
      <c r="M67" s="431">
        <v>51254</v>
      </c>
      <c r="N67" s="431">
        <v>178951</v>
      </c>
      <c r="O67" s="431">
        <v>42403</v>
      </c>
      <c r="P67" s="432">
        <f t="shared" si="2"/>
        <v>2640727</v>
      </c>
      <c r="Q67" s="431">
        <v>867478</v>
      </c>
      <c r="R67" s="431">
        <v>971990</v>
      </c>
      <c r="S67" s="431">
        <v>0</v>
      </c>
      <c r="T67" s="431">
        <v>0</v>
      </c>
      <c r="U67" s="431">
        <v>0</v>
      </c>
      <c r="V67" s="431">
        <v>0</v>
      </c>
      <c r="W67" s="431">
        <v>188370</v>
      </c>
      <c r="X67" s="431">
        <v>67914</v>
      </c>
      <c r="Y67" s="431">
        <v>1800</v>
      </c>
      <c r="Z67" s="431">
        <v>546110</v>
      </c>
      <c r="AA67" s="431">
        <v>0</v>
      </c>
      <c r="AB67" s="431">
        <v>-2935</v>
      </c>
      <c r="AC67" s="431">
        <v>599628</v>
      </c>
      <c r="AD67" s="431">
        <v>4381</v>
      </c>
      <c r="AE67" s="431">
        <v>723842</v>
      </c>
      <c r="AF67" s="431">
        <v>0</v>
      </c>
      <c r="AG67" s="431">
        <v>31353</v>
      </c>
      <c r="AH67" s="431">
        <v>103884</v>
      </c>
      <c r="AI67" s="431">
        <v>631771</v>
      </c>
      <c r="AJ67" s="431">
        <v>232068</v>
      </c>
      <c r="AK67" s="431">
        <v>0</v>
      </c>
      <c r="AL67" s="431">
        <v>313800</v>
      </c>
      <c r="AM67" s="431">
        <v>0</v>
      </c>
    </row>
    <row r="68" spans="1:39" s="155" customFormat="1" ht="12" x14ac:dyDescent="0.2">
      <c r="A68" s="168">
        <v>14</v>
      </c>
      <c r="B68" s="579">
        <v>100709</v>
      </c>
      <c r="C68" s="268" t="s">
        <v>3127</v>
      </c>
      <c r="D68" s="432">
        <f t="shared" si="8"/>
        <v>1802988</v>
      </c>
      <c r="E68" s="431">
        <v>753698</v>
      </c>
      <c r="F68" s="431">
        <v>114084</v>
      </c>
      <c r="G68" s="431">
        <v>172363</v>
      </c>
      <c r="H68" s="431">
        <v>0</v>
      </c>
      <c r="I68" s="431">
        <v>94000</v>
      </c>
      <c r="J68" s="431">
        <v>39467</v>
      </c>
      <c r="K68" s="431">
        <v>900110</v>
      </c>
      <c r="L68" s="436"/>
      <c r="M68" s="431">
        <v>5713</v>
      </c>
      <c r="N68" s="431">
        <v>0</v>
      </c>
      <c r="O68" s="431">
        <v>10000</v>
      </c>
      <c r="P68" s="432">
        <f t="shared" si="2"/>
        <v>1495864</v>
      </c>
      <c r="Q68" s="431">
        <v>323476</v>
      </c>
      <c r="R68" s="431">
        <v>629377</v>
      </c>
      <c r="S68" s="431">
        <v>0</v>
      </c>
      <c r="T68" s="431">
        <v>0</v>
      </c>
      <c r="U68" s="431">
        <v>0</v>
      </c>
      <c r="V68" s="431">
        <v>0</v>
      </c>
      <c r="W68" s="431">
        <v>0</v>
      </c>
      <c r="X68" s="431">
        <v>82331</v>
      </c>
      <c r="Y68" s="431">
        <v>57000</v>
      </c>
      <c r="Z68" s="431">
        <v>403680</v>
      </c>
      <c r="AA68" s="431">
        <v>0</v>
      </c>
      <c r="AB68" s="431">
        <v>0</v>
      </c>
      <c r="AC68" s="431">
        <v>763602</v>
      </c>
      <c r="AD68" s="431">
        <v>10753</v>
      </c>
      <c r="AE68" s="431">
        <v>40376</v>
      </c>
      <c r="AF68" s="431">
        <v>0</v>
      </c>
      <c r="AG68" s="431">
        <v>156850</v>
      </c>
      <c r="AH68" s="431">
        <v>126387</v>
      </c>
      <c r="AI68" s="431">
        <v>62494</v>
      </c>
      <c r="AJ68" s="431">
        <v>9860</v>
      </c>
      <c r="AK68" s="431">
        <v>0</v>
      </c>
      <c r="AL68" s="431">
        <v>300498</v>
      </c>
      <c r="AM68" s="431">
        <v>25044</v>
      </c>
    </row>
    <row r="69" spans="1:39" s="155" customFormat="1" ht="12" x14ac:dyDescent="0.2">
      <c r="A69" s="168">
        <v>15</v>
      </c>
      <c r="B69" s="579">
        <v>93101</v>
      </c>
      <c r="C69" s="268" t="s">
        <v>3128</v>
      </c>
      <c r="D69" s="432">
        <f t="shared" si="8"/>
        <v>4526532</v>
      </c>
      <c r="E69" s="431">
        <v>1518111</v>
      </c>
      <c r="F69" s="431">
        <v>464532</v>
      </c>
      <c r="G69" s="431">
        <v>120821</v>
      </c>
      <c r="H69" s="431">
        <v>0</v>
      </c>
      <c r="I69" s="431">
        <v>1392461</v>
      </c>
      <c r="J69" s="431">
        <v>400000</v>
      </c>
      <c r="K69" s="431">
        <v>646670</v>
      </c>
      <c r="L69" s="436"/>
      <c r="M69" s="431">
        <v>334253</v>
      </c>
      <c r="N69" s="431">
        <v>168739</v>
      </c>
      <c r="O69" s="431">
        <v>66298</v>
      </c>
      <c r="P69" s="432">
        <f t="shared" si="2"/>
        <v>4334305</v>
      </c>
      <c r="Q69" s="431">
        <v>1768564</v>
      </c>
      <c r="R69" s="431">
        <v>1433145</v>
      </c>
      <c r="S69" s="431">
        <v>0</v>
      </c>
      <c r="T69" s="431">
        <v>0</v>
      </c>
      <c r="U69" s="431">
        <v>0</v>
      </c>
      <c r="V69" s="431">
        <v>0</v>
      </c>
      <c r="W69" s="431">
        <v>0</v>
      </c>
      <c r="X69" s="431">
        <v>210523</v>
      </c>
      <c r="Y69" s="431">
        <v>30000</v>
      </c>
      <c r="Z69" s="431">
        <v>892073</v>
      </c>
      <c r="AA69" s="431">
        <v>0</v>
      </c>
      <c r="AB69" s="431">
        <v>0</v>
      </c>
      <c r="AC69" s="431">
        <v>859850</v>
      </c>
      <c r="AD69" s="431">
        <v>115898</v>
      </c>
      <c r="AE69" s="431">
        <v>1482625</v>
      </c>
      <c r="AF69" s="431">
        <v>0</v>
      </c>
      <c r="AG69" s="431">
        <v>85825</v>
      </c>
      <c r="AH69" s="431">
        <v>324631</v>
      </c>
      <c r="AI69" s="431">
        <v>204101</v>
      </c>
      <c r="AJ69" s="431">
        <v>64523</v>
      </c>
      <c r="AK69" s="431">
        <v>0</v>
      </c>
      <c r="AL69" s="431">
        <v>1188102</v>
      </c>
      <c r="AM69" s="431">
        <v>8750</v>
      </c>
    </row>
    <row r="70" spans="1:39" s="155" customFormat="1" ht="12" x14ac:dyDescent="0.2">
      <c r="A70" s="168">
        <v>16</v>
      </c>
      <c r="B70" s="579">
        <v>93156</v>
      </c>
      <c r="C70" s="268" t="s">
        <v>3129</v>
      </c>
      <c r="D70" s="432">
        <f t="shared" si="8"/>
        <v>6401992</v>
      </c>
      <c r="E70" s="431">
        <v>1727869</v>
      </c>
      <c r="F70" s="431">
        <v>841374</v>
      </c>
      <c r="G70" s="431">
        <v>64637</v>
      </c>
      <c r="H70" s="431">
        <v>0</v>
      </c>
      <c r="I70" s="431">
        <v>1203109</v>
      </c>
      <c r="J70" s="431">
        <v>300000</v>
      </c>
      <c r="K70" s="431">
        <v>525310</v>
      </c>
      <c r="L70" s="436"/>
      <c r="M70" s="431">
        <v>683461</v>
      </c>
      <c r="N70" s="431">
        <v>1875930</v>
      </c>
      <c r="O70" s="431">
        <v>86313</v>
      </c>
      <c r="P70" s="432">
        <f t="shared" si="2"/>
        <v>3952756</v>
      </c>
      <c r="Q70" s="431">
        <v>1551929</v>
      </c>
      <c r="R70" s="431">
        <v>1161712</v>
      </c>
      <c r="S70" s="431">
        <v>53867</v>
      </c>
      <c r="T70" s="431">
        <v>0</v>
      </c>
      <c r="U70" s="431">
        <v>0</v>
      </c>
      <c r="V70" s="431">
        <v>0</v>
      </c>
      <c r="W70" s="431">
        <v>331362</v>
      </c>
      <c r="X70" s="431">
        <v>118928</v>
      </c>
      <c r="Y70" s="431">
        <v>9997</v>
      </c>
      <c r="Z70" s="431">
        <v>633624</v>
      </c>
      <c r="AA70" s="431">
        <v>91337</v>
      </c>
      <c r="AB70" s="431">
        <v>0</v>
      </c>
      <c r="AC70" s="431">
        <v>697435</v>
      </c>
      <c r="AD70" s="431">
        <v>13123</v>
      </c>
      <c r="AE70" s="431">
        <v>1245536</v>
      </c>
      <c r="AF70" s="431">
        <v>26992</v>
      </c>
      <c r="AG70" s="431">
        <v>116611</v>
      </c>
      <c r="AH70" s="431">
        <v>169014</v>
      </c>
      <c r="AI70" s="431">
        <v>245323</v>
      </c>
      <c r="AJ70" s="431">
        <v>494774</v>
      </c>
      <c r="AK70" s="431">
        <v>0</v>
      </c>
      <c r="AL70" s="431">
        <v>892893</v>
      </c>
      <c r="AM70" s="431">
        <v>51055</v>
      </c>
    </row>
    <row r="71" spans="1:39" s="155" customFormat="1" ht="12" x14ac:dyDescent="0.2">
      <c r="A71" s="168">
        <v>17</v>
      </c>
      <c r="B71" s="579">
        <v>93209</v>
      </c>
      <c r="C71" s="268" t="s">
        <v>3130</v>
      </c>
      <c r="D71" s="432">
        <f t="shared" si="8"/>
        <v>3563342</v>
      </c>
      <c r="E71" s="431">
        <v>1256300</v>
      </c>
      <c r="F71" s="431">
        <v>311558</v>
      </c>
      <c r="G71" s="431">
        <v>129270</v>
      </c>
      <c r="H71" s="431">
        <v>0</v>
      </c>
      <c r="I71" s="431">
        <v>1007000</v>
      </c>
      <c r="J71" s="431">
        <v>0</v>
      </c>
      <c r="K71" s="431">
        <v>675250</v>
      </c>
      <c r="L71" s="436"/>
      <c r="M71" s="431">
        <v>485421</v>
      </c>
      <c r="N71" s="431">
        <v>129371</v>
      </c>
      <c r="O71" s="431">
        <v>10000</v>
      </c>
      <c r="P71" s="432">
        <f t="shared" si="2"/>
        <v>3410965</v>
      </c>
      <c r="Q71" s="431">
        <v>1232913</v>
      </c>
      <c r="R71" s="431">
        <v>682208</v>
      </c>
      <c r="S71" s="431">
        <v>0</v>
      </c>
      <c r="T71" s="431">
        <v>0</v>
      </c>
      <c r="U71" s="431">
        <v>0</v>
      </c>
      <c r="V71" s="431">
        <v>0</v>
      </c>
      <c r="W71" s="431">
        <v>0</v>
      </c>
      <c r="X71" s="431">
        <v>188814</v>
      </c>
      <c r="Y71" s="431">
        <v>3030</v>
      </c>
      <c r="Z71" s="431">
        <v>1304000</v>
      </c>
      <c r="AA71" s="431">
        <v>0</v>
      </c>
      <c r="AB71" s="431">
        <v>0</v>
      </c>
      <c r="AC71" s="431">
        <v>672356</v>
      </c>
      <c r="AD71" s="431">
        <v>4982</v>
      </c>
      <c r="AE71" s="431">
        <v>833696</v>
      </c>
      <c r="AF71" s="431">
        <v>5116</v>
      </c>
      <c r="AG71" s="431">
        <v>193472</v>
      </c>
      <c r="AH71" s="431">
        <v>294705</v>
      </c>
      <c r="AI71" s="431">
        <v>138211</v>
      </c>
      <c r="AJ71" s="431">
        <v>94845</v>
      </c>
      <c r="AK71" s="431">
        <v>0</v>
      </c>
      <c r="AL71" s="431">
        <v>1157272</v>
      </c>
      <c r="AM71" s="431">
        <v>16310</v>
      </c>
    </row>
    <row r="72" spans="1:39" s="155" customFormat="1" ht="12" x14ac:dyDescent="0.2">
      <c r="A72" s="168">
        <v>18</v>
      </c>
      <c r="B72" s="579">
        <v>93236</v>
      </c>
      <c r="C72" s="268" t="s">
        <v>3131</v>
      </c>
      <c r="D72" s="432">
        <f t="shared" si="8"/>
        <v>3117396</v>
      </c>
      <c r="E72" s="431">
        <v>1067342</v>
      </c>
      <c r="F72" s="431">
        <v>315520</v>
      </c>
      <c r="G72" s="431">
        <v>142005</v>
      </c>
      <c r="H72" s="431">
        <v>0</v>
      </c>
      <c r="I72" s="431">
        <v>743580</v>
      </c>
      <c r="J72" s="431">
        <v>0</v>
      </c>
      <c r="K72" s="431">
        <v>752330</v>
      </c>
      <c r="L72" s="436"/>
      <c r="M72" s="431">
        <v>382070</v>
      </c>
      <c r="N72" s="431">
        <v>127188</v>
      </c>
      <c r="O72" s="431">
        <v>44886</v>
      </c>
      <c r="P72" s="432">
        <f t="shared" si="2"/>
        <v>2625959</v>
      </c>
      <c r="Q72" s="431">
        <v>896016</v>
      </c>
      <c r="R72" s="431">
        <v>568116</v>
      </c>
      <c r="S72" s="431">
        <v>4767</v>
      </c>
      <c r="T72" s="431">
        <v>0</v>
      </c>
      <c r="U72" s="431">
        <v>0</v>
      </c>
      <c r="V72" s="431">
        <v>342180</v>
      </c>
      <c r="W72" s="431">
        <v>185869</v>
      </c>
      <c r="X72" s="431">
        <v>148034</v>
      </c>
      <c r="Y72" s="431">
        <v>0</v>
      </c>
      <c r="Z72" s="431">
        <v>482271</v>
      </c>
      <c r="AA72" s="431">
        <v>42857</v>
      </c>
      <c r="AB72" s="431">
        <v>-44151</v>
      </c>
      <c r="AC72" s="431">
        <v>601576</v>
      </c>
      <c r="AD72" s="431">
        <v>0</v>
      </c>
      <c r="AE72" s="431">
        <v>686105</v>
      </c>
      <c r="AF72" s="431">
        <v>8392</v>
      </c>
      <c r="AG72" s="431">
        <v>54273</v>
      </c>
      <c r="AH72" s="431">
        <v>192195</v>
      </c>
      <c r="AI72" s="431">
        <v>52271</v>
      </c>
      <c r="AJ72" s="431">
        <v>37345</v>
      </c>
      <c r="AK72" s="431">
        <v>0</v>
      </c>
      <c r="AL72" s="431">
        <v>991802</v>
      </c>
      <c r="AM72" s="431">
        <v>2000</v>
      </c>
    </row>
    <row r="73" spans="1:39" s="155" customFormat="1" ht="12" x14ac:dyDescent="0.2">
      <c r="A73" s="168">
        <v>19</v>
      </c>
      <c r="B73" s="579">
        <v>102240</v>
      </c>
      <c r="C73" s="268" t="s">
        <v>3132</v>
      </c>
      <c r="D73" s="432">
        <f t="shared" si="8"/>
        <v>5575526</v>
      </c>
      <c r="E73" s="431">
        <v>1469841</v>
      </c>
      <c r="F73" s="431">
        <v>389912</v>
      </c>
      <c r="G73" s="431">
        <v>183496</v>
      </c>
      <c r="H73" s="431">
        <v>0</v>
      </c>
      <c r="I73" s="431">
        <v>1997771</v>
      </c>
      <c r="J73" s="431">
        <v>320000</v>
      </c>
      <c r="K73" s="431">
        <v>1001410</v>
      </c>
      <c r="L73" s="436"/>
      <c r="M73" s="431">
        <v>241252</v>
      </c>
      <c r="N73" s="431">
        <v>543627</v>
      </c>
      <c r="O73" s="431">
        <v>1625</v>
      </c>
      <c r="P73" s="432">
        <f t="shared" si="2"/>
        <v>4990342</v>
      </c>
      <c r="Q73" s="431">
        <v>2310789</v>
      </c>
      <c r="R73" s="431">
        <v>1076043</v>
      </c>
      <c r="S73" s="431">
        <v>0</v>
      </c>
      <c r="T73" s="431">
        <v>0</v>
      </c>
      <c r="U73" s="431">
        <v>30000</v>
      </c>
      <c r="V73" s="431">
        <v>0</v>
      </c>
      <c r="W73" s="431">
        <v>0</v>
      </c>
      <c r="X73" s="431">
        <v>153714</v>
      </c>
      <c r="Y73" s="431">
        <v>0</v>
      </c>
      <c r="Z73" s="431">
        <v>1419796</v>
      </c>
      <c r="AA73" s="431">
        <v>0</v>
      </c>
      <c r="AB73" s="431">
        <v>0</v>
      </c>
      <c r="AC73" s="431">
        <v>904185</v>
      </c>
      <c r="AD73" s="431">
        <v>0</v>
      </c>
      <c r="AE73" s="431">
        <v>1730703</v>
      </c>
      <c r="AF73" s="431">
        <v>39611</v>
      </c>
      <c r="AG73" s="431">
        <v>219292</v>
      </c>
      <c r="AH73" s="431">
        <v>431656</v>
      </c>
      <c r="AI73" s="431">
        <v>237299</v>
      </c>
      <c r="AJ73" s="431">
        <v>0</v>
      </c>
      <c r="AK73" s="431">
        <v>0</v>
      </c>
      <c r="AL73" s="431">
        <v>1049361</v>
      </c>
      <c r="AM73" s="431">
        <v>378235</v>
      </c>
    </row>
    <row r="74" spans="1:39" s="155" customFormat="1" ht="12" x14ac:dyDescent="0.2">
      <c r="A74" s="168">
        <v>20</v>
      </c>
      <c r="B74" s="579">
        <v>102641</v>
      </c>
      <c r="C74" s="268" t="s">
        <v>3133</v>
      </c>
      <c r="D74" s="432">
        <f t="shared" si="8"/>
        <v>2902926</v>
      </c>
      <c r="E74" s="431">
        <v>876964</v>
      </c>
      <c r="F74" s="431">
        <v>292919</v>
      </c>
      <c r="G74" s="431">
        <v>144941</v>
      </c>
      <c r="H74" s="431">
        <v>0</v>
      </c>
      <c r="I74" s="431">
        <v>175765</v>
      </c>
      <c r="J74" s="431">
        <v>50000</v>
      </c>
      <c r="K74" s="431">
        <v>737500</v>
      </c>
      <c r="L74" s="436"/>
      <c r="M74" s="431">
        <v>209452</v>
      </c>
      <c r="N74" s="431">
        <v>819824</v>
      </c>
      <c r="O74" s="431">
        <v>33421</v>
      </c>
      <c r="P74" s="432">
        <f t="shared" si="2"/>
        <v>2656323</v>
      </c>
      <c r="Q74" s="431">
        <v>460696</v>
      </c>
      <c r="R74" s="431">
        <v>481702</v>
      </c>
      <c r="S74" s="431">
        <v>0</v>
      </c>
      <c r="T74" s="431">
        <v>0</v>
      </c>
      <c r="U74" s="431">
        <v>0</v>
      </c>
      <c r="V74" s="431">
        <v>0</v>
      </c>
      <c r="W74" s="431">
        <v>1511090</v>
      </c>
      <c r="X74" s="431">
        <v>18995</v>
      </c>
      <c r="Y74" s="431">
        <v>0</v>
      </c>
      <c r="Z74" s="431">
        <v>183840</v>
      </c>
      <c r="AA74" s="431">
        <v>0</v>
      </c>
      <c r="AB74" s="431">
        <v>0</v>
      </c>
      <c r="AC74" s="431">
        <v>493707</v>
      </c>
      <c r="AD74" s="431">
        <v>0</v>
      </c>
      <c r="AE74" s="431">
        <v>174243</v>
      </c>
      <c r="AF74" s="431">
        <v>0</v>
      </c>
      <c r="AG74" s="431">
        <v>394271</v>
      </c>
      <c r="AH74" s="431">
        <v>83125</v>
      </c>
      <c r="AI74" s="431">
        <v>685428</v>
      </c>
      <c r="AJ74" s="431">
        <v>28353</v>
      </c>
      <c r="AK74" s="431">
        <v>0</v>
      </c>
      <c r="AL74" s="431">
        <v>679316</v>
      </c>
      <c r="AM74" s="431">
        <v>117880</v>
      </c>
    </row>
    <row r="75" spans="1:39" s="155" customFormat="1" ht="12" x14ac:dyDescent="0.2">
      <c r="A75" s="168">
        <v>21</v>
      </c>
      <c r="B75" s="579">
        <v>102703</v>
      </c>
      <c r="C75" s="268" t="s">
        <v>3134</v>
      </c>
      <c r="D75" s="432">
        <f t="shared" si="8"/>
        <v>5463672</v>
      </c>
      <c r="E75" s="431">
        <v>1380480</v>
      </c>
      <c r="F75" s="431">
        <v>675151</v>
      </c>
      <c r="G75" s="431">
        <v>100874</v>
      </c>
      <c r="H75" s="431">
        <v>0</v>
      </c>
      <c r="I75" s="431">
        <v>1749977</v>
      </c>
      <c r="J75" s="431">
        <v>200000</v>
      </c>
      <c r="K75" s="431">
        <v>625230</v>
      </c>
      <c r="L75" s="436"/>
      <c r="M75" s="431">
        <v>1473950</v>
      </c>
      <c r="N75" s="431">
        <v>0</v>
      </c>
      <c r="O75" s="431">
        <v>34035</v>
      </c>
      <c r="P75" s="432">
        <f t="shared" si="2"/>
        <v>5221676</v>
      </c>
      <c r="Q75" s="431">
        <v>1966590</v>
      </c>
      <c r="R75" s="431">
        <v>1244509</v>
      </c>
      <c r="S75" s="431">
        <v>0</v>
      </c>
      <c r="T75" s="431">
        <v>0</v>
      </c>
      <c r="U75" s="431">
        <v>0</v>
      </c>
      <c r="V75" s="431">
        <v>0</v>
      </c>
      <c r="W75" s="431">
        <v>0</v>
      </c>
      <c r="X75" s="431">
        <v>264732</v>
      </c>
      <c r="Y75" s="431">
        <v>20580</v>
      </c>
      <c r="Z75" s="431">
        <v>1725265</v>
      </c>
      <c r="AA75" s="431">
        <v>0</v>
      </c>
      <c r="AB75" s="431">
        <v>0</v>
      </c>
      <c r="AC75" s="431">
        <v>863434</v>
      </c>
      <c r="AD75" s="431">
        <v>46000</v>
      </c>
      <c r="AE75" s="431">
        <v>1722816</v>
      </c>
      <c r="AF75" s="431">
        <v>3016</v>
      </c>
      <c r="AG75" s="431">
        <v>106659</v>
      </c>
      <c r="AH75" s="431">
        <v>313202</v>
      </c>
      <c r="AI75" s="431">
        <v>317621</v>
      </c>
      <c r="AJ75" s="431">
        <v>9880</v>
      </c>
      <c r="AK75" s="431">
        <v>0</v>
      </c>
      <c r="AL75" s="431">
        <v>1839048</v>
      </c>
      <c r="AM75" s="431">
        <v>0</v>
      </c>
    </row>
    <row r="76" spans="1:39" s="155" customFormat="1" ht="12" x14ac:dyDescent="0.2">
      <c r="A76" s="168">
        <v>22</v>
      </c>
      <c r="B76" s="579">
        <v>93575</v>
      </c>
      <c r="C76" s="268" t="s">
        <v>3135</v>
      </c>
      <c r="D76" s="432">
        <f t="shared" si="8"/>
        <v>11273340</v>
      </c>
      <c r="E76" s="431">
        <v>4270538</v>
      </c>
      <c r="F76" s="431">
        <v>519341</v>
      </c>
      <c r="G76" s="431">
        <v>271511</v>
      </c>
      <c r="H76" s="431">
        <v>0</v>
      </c>
      <c r="I76" s="431">
        <v>2363411</v>
      </c>
      <c r="J76" s="431">
        <v>549958</v>
      </c>
      <c r="K76" s="431">
        <v>1208660</v>
      </c>
      <c r="L76" s="436"/>
      <c r="M76" s="431">
        <v>2714247</v>
      </c>
      <c r="N76" s="431">
        <v>158026</v>
      </c>
      <c r="O76" s="431">
        <v>8500</v>
      </c>
      <c r="P76" s="432">
        <f t="shared" si="2"/>
        <v>9938201</v>
      </c>
      <c r="Q76" s="431">
        <v>2758544</v>
      </c>
      <c r="R76" s="431">
        <v>2887867</v>
      </c>
      <c r="S76" s="431">
        <v>0</v>
      </c>
      <c r="T76" s="431">
        <v>0</v>
      </c>
      <c r="U76" s="431">
        <v>0</v>
      </c>
      <c r="V76" s="431">
        <v>0</v>
      </c>
      <c r="W76" s="431">
        <v>241080</v>
      </c>
      <c r="X76" s="431">
        <v>306166</v>
      </c>
      <c r="Y76" s="431">
        <v>1728</v>
      </c>
      <c r="Z76" s="431">
        <v>3742816</v>
      </c>
      <c r="AA76" s="431">
        <v>0</v>
      </c>
      <c r="AB76" s="431">
        <v>0</v>
      </c>
      <c r="AC76" s="431">
        <v>1485299</v>
      </c>
      <c r="AD76" s="431">
        <v>402992</v>
      </c>
      <c r="AE76" s="431">
        <v>2068594</v>
      </c>
      <c r="AF76" s="431">
        <v>47834</v>
      </c>
      <c r="AG76" s="431">
        <v>587597</v>
      </c>
      <c r="AH76" s="431">
        <v>654362</v>
      </c>
      <c r="AI76" s="431">
        <v>421810</v>
      </c>
      <c r="AJ76" s="431">
        <v>303917</v>
      </c>
      <c r="AK76" s="431">
        <v>0</v>
      </c>
      <c r="AL76" s="431">
        <v>3965796</v>
      </c>
      <c r="AM76" s="431">
        <v>0</v>
      </c>
    </row>
    <row r="77" spans="1:39" s="155" customFormat="1" ht="12" x14ac:dyDescent="0.2">
      <c r="A77" s="168">
        <v>23</v>
      </c>
      <c r="B77" s="579">
        <v>179800</v>
      </c>
      <c r="C77" s="268" t="s">
        <v>3136</v>
      </c>
      <c r="D77" s="432">
        <f t="shared" si="8"/>
        <v>3133100</v>
      </c>
      <c r="E77" s="431">
        <v>476221</v>
      </c>
      <c r="F77" s="431">
        <v>57344</v>
      </c>
      <c r="G77" s="431">
        <v>194888</v>
      </c>
      <c r="H77" s="431">
        <v>0</v>
      </c>
      <c r="I77" s="431">
        <v>732133</v>
      </c>
      <c r="J77" s="431">
        <v>0</v>
      </c>
      <c r="K77" s="431">
        <v>969510</v>
      </c>
      <c r="L77" s="436"/>
      <c r="M77" s="431">
        <v>938838</v>
      </c>
      <c r="N77" s="431">
        <v>0</v>
      </c>
      <c r="O77" s="431">
        <v>16398</v>
      </c>
      <c r="P77" s="432">
        <f t="shared" si="2"/>
        <v>2855739</v>
      </c>
      <c r="Q77" s="431">
        <v>1041706</v>
      </c>
      <c r="R77" s="431">
        <v>484077</v>
      </c>
      <c r="S77" s="431">
        <v>0</v>
      </c>
      <c r="T77" s="431">
        <v>0</v>
      </c>
      <c r="U77" s="431">
        <v>0</v>
      </c>
      <c r="V77" s="431">
        <v>0</v>
      </c>
      <c r="W77" s="431">
        <v>0</v>
      </c>
      <c r="X77" s="431">
        <v>63267</v>
      </c>
      <c r="Y77" s="431">
        <v>5712</v>
      </c>
      <c r="Z77" s="431">
        <v>1264795</v>
      </c>
      <c r="AA77" s="431">
        <v>0</v>
      </c>
      <c r="AB77" s="431">
        <v>-3818</v>
      </c>
      <c r="AC77" s="431">
        <v>632132</v>
      </c>
      <c r="AD77" s="431">
        <v>41071</v>
      </c>
      <c r="AE77" s="431">
        <v>1148699</v>
      </c>
      <c r="AF77" s="431">
        <v>5803</v>
      </c>
      <c r="AG77" s="431">
        <v>160351</v>
      </c>
      <c r="AH77" s="431">
        <v>200082</v>
      </c>
      <c r="AI77" s="431">
        <v>545665</v>
      </c>
      <c r="AJ77" s="431">
        <v>10650</v>
      </c>
      <c r="AK77" s="431">
        <v>0</v>
      </c>
      <c r="AL77" s="431">
        <v>99134</v>
      </c>
      <c r="AM77" s="431">
        <v>12152</v>
      </c>
    </row>
    <row r="78" spans="1:39" s="155" customFormat="1" ht="12" x14ac:dyDescent="0.2">
      <c r="A78" s="168">
        <v>24</v>
      </c>
      <c r="B78" s="579">
        <v>93646</v>
      </c>
      <c r="C78" s="268" t="s">
        <v>3137</v>
      </c>
      <c r="D78" s="432">
        <f t="shared" si="8"/>
        <v>3003983</v>
      </c>
      <c r="E78" s="431">
        <v>859725</v>
      </c>
      <c r="F78" s="431">
        <v>83639</v>
      </c>
      <c r="G78" s="431">
        <v>140045</v>
      </c>
      <c r="H78" s="431">
        <v>0</v>
      </c>
      <c r="I78" s="431">
        <v>761923</v>
      </c>
      <c r="J78" s="431">
        <v>312824</v>
      </c>
      <c r="K78" s="431">
        <v>817110</v>
      </c>
      <c r="L78" s="436"/>
      <c r="M78" s="431">
        <v>80035</v>
      </c>
      <c r="N78" s="431">
        <v>29097</v>
      </c>
      <c r="O78" s="431">
        <v>143269</v>
      </c>
      <c r="P78" s="432">
        <f t="shared" si="2"/>
        <v>2507586</v>
      </c>
      <c r="Q78" s="431">
        <v>1008091</v>
      </c>
      <c r="R78" s="431">
        <v>821525</v>
      </c>
      <c r="S78" s="431">
        <v>0</v>
      </c>
      <c r="T78" s="431">
        <v>0</v>
      </c>
      <c r="U78" s="431">
        <v>0</v>
      </c>
      <c r="V78" s="431">
        <v>250000</v>
      </c>
      <c r="W78" s="431">
        <v>0</v>
      </c>
      <c r="X78" s="431">
        <v>98658</v>
      </c>
      <c r="Y78" s="431">
        <v>0</v>
      </c>
      <c r="Z78" s="431">
        <v>331575</v>
      </c>
      <c r="AA78" s="431">
        <v>0</v>
      </c>
      <c r="AB78" s="431">
        <v>-2263</v>
      </c>
      <c r="AC78" s="431">
        <v>712238</v>
      </c>
      <c r="AD78" s="431">
        <v>0</v>
      </c>
      <c r="AE78" s="431">
        <v>639322</v>
      </c>
      <c r="AF78" s="431">
        <v>0</v>
      </c>
      <c r="AG78" s="431">
        <v>54598</v>
      </c>
      <c r="AH78" s="431">
        <v>198644</v>
      </c>
      <c r="AI78" s="431">
        <v>690652</v>
      </c>
      <c r="AJ78" s="431">
        <v>0</v>
      </c>
      <c r="AK78" s="431">
        <v>0</v>
      </c>
      <c r="AL78" s="431">
        <v>192824</v>
      </c>
      <c r="AM78" s="431">
        <v>19308</v>
      </c>
    </row>
    <row r="79" spans="1:39" s="155" customFormat="1" ht="12" x14ac:dyDescent="0.2">
      <c r="A79" s="168">
        <v>25</v>
      </c>
      <c r="B79" s="579">
        <v>93600</v>
      </c>
      <c r="C79" s="268" t="s">
        <v>2988</v>
      </c>
      <c r="D79" s="432">
        <f t="shared" si="8"/>
        <v>5820556</v>
      </c>
      <c r="E79" s="431">
        <v>1379808</v>
      </c>
      <c r="F79" s="431">
        <v>195481</v>
      </c>
      <c r="G79" s="431">
        <v>179963</v>
      </c>
      <c r="H79" s="431">
        <v>0</v>
      </c>
      <c r="I79" s="431">
        <v>1114724</v>
      </c>
      <c r="J79" s="431">
        <v>350000</v>
      </c>
      <c r="K79" s="431">
        <v>792950</v>
      </c>
      <c r="L79" s="436"/>
      <c r="M79" s="431">
        <v>2023590</v>
      </c>
      <c r="N79" s="431">
        <v>144984</v>
      </c>
      <c r="O79" s="431">
        <v>14500</v>
      </c>
      <c r="P79" s="432">
        <f t="shared" ref="P79:P142" si="11">IF(SUM(Q79:AB79)=SUM(AC79:AM79),SUM(Q79:AB79),"  EROARE ART/CAP")</f>
        <v>5678363</v>
      </c>
      <c r="Q79" s="431">
        <v>1441578</v>
      </c>
      <c r="R79" s="431">
        <v>913179</v>
      </c>
      <c r="S79" s="431">
        <v>0</v>
      </c>
      <c r="T79" s="431">
        <v>0</v>
      </c>
      <c r="U79" s="431">
        <v>0</v>
      </c>
      <c r="V79" s="431">
        <v>0</v>
      </c>
      <c r="W79" s="431">
        <v>366574</v>
      </c>
      <c r="X79" s="431">
        <v>207400</v>
      </c>
      <c r="Y79" s="431">
        <v>28330</v>
      </c>
      <c r="Z79" s="431">
        <v>2721302</v>
      </c>
      <c r="AA79" s="431">
        <v>0</v>
      </c>
      <c r="AB79" s="431">
        <v>0</v>
      </c>
      <c r="AC79" s="431">
        <v>773645</v>
      </c>
      <c r="AD79" s="431">
        <v>671</v>
      </c>
      <c r="AE79" s="431">
        <v>880728</v>
      </c>
      <c r="AF79" s="431">
        <v>31633</v>
      </c>
      <c r="AG79" s="431">
        <v>879407</v>
      </c>
      <c r="AH79" s="431">
        <v>375225</v>
      </c>
      <c r="AI79" s="431">
        <v>166378</v>
      </c>
      <c r="AJ79" s="431">
        <v>1974459</v>
      </c>
      <c r="AK79" s="431">
        <v>0</v>
      </c>
      <c r="AL79" s="431">
        <v>503205</v>
      </c>
      <c r="AM79" s="431">
        <v>93012</v>
      </c>
    </row>
    <row r="80" spans="1:39" s="155" customFormat="1" ht="12" x14ac:dyDescent="0.2">
      <c r="A80" s="168">
        <v>26</v>
      </c>
      <c r="B80" s="579">
        <v>93628</v>
      </c>
      <c r="C80" s="268" t="s">
        <v>3138</v>
      </c>
      <c r="D80" s="432">
        <f t="shared" si="8"/>
        <v>4204163</v>
      </c>
      <c r="E80" s="431">
        <v>1163303</v>
      </c>
      <c r="F80" s="431">
        <v>363391</v>
      </c>
      <c r="G80" s="431">
        <v>83096</v>
      </c>
      <c r="H80" s="431">
        <v>0</v>
      </c>
      <c r="I80" s="431">
        <v>1097975</v>
      </c>
      <c r="J80" s="431">
        <v>545180</v>
      </c>
      <c r="K80" s="431">
        <v>536520</v>
      </c>
      <c r="L80" s="436"/>
      <c r="M80" s="431">
        <v>593199</v>
      </c>
      <c r="N80" s="431">
        <v>259786</v>
      </c>
      <c r="O80" s="431">
        <v>8200</v>
      </c>
      <c r="P80" s="432">
        <f t="shared" si="11"/>
        <v>3979806</v>
      </c>
      <c r="Q80" s="431">
        <v>1387899</v>
      </c>
      <c r="R80" s="431">
        <v>639994</v>
      </c>
      <c r="S80" s="431">
        <v>0</v>
      </c>
      <c r="T80" s="431">
        <v>0</v>
      </c>
      <c r="U80" s="431">
        <v>0</v>
      </c>
      <c r="V80" s="431">
        <v>0</v>
      </c>
      <c r="W80" s="431">
        <v>355803</v>
      </c>
      <c r="X80" s="431">
        <v>144327</v>
      </c>
      <c r="Y80" s="431">
        <v>960</v>
      </c>
      <c r="Z80" s="431">
        <v>1450823</v>
      </c>
      <c r="AA80" s="431">
        <v>0</v>
      </c>
      <c r="AB80" s="431">
        <v>0</v>
      </c>
      <c r="AC80" s="431">
        <v>798183</v>
      </c>
      <c r="AD80" s="431">
        <v>24270</v>
      </c>
      <c r="AE80" s="431">
        <v>922539</v>
      </c>
      <c r="AF80" s="431">
        <v>3973</v>
      </c>
      <c r="AG80" s="431">
        <v>87146</v>
      </c>
      <c r="AH80" s="431">
        <v>319566</v>
      </c>
      <c r="AI80" s="431">
        <v>30100</v>
      </c>
      <c r="AJ80" s="431">
        <v>58881</v>
      </c>
      <c r="AK80" s="431">
        <v>0</v>
      </c>
      <c r="AL80" s="431">
        <v>1719524</v>
      </c>
      <c r="AM80" s="431">
        <v>15624</v>
      </c>
    </row>
    <row r="81" spans="1:39" s="155" customFormat="1" ht="12" x14ac:dyDescent="0.2">
      <c r="A81" s="168">
        <v>27</v>
      </c>
      <c r="B81" s="579">
        <v>103283</v>
      </c>
      <c r="C81" s="268" t="s">
        <v>3139</v>
      </c>
      <c r="D81" s="432">
        <f t="shared" si="8"/>
        <v>4644304</v>
      </c>
      <c r="E81" s="431">
        <v>1616959</v>
      </c>
      <c r="F81" s="431">
        <v>271561</v>
      </c>
      <c r="G81" s="431">
        <v>170955</v>
      </c>
      <c r="H81" s="431">
        <v>0</v>
      </c>
      <c r="I81" s="431">
        <v>1544180</v>
      </c>
      <c r="J81" s="431">
        <v>0</v>
      </c>
      <c r="K81" s="431">
        <v>833650</v>
      </c>
      <c r="L81" s="436"/>
      <c r="M81" s="431">
        <v>162404</v>
      </c>
      <c r="N81" s="431">
        <v>487111</v>
      </c>
      <c r="O81" s="431">
        <v>0</v>
      </c>
      <c r="P81" s="432">
        <f t="shared" si="11"/>
        <v>3465766</v>
      </c>
      <c r="Q81" s="431">
        <v>1783679</v>
      </c>
      <c r="R81" s="431">
        <v>421368</v>
      </c>
      <c r="S81" s="431">
        <v>0</v>
      </c>
      <c r="T81" s="431">
        <v>0</v>
      </c>
      <c r="U81" s="431">
        <v>0</v>
      </c>
      <c r="V81" s="431">
        <v>0</v>
      </c>
      <c r="W81" s="431">
        <v>0</v>
      </c>
      <c r="X81" s="431">
        <v>214568</v>
      </c>
      <c r="Y81" s="431">
        <v>360</v>
      </c>
      <c r="Z81" s="431">
        <v>1045791</v>
      </c>
      <c r="AA81" s="431">
        <v>0</v>
      </c>
      <c r="AB81" s="431">
        <v>0</v>
      </c>
      <c r="AC81" s="431">
        <v>567794</v>
      </c>
      <c r="AD81" s="431">
        <v>87903</v>
      </c>
      <c r="AE81" s="431">
        <v>1210185</v>
      </c>
      <c r="AF81" s="431">
        <v>0</v>
      </c>
      <c r="AG81" s="431">
        <v>85966</v>
      </c>
      <c r="AH81" s="431">
        <v>417136</v>
      </c>
      <c r="AI81" s="431">
        <v>674109</v>
      </c>
      <c r="AJ81" s="431">
        <v>28156</v>
      </c>
      <c r="AK81" s="431">
        <v>0</v>
      </c>
      <c r="AL81" s="431">
        <v>394517</v>
      </c>
      <c r="AM81" s="431">
        <v>0</v>
      </c>
    </row>
    <row r="82" spans="1:39" s="155" customFormat="1" ht="12" x14ac:dyDescent="0.2">
      <c r="A82" s="168">
        <v>28</v>
      </c>
      <c r="B82" s="579">
        <v>93717</v>
      </c>
      <c r="C82" s="268" t="s">
        <v>2007</v>
      </c>
      <c r="D82" s="432">
        <f t="shared" si="8"/>
        <v>4131012</v>
      </c>
      <c r="E82" s="431">
        <v>1215397</v>
      </c>
      <c r="F82" s="431">
        <v>254529</v>
      </c>
      <c r="G82" s="431">
        <v>127316</v>
      </c>
      <c r="H82" s="431">
        <v>0</v>
      </c>
      <c r="I82" s="431">
        <v>1007000</v>
      </c>
      <c r="J82" s="431">
        <v>0</v>
      </c>
      <c r="K82" s="431">
        <v>698350</v>
      </c>
      <c r="L82" s="436"/>
      <c r="M82" s="431">
        <v>1076610</v>
      </c>
      <c r="N82" s="431">
        <v>127655</v>
      </c>
      <c r="O82" s="431">
        <v>6000</v>
      </c>
      <c r="P82" s="432">
        <f t="shared" si="11"/>
        <v>3661031</v>
      </c>
      <c r="Q82" s="431">
        <v>1206882</v>
      </c>
      <c r="R82" s="431">
        <v>671379</v>
      </c>
      <c r="S82" s="431">
        <v>0</v>
      </c>
      <c r="T82" s="431">
        <v>0</v>
      </c>
      <c r="U82" s="431">
        <v>0</v>
      </c>
      <c r="V82" s="431">
        <v>0</v>
      </c>
      <c r="W82" s="431">
        <v>0</v>
      </c>
      <c r="X82" s="431">
        <v>149435</v>
      </c>
      <c r="Y82" s="431">
        <v>8000</v>
      </c>
      <c r="Z82" s="431">
        <v>1628014</v>
      </c>
      <c r="AA82" s="431">
        <v>0</v>
      </c>
      <c r="AB82" s="431">
        <v>-2679</v>
      </c>
      <c r="AC82" s="431">
        <v>543526</v>
      </c>
      <c r="AD82" s="431">
        <v>96047</v>
      </c>
      <c r="AE82" s="431">
        <v>1099494</v>
      </c>
      <c r="AF82" s="431">
        <v>15522</v>
      </c>
      <c r="AG82" s="431">
        <v>64626</v>
      </c>
      <c r="AH82" s="431">
        <v>208169</v>
      </c>
      <c r="AI82" s="431">
        <v>1419331</v>
      </c>
      <c r="AJ82" s="431">
        <v>104977</v>
      </c>
      <c r="AK82" s="431">
        <v>0</v>
      </c>
      <c r="AL82" s="431">
        <v>98255</v>
      </c>
      <c r="AM82" s="431">
        <v>11084</v>
      </c>
    </row>
    <row r="83" spans="1:39" s="155" customFormat="1" ht="12" x14ac:dyDescent="0.2">
      <c r="A83" s="168">
        <v>29</v>
      </c>
      <c r="B83" s="579">
        <v>93735</v>
      </c>
      <c r="C83" s="268" t="s">
        <v>3077</v>
      </c>
      <c r="D83" s="432">
        <f t="shared" si="8"/>
        <v>4997602</v>
      </c>
      <c r="E83" s="431">
        <v>2186152</v>
      </c>
      <c r="F83" s="431">
        <v>1166866</v>
      </c>
      <c r="G83" s="431">
        <v>65185</v>
      </c>
      <c r="H83" s="431">
        <v>0</v>
      </c>
      <c r="I83" s="431">
        <v>1765704</v>
      </c>
      <c r="J83" s="431">
        <v>385000</v>
      </c>
      <c r="K83" s="431">
        <v>452880</v>
      </c>
      <c r="L83" s="436"/>
      <c r="M83" s="431">
        <v>86306</v>
      </c>
      <c r="N83" s="431">
        <v>119060</v>
      </c>
      <c r="O83" s="431">
        <v>2500</v>
      </c>
      <c r="P83" s="432">
        <f t="shared" si="11"/>
        <v>3831609</v>
      </c>
      <c r="Q83" s="431">
        <v>1901034</v>
      </c>
      <c r="R83" s="431">
        <v>829175</v>
      </c>
      <c r="S83" s="431">
        <v>0</v>
      </c>
      <c r="T83" s="431">
        <v>0</v>
      </c>
      <c r="U83" s="431">
        <v>0</v>
      </c>
      <c r="V83" s="431">
        <v>21729</v>
      </c>
      <c r="W83" s="431">
        <v>0</v>
      </c>
      <c r="X83" s="431">
        <v>315698</v>
      </c>
      <c r="Y83" s="431">
        <v>20000</v>
      </c>
      <c r="Z83" s="431">
        <v>744597</v>
      </c>
      <c r="AA83" s="431">
        <v>0</v>
      </c>
      <c r="AB83" s="431">
        <v>-624</v>
      </c>
      <c r="AC83" s="431">
        <v>682533</v>
      </c>
      <c r="AD83" s="431">
        <v>71846</v>
      </c>
      <c r="AE83" s="431">
        <v>1763041</v>
      </c>
      <c r="AF83" s="431">
        <v>29229</v>
      </c>
      <c r="AG83" s="431">
        <v>201462</v>
      </c>
      <c r="AH83" s="431">
        <v>315698</v>
      </c>
      <c r="AI83" s="431">
        <v>277371</v>
      </c>
      <c r="AJ83" s="431">
        <v>42942</v>
      </c>
      <c r="AK83" s="431">
        <v>0</v>
      </c>
      <c r="AL83" s="431">
        <v>439869</v>
      </c>
      <c r="AM83" s="431">
        <v>7618</v>
      </c>
    </row>
    <row r="84" spans="1:39" s="155" customFormat="1" ht="12" x14ac:dyDescent="0.2">
      <c r="A84" s="168">
        <v>30</v>
      </c>
      <c r="B84" s="579">
        <v>103862</v>
      </c>
      <c r="C84" s="268" t="s">
        <v>3140</v>
      </c>
      <c r="D84" s="432">
        <f t="shared" si="8"/>
        <v>4879322</v>
      </c>
      <c r="E84" s="431">
        <v>1243809</v>
      </c>
      <c r="F84" s="431">
        <v>258410</v>
      </c>
      <c r="G84" s="431">
        <v>181042</v>
      </c>
      <c r="H84" s="431">
        <v>0</v>
      </c>
      <c r="I84" s="431">
        <v>2057000</v>
      </c>
      <c r="J84" s="431">
        <v>233000</v>
      </c>
      <c r="K84" s="431">
        <v>944280</v>
      </c>
      <c r="L84" s="436"/>
      <c r="M84" s="431">
        <v>128053</v>
      </c>
      <c r="N84" s="431">
        <v>246890</v>
      </c>
      <c r="O84" s="431">
        <v>26290</v>
      </c>
      <c r="P84" s="432">
        <f t="shared" si="11"/>
        <v>4878839</v>
      </c>
      <c r="Q84" s="431">
        <v>2259264</v>
      </c>
      <c r="R84" s="431">
        <v>1381511</v>
      </c>
      <c r="S84" s="431">
        <v>0</v>
      </c>
      <c r="T84" s="431">
        <v>0</v>
      </c>
      <c r="U84" s="431">
        <v>0</v>
      </c>
      <c r="V84" s="431">
        <v>0</v>
      </c>
      <c r="W84" s="431">
        <v>0</v>
      </c>
      <c r="X84" s="431">
        <v>211174</v>
      </c>
      <c r="Y84" s="431">
        <v>0</v>
      </c>
      <c r="Z84" s="431">
        <v>1028429</v>
      </c>
      <c r="AA84" s="431">
        <v>0</v>
      </c>
      <c r="AB84" s="431">
        <v>-1539</v>
      </c>
      <c r="AC84" s="431">
        <v>1189751</v>
      </c>
      <c r="AD84" s="431">
        <v>90802</v>
      </c>
      <c r="AE84" s="431">
        <v>1822170</v>
      </c>
      <c r="AF84" s="431">
        <v>6407</v>
      </c>
      <c r="AG84" s="431">
        <v>429708</v>
      </c>
      <c r="AH84" s="431">
        <v>543797</v>
      </c>
      <c r="AI84" s="431">
        <v>359343</v>
      </c>
      <c r="AJ84" s="431">
        <v>72405</v>
      </c>
      <c r="AK84" s="431">
        <v>0</v>
      </c>
      <c r="AL84" s="431">
        <v>355776</v>
      </c>
      <c r="AM84" s="431">
        <v>8680</v>
      </c>
    </row>
    <row r="85" spans="1:39" s="155" customFormat="1" ht="12" x14ac:dyDescent="0.2">
      <c r="A85" s="168">
        <v>31</v>
      </c>
      <c r="B85" s="579">
        <v>103960</v>
      </c>
      <c r="C85" s="268" t="s">
        <v>3141</v>
      </c>
      <c r="D85" s="432">
        <f t="shared" si="8"/>
        <v>3915690</v>
      </c>
      <c r="E85" s="431">
        <v>862145</v>
      </c>
      <c r="F85" s="431">
        <v>161308</v>
      </c>
      <c r="G85" s="431">
        <v>227541</v>
      </c>
      <c r="H85" s="431">
        <v>0</v>
      </c>
      <c r="I85" s="431">
        <v>1697228</v>
      </c>
      <c r="J85" s="431">
        <v>25000</v>
      </c>
      <c r="K85" s="431">
        <v>1180620</v>
      </c>
      <c r="L85" s="436"/>
      <c r="M85" s="431">
        <v>109705</v>
      </c>
      <c r="N85" s="431">
        <v>30992</v>
      </c>
      <c r="O85" s="431">
        <v>10000</v>
      </c>
      <c r="P85" s="432">
        <f t="shared" si="11"/>
        <v>3928097</v>
      </c>
      <c r="Q85" s="431">
        <v>1922884</v>
      </c>
      <c r="R85" s="431">
        <v>973096</v>
      </c>
      <c r="S85" s="431">
        <v>0</v>
      </c>
      <c r="T85" s="431">
        <v>0</v>
      </c>
      <c r="U85" s="431">
        <v>0</v>
      </c>
      <c r="V85" s="431">
        <v>0</v>
      </c>
      <c r="W85" s="431">
        <v>182052</v>
      </c>
      <c r="X85" s="431">
        <v>254100</v>
      </c>
      <c r="Y85" s="431">
        <v>0</v>
      </c>
      <c r="Z85" s="431">
        <v>595965</v>
      </c>
      <c r="AA85" s="431">
        <v>0</v>
      </c>
      <c r="AB85" s="431">
        <v>0</v>
      </c>
      <c r="AC85" s="431">
        <v>871803</v>
      </c>
      <c r="AD85" s="431">
        <v>0</v>
      </c>
      <c r="AE85" s="431">
        <v>1453146</v>
      </c>
      <c r="AF85" s="431">
        <v>0</v>
      </c>
      <c r="AG85" s="431">
        <v>340125</v>
      </c>
      <c r="AH85" s="431">
        <v>467230</v>
      </c>
      <c r="AI85" s="431">
        <v>99059</v>
      </c>
      <c r="AJ85" s="431">
        <v>21777</v>
      </c>
      <c r="AK85" s="431">
        <v>0</v>
      </c>
      <c r="AL85" s="431">
        <v>672938</v>
      </c>
      <c r="AM85" s="431">
        <v>2019</v>
      </c>
    </row>
    <row r="86" spans="1:39" s="155" customFormat="1" ht="12" x14ac:dyDescent="0.2">
      <c r="A86" s="168">
        <v>32</v>
      </c>
      <c r="B86" s="579">
        <v>100736</v>
      </c>
      <c r="C86" s="268" t="s">
        <v>3142</v>
      </c>
      <c r="D86" s="432">
        <f t="shared" si="8"/>
        <v>4641170</v>
      </c>
      <c r="E86" s="431">
        <v>1436053</v>
      </c>
      <c r="F86" s="431">
        <v>325010</v>
      </c>
      <c r="G86" s="431">
        <v>157966</v>
      </c>
      <c r="H86" s="431">
        <v>0</v>
      </c>
      <c r="I86" s="431">
        <v>1867141</v>
      </c>
      <c r="J86" s="431">
        <v>0</v>
      </c>
      <c r="K86" s="431">
        <v>814320</v>
      </c>
      <c r="L86" s="436"/>
      <c r="M86" s="431">
        <v>126105</v>
      </c>
      <c r="N86" s="431">
        <v>397551</v>
      </c>
      <c r="O86" s="431">
        <v>0</v>
      </c>
      <c r="P86" s="432">
        <f t="shared" si="11"/>
        <v>3874483</v>
      </c>
      <c r="Q86" s="431">
        <v>2107188</v>
      </c>
      <c r="R86" s="431">
        <v>618109</v>
      </c>
      <c r="S86" s="431">
        <v>0</v>
      </c>
      <c r="T86" s="431">
        <v>0</v>
      </c>
      <c r="U86" s="431">
        <v>0</v>
      </c>
      <c r="V86" s="431">
        <v>0</v>
      </c>
      <c r="W86" s="431">
        <v>883528</v>
      </c>
      <c r="X86" s="431">
        <v>175802</v>
      </c>
      <c r="Y86" s="431">
        <v>3960</v>
      </c>
      <c r="Z86" s="431">
        <v>90256</v>
      </c>
      <c r="AA86" s="431">
        <v>0</v>
      </c>
      <c r="AB86" s="431">
        <v>-4360</v>
      </c>
      <c r="AC86" s="431">
        <v>1097112</v>
      </c>
      <c r="AD86" s="431">
        <v>826</v>
      </c>
      <c r="AE86" s="431">
        <v>1489365</v>
      </c>
      <c r="AF86" s="431">
        <v>0</v>
      </c>
      <c r="AG86" s="431">
        <v>558114</v>
      </c>
      <c r="AH86" s="431">
        <v>517062</v>
      </c>
      <c r="AI86" s="431">
        <v>165646</v>
      </c>
      <c r="AJ86" s="431">
        <v>546</v>
      </c>
      <c r="AK86" s="431">
        <v>0</v>
      </c>
      <c r="AL86" s="431">
        <v>42512</v>
      </c>
      <c r="AM86" s="431">
        <v>3300</v>
      </c>
    </row>
    <row r="87" spans="1:39" s="155" customFormat="1" ht="12" x14ac:dyDescent="0.2">
      <c r="A87" s="168">
        <v>33</v>
      </c>
      <c r="B87" s="579">
        <v>94045</v>
      </c>
      <c r="C87" s="268" t="s">
        <v>3143</v>
      </c>
      <c r="D87" s="432">
        <f t="shared" si="8"/>
        <v>3715085</v>
      </c>
      <c r="E87" s="431">
        <v>912731</v>
      </c>
      <c r="F87" s="431">
        <v>174481</v>
      </c>
      <c r="G87" s="431">
        <v>166487</v>
      </c>
      <c r="H87" s="431">
        <v>0</v>
      </c>
      <c r="I87" s="431">
        <v>1277468</v>
      </c>
      <c r="J87" s="431">
        <v>390000</v>
      </c>
      <c r="K87" s="431">
        <v>887450</v>
      </c>
      <c r="L87" s="436"/>
      <c r="M87" s="431">
        <v>100443</v>
      </c>
      <c r="N87" s="431">
        <v>146993</v>
      </c>
      <c r="O87" s="431">
        <v>0</v>
      </c>
      <c r="P87" s="432">
        <f t="shared" si="11"/>
        <v>3078887</v>
      </c>
      <c r="Q87" s="431">
        <v>1502401</v>
      </c>
      <c r="R87" s="431">
        <v>773496</v>
      </c>
      <c r="S87" s="431">
        <v>0</v>
      </c>
      <c r="T87" s="431">
        <v>0</v>
      </c>
      <c r="U87" s="431">
        <v>0</v>
      </c>
      <c r="V87" s="431">
        <v>25000</v>
      </c>
      <c r="W87" s="431">
        <v>439872</v>
      </c>
      <c r="X87" s="431">
        <v>209354</v>
      </c>
      <c r="Y87" s="431">
        <v>2502</v>
      </c>
      <c r="Z87" s="431">
        <v>126423</v>
      </c>
      <c r="AA87" s="431">
        <v>0</v>
      </c>
      <c r="AB87" s="431">
        <v>-161</v>
      </c>
      <c r="AC87" s="431">
        <v>610909</v>
      </c>
      <c r="AD87" s="431">
        <v>0</v>
      </c>
      <c r="AE87" s="431">
        <v>1139480</v>
      </c>
      <c r="AF87" s="431">
        <v>37464</v>
      </c>
      <c r="AG87" s="431">
        <v>81643</v>
      </c>
      <c r="AH87" s="431">
        <v>346723</v>
      </c>
      <c r="AI87" s="431">
        <v>22296</v>
      </c>
      <c r="AJ87" s="431">
        <v>87135</v>
      </c>
      <c r="AK87" s="431">
        <v>0</v>
      </c>
      <c r="AL87" s="431">
        <v>731268</v>
      </c>
      <c r="AM87" s="431">
        <v>21969</v>
      </c>
    </row>
    <row r="88" spans="1:39" s="155" customFormat="1" ht="12" x14ac:dyDescent="0.2">
      <c r="A88" s="168">
        <v>34</v>
      </c>
      <c r="B88" s="579">
        <v>93995</v>
      </c>
      <c r="C88" s="268" t="s">
        <v>3144</v>
      </c>
      <c r="D88" s="432">
        <f t="shared" si="8"/>
        <v>4647137</v>
      </c>
      <c r="E88" s="431">
        <v>1609238</v>
      </c>
      <c r="F88" s="431">
        <v>546669</v>
      </c>
      <c r="G88" s="431">
        <v>118814</v>
      </c>
      <c r="H88" s="431">
        <v>0</v>
      </c>
      <c r="I88" s="431">
        <v>1659023</v>
      </c>
      <c r="J88" s="431">
        <v>479994</v>
      </c>
      <c r="K88" s="431">
        <v>682040</v>
      </c>
      <c r="L88" s="436"/>
      <c r="M88" s="431">
        <v>216238</v>
      </c>
      <c r="N88" s="431">
        <v>604</v>
      </c>
      <c r="O88" s="431">
        <v>0</v>
      </c>
      <c r="P88" s="432">
        <f t="shared" si="11"/>
        <v>3967478</v>
      </c>
      <c r="Q88" s="431">
        <v>1798533</v>
      </c>
      <c r="R88" s="431">
        <v>942413</v>
      </c>
      <c r="S88" s="431">
        <v>0</v>
      </c>
      <c r="T88" s="431">
        <v>0</v>
      </c>
      <c r="U88" s="431">
        <v>0</v>
      </c>
      <c r="V88" s="431">
        <v>170000</v>
      </c>
      <c r="W88" s="431">
        <v>185077</v>
      </c>
      <c r="X88" s="431">
        <v>323758</v>
      </c>
      <c r="Y88" s="431">
        <v>1674</v>
      </c>
      <c r="Z88" s="431">
        <v>546023</v>
      </c>
      <c r="AA88" s="431">
        <v>0</v>
      </c>
      <c r="AB88" s="431">
        <v>0</v>
      </c>
      <c r="AC88" s="431">
        <v>670868</v>
      </c>
      <c r="AD88" s="431">
        <v>73318</v>
      </c>
      <c r="AE88" s="431">
        <v>1727666</v>
      </c>
      <c r="AF88" s="431">
        <v>0</v>
      </c>
      <c r="AG88" s="431">
        <v>114429</v>
      </c>
      <c r="AH88" s="431">
        <v>323758</v>
      </c>
      <c r="AI88" s="431">
        <v>186544</v>
      </c>
      <c r="AJ88" s="431">
        <v>129345</v>
      </c>
      <c r="AK88" s="431">
        <v>0</v>
      </c>
      <c r="AL88" s="431">
        <v>739458</v>
      </c>
      <c r="AM88" s="431">
        <v>2092</v>
      </c>
    </row>
    <row r="89" spans="1:39" s="155" customFormat="1" ht="12" x14ac:dyDescent="0.2">
      <c r="A89" s="168">
        <v>35</v>
      </c>
      <c r="B89" s="579">
        <v>94081</v>
      </c>
      <c r="C89" s="268" t="s">
        <v>3145</v>
      </c>
      <c r="D89" s="432">
        <f t="shared" si="8"/>
        <v>4700399</v>
      </c>
      <c r="E89" s="431">
        <v>1511994</v>
      </c>
      <c r="F89" s="431">
        <v>662838</v>
      </c>
      <c r="G89" s="431">
        <v>63656</v>
      </c>
      <c r="H89" s="431">
        <v>0</v>
      </c>
      <c r="I89" s="431">
        <v>1247655</v>
      </c>
      <c r="J89" s="431">
        <v>500000</v>
      </c>
      <c r="K89" s="431">
        <v>477110</v>
      </c>
      <c r="L89" s="436"/>
      <c r="M89" s="431">
        <v>709771</v>
      </c>
      <c r="N89" s="431">
        <v>253869</v>
      </c>
      <c r="O89" s="431">
        <v>0</v>
      </c>
      <c r="P89" s="432">
        <f t="shared" si="11"/>
        <v>4232686</v>
      </c>
      <c r="Q89" s="431">
        <v>1479690</v>
      </c>
      <c r="R89" s="431">
        <v>498065</v>
      </c>
      <c r="S89" s="431">
        <v>0</v>
      </c>
      <c r="T89" s="431">
        <v>0</v>
      </c>
      <c r="U89" s="431">
        <v>0</v>
      </c>
      <c r="V89" s="431">
        <v>0</v>
      </c>
      <c r="W89" s="431">
        <v>0</v>
      </c>
      <c r="X89" s="431">
        <v>148419</v>
      </c>
      <c r="Y89" s="431">
        <v>1266</v>
      </c>
      <c r="Z89" s="431">
        <v>2125570</v>
      </c>
      <c r="AA89" s="431">
        <v>0</v>
      </c>
      <c r="AB89" s="431">
        <v>-20324</v>
      </c>
      <c r="AC89" s="431">
        <v>560098</v>
      </c>
      <c r="AD89" s="431">
        <v>2894</v>
      </c>
      <c r="AE89" s="431">
        <v>1142583</v>
      </c>
      <c r="AF89" s="431">
        <v>11880</v>
      </c>
      <c r="AG89" s="431">
        <v>70753</v>
      </c>
      <c r="AH89" s="431">
        <v>247205</v>
      </c>
      <c r="AI89" s="431">
        <v>659319</v>
      </c>
      <c r="AJ89" s="431">
        <v>23736</v>
      </c>
      <c r="AK89" s="431">
        <v>0</v>
      </c>
      <c r="AL89" s="431">
        <v>1514218</v>
      </c>
      <c r="AM89" s="431">
        <v>0</v>
      </c>
    </row>
    <row r="90" spans="1:39" s="155" customFormat="1" ht="12" x14ac:dyDescent="0.2">
      <c r="A90" s="168">
        <v>36</v>
      </c>
      <c r="B90" s="579">
        <v>104270</v>
      </c>
      <c r="C90" s="268" t="s">
        <v>3146</v>
      </c>
      <c r="D90" s="432">
        <f t="shared" si="8"/>
        <v>3644753</v>
      </c>
      <c r="E90" s="431">
        <v>940402</v>
      </c>
      <c r="F90" s="431">
        <v>145780</v>
      </c>
      <c r="G90" s="431">
        <v>142005</v>
      </c>
      <c r="H90" s="431">
        <v>0</v>
      </c>
      <c r="I90" s="431">
        <v>1199788</v>
      </c>
      <c r="J90" s="431">
        <v>0</v>
      </c>
      <c r="K90" s="431">
        <v>847710</v>
      </c>
      <c r="L90" s="436"/>
      <c r="M90" s="431">
        <v>619147</v>
      </c>
      <c r="N90" s="431">
        <v>14794</v>
      </c>
      <c r="O90" s="431">
        <v>22912</v>
      </c>
      <c r="P90" s="432">
        <f t="shared" si="11"/>
        <v>3270028</v>
      </c>
      <c r="Q90" s="431">
        <v>1400508</v>
      </c>
      <c r="R90" s="431">
        <v>620827</v>
      </c>
      <c r="S90" s="431">
        <v>0</v>
      </c>
      <c r="T90" s="431">
        <v>0</v>
      </c>
      <c r="U90" s="431">
        <v>0</v>
      </c>
      <c r="V90" s="431">
        <v>0</v>
      </c>
      <c r="W90" s="431">
        <v>0</v>
      </c>
      <c r="X90" s="431">
        <v>199366</v>
      </c>
      <c r="Y90" s="431">
        <v>60000</v>
      </c>
      <c r="Z90" s="431">
        <v>989566</v>
      </c>
      <c r="AA90" s="431">
        <v>0</v>
      </c>
      <c r="AB90" s="431">
        <v>-239</v>
      </c>
      <c r="AC90" s="431">
        <v>662950</v>
      </c>
      <c r="AD90" s="431">
        <v>0</v>
      </c>
      <c r="AE90" s="431">
        <v>1119178</v>
      </c>
      <c r="AF90" s="431">
        <v>0</v>
      </c>
      <c r="AG90" s="431">
        <v>93823</v>
      </c>
      <c r="AH90" s="431">
        <v>214068</v>
      </c>
      <c r="AI90" s="431">
        <v>504243</v>
      </c>
      <c r="AJ90" s="431">
        <v>52708</v>
      </c>
      <c r="AK90" s="431">
        <v>0</v>
      </c>
      <c r="AL90" s="431">
        <v>612282</v>
      </c>
      <c r="AM90" s="431">
        <v>10776</v>
      </c>
    </row>
    <row r="91" spans="1:39" s="155" customFormat="1" ht="12" x14ac:dyDescent="0.2">
      <c r="A91" s="168">
        <v>37</v>
      </c>
      <c r="B91" s="579">
        <v>94107</v>
      </c>
      <c r="C91" s="268" t="s">
        <v>3147</v>
      </c>
      <c r="D91" s="432">
        <f t="shared" si="8"/>
        <v>5854816</v>
      </c>
      <c r="E91" s="431">
        <v>964101</v>
      </c>
      <c r="F91" s="431">
        <v>234180</v>
      </c>
      <c r="G91" s="431">
        <v>180209</v>
      </c>
      <c r="H91" s="431">
        <v>0</v>
      </c>
      <c r="I91" s="431">
        <v>1697032</v>
      </c>
      <c r="J91" s="431">
        <v>220000</v>
      </c>
      <c r="K91" s="431">
        <v>956540</v>
      </c>
      <c r="L91" s="436"/>
      <c r="M91" s="431">
        <v>775976</v>
      </c>
      <c r="N91" s="431">
        <v>1241167</v>
      </c>
      <c r="O91" s="431">
        <v>0</v>
      </c>
      <c r="P91" s="432">
        <f t="shared" si="11"/>
        <v>4133909</v>
      </c>
      <c r="Q91" s="431">
        <v>1832592</v>
      </c>
      <c r="R91" s="431">
        <v>629443</v>
      </c>
      <c r="S91" s="431">
        <v>0</v>
      </c>
      <c r="T91" s="431">
        <v>0</v>
      </c>
      <c r="U91" s="431">
        <v>0</v>
      </c>
      <c r="V91" s="431">
        <v>0</v>
      </c>
      <c r="W91" s="431">
        <v>303230</v>
      </c>
      <c r="X91" s="431">
        <v>384596</v>
      </c>
      <c r="Y91" s="431">
        <v>0</v>
      </c>
      <c r="Z91" s="431">
        <v>984048</v>
      </c>
      <c r="AA91" s="431">
        <v>0</v>
      </c>
      <c r="AB91" s="431">
        <v>0</v>
      </c>
      <c r="AC91" s="431">
        <v>653896</v>
      </c>
      <c r="AD91" s="431">
        <v>14698</v>
      </c>
      <c r="AE91" s="431">
        <v>1448041</v>
      </c>
      <c r="AF91" s="431">
        <v>0</v>
      </c>
      <c r="AG91" s="431">
        <v>370412</v>
      </c>
      <c r="AH91" s="431">
        <v>387016</v>
      </c>
      <c r="AI91" s="431">
        <v>571594</v>
      </c>
      <c r="AJ91" s="431">
        <v>33983</v>
      </c>
      <c r="AK91" s="431">
        <v>0</v>
      </c>
      <c r="AL91" s="431">
        <v>646554</v>
      </c>
      <c r="AM91" s="431">
        <v>7715</v>
      </c>
    </row>
    <row r="92" spans="1:39" s="155" customFormat="1" ht="12" x14ac:dyDescent="0.2">
      <c r="A92" s="168">
        <v>38</v>
      </c>
      <c r="B92" s="579">
        <v>94161</v>
      </c>
      <c r="C92" s="268" t="s">
        <v>3148</v>
      </c>
      <c r="D92" s="432">
        <f t="shared" si="8"/>
        <v>4407071</v>
      </c>
      <c r="E92" s="431">
        <v>2176290</v>
      </c>
      <c r="F92" s="431">
        <v>775490</v>
      </c>
      <c r="G92" s="431">
        <v>75377</v>
      </c>
      <c r="H92" s="431">
        <v>0</v>
      </c>
      <c r="I92" s="431">
        <v>1627535</v>
      </c>
      <c r="J92" s="431">
        <v>280000</v>
      </c>
      <c r="K92" s="431">
        <v>311900</v>
      </c>
      <c r="L92" s="436"/>
      <c r="M92" s="431">
        <v>11346</v>
      </c>
      <c r="N92" s="431">
        <v>0</v>
      </c>
      <c r="O92" s="431">
        <v>0</v>
      </c>
      <c r="P92" s="432">
        <f t="shared" si="11"/>
        <v>4032296</v>
      </c>
      <c r="Q92" s="431">
        <v>1966975</v>
      </c>
      <c r="R92" s="431">
        <v>1155926</v>
      </c>
      <c r="S92" s="431">
        <v>0</v>
      </c>
      <c r="T92" s="431">
        <v>0</v>
      </c>
      <c r="U92" s="431">
        <v>0</v>
      </c>
      <c r="V92" s="431">
        <v>0</v>
      </c>
      <c r="W92" s="431">
        <v>0</v>
      </c>
      <c r="X92" s="431">
        <v>297455</v>
      </c>
      <c r="Y92" s="431">
        <v>0</v>
      </c>
      <c r="Z92" s="431">
        <v>615960</v>
      </c>
      <c r="AA92" s="431">
        <v>0</v>
      </c>
      <c r="AB92" s="431">
        <v>-4020</v>
      </c>
      <c r="AC92" s="431">
        <v>1038916</v>
      </c>
      <c r="AD92" s="431">
        <v>16409</v>
      </c>
      <c r="AE92" s="431">
        <v>1691507</v>
      </c>
      <c r="AF92" s="431">
        <v>0</v>
      </c>
      <c r="AG92" s="431">
        <v>108610</v>
      </c>
      <c r="AH92" s="431">
        <v>314595</v>
      </c>
      <c r="AI92" s="431">
        <v>284900</v>
      </c>
      <c r="AJ92" s="431">
        <v>53341</v>
      </c>
      <c r="AK92" s="431">
        <v>0</v>
      </c>
      <c r="AL92" s="431">
        <v>524018</v>
      </c>
      <c r="AM92" s="431">
        <v>0</v>
      </c>
    </row>
    <row r="93" spans="1:39" s="155" customFormat="1" ht="12" x14ac:dyDescent="0.2">
      <c r="A93" s="168">
        <v>39</v>
      </c>
      <c r="B93" s="579">
        <v>94269</v>
      </c>
      <c r="C93" s="268" t="s">
        <v>3149</v>
      </c>
      <c r="D93" s="432">
        <f t="shared" si="8"/>
        <v>7065005</v>
      </c>
      <c r="E93" s="431">
        <v>1406225</v>
      </c>
      <c r="F93" s="431">
        <v>204111</v>
      </c>
      <c r="G93" s="431">
        <v>129899</v>
      </c>
      <c r="H93" s="431">
        <v>0</v>
      </c>
      <c r="I93" s="431">
        <v>1421909</v>
      </c>
      <c r="J93" s="431">
        <v>339888</v>
      </c>
      <c r="K93" s="431">
        <v>1142740</v>
      </c>
      <c r="L93" s="436"/>
      <c r="M93" s="431">
        <v>1166669</v>
      </c>
      <c r="N93" s="431">
        <v>1524368</v>
      </c>
      <c r="O93" s="431">
        <v>63206</v>
      </c>
      <c r="P93" s="432">
        <f t="shared" si="11"/>
        <v>6516819</v>
      </c>
      <c r="Q93" s="431">
        <v>1672204</v>
      </c>
      <c r="R93" s="431">
        <v>1025605</v>
      </c>
      <c r="S93" s="431">
        <v>0</v>
      </c>
      <c r="T93" s="431">
        <v>0</v>
      </c>
      <c r="U93" s="431">
        <v>0</v>
      </c>
      <c r="V93" s="431">
        <v>25000</v>
      </c>
      <c r="W93" s="431">
        <v>2680540</v>
      </c>
      <c r="X93" s="431">
        <v>207559</v>
      </c>
      <c r="Y93" s="431">
        <v>0</v>
      </c>
      <c r="Z93" s="431">
        <v>905911</v>
      </c>
      <c r="AA93" s="431">
        <v>0</v>
      </c>
      <c r="AB93" s="431">
        <v>0</v>
      </c>
      <c r="AC93" s="431">
        <v>1063370</v>
      </c>
      <c r="AD93" s="431">
        <v>78581</v>
      </c>
      <c r="AE93" s="431">
        <v>1213437</v>
      </c>
      <c r="AF93" s="431">
        <v>29268</v>
      </c>
      <c r="AG93" s="431">
        <v>84912</v>
      </c>
      <c r="AH93" s="431">
        <v>326549</v>
      </c>
      <c r="AI93" s="431">
        <v>778683</v>
      </c>
      <c r="AJ93" s="431">
        <v>0</v>
      </c>
      <c r="AK93" s="431">
        <v>0</v>
      </c>
      <c r="AL93" s="431">
        <v>2879325</v>
      </c>
      <c r="AM93" s="431">
        <v>62694</v>
      </c>
    </row>
    <row r="94" spans="1:39" s="155" customFormat="1" ht="12" x14ac:dyDescent="0.2">
      <c r="A94" s="168">
        <v>40</v>
      </c>
      <c r="B94" s="579">
        <v>94330</v>
      </c>
      <c r="C94" s="268" t="s">
        <v>3150</v>
      </c>
      <c r="D94" s="432">
        <f t="shared" si="8"/>
        <v>3557784</v>
      </c>
      <c r="E94" s="431">
        <v>889741</v>
      </c>
      <c r="F94" s="431">
        <v>232016</v>
      </c>
      <c r="G94" s="431">
        <v>159631</v>
      </c>
      <c r="H94" s="431">
        <v>0</v>
      </c>
      <c r="I94" s="431">
        <v>1028570</v>
      </c>
      <c r="J94" s="431">
        <v>300000</v>
      </c>
      <c r="K94" s="431">
        <v>845420</v>
      </c>
      <c r="L94" s="436"/>
      <c r="M94" s="431">
        <v>138873</v>
      </c>
      <c r="N94" s="431">
        <v>355180</v>
      </c>
      <c r="O94" s="431">
        <v>0</v>
      </c>
      <c r="P94" s="432">
        <f t="shared" si="11"/>
        <v>3493410</v>
      </c>
      <c r="Q94" s="431">
        <v>1270557</v>
      </c>
      <c r="R94" s="431">
        <v>1423943</v>
      </c>
      <c r="S94" s="431">
        <v>0</v>
      </c>
      <c r="T94" s="431">
        <v>0</v>
      </c>
      <c r="U94" s="431">
        <v>0</v>
      </c>
      <c r="V94" s="431">
        <v>0</v>
      </c>
      <c r="W94" s="431">
        <v>469002</v>
      </c>
      <c r="X94" s="431">
        <v>151090</v>
      </c>
      <c r="Y94" s="431">
        <v>3976</v>
      </c>
      <c r="Z94" s="431">
        <v>179553</v>
      </c>
      <c r="AA94" s="431">
        <v>0</v>
      </c>
      <c r="AB94" s="431">
        <v>-4711</v>
      </c>
      <c r="AC94" s="431">
        <v>575320</v>
      </c>
      <c r="AD94" s="431">
        <v>11418</v>
      </c>
      <c r="AE94" s="431">
        <v>1015703</v>
      </c>
      <c r="AF94" s="431">
        <v>60099</v>
      </c>
      <c r="AG94" s="431">
        <v>39453</v>
      </c>
      <c r="AH94" s="431">
        <v>268690</v>
      </c>
      <c r="AI94" s="431">
        <v>676415</v>
      </c>
      <c r="AJ94" s="431">
        <v>0</v>
      </c>
      <c r="AK94" s="431">
        <v>0</v>
      </c>
      <c r="AL94" s="431">
        <v>822702</v>
      </c>
      <c r="AM94" s="431">
        <v>23610</v>
      </c>
    </row>
    <row r="95" spans="1:39" s="155" customFormat="1" ht="12" x14ac:dyDescent="0.2">
      <c r="A95" s="168">
        <v>41</v>
      </c>
      <c r="B95" s="579">
        <v>94376</v>
      </c>
      <c r="C95" s="268" t="s">
        <v>3151</v>
      </c>
      <c r="D95" s="432">
        <f t="shared" si="8"/>
        <v>4481360</v>
      </c>
      <c r="E95" s="431">
        <v>1454232</v>
      </c>
      <c r="F95" s="431">
        <v>298157</v>
      </c>
      <c r="G95" s="431">
        <v>84467</v>
      </c>
      <c r="H95" s="431">
        <v>0</v>
      </c>
      <c r="I95" s="431">
        <v>1651152</v>
      </c>
      <c r="J95" s="431">
        <v>600000</v>
      </c>
      <c r="K95" s="431">
        <v>618330</v>
      </c>
      <c r="L95" s="436"/>
      <c r="M95" s="431">
        <v>157646</v>
      </c>
      <c r="N95" s="431">
        <v>0</v>
      </c>
      <c r="O95" s="431">
        <v>0</v>
      </c>
      <c r="P95" s="432">
        <f t="shared" si="11"/>
        <v>4401865</v>
      </c>
      <c r="Q95" s="431">
        <v>1906071</v>
      </c>
      <c r="R95" s="431">
        <v>1111817</v>
      </c>
      <c r="S95" s="431">
        <v>0</v>
      </c>
      <c r="T95" s="431">
        <v>0</v>
      </c>
      <c r="U95" s="431">
        <v>0</v>
      </c>
      <c r="V95" s="431">
        <v>0</v>
      </c>
      <c r="W95" s="431">
        <v>0</v>
      </c>
      <c r="X95" s="431">
        <v>235280</v>
      </c>
      <c r="Y95" s="431">
        <v>0</v>
      </c>
      <c r="Z95" s="431">
        <v>1149101</v>
      </c>
      <c r="AA95" s="431">
        <v>0</v>
      </c>
      <c r="AB95" s="431">
        <v>-404</v>
      </c>
      <c r="AC95" s="431">
        <v>616508</v>
      </c>
      <c r="AD95" s="431">
        <v>0</v>
      </c>
      <c r="AE95" s="431">
        <v>1276215</v>
      </c>
      <c r="AF95" s="431">
        <v>0</v>
      </c>
      <c r="AG95" s="431">
        <v>537170</v>
      </c>
      <c r="AH95" s="431">
        <v>436066</v>
      </c>
      <c r="AI95" s="431">
        <v>231253</v>
      </c>
      <c r="AJ95" s="431">
        <v>2252</v>
      </c>
      <c r="AK95" s="431">
        <v>0</v>
      </c>
      <c r="AL95" s="431">
        <v>1292604</v>
      </c>
      <c r="AM95" s="431">
        <v>9797</v>
      </c>
    </row>
    <row r="96" spans="1:39" s="155" customFormat="1" ht="12" x14ac:dyDescent="0.2">
      <c r="A96" s="168">
        <v>42</v>
      </c>
      <c r="B96" s="579">
        <v>94429</v>
      </c>
      <c r="C96" s="268" t="s">
        <v>3152</v>
      </c>
      <c r="D96" s="432">
        <f t="shared" si="8"/>
        <v>4303295</v>
      </c>
      <c r="E96" s="431">
        <v>1485827</v>
      </c>
      <c r="F96" s="431">
        <v>509826</v>
      </c>
      <c r="G96" s="431">
        <v>122916</v>
      </c>
      <c r="H96" s="431">
        <v>0</v>
      </c>
      <c r="I96" s="431">
        <v>1643909</v>
      </c>
      <c r="J96" s="431">
        <v>0</v>
      </c>
      <c r="K96" s="431">
        <v>788870</v>
      </c>
      <c r="L96" s="436"/>
      <c r="M96" s="431">
        <v>95009</v>
      </c>
      <c r="N96" s="431">
        <v>269884</v>
      </c>
      <c r="O96" s="431">
        <v>19796</v>
      </c>
      <c r="P96" s="432">
        <f t="shared" si="11"/>
        <v>4348892</v>
      </c>
      <c r="Q96" s="431">
        <v>1858621</v>
      </c>
      <c r="R96" s="431">
        <v>1094749</v>
      </c>
      <c r="S96" s="431">
        <v>0</v>
      </c>
      <c r="T96" s="431">
        <v>0</v>
      </c>
      <c r="U96" s="431">
        <v>0</v>
      </c>
      <c r="V96" s="431">
        <v>0</v>
      </c>
      <c r="W96" s="431">
        <v>329341</v>
      </c>
      <c r="X96" s="431">
        <v>237498</v>
      </c>
      <c r="Y96" s="431">
        <v>0</v>
      </c>
      <c r="Z96" s="431">
        <v>828683</v>
      </c>
      <c r="AA96" s="431">
        <v>0</v>
      </c>
      <c r="AB96" s="431">
        <v>0</v>
      </c>
      <c r="AC96" s="431">
        <v>610833</v>
      </c>
      <c r="AD96" s="431">
        <v>0</v>
      </c>
      <c r="AE96" s="431">
        <v>1484769</v>
      </c>
      <c r="AF96" s="431">
        <v>1721</v>
      </c>
      <c r="AG96" s="431">
        <v>268730</v>
      </c>
      <c r="AH96" s="431">
        <v>388953</v>
      </c>
      <c r="AI96" s="431">
        <v>567032</v>
      </c>
      <c r="AJ96" s="431">
        <v>145885</v>
      </c>
      <c r="AK96" s="431">
        <v>0</v>
      </c>
      <c r="AL96" s="431">
        <v>880969</v>
      </c>
      <c r="AM96" s="431">
        <v>0</v>
      </c>
    </row>
    <row r="97" spans="1:39" s="155" customFormat="1" ht="12" x14ac:dyDescent="0.2">
      <c r="A97" s="168">
        <v>43</v>
      </c>
      <c r="B97" s="579">
        <v>94456</v>
      </c>
      <c r="C97" s="268" t="s">
        <v>3153</v>
      </c>
      <c r="D97" s="432">
        <f t="shared" si="8"/>
        <v>3721654</v>
      </c>
      <c r="E97" s="431">
        <v>1688548</v>
      </c>
      <c r="F97" s="431">
        <v>713569</v>
      </c>
      <c r="G97" s="431">
        <v>56801</v>
      </c>
      <c r="H97" s="431">
        <v>0</v>
      </c>
      <c r="I97" s="431">
        <v>877000</v>
      </c>
      <c r="J97" s="431">
        <v>290000</v>
      </c>
      <c r="K97" s="431">
        <v>440150</v>
      </c>
      <c r="L97" s="436"/>
      <c r="M97" s="431">
        <v>108049</v>
      </c>
      <c r="N97" s="431">
        <v>317907</v>
      </c>
      <c r="O97" s="431">
        <v>0</v>
      </c>
      <c r="P97" s="432">
        <f t="shared" si="11"/>
        <v>3600010</v>
      </c>
      <c r="Q97" s="431">
        <v>1115612</v>
      </c>
      <c r="R97" s="431">
        <v>962446</v>
      </c>
      <c r="S97" s="431">
        <v>0</v>
      </c>
      <c r="T97" s="431">
        <v>0</v>
      </c>
      <c r="U97" s="431">
        <v>0</v>
      </c>
      <c r="V97" s="431">
        <v>0</v>
      </c>
      <c r="W97" s="431">
        <v>0</v>
      </c>
      <c r="X97" s="431">
        <v>204600</v>
      </c>
      <c r="Y97" s="431">
        <v>0</v>
      </c>
      <c r="Z97" s="431">
        <v>1321114</v>
      </c>
      <c r="AA97" s="431">
        <v>0</v>
      </c>
      <c r="AB97" s="431">
        <v>-3762</v>
      </c>
      <c r="AC97" s="431">
        <v>704042</v>
      </c>
      <c r="AD97" s="431">
        <v>294826</v>
      </c>
      <c r="AE97" s="431">
        <v>780048</v>
      </c>
      <c r="AF97" s="431">
        <v>0</v>
      </c>
      <c r="AG97" s="431">
        <v>105270</v>
      </c>
      <c r="AH97" s="431">
        <v>497274</v>
      </c>
      <c r="AI97" s="431">
        <v>69955</v>
      </c>
      <c r="AJ97" s="431">
        <v>83057</v>
      </c>
      <c r="AK97" s="431">
        <v>0</v>
      </c>
      <c r="AL97" s="431">
        <v>1065538</v>
      </c>
      <c r="AM97" s="431">
        <v>0</v>
      </c>
    </row>
    <row r="98" spans="1:39" s="155" customFormat="1" ht="12" x14ac:dyDescent="0.2">
      <c r="A98" s="168">
        <v>44</v>
      </c>
      <c r="B98" s="579">
        <v>105026</v>
      </c>
      <c r="C98" s="268" t="s">
        <v>3154</v>
      </c>
      <c r="D98" s="432">
        <f t="shared" si="8"/>
        <v>5501436</v>
      </c>
      <c r="E98" s="431">
        <v>3788407</v>
      </c>
      <c r="F98" s="431">
        <v>1043933</v>
      </c>
      <c r="G98" s="431">
        <v>40778</v>
      </c>
      <c r="H98" s="431">
        <v>0</v>
      </c>
      <c r="I98" s="431">
        <v>1108154</v>
      </c>
      <c r="J98" s="431">
        <v>270000</v>
      </c>
      <c r="K98" s="431">
        <v>179920</v>
      </c>
      <c r="L98" s="436"/>
      <c r="M98" s="431">
        <v>21769</v>
      </c>
      <c r="N98" s="431">
        <v>104456</v>
      </c>
      <c r="O98" s="431">
        <v>28730</v>
      </c>
      <c r="P98" s="432">
        <f t="shared" si="11"/>
        <v>5164542</v>
      </c>
      <c r="Q98" s="431">
        <v>1328999</v>
      </c>
      <c r="R98" s="431">
        <v>1106682</v>
      </c>
      <c r="S98" s="431">
        <v>10000</v>
      </c>
      <c r="T98" s="431">
        <v>0</v>
      </c>
      <c r="U98" s="431">
        <v>0</v>
      </c>
      <c r="V98" s="431">
        <v>0</v>
      </c>
      <c r="W98" s="431">
        <v>0</v>
      </c>
      <c r="X98" s="431">
        <v>134331</v>
      </c>
      <c r="Y98" s="431">
        <v>0</v>
      </c>
      <c r="Z98" s="431">
        <v>2592530</v>
      </c>
      <c r="AA98" s="431">
        <v>12000</v>
      </c>
      <c r="AB98" s="431">
        <v>-20000</v>
      </c>
      <c r="AC98" s="431">
        <v>573864</v>
      </c>
      <c r="AD98" s="431">
        <v>161541</v>
      </c>
      <c r="AE98" s="431">
        <v>1242732</v>
      </c>
      <c r="AF98" s="431">
        <v>0</v>
      </c>
      <c r="AG98" s="431">
        <v>85446</v>
      </c>
      <c r="AH98" s="431">
        <v>178437</v>
      </c>
      <c r="AI98" s="431">
        <v>184924</v>
      </c>
      <c r="AJ98" s="431">
        <v>63335</v>
      </c>
      <c r="AK98" s="431">
        <v>0</v>
      </c>
      <c r="AL98" s="431">
        <v>2674263</v>
      </c>
      <c r="AM98" s="431">
        <v>0</v>
      </c>
    </row>
    <row r="99" spans="1:39" s="155" customFormat="1" ht="12" x14ac:dyDescent="0.2">
      <c r="A99" s="168">
        <v>45</v>
      </c>
      <c r="B99" s="579">
        <v>94492</v>
      </c>
      <c r="C99" s="268" t="s">
        <v>3155</v>
      </c>
      <c r="D99" s="432">
        <f t="shared" si="8"/>
        <v>4141815</v>
      </c>
      <c r="E99" s="431">
        <v>1143528</v>
      </c>
      <c r="F99" s="431">
        <v>204724</v>
      </c>
      <c r="G99" s="431">
        <v>103809</v>
      </c>
      <c r="H99" s="431">
        <v>0</v>
      </c>
      <c r="I99" s="431">
        <v>909983</v>
      </c>
      <c r="J99" s="431">
        <v>199068</v>
      </c>
      <c r="K99" s="431">
        <v>599100</v>
      </c>
      <c r="L99" s="436"/>
      <c r="M99" s="431">
        <v>638214</v>
      </c>
      <c r="N99" s="431">
        <v>520372</v>
      </c>
      <c r="O99" s="431">
        <v>131550</v>
      </c>
      <c r="P99" s="432">
        <f t="shared" si="11"/>
        <v>3874523</v>
      </c>
      <c r="Q99" s="431">
        <v>1217445</v>
      </c>
      <c r="R99" s="431">
        <v>526300</v>
      </c>
      <c r="S99" s="431">
        <v>0</v>
      </c>
      <c r="T99" s="431">
        <v>0</v>
      </c>
      <c r="U99" s="431">
        <v>0</v>
      </c>
      <c r="V99" s="431">
        <v>0</v>
      </c>
      <c r="W99" s="431">
        <v>663495</v>
      </c>
      <c r="X99" s="431">
        <v>81604</v>
      </c>
      <c r="Y99" s="431">
        <v>4680</v>
      </c>
      <c r="Z99" s="431">
        <v>1386327</v>
      </c>
      <c r="AA99" s="431">
        <v>0</v>
      </c>
      <c r="AB99" s="431">
        <v>-5328</v>
      </c>
      <c r="AC99" s="431">
        <v>812065</v>
      </c>
      <c r="AD99" s="431">
        <v>5086</v>
      </c>
      <c r="AE99" s="431">
        <v>796710</v>
      </c>
      <c r="AF99" s="431">
        <v>0</v>
      </c>
      <c r="AG99" s="431">
        <v>153497</v>
      </c>
      <c r="AH99" s="431">
        <v>199167</v>
      </c>
      <c r="AI99" s="431">
        <v>509638</v>
      </c>
      <c r="AJ99" s="431">
        <v>188923</v>
      </c>
      <c r="AK99" s="431">
        <v>0</v>
      </c>
      <c r="AL99" s="431">
        <v>1209437</v>
      </c>
      <c r="AM99" s="431">
        <v>0</v>
      </c>
    </row>
    <row r="100" spans="1:39" s="155" customFormat="1" ht="12" x14ac:dyDescent="0.2">
      <c r="A100" s="168">
        <v>46</v>
      </c>
      <c r="B100" s="579">
        <v>94535</v>
      </c>
      <c r="C100" s="268" t="s">
        <v>3156</v>
      </c>
      <c r="D100" s="432">
        <f t="shared" si="8"/>
        <v>3700296</v>
      </c>
      <c r="E100" s="431">
        <v>948450</v>
      </c>
      <c r="F100" s="431">
        <v>258114</v>
      </c>
      <c r="G100" s="431">
        <v>168448</v>
      </c>
      <c r="H100" s="431">
        <v>0</v>
      </c>
      <c r="I100" s="431">
        <v>1021566</v>
      </c>
      <c r="J100" s="431">
        <v>300000</v>
      </c>
      <c r="K100" s="431">
        <v>846770</v>
      </c>
      <c r="L100" s="436"/>
      <c r="M100" s="431">
        <v>499668</v>
      </c>
      <c r="N100" s="431">
        <v>48679</v>
      </c>
      <c r="O100" s="431">
        <v>35163</v>
      </c>
      <c r="P100" s="432">
        <f t="shared" si="11"/>
        <v>3655835</v>
      </c>
      <c r="Q100" s="431">
        <v>1264744</v>
      </c>
      <c r="R100" s="431">
        <v>1167578</v>
      </c>
      <c r="S100" s="431">
        <v>0</v>
      </c>
      <c r="T100" s="431">
        <v>0</v>
      </c>
      <c r="U100" s="431">
        <v>0</v>
      </c>
      <c r="V100" s="431">
        <v>0</v>
      </c>
      <c r="W100" s="431">
        <v>0</v>
      </c>
      <c r="X100" s="431">
        <v>174956</v>
      </c>
      <c r="Y100" s="431">
        <v>0</v>
      </c>
      <c r="Z100" s="431">
        <v>1049323</v>
      </c>
      <c r="AA100" s="431">
        <v>0</v>
      </c>
      <c r="AB100" s="431">
        <v>-766</v>
      </c>
      <c r="AC100" s="431">
        <v>713131</v>
      </c>
      <c r="AD100" s="431">
        <v>0</v>
      </c>
      <c r="AE100" s="431">
        <v>821576</v>
      </c>
      <c r="AF100" s="431">
        <v>0</v>
      </c>
      <c r="AG100" s="431">
        <v>224856</v>
      </c>
      <c r="AH100" s="431">
        <v>298289</v>
      </c>
      <c r="AI100" s="431">
        <v>210311</v>
      </c>
      <c r="AJ100" s="431">
        <v>670</v>
      </c>
      <c r="AK100" s="431">
        <v>0</v>
      </c>
      <c r="AL100" s="431">
        <v>1387002</v>
      </c>
      <c r="AM100" s="431">
        <v>0</v>
      </c>
    </row>
    <row r="101" spans="1:39" s="155" customFormat="1" ht="12" x14ac:dyDescent="0.2">
      <c r="A101" s="168">
        <v>47</v>
      </c>
      <c r="B101" s="579">
        <v>94688</v>
      </c>
      <c r="C101" s="268" t="s">
        <v>3157</v>
      </c>
      <c r="D101" s="432">
        <f t="shared" si="8"/>
        <v>3988930</v>
      </c>
      <c r="E101" s="431">
        <v>864750</v>
      </c>
      <c r="F101" s="431">
        <v>255508</v>
      </c>
      <c r="G101" s="431">
        <v>171384</v>
      </c>
      <c r="H101" s="431">
        <v>0</v>
      </c>
      <c r="I101" s="431">
        <v>876222</v>
      </c>
      <c r="J101" s="431">
        <v>600000</v>
      </c>
      <c r="K101" s="431">
        <v>923590</v>
      </c>
      <c r="L101" s="436"/>
      <c r="M101" s="431">
        <v>179123</v>
      </c>
      <c r="N101" s="431">
        <v>545245</v>
      </c>
      <c r="O101" s="431">
        <v>0</v>
      </c>
      <c r="P101" s="432">
        <f t="shared" si="11"/>
        <v>3632646</v>
      </c>
      <c r="Q101" s="431">
        <v>1063911</v>
      </c>
      <c r="R101" s="431">
        <v>872053</v>
      </c>
      <c r="S101" s="431">
        <v>0</v>
      </c>
      <c r="T101" s="431">
        <v>0</v>
      </c>
      <c r="U101" s="431">
        <v>0</v>
      </c>
      <c r="V101" s="431">
        <v>16500</v>
      </c>
      <c r="W101" s="431">
        <v>739519</v>
      </c>
      <c r="X101" s="431">
        <v>318531</v>
      </c>
      <c r="Y101" s="431">
        <v>0</v>
      </c>
      <c r="Z101" s="431">
        <v>628008</v>
      </c>
      <c r="AA101" s="431">
        <v>0</v>
      </c>
      <c r="AB101" s="431">
        <v>-5876</v>
      </c>
      <c r="AC101" s="431">
        <v>819450</v>
      </c>
      <c r="AD101" s="431">
        <v>0</v>
      </c>
      <c r="AE101" s="431">
        <v>836970</v>
      </c>
      <c r="AF101" s="431">
        <v>0</v>
      </c>
      <c r="AG101" s="431">
        <v>83315</v>
      </c>
      <c r="AH101" s="431">
        <v>333695</v>
      </c>
      <c r="AI101" s="431">
        <v>158379</v>
      </c>
      <c r="AJ101" s="431">
        <v>424198</v>
      </c>
      <c r="AK101" s="431">
        <v>0</v>
      </c>
      <c r="AL101" s="431">
        <v>976639</v>
      </c>
      <c r="AM101" s="431">
        <v>0</v>
      </c>
    </row>
    <row r="102" spans="1:39" s="155" customFormat="1" ht="12" x14ac:dyDescent="0.2">
      <c r="A102" s="168">
        <v>48</v>
      </c>
      <c r="B102" s="579">
        <v>105794</v>
      </c>
      <c r="C102" s="268" t="s">
        <v>3158</v>
      </c>
      <c r="D102" s="432">
        <f t="shared" si="8"/>
        <v>3194664</v>
      </c>
      <c r="E102" s="431">
        <v>1040345</v>
      </c>
      <c r="F102" s="431">
        <v>288888</v>
      </c>
      <c r="G102" s="431">
        <v>131231</v>
      </c>
      <c r="H102" s="431">
        <v>0</v>
      </c>
      <c r="I102" s="431">
        <v>926403</v>
      </c>
      <c r="J102" s="431">
        <v>400000</v>
      </c>
      <c r="K102" s="431">
        <v>679960</v>
      </c>
      <c r="L102" s="436"/>
      <c r="M102" s="431">
        <v>72379</v>
      </c>
      <c r="N102" s="431">
        <v>75577</v>
      </c>
      <c r="O102" s="431">
        <v>0</v>
      </c>
      <c r="P102" s="432">
        <f t="shared" si="11"/>
        <v>2613568</v>
      </c>
      <c r="Q102" s="431">
        <v>1040145</v>
      </c>
      <c r="R102" s="431">
        <v>1040681</v>
      </c>
      <c r="S102" s="431">
        <v>0</v>
      </c>
      <c r="T102" s="431">
        <v>0</v>
      </c>
      <c r="U102" s="431">
        <v>0</v>
      </c>
      <c r="V102" s="431">
        <v>0</v>
      </c>
      <c r="W102" s="431">
        <v>0</v>
      </c>
      <c r="X102" s="431">
        <v>264395</v>
      </c>
      <c r="Y102" s="431">
        <v>4000</v>
      </c>
      <c r="Z102" s="431">
        <v>268134</v>
      </c>
      <c r="AA102" s="431">
        <v>0</v>
      </c>
      <c r="AB102" s="431">
        <v>-3787</v>
      </c>
      <c r="AC102" s="431">
        <v>512665</v>
      </c>
      <c r="AD102" s="431">
        <v>100471</v>
      </c>
      <c r="AE102" s="431">
        <v>816624</v>
      </c>
      <c r="AF102" s="431">
        <v>0</v>
      </c>
      <c r="AG102" s="431">
        <v>63292</v>
      </c>
      <c r="AH102" s="431">
        <v>304714</v>
      </c>
      <c r="AI102" s="431">
        <v>186854</v>
      </c>
      <c r="AJ102" s="431">
        <v>69210</v>
      </c>
      <c r="AK102" s="431">
        <v>0</v>
      </c>
      <c r="AL102" s="431">
        <v>549640</v>
      </c>
      <c r="AM102" s="431">
        <v>10098</v>
      </c>
    </row>
    <row r="103" spans="1:39" s="155" customFormat="1" ht="12" x14ac:dyDescent="0.2">
      <c r="A103" s="168">
        <v>49</v>
      </c>
      <c r="B103" s="579">
        <v>94795</v>
      </c>
      <c r="C103" s="268" t="s">
        <v>3159</v>
      </c>
      <c r="D103" s="432">
        <f t="shared" si="8"/>
        <v>6030355</v>
      </c>
      <c r="E103" s="431">
        <v>2515029</v>
      </c>
      <c r="F103" s="431">
        <v>400383</v>
      </c>
      <c r="G103" s="431">
        <v>93749</v>
      </c>
      <c r="H103" s="431">
        <v>0</v>
      </c>
      <c r="I103" s="431">
        <v>971050</v>
      </c>
      <c r="J103" s="431">
        <v>0</v>
      </c>
      <c r="K103" s="431">
        <v>416630</v>
      </c>
      <c r="L103" s="436"/>
      <c r="M103" s="431">
        <v>1845298</v>
      </c>
      <c r="N103" s="431">
        <v>277548</v>
      </c>
      <c r="O103" s="431">
        <v>4800</v>
      </c>
      <c r="P103" s="432">
        <f t="shared" si="11"/>
        <v>4918117</v>
      </c>
      <c r="Q103" s="431">
        <v>1145910</v>
      </c>
      <c r="R103" s="431">
        <v>1114727</v>
      </c>
      <c r="S103" s="431">
        <v>0</v>
      </c>
      <c r="T103" s="431">
        <v>0</v>
      </c>
      <c r="U103" s="431">
        <v>0</v>
      </c>
      <c r="V103" s="431">
        <v>0</v>
      </c>
      <c r="W103" s="431">
        <v>341676</v>
      </c>
      <c r="X103" s="431">
        <v>147163</v>
      </c>
      <c r="Y103" s="431">
        <v>12240</v>
      </c>
      <c r="Z103" s="431">
        <v>2163641</v>
      </c>
      <c r="AA103" s="431">
        <v>0</v>
      </c>
      <c r="AB103" s="431">
        <v>-7240</v>
      </c>
      <c r="AC103" s="431">
        <v>688854</v>
      </c>
      <c r="AD103" s="431">
        <v>9436</v>
      </c>
      <c r="AE103" s="431">
        <v>924529</v>
      </c>
      <c r="AF103" s="431">
        <v>15512</v>
      </c>
      <c r="AG103" s="431">
        <v>501859</v>
      </c>
      <c r="AH103" s="431">
        <v>262892</v>
      </c>
      <c r="AI103" s="431">
        <v>236673</v>
      </c>
      <c r="AJ103" s="431">
        <v>1441723</v>
      </c>
      <c r="AK103" s="431">
        <v>0</v>
      </c>
      <c r="AL103" s="431">
        <v>836639</v>
      </c>
      <c r="AM103" s="431">
        <v>0</v>
      </c>
    </row>
    <row r="104" spans="1:39" s="155" customFormat="1" ht="12" x14ac:dyDescent="0.2">
      <c r="A104" s="168">
        <v>50</v>
      </c>
      <c r="B104" s="579">
        <v>179702</v>
      </c>
      <c r="C104" s="268" t="s">
        <v>1930</v>
      </c>
      <c r="D104" s="432">
        <f t="shared" si="8"/>
        <v>4210553</v>
      </c>
      <c r="E104" s="431">
        <v>774343</v>
      </c>
      <c r="F104" s="431">
        <v>147079</v>
      </c>
      <c r="G104" s="431">
        <v>176280</v>
      </c>
      <c r="H104" s="431">
        <v>0</v>
      </c>
      <c r="I104" s="431">
        <v>1697053</v>
      </c>
      <c r="J104" s="431">
        <v>250000</v>
      </c>
      <c r="K104" s="431">
        <v>922570</v>
      </c>
      <c r="L104" s="436"/>
      <c r="M104" s="431">
        <v>414913</v>
      </c>
      <c r="N104" s="431">
        <v>151674</v>
      </c>
      <c r="O104" s="431">
        <v>0</v>
      </c>
      <c r="P104" s="432">
        <f t="shared" si="11"/>
        <v>3996864</v>
      </c>
      <c r="Q104" s="431">
        <v>1839602</v>
      </c>
      <c r="R104" s="431">
        <v>611774</v>
      </c>
      <c r="S104" s="431">
        <v>0</v>
      </c>
      <c r="T104" s="431">
        <v>0</v>
      </c>
      <c r="U104" s="431">
        <v>0</v>
      </c>
      <c r="V104" s="431">
        <v>25000</v>
      </c>
      <c r="W104" s="431">
        <v>0</v>
      </c>
      <c r="X104" s="431">
        <v>185254</v>
      </c>
      <c r="Y104" s="431">
        <v>7776</v>
      </c>
      <c r="Z104" s="431">
        <v>1327458</v>
      </c>
      <c r="AA104" s="431">
        <v>0</v>
      </c>
      <c r="AB104" s="431">
        <v>0</v>
      </c>
      <c r="AC104" s="431">
        <v>615423</v>
      </c>
      <c r="AD104" s="431">
        <v>5000</v>
      </c>
      <c r="AE104" s="431">
        <v>1464114</v>
      </c>
      <c r="AF104" s="431">
        <v>43325</v>
      </c>
      <c r="AG104" s="431">
        <v>75785</v>
      </c>
      <c r="AH104" s="431">
        <v>404059</v>
      </c>
      <c r="AI104" s="431">
        <v>80083</v>
      </c>
      <c r="AJ104" s="431">
        <v>25000</v>
      </c>
      <c r="AK104" s="431">
        <v>0</v>
      </c>
      <c r="AL104" s="431">
        <v>1279017</v>
      </c>
      <c r="AM104" s="431">
        <v>5058</v>
      </c>
    </row>
    <row r="105" spans="1:39" s="155" customFormat="1" ht="12" x14ac:dyDescent="0.2">
      <c r="A105" s="168">
        <v>51</v>
      </c>
      <c r="B105" s="579">
        <v>179819</v>
      </c>
      <c r="C105" s="268" t="s">
        <v>3160</v>
      </c>
      <c r="D105" s="432">
        <f t="shared" si="8"/>
        <v>4227129</v>
      </c>
      <c r="E105" s="431">
        <v>1510116</v>
      </c>
      <c r="F105" s="431">
        <v>462603</v>
      </c>
      <c r="G105" s="431">
        <v>120165</v>
      </c>
      <c r="H105" s="431">
        <v>0</v>
      </c>
      <c r="I105" s="431">
        <v>1049214</v>
      </c>
      <c r="J105" s="431">
        <v>271295</v>
      </c>
      <c r="K105" s="431">
        <v>576100</v>
      </c>
      <c r="L105" s="436"/>
      <c r="M105" s="431">
        <v>819904</v>
      </c>
      <c r="N105" s="431">
        <v>0</v>
      </c>
      <c r="O105" s="431">
        <v>500</v>
      </c>
      <c r="P105" s="432">
        <f t="shared" si="11"/>
        <v>3896682</v>
      </c>
      <c r="Q105" s="431">
        <v>1740707</v>
      </c>
      <c r="R105" s="431">
        <v>814629</v>
      </c>
      <c r="S105" s="431">
        <v>0</v>
      </c>
      <c r="T105" s="431">
        <v>0</v>
      </c>
      <c r="U105" s="431">
        <v>0</v>
      </c>
      <c r="V105" s="431">
        <v>0</v>
      </c>
      <c r="W105" s="431">
        <v>184849</v>
      </c>
      <c r="X105" s="431">
        <v>113567</v>
      </c>
      <c r="Y105" s="431">
        <v>5000</v>
      </c>
      <c r="Z105" s="431">
        <v>1037930</v>
      </c>
      <c r="AA105" s="431">
        <v>0</v>
      </c>
      <c r="AB105" s="431">
        <v>0</v>
      </c>
      <c r="AC105" s="431">
        <v>527512</v>
      </c>
      <c r="AD105" s="431">
        <v>100544</v>
      </c>
      <c r="AE105" s="431">
        <v>1233176</v>
      </c>
      <c r="AF105" s="431">
        <v>0</v>
      </c>
      <c r="AG105" s="431">
        <v>114131</v>
      </c>
      <c r="AH105" s="431">
        <v>370813</v>
      </c>
      <c r="AI105" s="431">
        <v>280903</v>
      </c>
      <c r="AJ105" s="431">
        <v>46824</v>
      </c>
      <c r="AK105" s="431">
        <v>0</v>
      </c>
      <c r="AL105" s="431">
        <v>1222779</v>
      </c>
      <c r="AM105" s="431">
        <v>0</v>
      </c>
    </row>
    <row r="106" spans="1:39" s="155" customFormat="1" ht="12" x14ac:dyDescent="0.2">
      <c r="A106" s="168">
        <v>52</v>
      </c>
      <c r="B106" s="579">
        <v>179784</v>
      </c>
      <c r="C106" s="268" t="s">
        <v>3161</v>
      </c>
      <c r="D106" s="432">
        <f t="shared" si="8"/>
        <v>3582304</v>
      </c>
      <c r="E106" s="431">
        <v>774948</v>
      </c>
      <c r="F106" s="431">
        <v>198791</v>
      </c>
      <c r="G106" s="431">
        <v>206641</v>
      </c>
      <c r="H106" s="431">
        <v>0</v>
      </c>
      <c r="I106" s="431">
        <v>1279804</v>
      </c>
      <c r="J106" s="431">
        <v>200000</v>
      </c>
      <c r="K106" s="431">
        <v>1061150</v>
      </c>
      <c r="L106" s="436"/>
      <c r="M106" s="431">
        <v>65852</v>
      </c>
      <c r="N106" s="431">
        <v>190000</v>
      </c>
      <c r="O106" s="431">
        <v>10550</v>
      </c>
      <c r="P106" s="432">
        <f t="shared" si="11"/>
        <v>2990104</v>
      </c>
      <c r="Q106" s="431">
        <v>1720129</v>
      </c>
      <c r="R106" s="431">
        <v>591720</v>
      </c>
      <c r="S106" s="431">
        <v>0</v>
      </c>
      <c r="T106" s="431">
        <v>0</v>
      </c>
      <c r="U106" s="431">
        <v>0</v>
      </c>
      <c r="V106" s="431">
        <v>0</v>
      </c>
      <c r="W106" s="431">
        <v>449017</v>
      </c>
      <c r="X106" s="431">
        <v>102233</v>
      </c>
      <c r="Y106" s="431">
        <v>0</v>
      </c>
      <c r="Z106" s="431">
        <v>138399</v>
      </c>
      <c r="AA106" s="431">
        <v>0</v>
      </c>
      <c r="AB106" s="431">
        <v>-11394</v>
      </c>
      <c r="AC106" s="431">
        <v>767478</v>
      </c>
      <c r="AD106" s="431">
        <v>31440</v>
      </c>
      <c r="AE106" s="431">
        <v>1062327</v>
      </c>
      <c r="AF106" s="431">
        <v>0</v>
      </c>
      <c r="AG106" s="431">
        <v>66046</v>
      </c>
      <c r="AH106" s="431">
        <v>365875</v>
      </c>
      <c r="AI106" s="431">
        <v>205941</v>
      </c>
      <c r="AJ106" s="431">
        <v>8999</v>
      </c>
      <c r="AK106" s="431">
        <v>0</v>
      </c>
      <c r="AL106" s="431">
        <v>472783</v>
      </c>
      <c r="AM106" s="431">
        <v>9215</v>
      </c>
    </row>
    <row r="107" spans="1:39" s="155" customFormat="1" ht="12" x14ac:dyDescent="0.2">
      <c r="A107" s="168">
        <v>53</v>
      </c>
      <c r="B107" s="579">
        <v>179828</v>
      </c>
      <c r="C107" s="268" t="s">
        <v>2549</v>
      </c>
      <c r="D107" s="432">
        <f t="shared" si="8"/>
        <v>4823634</v>
      </c>
      <c r="E107" s="431">
        <v>680208</v>
      </c>
      <c r="F107" s="431">
        <v>70859</v>
      </c>
      <c r="G107" s="431">
        <v>216434</v>
      </c>
      <c r="H107" s="431">
        <v>0</v>
      </c>
      <c r="I107" s="431">
        <v>1183883</v>
      </c>
      <c r="J107" s="431">
        <v>330000</v>
      </c>
      <c r="K107" s="431">
        <v>1076420</v>
      </c>
      <c r="L107" s="436"/>
      <c r="M107" s="431">
        <v>35109</v>
      </c>
      <c r="N107" s="431">
        <v>1496514</v>
      </c>
      <c r="O107" s="431">
        <v>21500</v>
      </c>
      <c r="P107" s="432">
        <f t="shared" si="11"/>
        <v>3662298</v>
      </c>
      <c r="Q107" s="431">
        <v>1304679</v>
      </c>
      <c r="R107" s="431">
        <v>757106</v>
      </c>
      <c r="S107" s="431">
        <v>0</v>
      </c>
      <c r="T107" s="431">
        <v>0</v>
      </c>
      <c r="U107" s="431">
        <v>0</v>
      </c>
      <c r="V107" s="431">
        <v>0</v>
      </c>
      <c r="W107" s="431">
        <v>1045426</v>
      </c>
      <c r="X107" s="431">
        <v>196152</v>
      </c>
      <c r="Y107" s="431">
        <v>0</v>
      </c>
      <c r="Z107" s="431">
        <v>359431</v>
      </c>
      <c r="AA107" s="431">
        <v>0</v>
      </c>
      <c r="AB107" s="431">
        <v>-496</v>
      </c>
      <c r="AC107" s="431">
        <v>495381</v>
      </c>
      <c r="AD107" s="431">
        <v>3204</v>
      </c>
      <c r="AE107" s="431">
        <v>1126658</v>
      </c>
      <c r="AF107" s="431">
        <v>0</v>
      </c>
      <c r="AG107" s="431">
        <v>257941</v>
      </c>
      <c r="AH107" s="431">
        <v>196152</v>
      </c>
      <c r="AI107" s="431">
        <v>151253</v>
      </c>
      <c r="AJ107" s="431">
        <v>44430</v>
      </c>
      <c r="AK107" s="431">
        <v>0</v>
      </c>
      <c r="AL107" s="431">
        <v>1344479</v>
      </c>
      <c r="AM107" s="431">
        <v>42800</v>
      </c>
    </row>
    <row r="108" spans="1:39" s="155" customFormat="1" ht="12" x14ac:dyDescent="0.2">
      <c r="A108" s="168">
        <v>54</v>
      </c>
      <c r="B108" s="579">
        <v>179999</v>
      </c>
      <c r="C108" s="268" t="s">
        <v>3162</v>
      </c>
      <c r="D108" s="432">
        <f t="shared" si="8"/>
        <v>3149057</v>
      </c>
      <c r="E108" s="431">
        <v>491617</v>
      </c>
      <c r="F108" s="431">
        <v>74765</v>
      </c>
      <c r="G108" s="431">
        <v>232104</v>
      </c>
      <c r="H108" s="431">
        <v>0</v>
      </c>
      <c r="I108" s="431">
        <v>333774</v>
      </c>
      <c r="J108" s="431">
        <v>100000</v>
      </c>
      <c r="K108" s="431">
        <v>1116650</v>
      </c>
      <c r="L108" s="436"/>
      <c r="M108" s="431">
        <v>1101041</v>
      </c>
      <c r="N108" s="431">
        <v>0</v>
      </c>
      <c r="O108" s="431">
        <v>5975</v>
      </c>
      <c r="P108" s="432">
        <f t="shared" si="11"/>
        <v>2774814</v>
      </c>
      <c r="Q108" s="431">
        <v>601932</v>
      </c>
      <c r="R108" s="431">
        <v>654544</v>
      </c>
      <c r="S108" s="431">
        <v>0</v>
      </c>
      <c r="T108" s="431">
        <v>0</v>
      </c>
      <c r="U108" s="431">
        <v>0</v>
      </c>
      <c r="V108" s="431">
        <v>0</v>
      </c>
      <c r="W108" s="431">
        <v>0</v>
      </c>
      <c r="X108" s="431">
        <v>43369</v>
      </c>
      <c r="Y108" s="431">
        <v>0</v>
      </c>
      <c r="Z108" s="431">
        <v>1477253</v>
      </c>
      <c r="AA108" s="431">
        <v>0</v>
      </c>
      <c r="AB108" s="431">
        <v>-2284</v>
      </c>
      <c r="AC108" s="431">
        <v>659229</v>
      </c>
      <c r="AD108" s="431">
        <v>0</v>
      </c>
      <c r="AE108" s="431">
        <v>284974</v>
      </c>
      <c r="AF108" s="431">
        <v>0</v>
      </c>
      <c r="AG108" s="431">
        <v>80093</v>
      </c>
      <c r="AH108" s="431">
        <v>91604</v>
      </c>
      <c r="AI108" s="431">
        <v>391180</v>
      </c>
      <c r="AJ108" s="431">
        <v>18459</v>
      </c>
      <c r="AK108" s="431">
        <v>0</v>
      </c>
      <c r="AL108" s="431">
        <v>1249275</v>
      </c>
      <c r="AM108" s="431">
        <v>0</v>
      </c>
    </row>
    <row r="109" spans="1:39" s="155" customFormat="1" ht="12" x14ac:dyDescent="0.2">
      <c r="A109" s="168">
        <v>55</v>
      </c>
      <c r="B109" s="579">
        <v>180019</v>
      </c>
      <c r="C109" s="268" t="s">
        <v>3041</v>
      </c>
      <c r="D109" s="432">
        <f t="shared" si="8"/>
        <v>2477190</v>
      </c>
      <c r="E109" s="431">
        <v>570433</v>
      </c>
      <c r="F109" s="431">
        <v>93308</v>
      </c>
      <c r="G109" s="431">
        <v>223290</v>
      </c>
      <c r="H109" s="431">
        <v>0</v>
      </c>
      <c r="I109" s="431">
        <v>466916</v>
      </c>
      <c r="J109" s="431">
        <v>280000</v>
      </c>
      <c r="K109" s="431">
        <v>1144850</v>
      </c>
      <c r="L109" s="436"/>
      <c r="M109" s="431">
        <v>14991</v>
      </c>
      <c r="N109" s="431">
        <v>0</v>
      </c>
      <c r="O109" s="431">
        <v>0</v>
      </c>
      <c r="P109" s="432">
        <f t="shared" si="11"/>
        <v>2556934</v>
      </c>
      <c r="Q109" s="431">
        <v>615707</v>
      </c>
      <c r="R109" s="431">
        <v>723212</v>
      </c>
      <c r="S109" s="431">
        <v>0</v>
      </c>
      <c r="T109" s="431">
        <v>0</v>
      </c>
      <c r="U109" s="431">
        <v>0</v>
      </c>
      <c r="V109" s="431">
        <v>0</v>
      </c>
      <c r="W109" s="431">
        <v>0</v>
      </c>
      <c r="X109" s="431">
        <v>251139</v>
      </c>
      <c r="Y109" s="431">
        <v>0</v>
      </c>
      <c r="Z109" s="431">
        <v>966876</v>
      </c>
      <c r="AA109" s="431">
        <v>0</v>
      </c>
      <c r="AB109" s="431">
        <v>0</v>
      </c>
      <c r="AC109" s="431">
        <v>475003</v>
      </c>
      <c r="AD109" s="431">
        <v>39438</v>
      </c>
      <c r="AE109" s="431">
        <v>267675</v>
      </c>
      <c r="AF109" s="431">
        <v>0</v>
      </c>
      <c r="AG109" s="431">
        <v>11038</v>
      </c>
      <c r="AH109" s="431">
        <v>282443</v>
      </c>
      <c r="AI109" s="431">
        <v>67731</v>
      </c>
      <c r="AJ109" s="431">
        <v>39227</v>
      </c>
      <c r="AK109" s="431">
        <v>0</v>
      </c>
      <c r="AL109" s="431">
        <v>1374379</v>
      </c>
      <c r="AM109" s="431">
        <v>0</v>
      </c>
    </row>
    <row r="110" spans="1:39" s="155" customFormat="1" ht="12" x14ac:dyDescent="0.2">
      <c r="A110" s="168">
        <v>56</v>
      </c>
      <c r="B110" s="579">
        <v>180000</v>
      </c>
      <c r="C110" s="268" t="s">
        <v>3163</v>
      </c>
      <c r="D110" s="432">
        <f t="shared" si="8"/>
        <v>3246709</v>
      </c>
      <c r="E110" s="431">
        <v>759037</v>
      </c>
      <c r="F110" s="431">
        <v>138815</v>
      </c>
      <c r="G110" s="431">
        <v>196847</v>
      </c>
      <c r="H110" s="431">
        <v>0</v>
      </c>
      <c r="I110" s="431">
        <v>905000</v>
      </c>
      <c r="J110" s="431">
        <v>30000</v>
      </c>
      <c r="K110" s="431">
        <v>1081680</v>
      </c>
      <c r="L110" s="436"/>
      <c r="M110" s="431">
        <v>470992</v>
      </c>
      <c r="N110" s="431">
        <v>0</v>
      </c>
      <c r="O110" s="431">
        <v>0</v>
      </c>
      <c r="P110" s="432">
        <f t="shared" si="11"/>
        <v>2975348</v>
      </c>
      <c r="Q110" s="431">
        <v>1180398</v>
      </c>
      <c r="R110" s="431">
        <v>589506</v>
      </c>
      <c r="S110" s="431">
        <v>0</v>
      </c>
      <c r="T110" s="431">
        <v>0</v>
      </c>
      <c r="U110" s="431">
        <v>0</v>
      </c>
      <c r="V110" s="431">
        <v>0</v>
      </c>
      <c r="W110" s="431">
        <v>0</v>
      </c>
      <c r="X110" s="431">
        <v>118570</v>
      </c>
      <c r="Y110" s="431">
        <v>7306</v>
      </c>
      <c r="Z110" s="431">
        <v>1079899</v>
      </c>
      <c r="AA110" s="431">
        <v>0</v>
      </c>
      <c r="AB110" s="431">
        <v>-331</v>
      </c>
      <c r="AC110" s="431">
        <v>664676</v>
      </c>
      <c r="AD110" s="431">
        <v>7717</v>
      </c>
      <c r="AE110" s="431">
        <v>785287</v>
      </c>
      <c r="AF110" s="431">
        <v>32439</v>
      </c>
      <c r="AG110" s="431">
        <v>189293</v>
      </c>
      <c r="AH110" s="431">
        <v>255559</v>
      </c>
      <c r="AI110" s="431">
        <v>264572</v>
      </c>
      <c r="AJ110" s="431">
        <v>95118</v>
      </c>
      <c r="AK110" s="431">
        <v>0</v>
      </c>
      <c r="AL110" s="431">
        <v>551723</v>
      </c>
      <c r="AM110" s="431">
        <v>128964</v>
      </c>
    </row>
    <row r="111" spans="1:39" s="155" customFormat="1" ht="12" x14ac:dyDescent="0.2">
      <c r="A111" s="168">
        <v>57</v>
      </c>
      <c r="B111" s="579">
        <v>179980</v>
      </c>
      <c r="C111" s="268" t="s">
        <v>3164</v>
      </c>
      <c r="D111" s="432">
        <f t="shared" si="8"/>
        <v>4517894</v>
      </c>
      <c r="E111" s="431">
        <v>937790</v>
      </c>
      <c r="F111" s="431">
        <v>208450</v>
      </c>
      <c r="G111" s="431">
        <v>162570</v>
      </c>
      <c r="H111" s="431">
        <v>0</v>
      </c>
      <c r="I111" s="431">
        <v>644100</v>
      </c>
      <c r="J111" s="431">
        <v>0</v>
      </c>
      <c r="K111" s="431">
        <v>878270</v>
      </c>
      <c r="L111" s="436"/>
      <c r="M111" s="431">
        <v>544759</v>
      </c>
      <c r="N111" s="431">
        <v>1485009</v>
      </c>
      <c r="O111" s="431">
        <v>27966</v>
      </c>
      <c r="P111" s="432">
        <f t="shared" si="11"/>
        <v>2848812</v>
      </c>
      <c r="Q111" s="431">
        <v>849658</v>
      </c>
      <c r="R111" s="431">
        <v>628958</v>
      </c>
      <c r="S111" s="431">
        <v>0</v>
      </c>
      <c r="T111" s="431">
        <v>0</v>
      </c>
      <c r="U111" s="431">
        <v>0</v>
      </c>
      <c r="V111" s="431">
        <v>0</v>
      </c>
      <c r="W111" s="431">
        <v>323941</v>
      </c>
      <c r="X111" s="431">
        <v>111037</v>
      </c>
      <c r="Y111" s="431">
        <v>0</v>
      </c>
      <c r="Z111" s="431">
        <v>935218</v>
      </c>
      <c r="AA111" s="431">
        <v>0</v>
      </c>
      <c r="AB111" s="431">
        <v>0</v>
      </c>
      <c r="AC111" s="431">
        <v>601897</v>
      </c>
      <c r="AD111" s="431">
        <v>92530</v>
      </c>
      <c r="AE111" s="431">
        <v>775577</v>
      </c>
      <c r="AF111" s="431">
        <v>992</v>
      </c>
      <c r="AG111" s="431">
        <v>80597</v>
      </c>
      <c r="AH111" s="431">
        <v>125739</v>
      </c>
      <c r="AI111" s="431">
        <v>157302</v>
      </c>
      <c r="AJ111" s="431">
        <v>412969</v>
      </c>
      <c r="AK111" s="431">
        <v>0</v>
      </c>
      <c r="AL111" s="431">
        <v>601209</v>
      </c>
      <c r="AM111" s="431">
        <v>0</v>
      </c>
    </row>
    <row r="112" spans="1:39" s="155" customFormat="1" ht="12" x14ac:dyDescent="0.2">
      <c r="A112" s="168">
        <v>58</v>
      </c>
      <c r="B112" s="579">
        <v>180046</v>
      </c>
      <c r="C112" s="268" t="s">
        <v>3165</v>
      </c>
      <c r="D112" s="432">
        <f t="shared" si="8"/>
        <v>3762758</v>
      </c>
      <c r="E112" s="431">
        <v>1198165</v>
      </c>
      <c r="F112" s="431">
        <v>169602</v>
      </c>
      <c r="G112" s="431">
        <v>162570</v>
      </c>
      <c r="H112" s="431">
        <v>0</v>
      </c>
      <c r="I112" s="431">
        <v>1376629</v>
      </c>
      <c r="J112" s="431">
        <v>0</v>
      </c>
      <c r="K112" s="431">
        <v>960400</v>
      </c>
      <c r="L112" s="436"/>
      <c r="M112" s="431">
        <v>43865</v>
      </c>
      <c r="N112" s="431">
        <v>139375</v>
      </c>
      <c r="O112" s="431">
        <v>44324</v>
      </c>
      <c r="P112" s="432">
        <f t="shared" si="11"/>
        <v>3754231</v>
      </c>
      <c r="Q112" s="431">
        <v>1586954</v>
      </c>
      <c r="R112" s="431">
        <v>1222359</v>
      </c>
      <c r="S112" s="431">
        <v>0</v>
      </c>
      <c r="T112" s="431">
        <v>0</v>
      </c>
      <c r="U112" s="431">
        <v>0</v>
      </c>
      <c r="V112" s="431">
        <v>100000</v>
      </c>
      <c r="W112" s="431">
        <v>603182</v>
      </c>
      <c r="X112" s="431">
        <v>235376</v>
      </c>
      <c r="Y112" s="431">
        <v>0</v>
      </c>
      <c r="Z112" s="431">
        <v>9000</v>
      </c>
      <c r="AA112" s="431">
        <v>0</v>
      </c>
      <c r="AB112" s="431">
        <v>-2640</v>
      </c>
      <c r="AC112" s="431">
        <v>929647</v>
      </c>
      <c r="AD112" s="431">
        <v>70432</v>
      </c>
      <c r="AE112" s="431">
        <v>1754155</v>
      </c>
      <c r="AF112" s="431">
        <v>24097</v>
      </c>
      <c r="AG112" s="431">
        <v>132262</v>
      </c>
      <c r="AH112" s="431">
        <v>256927</v>
      </c>
      <c r="AI112" s="431">
        <v>230254</v>
      </c>
      <c r="AJ112" s="431">
        <v>178802</v>
      </c>
      <c r="AK112" s="431">
        <v>0</v>
      </c>
      <c r="AL112" s="431">
        <v>177655</v>
      </c>
      <c r="AM112" s="431">
        <v>0</v>
      </c>
    </row>
    <row r="113" spans="1:39" s="155" customFormat="1" ht="12" x14ac:dyDescent="0.2">
      <c r="A113" s="168">
        <v>59</v>
      </c>
      <c r="B113" s="579">
        <v>180064</v>
      </c>
      <c r="C113" s="268" t="s">
        <v>3166</v>
      </c>
      <c r="D113" s="432">
        <f t="shared" si="8"/>
        <v>5955971</v>
      </c>
      <c r="E113" s="431">
        <v>1009395</v>
      </c>
      <c r="F113" s="431">
        <v>100996</v>
      </c>
      <c r="G113" s="431">
        <v>654835</v>
      </c>
      <c r="H113" s="431">
        <v>0</v>
      </c>
      <c r="I113" s="431">
        <v>2080434</v>
      </c>
      <c r="J113" s="431">
        <v>0</v>
      </c>
      <c r="K113" s="431">
        <v>2733910</v>
      </c>
      <c r="L113" s="436"/>
      <c r="M113" s="431">
        <v>24148</v>
      </c>
      <c r="N113" s="431">
        <v>108084</v>
      </c>
      <c r="O113" s="431">
        <v>0</v>
      </c>
      <c r="P113" s="432">
        <f t="shared" si="11"/>
        <v>4746634</v>
      </c>
      <c r="Q113" s="431">
        <v>2105514</v>
      </c>
      <c r="R113" s="431">
        <v>1127076</v>
      </c>
      <c r="S113" s="431">
        <v>0</v>
      </c>
      <c r="T113" s="431">
        <v>0</v>
      </c>
      <c r="U113" s="431">
        <v>0</v>
      </c>
      <c r="V113" s="431">
        <v>0</v>
      </c>
      <c r="W113" s="431">
        <v>0</v>
      </c>
      <c r="X113" s="431">
        <v>350999</v>
      </c>
      <c r="Y113" s="431">
        <v>936</v>
      </c>
      <c r="Z113" s="431">
        <v>1162109</v>
      </c>
      <c r="AA113" s="431">
        <v>0</v>
      </c>
      <c r="AB113" s="431">
        <v>0</v>
      </c>
      <c r="AC113" s="431">
        <v>1584260</v>
      </c>
      <c r="AD113" s="431">
        <v>0</v>
      </c>
      <c r="AE113" s="431">
        <v>1715226</v>
      </c>
      <c r="AF113" s="431">
        <v>22229</v>
      </c>
      <c r="AG113" s="431">
        <v>61721</v>
      </c>
      <c r="AH113" s="431">
        <v>459252</v>
      </c>
      <c r="AI113" s="431">
        <v>150560</v>
      </c>
      <c r="AJ113" s="431">
        <v>0</v>
      </c>
      <c r="AK113" s="431">
        <v>0</v>
      </c>
      <c r="AL113" s="431">
        <v>735917</v>
      </c>
      <c r="AM113" s="431">
        <v>17469</v>
      </c>
    </row>
    <row r="114" spans="1:39" s="155" customFormat="1" ht="12" hidden="1" x14ac:dyDescent="0.2">
      <c r="A114" s="168">
        <v>60</v>
      </c>
      <c r="B114" s="168"/>
      <c r="C114" s="182"/>
      <c r="D114" s="432">
        <f t="shared" si="8"/>
        <v>0</v>
      </c>
      <c r="E114" s="431"/>
      <c r="F114" s="431"/>
      <c r="G114" s="431"/>
      <c r="H114" s="431"/>
      <c r="I114" s="431"/>
      <c r="J114" s="431"/>
      <c r="K114" s="431"/>
      <c r="L114" s="431"/>
      <c r="M114" s="431"/>
      <c r="N114" s="431"/>
      <c r="O114" s="431"/>
      <c r="P114" s="432">
        <f t="shared" si="11"/>
        <v>0</v>
      </c>
      <c r="Q114" s="431"/>
      <c r="R114" s="431"/>
      <c r="S114" s="431"/>
      <c r="T114" s="431"/>
      <c r="U114" s="431"/>
      <c r="V114" s="431"/>
      <c r="W114" s="431"/>
      <c r="X114" s="431"/>
      <c r="Y114" s="431"/>
      <c r="Z114" s="468"/>
      <c r="AA114" s="431"/>
      <c r="AB114" s="431"/>
      <c r="AC114" s="468"/>
      <c r="AD114" s="431"/>
      <c r="AE114" s="431"/>
      <c r="AF114" s="431"/>
      <c r="AG114" s="431"/>
      <c r="AH114" s="431"/>
      <c r="AI114" s="468"/>
      <c r="AJ114" s="468"/>
      <c r="AK114" s="431"/>
      <c r="AL114" s="431"/>
      <c r="AM114" s="431"/>
    </row>
    <row r="115" spans="1:39" s="155" customFormat="1" ht="12" hidden="1" x14ac:dyDescent="0.2">
      <c r="A115" s="168">
        <v>61</v>
      </c>
      <c r="B115" s="168"/>
      <c r="C115" s="172"/>
      <c r="D115" s="432">
        <f t="shared" si="8"/>
        <v>0</v>
      </c>
      <c r="E115" s="431"/>
      <c r="F115" s="431"/>
      <c r="G115" s="431"/>
      <c r="H115" s="431"/>
      <c r="I115" s="431"/>
      <c r="J115" s="431"/>
      <c r="K115" s="431"/>
      <c r="L115" s="431"/>
      <c r="M115" s="431"/>
      <c r="N115" s="431"/>
      <c r="O115" s="431"/>
      <c r="P115" s="432">
        <f t="shared" si="11"/>
        <v>0</v>
      </c>
      <c r="Q115" s="431"/>
      <c r="R115" s="431"/>
      <c r="S115" s="431"/>
      <c r="T115" s="431"/>
      <c r="U115" s="431"/>
      <c r="V115" s="431"/>
      <c r="W115" s="431"/>
      <c r="X115" s="431"/>
      <c r="Y115" s="431"/>
      <c r="Z115" s="468"/>
      <c r="AA115" s="431"/>
      <c r="AB115" s="431"/>
      <c r="AC115" s="468"/>
      <c r="AD115" s="431"/>
      <c r="AE115" s="431"/>
      <c r="AF115" s="431"/>
      <c r="AG115" s="431"/>
      <c r="AH115" s="431"/>
      <c r="AI115" s="468"/>
      <c r="AJ115" s="468"/>
      <c r="AK115" s="431"/>
      <c r="AL115" s="431"/>
      <c r="AM115" s="431"/>
    </row>
    <row r="116" spans="1:39" s="155" customFormat="1" ht="12" hidden="1" x14ac:dyDescent="0.2">
      <c r="A116" s="168">
        <v>62</v>
      </c>
      <c r="B116" s="168"/>
      <c r="C116" s="172"/>
      <c r="D116" s="432">
        <f t="shared" si="8"/>
        <v>0</v>
      </c>
      <c r="E116" s="431"/>
      <c r="F116" s="431"/>
      <c r="G116" s="431"/>
      <c r="H116" s="431"/>
      <c r="I116" s="431"/>
      <c r="J116" s="431"/>
      <c r="K116" s="431"/>
      <c r="L116" s="431"/>
      <c r="M116" s="431"/>
      <c r="N116" s="431"/>
      <c r="O116" s="431"/>
      <c r="P116" s="432">
        <f t="shared" si="11"/>
        <v>0</v>
      </c>
      <c r="Q116" s="431"/>
      <c r="R116" s="431"/>
      <c r="S116" s="431"/>
      <c r="T116" s="431"/>
      <c r="U116" s="431"/>
      <c r="V116" s="431"/>
      <c r="W116" s="431"/>
      <c r="X116" s="431"/>
      <c r="Y116" s="431"/>
      <c r="Z116" s="468"/>
      <c r="AA116" s="431"/>
      <c r="AB116" s="431"/>
      <c r="AC116" s="468"/>
      <c r="AD116" s="431"/>
      <c r="AE116" s="431"/>
      <c r="AF116" s="431"/>
      <c r="AG116" s="431"/>
      <c r="AH116" s="431"/>
      <c r="AI116" s="468"/>
      <c r="AJ116" s="468"/>
      <c r="AK116" s="431"/>
      <c r="AL116" s="431"/>
      <c r="AM116" s="431"/>
    </row>
    <row r="117" spans="1:39" s="155" customFormat="1" ht="12" hidden="1" x14ac:dyDescent="0.2">
      <c r="A117" s="168">
        <v>63</v>
      </c>
      <c r="B117" s="168"/>
      <c r="C117" s="182"/>
      <c r="D117" s="432">
        <f t="shared" si="8"/>
        <v>0</v>
      </c>
      <c r="E117" s="431"/>
      <c r="F117" s="431"/>
      <c r="G117" s="431"/>
      <c r="H117" s="431"/>
      <c r="I117" s="431"/>
      <c r="J117" s="431"/>
      <c r="K117" s="431"/>
      <c r="L117" s="431"/>
      <c r="M117" s="431"/>
      <c r="N117" s="431"/>
      <c r="O117" s="431"/>
      <c r="P117" s="432">
        <f t="shared" si="11"/>
        <v>0</v>
      </c>
      <c r="Q117" s="431"/>
      <c r="R117" s="431"/>
      <c r="S117" s="431"/>
      <c r="T117" s="431"/>
      <c r="U117" s="431"/>
      <c r="V117" s="431"/>
      <c r="W117" s="431"/>
      <c r="X117" s="431"/>
      <c r="Y117" s="431"/>
      <c r="Z117" s="468"/>
      <c r="AA117" s="431"/>
      <c r="AB117" s="431"/>
      <c r="AC117" s="468"/>
      <c r="AD117" s="431"/>
      <c r="AE117" s="431"/>
      <c r="AF117" s="431"/>
      <c r="AG117" s="431"/>
      <c r="AH117" s="431"/>
      <c r="AI117" s="468"/>
      <c r="AJ117" s="468"/>
      <c r="AK117" s="431"/>
      <c r="AL117" s="431"/>
      <c r="AM117" s="431"/>
    </row>
    <row r="118" spans="1:39" s="155" customFormat="1" ht="12" hidden="1" x14ac:dyDescent="0.2">
      <c r="A118" s="168">
        <v>64</v>
      </c>
      <c r="B118" s="168"/>
      <c r="C118" s="172"/>
      <c r="D118" s="432">
        <f t="shared" ref="D118:D143" si="12">E118+SUM(H118:O118)</f>
        <v>0</v>
      </c>
      <c r="E118" s="431"/>
      <c r="F118" s="431"/>
      <c r="G118" s="431"/>
      <c r="H118" s="431"/>
      <c r="I118" s="431"/>
      <c r="J118" s="431"/>
      <c r="K118" s="431"/>
      <c r="L118" s="431"/>
      <c r="M118" s="431"/>
      <c r="N118" s="431"/>
      <c r="O118" s="431"/>
      <c r="P118" s="432">
        <f t="shared" si="11"/>
        <v>0</v>
      </c>
      <c r="Q118" s="431"/>
      <c r="R118" s="431"/>
      <c r="S118" s="431"/>
      <c r="T118" s="431"/>
      <c r="U118" s="431"/>
      <c r="V118" s="431"/>
      <c r="W118" s="431"/>
      <c r="X118" s="431"/>
      <c r="Y118" s="431"/>
      <c r="Z118" s="468"/>
      <c r="AA118" s="431"/>
      <c r="AB118" s="431"/>
      <c r="AC118" s="468"/>
      <c r="AD118" s="431"/>
      <c r="AE118" s="431"/>
      <c r="AF118" s="431"/>
      <c r="AG118" s="431"/>
      <c r="AH118" s="431"/>
      <c r="AI118" s="468"/>
      <c r="AJ118" s="468"/>
      <c r="AK118" s="431"/>
      <c r="AL118" s="431"/>
      <c r="AM118" s="431"/>
    </row>
    <row r="119" spans="1:39" s="155" customFormat="1" ht="12" hidden="1" x14ac:dyDescent="0.2">
      <c r="A119" s="168">
        <v>65</v>
      </c>
      <c r="B119" s="168"/>
      <c r="C119" s="172"/>
      <c r="D119" s="432">
        <f t="shared" si="12"/>
        <v>0</v>
      </c>
      <c r="E119" s="431"/>
      <c r="F119" s="431"/>
      <c r="G119" s="431"/>
      <c r="H119" s="431"/>
      <c r="I119" s="431"/>
      <c r="J119" s="431"/>
      <c r="K119" s="431"/>
      <c r="L119" s="431"/>
      <c r="M119" s="431"/>
      <c r="N119" s="431"/>
      <c r="O119" s="431"/>
      <c r="P119" s="432">
        <f t="shared" si="11"/>
        <v>0</v>
      </c>
      <c r="Q119" s="431"/>
      <c r="R119" s="431"/>
      <c r="S119" s="431"/>
      <c r="T119" s="431"/>
      <c r="U119" s="431"/>
      <c r="V119" s="431"/>
      <c r="W119" s="431"/>
      <c r="X119" s="431"/>
      <c r="Y119" s="431"/>
      <c r="Z119" s="468"/>
      <c r="AA119" s="431"/>
      <c r="AB119" s="431"/>
      <c r="AC119" s="468"/>
      <c r="AD119" s="431"/>
      <c r="AE119" s="431"/>
      <c r="AF119" s="431"/>
      <c r="AG119" s="431"/>
      <c r="AH119" s="431"/>
      <c r="AI119" s="468"/>
      <c r="AJ119" s="468"/>
      <c r="AK119" s="431"/>
      <c r="AL119" s="431"/>
      <c r="AM119" s="431"/>
    </row>
    <row r="120" spans="1:39" s="155" customFormat="1" ht="12" hidden="1" x14ac:dyDescent="0.2">
      <c r="A120" s="168">
        <v>66</v>
      </c>
      <c r="B120" s="168"/>
      <c r="C120" s="172"/>
      <c r="D120" s="432">
        <f t="shared" si="12"/>
        <v>0</v>
      </c>
      <c r="E120" s="431"/>
      <c r="F120" s="431"/>
      <c r="G120" s="431"/>
      <c r="H120" s="431"/>
      <c r="I120" s="431"/>
      <c r="J120" s="431"/>
      <c r="K120" s="431"/>
      <c r="L120" s="431"/>
      <c r="M120" s="431"/>
      <c r="N120" s="431"/>
      <c r="O120" s="431"/>
      <c r="P120" s="432">
        <f t="shared" si="11"/>
        <v>0</v>
      </c>
      <c r="Q120" s="431"/>
      <c r="R120" s="431"/>
      <c r="S120" s="431"/>
      <c r="T120" s="431"/>
      <c r="U120" s="431"/>
      <c r="V120" s="431"/>
      <c r="W120" s="431"/>
      <c r="X120" s="431"/>
      <c r="Y120" s="431"/>
      <c r="Z120" s="468"/>
      <c r="AA120" s="431"/>
      <c r="AB120" s="431"/>
      <c r="AC120" s="468"/>
      <c r="AD120" s="431"/>
      <c r="AE120" s="431"/>
      <c r="AF120" s="431"/>
      <c r="AG120" s="431"/>
      <c r="AH120" s="431"/>
      <c r="AI120" s="468"/>
      <c r="AJ120" s="468"/>
      <c r="AK120" s="431"/>
      <c r="AL120" s="431"/>
      <c r="AM120" s="431"/>
    </row>
    <row r="121" spans="1:39" s="155" customFormat="1" ht="12" hidden="1" x14ac:dyDescent="0.2">
      <c r="A121" s="168">
        <v>67</v>
      </c>
      <c r="B121" s="168"/>
      <c r="C121" s="172"/>
      <c r="D121" s="432">
        <f t="shared" si="12"/>
        <v>0</v>
      </c>
      <c r="E121" s="431"/>
      <c r="F121" s="431"/>
      <c r="G121" s="431"/>
      <c r="H121" s="431"/>
      <c r="I121" s="431"/>
      <c r="J121" s="431"/>
      <c r="K121" s="431"/>
      <c r="L121" s="431"/>
      <c r="M121" s="431"/>
      <c r="N121" s="431"/>
      <c r="O121" s="431"/>
      <c r="P121" s="432">
        <f t="shared" si="11"/>
        <v>0</v>
      </c>
      <c r="Q121" s="431"/>
      <c r="R121" s="431"/>
      <c r="S121" s="431"/>
      <c r="T121" s="431"/>
      <c r="U121" s="431"/>
      <c r="V121" s="431"/>
      <c r="W121" s="431"/>
      <c r="X121" s="431"/>
      <c r="Y121" s="431"/>
      <c r="Z121" s="468"/>
      <c r="AA121" s="431"/>
      <c r="AB121" s="431"/>
      <c r="AC121" s="468"/>
      <c r="AD121" s="431"/>
      <c r="AE121" s="431"/>
      <c r="AF121" s="431"/>
      <c r="AG121" s="431"/>
      <c r="AH121" s="431"/>
      <c r="AI121" s="468"/>
      <c r="AJ121" s="468"/>
      <c r="AK121" s="431"/>
      <c r="AL121" s="431"/>
      <c r="AM121" s="431"/>
    </row>
    <row r="122" spans="1:39" s="155" customFormat="1" ht="12" hidden="1" x14ac:dyDescent="0.2">
      <c r="A122" s="168">
        <v>68</v>
      </c>
      <c r="B122" s="168"/>
      <c r="C122" s="172"/>
      <c r="D122" s="432">
        <f t="shared" si="12"/>
        <v>0</v>
      </c>
      <c r="E122" s="431"/>
      <c r="F122" s="431"/>
      <c r="G122" s="431"/>
      <c r="H122" s="431"/>
      <c r="I122" s="431"/>
      <c r="J122" s="431"/>
      <c r="K122" s="431"/>
      <c r="L122" s="431"/>
      <c r="M122" s="431"/>
      <c r="N122" s="431"/>
      <c r="O122" s="431"/>
      <c r="P122" s="432">
        <f t="shared" si="11"/>
        <v>0</v>
      </c>
      <c r="Q122" s="431"/>
      <c r="R122" s="431"/>
      <c r="S122" s="431"/>
      <c r="T122" s="431"/>
      <c r="U122" s="431"/>
      <c r="V122" s="431"/>
      <c r="W122" s="431"/>
      <c r="X122" s="431"/>
      <c r="Y122" s="431"/>
      <c r="Z122" s="468"/>
      <c r="AA122" s="431"/>
      <c r="AB122" s="431"/>
      <c r="AC122" s="468"/>
      <c r="AD122" s="431"/>
      <c r="AE122" s="431"/>
      <c r="AF122" s="431"/>
      <c r="AG122" s="431"/>
      <c r="AH122" s="431"/>
      <c r="AI122" s="468"/>
      <c r="AJ122" s="468"/>
      <c r="AK122" s="431"/>
      <c r="AL122" s="431"/>
      <c r="AM122" s="431"/>
    </row>
    <row r="123" spans="1:39" s="155" customFormat="1" ht="12" hidden="1" x14ac:dyDescent="0.2">
      <c r="A123" s="168">
        <v>69</v>
      </c>
      <c r="B123" s="168"/>
      <c r="C123" s="172"/>
      <c r="D123" s="432">
        <f t="shared" si="12"/>
        <v>0</v>
      </c>
      <c r="E123" s="431"/>
      <c r="F123" s="431"/>
      <c r="G123" s="431"/>
      <c r="H123" s="431"/>
      <c r="I123" s="431"/>
      <c r="J123" s="431"/>
      <c r="K123" s="431"/>
      <c r="L123" s="431"/>
      <c r="M123" s="431"/>
      <c r="N123" s="431"/>
      <c r="O123" s="431"/>
      <c r="P123" s="432">
        <f t="shared" si="11"/>
        <v>0</v>
      </c>
      <c r="Q123" s="431"/>
      <c r="R123" s="431"/>
      <c r="S123" s="431"/>
      <c r="T123" s="431"/>
      <c r="U123" s="431"/>
      <c r="V123" s="431"/>
      <c r="W123" s="431"/>
      <c r="X123" s="431"/>
      <c r="Y123" s="431"/>
      <c r="Z123" s="468"/>
      <c r="AA123" s="431"/>
      <c r="AB123" s="431"/>
      <c r="AC123" s="468"/>
      <c r="AD123" s="431"/>
      <c r="AE123" s="431"/>
      <c r="AF123" s="431"/>
      <c r="AG123" s="431"/>
      <c r="AH123" s="431"/>
      <c r="AI123" s="468"/>
      <c r="AJ123" s="468"/>
      <c r="AK123" s="431"/>
      <c r="AL123" s="431"/>
      <c r="AM123" s="431"/>
    </row>
    <row r="124" spans="1:39" s="155" customFormat="1" ht="12" hidden="1" x14ac:dyDescent="0.2">
      <c r="A124" s="168">
        <v>70</v>
      </c>
      <c r="B124" s="168"/>
      <c r="C124" s="172"/>
      <c r="D124" s="432">
        <f t="shared" si="12"/>
        <v>0</v>
      </c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32">
        <f t="shared" si="11"/>
        <v>0</v>
      </c>
      <c r="Q124" s="431"/>
      <c r="R124" s="431"/>
      <c r="S124" s="431"/>
      <c r="T124" s="431"/>
      <c r="U124" s="431"/>
      <c r="V124" s="431"/>
      <c r="W124" s="431"/>
      <c r="X124" s="431"/>
      <c r="Y124" s="431"/>
      <c r="Z124" s="468"/>
      <c r="AA124" s="431"/>
      <c r="AB124" s="431"/>
      <c r="AC124" s="468"/>
      <c r="AD124" s="431"/>
      <c r="AE124" s="431"/>
      <c r="AF124" s="431"/>
      <c r="AG124" s="431"/>
      <c r="AH124" s="431"/>
      <c r="AI124" s="468"/>
      <c r="AJ124" s="468"/>
      <c r="AK124" s="431"/>
      <c r="AL124" s="431"/>
      <c r="AM124" s="431"/>
    </row>
    <row r="125" spans="1:39" s="155" customFormat="1" ht="12" hidden="1" x14ac:dyDescent="0.2">
      <c r="A125" s="168">
        <v>71</v>
      </c>
      <c r="B125" s="168"/>
      <c r="C125" s="172"/>
      <c r="D125" s="432">
        <f t="shared" si="12"/>
        <v>0</v>
      </c>
      <c r="E125" s="431"/>
      <c r="F125" s="431"/>
      <c r="G125" s="431"/>
      <c r="H125" s="431"/>
      <c r="I125" s="431"/>
      <c r="J125" s="431"/>
      <c r="K125" s="431"/>
      <c r="L125" s="431"/>
      <c r="M125" s="431"/>
      <c r="N125" s="431"/>
      <c r="O125" s="431"/>
      <c r="P125" s="432">
        <f t="shared" si="11"/>
        <v>0</v>
      </c>
      <c r="Q125" s="431"/>
      <c r="R125" s="431"/>
      <c r="S125" s="431"/>
      <c r="T125" s="431"/>
      <c r="U125" s="431"/>
      <c r="V125" s="431"/>
      <c r="W125" s="431"/>
      <c r="X125" s="431"/>
      <c r="Y125" s="431"/>
      <c r="Z125" s="468"/>
      <c r="AA125" s="431"/>
      <c r="AB125" s="431"/>
      <c r="AC125" s="468"/>
      <c r="AD125" s="431"/>
      <c r="AE125" s="431"/>
      <c r="AF125" s="431"/>
      <c r="AG125" s="431"/>
      <c r="AH125" s="431"/>
      <c r="AI125" s="468"/>
      <c r="AJ125" s="468"/>
      <c r="AK125" s="431"/>
      <c r="AL125" s="431"/>
      <c r="AM125" s="431"/>
    </row>
    <row r="126" spans="1:39" s="155" customFormat="1" ht="12" hidden="1" x14ac:dyDescent="0.2">
      <c r="A126" s="168">
        <v>72</v>
      </c>
      <c r="B126" s="168"/>
      <c r="C126" s="172"/>
      <c r="D126" s="432">
        <f t="shared" si="12"/>
        <v>0</v>
      </c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32">
        <f t="shared" si="11"/>
        <v>0</v>
      </c>
      <c r="Q126" s="431"/>
      <c r="R126" s="431"/>
      <c r="S126" s="431"/>
      <c r="T126" s="431"/>
      <c r="U126" s="431"/>
      <c r="V126" s="431"/>
      <c r="W126" s="431"/>
      <c r="X126" s="431"/>
      <c r="Y126" s="431"/>
      <c r="Z126" s="468"/>
      <c r="AA126" s="431"/>
      <c r="AB126" s="431"/>
      <c r="AC126" s="468"/>
      <c r="AD126" s="431"/>
      <c r="AE126" s="431"/>
      <c r="AF126" s="431"/>
      <c r="AG126" s="431"/>
      <c r="AH126" s="431"/>
      <c r="AI126" s="468"/>
      <c r="AJ126" s="468"/>
      <c r="AK126" s="431"/>
      <c r="AL126" s="431"/>
      <c r="AM126" s="431"/>
    </row>
    <row r="127" spans="1:39" s="155" customFormat="1" ht="12" hidden="1" x14ac:dyDescent="0.2">
      <c r="A127" s="168">
        <v>73</v>
      </c>
      <c r="B127" s="168"/>
      <c r="C127" s="172"/>
      <c r="D127" s="432">
        <f t="shared" si="12"/>
        <v>0</v>
      </c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32">
        <f t="shared" si="11"/>
        <v>0</v>
      </c>
      <c r="Q127" s="431"/>
      <c r="R127" s="431"/>
      <c r="S127" s="431"/>
      <c r="T127" s="431"/>
      <c r="U127" s="431"/>
      <c r="V127" s="431"/>
      <c r="W127" s="431"/>
      <c r="X127" s="431"/>
      <c r="Y127" s="431"/>
      <c r="Z127" s="468"/>
      <c r="AA127" s="431"/>
      <c r="AB127" s="431"/>
      <c r="AC127" s="468"/>
      <c r="AD127" s="431"/>
      <c r="AE127" s="431"/>
      <c r="AF127" s="431"/>
      <c r="AG127" s="431"/>
      <c r="AH127" s="431"/>
      <c r="AI127" s="468"/>
      <c r="AJ127" s="468"/>
      <c r="AK127" s="431"/>
      <c r="AL127" s="431"/>
      <c r="AM127" s="431"/>
    </row>
    <row r="128" spans="1:39" s="155" customFormat="1" ht="12" hidden="1" x14ac:dyDescent="0.2">
      <c r="A128" s="168">
        <v>74</v>
      </c>
      <c r="B128" s="168"/>
      <c r="C128" s="172"/>
      <c r="D128" s="432">
        <f t="shared" si="12"/>
        <v>0</v>
      </c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32">
        <f t="shared" si="11"/>
        <v>0</v>
      </c>
      <c r="Q128" s="431"/>
      <c r="R128" s="431"/>
      <c r="S128" s="431"/>
      <c r="T128" s="431"/>
      <c r="U128" s="431"/>
      <c r="V128" s="431"/>
      <c r="W128" s="431"/>
      <c r="X128" s="431"/>
      <c r="Y128" s="431"/>
      <c r="Z128" s="468"/>
      <c r="AA128" s="431"/>
      <c r="AB128" s="431"/>
      <c r="AC128" s="468"/>
      <c r="AD128" s="431"/>
      <c r="AE128" s="431"/>
      <c r="AF128" s="431"/>
      <c r="AG128" s="431"/>
      <c r="AH128" s="431"/>
      <c r="AI128" s="468"/>
      <c r="AJ128" s="468"/>
      <c r="AK128" s="431"/>
      <c r="AL128" s="431"/>
      <c r="AM128" s="431"/>
    </row>
    <row r="129" spans="1:39" s="155" customFormat="1" ht="12" hidden="1" x14ac:dyDescent="0.2">
      <c r="A129" s="168">
        <v>75</v>
      </c>
      <c r="B129" s="168"/>
      <c r="C129" s="172"/>
      <c r="D129" s="432">
        <f t="shared" si="12"/>
        <v>0</v>
      </c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32">
        <f t="shared" si="11"/>
        <v>0</v>
      </c>
      <c r="Q129" s="431"/>
      <c r="R129" s="431"/>
      <c r="S129" s="431"/>
      <c r="T129" s="431"/>
      <c r="U129" s="431"/>
      <c r="V129" s="431"/>
      <c r="W129" s="431"/>
      <c r="X129" s="431"/>
      <c r="Y129" s="431"/>
      <c r="Z129" s="468"/>
      <c r="AA129" s="431"/>
      <c r="AB129" s="431"/>
      <c r="AC129" s="468"/>
      <c r="AD129" s="431"/>
      <c r="AE129" s="431"/>
      <c r="AF129" s="431"/>
      <c r="AG129" s="431"/>
      <c r="AH129" s="431"/>
      <c r="AI129" s="468"/>
      <c r="AJ129" s="468"/>
      <c r="AK129" s="431"/>
      <c r="AL129" s="431"/>
      <c r="AM129" s="431"/>
    </row>
    <row r="130" spans="1:39" s="155" customFormat="1" ht="12" hidden="1" x14ac:dyDescent="0.2">
      <c r="A130" s="168">
        <v>76</v>
      </c>
      <c r="B130" s="168"/>
      <c r="C130" s="172"/>
      <c r="D130" s="432">
        <f t="shared" si="12"/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32">
        <f t="shared" si="11"/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</row>
    <row r="131" spans="1:39" s="155" customFormat="1" ht="12" hidden="1" x14ac:dyDescent="0.2">
      <c r="A131" s="168">
        <v>77</v>
      </c>
      <c r="B131" s="168"/>
      <c r="C131" s="172"/>
      <c r="D131" s="432">
        <f t="shared" si="12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2">
        <f t="shared" si="11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</row>
    <row r="132" spans="1:39" s="155" customFormat="1" ht="12" hidden="1" x14ac:dyDescent="0.2">
      <c r="A132" s="168">
        <v>78</v>
      </c>
      <c r="B132" s="168"/>
      <c r="C132" s="172"/>
      <c r="D132" s="432">
        <f t="shared" si="12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2">
        <f t="shared" si="11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</row>
    <row r="133" spans="1:39" s="155" customFormat="1" ht="12" hidden="1" x14ac:dyDescent="0.2">
      <c r="A133" s="168">
        <v>79</v>
      </c>
      <c r="B133" s="168"/>
      <c r="C133" s="172"/>
      <c r="D133" s="432">
        <f t="shared" si="12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si="11"/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155" customFormat="1" ht="12" hidden="1" x14ac:dyDescent="0.2">
      <c r="A134" s="168">
        <v>80</v>
      </c>
      <c r="B134" s="168"/>
      <c r="C134" s="172"/>
      <c r="D134" s="432">
        <f t="shared" si="12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si="11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155" customFormat="1" ht="12" hidden="1" x14ac:dyDescent="0.2">
      <c r="A135" s="168">
        <v>81</v>
      </c>
      <c r="B135" s="168"/>
      <c r="C135" s="172"/>
      <c r="D135" s="432">
        <f t="shared" si="12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11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155" customFormat="1" ht="12" hidden="1" x14ac:dyDescent="0.2">
      <c r="A136" s="168">
        <v>82</v>
      </c>
      <c r="B136" s="168"/>
      <c r="C136" s="172"/>
      <c r="D136" s="432">
        <f t="shared" si="12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11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155" customFormat="1" ht="12" hidden="1" x14ac:dyDescent="0.2">
      <c r="A137" s="168">
        <v>83</v>
      </c>
      <c r="B137" s="168"/>
      <c r="C137" s="172"/>
      <c r="D137" s="432">
        <f t="shared" si="12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11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68"/>
      <c r="C138" s="172"/>
      <c r="D138" s="432">
        <f t="shared" si="12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1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68"/>
      <c r="C139" s="172"/>
      <c r="D139" s="432">
        <f t="shared" si="12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1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68"/>
      <c r="C140" s="172"/>
      <c r="D140" s="432">
        <f t="shared" si="12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1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173"/>
      <c r="D141" s="432">
        <f t="shared" si="12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1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2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1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2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T317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46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46" s="55" customFormat="1" ht="15.75" x14ac:dyDescent="0.25">
      <c r="A2" s="53"/>
      <c r="B2" s="54" t="s">
        <v>965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46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46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46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46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46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46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46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46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46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46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46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46" s="155" customFormat="1" ht="13.5" customHeight="1" x14ac:dyDescent="0.2">
      <c r="A14" s="153" t="s">
        <v>70</v>
      </c>
      <c r="B14" s="154"/>
      <c r="C14" s="202"/>
      <c r="D14" s="432">
        <f>E14+SUM(H14:O14)</f>
        <v>2187760033</v>
      </c>
      <c r="E14" s="432">
        <f>SUM(E15,E16,E33,E54)</f>
        <v>750781565</v>
      </c>
      <c r="F14" s="432">
        <f t="shared" ref="F14:O14" si="0">SUM(F15,F16,F33,F54)</f>
        <v>352678696</v>
      </c>
      <c r="G14" s="432">
        <f t="shared" si="0"/>
        <v>123104837</v>
      </c>
      <c r="H14" s="432">
        <f t="shared" si="0"/>
        <v>129457686</v>
      </c>
      <c r="I14" s="432">
        <f t="shared" si="0"/>
        <v>534210400</v>
      </c>
      <c r="J14" s="432">
        <f t="shared" si="0"/>
        <v>20509919</v>
      </c>
      <c r="K14" s="432">
        <f t="shared" si="0"/>
        <v>106635730</v>
      </c>
      <c r="L14" s="432">
        <f t="shared" si="0"/>
        <v>0</v>
      </c>
      <c r="M14" s="432">
        <f t="shared" si="0"/>
        <v>387440436</v>
      </c>
      <c r="N14" s="432">
        <f t="shared" si="0"/>
        <v>250532803</v>
      </c>
      <c r="O14" s="432">
        <f t="shared" si="0"/>
        <v>8191494</v>
      </c>
      <c r="P14" s="432">
        <f>IF(SUM(Q14:AB14)=SUM(AC14:AM14),SUM(Q14:AB14),"  EROARE ART/CAP")</f>
        <v>2131028459</v>
      </c>
      <c r="Q14" s="432">
        <f t="shared" ref="Q14:AM14" si="1">Q15+Q16+Q33+Q54</f>
        <v>662905113</v>
      </c>
      <c r="R14" s="432">
        <f t="shared" si="1"/>
        <v>313045221</v>
      </c>
      <c r="S14" s="432">
        <f t="shared" si="1"/>
        <v>9901919</v>
      </c>
      <c r="T14" s="432">
        <f t="shared" si="1"/>
        <v>51753851</v>
      </c>
      <c r="U14" s="432">
        <f t="shared" si="1"/>
        <v>96671984</v>
      </c>
      <c r="V14" s="432">
        <f t="shared" si="1"/>
        <v>42841693</v>
      </c>
      <c r="W14" s="432">
        <f t="shared" si="1"/>
        <v>543552128</v>
      </c>
      <c r="X14" s="432">
        <f t="shared" si="1"/>
        <v>155278105</v>
      </c>
      <c r="Y14" s="432">
        <f t="shared" si="1"/>
        <v>29838636</v>
      </c>
      <c r="Z14" s="432">
        <f t="shared" si="1"/>
        <v>200431413</v>
      </c>
      <c r="AA14" s="432">
        <f t="shared" si="1"/>
        <v>55623383</v>
      </c>
      <c r="AB14" s="432">
        <f t="shared" si="1"/>
        <v>-30814987</v>
      </c>
      <c r="AC14" s="432">
        <f t="shared" si="1"/>
        <v>183192686</v>
      </c>
      <c r="AD14" s="432">
        <f t="shared" si="1"/>
        <v>21972202</v>
      </c>
      <c r="AE14" s="432">
        <f t="shared" si="1"/>
        <v>596073922</v>
      </c>
      <c r="AF14" s="432">
        <f t="shared" si="1"/>
        <v>37904036</v>
      </c>
      <c r="AG14" s="432">
        <f t="shared" si="1"/>
        <v>122484313</v>
      </c>
      <c r="AH14" s="432">
        <f t="shared" si="1"/>
        <v>284740175</v>
      </c>
      <c r="AI14" s="432">
        <f t="shared" si="1"/>
        <v>143768194</v>
      </c>
      <c r="AJ14" s="432">
        <f t="shared" si="1"/>
        <v>159998151</v>
      </c>
      <c r="AK14" s="432">
        <f t="shared" si="1"/>
        <v>172105417</v>
      </c>
      <c r="AL14" s="432">
        <f t="shared" si="1"/>
        <v>350195255</v>
      </c>
      <c r="AM14" s="432">
        <f t="shared" si="1"/>
        <v>58594108</v>
      </c>
      <c r="AN14" s="203"/>
      <c r="AO14" s="203"/>
      <c r="AP14" s="203"/>
      <c r="AQ14" s="203"/>
      <c r="AR14" s="203"/>
      <c r="AS14" s="203"/>
      <c r="AT14" s="203"/>
    </row>
    <row r="15" spans="1:46" s="155" customFormat="1" ht="12.75" customHeight="1" x14ac:dyDescent="0.2">
      <c r="A15" s="156" t="s">
        <v>71</v>
      </c>
      <c r="B15" s="157"/>
      <c r="C15" s="158"/>
      <c r="D15" s="432">
        <f>E15+SUM(H15:O15)</f>
        <v>517844713</v>
      </c>
      <c r="E15" s="434">
        <v>127490499</v>
      </c>
      <c r="F15" s="434">
        <v>85305031</v>
      </c>
      <c r="G15" s="434">
        <v>35468718</v>
      </c>
      <c r="H15" s="434">
        <v>129457686</v>
      </c>
      <c r="I15" s="434">
        <v>0</v>
      </c>
      <c r="J15" s="434">
        <v>17110000</v>
      </c>
      <c r="K15" s="434">
        <v>26387990</v>
      </c>
      <c r="L15" s="434">
        <v>0</v>
      </c>
      <c r="M15" s="434">
        <v>138110040</v>
      </c>
      <c r="N15" s="434">
        <v>77447783</v>
      </c>
      <c r="O15" s="434">
        <v>1840715</v>
      </c>
      <c r="P15" s="432">
        <f>IF(SUM(Q15:AB15)=SUM(AC15:AM15),SUM(Q15:AB15),"  EROARE ART/CAP")</f>
        <v>518395669</v>
      </c>
      <c r="Q15" s="431">
        <v>94645825</v>
      </c>
      <c r="R15" s="434">
        <v>34888238</v>
      </c>
      <c r="S15" s="434">
        <v>0</v>
      </c>
      <c r="T15" s="434">
        <v>0</v>
      </c>
      <c r="U15" s="434">
        <v>65464716</v>
      </c>
      <c r="V15" s="434">
        <v>41681267</v>
      </c>
      <c r="W15" s="434">
        <v>175008409</v>
      </c>
      <c r="X15" s="469">
        <v>117528409</v>
      </c>
      <c r="Y15" s="434">
        <v>12867567</v>
      </c>
      <c r="Z15" s="431">
        <v>5639867</v>
      </c>
      <c r="AA15" s="431">
        <v>0</v>
      </c>
      <c r="AB15" s="431">
        <v>-29328629</v>
      </c>
      <c r="AC15" s="445">
        <v>12969160</v>
      </c>
      <c r="AD15" s="431">
        <v>2712198</v>
      </c>
      <c r="AE15" s="434">
        <v>53211096</v>
      </c>
      <c r="AF15" s="434">
        <v>18585208</v>
      </c>
      <c r="AG15" s="434">
        <v>41543171</v>
      </c>
      <c r="AH15" s="434">
        <v>184542938</v>
      </c>
      <c r="AI15" s="434">
        <v>2318000</v>
      </c>
      <c r="AJ15" s="434">
        <v>128821199</v>
      </c>
      <c r="AK15" s="434">
        <v>0</v>
      </c>
      <c r="AL15" s="434">
        <v>46946191</v>
      </c>
      <c r="AM15" s="434">
        <v>26746508</v>
      </c>
      <c r="AN15" s="203"/>
      <c r="AO15" s="203"/>
      <c r="AP15" s="203"/>
      <c r="AQ15" s="203"/>
      <c r="AR15" s="203"/>
      <c r="AS15" s="203"/>
      <c r="AT15" s="203"/>
    </row>
    <row r="16" spans="1:46" s="155" customFormat="1" ht="12" x14ac:dyDescent="0.2">
      <c r="A16" s="156" t="s">
        <v>72</v>
      </c>
      <c r="B16" s="157"/>
      <c r="C16" s="159"/>
      <c r="D16" s="432">
        <f>E16+SUM(H16:O16)</f>
        <v>892423377</v>
      </c>
      <c r="E16" s="433">
        <f>SUM(E18:E32)</f>
        <v>387213219</v>
      </c>
      <c r="F16" s="433">
        <f t="shared" ref="F16:O16" si="2">SUM(F18:F32)</f>
        <v>221271223</v>
      </c>
      <c r="G16" s="433">
        <f t="shared" si="2"/>
        <v>2872072</v>
      </c>
      <c r="H16" s="433">
        <f t="shared" si="2"/>
        <v>0</v>
      </c>
      <c r="I16" s="433">
        <f t="shared" si="2"/>
        <v>258213486</v>
      </c>
      <c r="J16" s="433">
        <f t="shared" si="2"/>
        <v>0</v>
      </c>
      <c r="K16" s="433">
        <f t="shared" si="2"/>
        <v>8557150</v>
      </c>
      <c r="L16" s="433">
        <f t="shared" si="2"/>
        <v>0</v>
      </c>
      <c r="M16" s="433">
        <f t="shared" si="2"/>
        <v>138297217</v>
      </c>
      <c r="N16" s="433">
        <f t="shared" si="2"/>
        <v>100032247</v>
      </c>
      <c r="O16" s="433">
        <f t="shared" si="2"/>
        <v>110058</v>
      </c>
      <c r="P16" s="432">
        <f t="shared" ref="P16:P53" si="3">IF(SUM(Q16:AB16)=SUM(AC16:AM16),SUM(Q16:AB16),"  EROARE ART/CAP")</f>
        <v>895264199</v>
      </c>
      <c r="Q16" s="432">
        <f>SUM(Q18:Q32)</f>
        <v>267452252</v>
      </c>
      <c r="R16" s="432">
        <f t="shared" ref="R16:AM16" si="4">SUM(R18:R32)</f>
        <v>152228882</v>
      </c>
      <c r="S16" s="432">
        <f t="shared" si="4"/>
        <v>8799664</v>
      </c>
      <c r="T16" s="432">
        <f t="shared" si="4"/>
        <v>51686971</v>
      </c>
      <c r="U16" s="432">
        <f t="shared" si="4"/>
        <v>29397288</v>
      </c>
      <c r="V16" s="432">
        <f t="shared" si="4"/>
        <v>140192</v>
      </c>
      <c r="W16" s="432">
        <f t="shared" si="4"/>
        <v>285011678</v>
      </c>
      <c r="X16" s="432">
        <f t="shared" si="4"/>
        <v>14940060</v>
      </c>
      <c r="Y16" s="432">
        <f t="shared" si="4"/>
        <v>12098741</v>
      </c>
      <c r="Z16" s="432">
        <f t="shared" si="4"/>
        <v>26207429</v>
      </c>
      <c r="AA16" s="432">
        <f t="shared" si="4"/>
        <v>48052232</v>
      </c>
      <c r="AB16" s="432">
        <f t="shared" si="4"/>
        <v>-751190</v>
      </c>
      <c r="AC16" s="432">
        <f t="shared" si="4"/>
        <v>55593065</v>
      </c>
      <c r="AD16" s="432">
        <f t="shared" si="4"/>
        <v>14507467</v>
      </c>
      <c r="AE16" s="432">
        <f t="shared" si="4"/>
        <v>264241606</v>
      </c>
      <c r="AF16" s="432">
        <f t="shared" si="4"/>
        <v>16553283</v>
      </c>
      <c r="AG16" s="432">
        <f t="shared" si="4"/>
        <v>53391065</v>
      </c>
      <c r="AH16" s="432">
        <f t="shared" si="4"/>
        <v>48082072</v>
      </c>
      <c r="AI16" s="432">
        <f t="shared" si="4"/>
        <v>60172044</v>
      </c>
      <c r="AJ16" s="432">
        <f t="shared" si="4"/>
        <v>16813197</v>
      </c>
      <c r="AK16" s="432">
        <f t="shared" si="4"/>
        <v>172105417</v>
      </c>
      <c r="AL16" s="432">
        <f t="shared" si="4"/>
        <v>167126673</v>
      </c>
      <c r="AM16" s="432">
        <f t="shared" si="4"/>
        <v>26678310</v>
      </c>
      <c r="AN16" s="203"/>
      <c r="AO16" s="203"/>
      <c r="AP16" s="203"/>
      <c r="AQ16" s="203"/>
      <c r="AR16" s="203"/>
      <c r="AS16" s="203"/>
      <c r="AT16" s="203"/>
    </row>
    <row r="17" spans="1:46" s="155" customFormat="1" ht="22.5" x14ac:dyDescent="0.2">
      <c r="A17" s="277" t="s">
        <v>2306</v>
      </c>
      <c r="B17" s="279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  <c r="AN17" s="203"/>
      <c r="AO17" s="203"/>
      <c r="AP17" s="203"/>
      <c r="AQ17" s="203"/>
      <c r="AR17" s="203"/>
      <c r="AS17" s="203"/>
      <c r="AT17" s="203"/>
    </row>
    <row r="18" spans="1:46" s="155" customFormat="1" ht="12" x14ac:dyDescent="0.2">
      <c r="A18" s="146">
        <v>1</v>
      </c>
      <c r="B18" s="225">
        <v>95060</v>
      </c>
      <c r="C18" s="256" t="s">
        <v>1400</v>
      </c>
      <c r="D18" s="432">
        <f>E18+SUM(H18:O18)</f>
        <v>820638451</v>
      </c>
      <c r="E18" s="434">
        <v>360305313</v>
      </c>
      <c r="F18" s="434">
        <v>208093592</v>
      </c>
      <c r="G18" s="434">
        <v>1996297</v>
      </c>
      <c r="H18" s="434">
        <v>0</v>
      </c>
      <c r="I18" s="434">
        <v>227207882</v>
      </c>
      <c r="J18" s="434">
        <v>0</v>
      </c>
      <c r="K18" s="434">
        <v>6436790</v>
      </c>
      <c r="L18" s="434">
        <v>0</v>
      </c>
      <c r="M18" s="434">
        <v>133915471</v>
      </c>
      <c r="N18" s="434">
        <v>92670937</v>
      </c>
      <c r="O18" s="434">
        <v>102058</v>
      </c>
      <c r="P18" s="432">
        <f>IF(SUM(Q18:AB18)=SUM(AC18:AM18),SUM(Q18:AB18),"  EROARE ART/CAP")</f>
        <v>824608820</v>
      </c>
      <c r="Q18" s="435">
        <v>235009374</v>
      </c>
      <c r="R18" s="435">
        <v>139695889</v>
      </c>
      <c r="S18" s="435">
        <v>8046443</v>
      </c>
      <c r="T18" s="435">
        <v>49943068</v>
      </c>
      <c r="U18" s="435">
        <v>27295546</v>
      </c>
      <c r="V18" s="431">
        <v>138324</v>
      </c>
      <c r="W18" s="431">
        <v>271253882</v>
      </c>
      <c r="X18" s="431">
        <v>13165332</v>
      </c>
      <c r="Y18" s="431">
        <v>11275354</v>
      </c>
      <c r="Z18" s="431">
        <v>23132157</v>
      </c>
      <c r="AA18" s="431">
        <v>46148490</v>
      </c>
      <c r="AB18" s="431">
        <v>-495039</v>
      </c>
      <c r="AC18" s="434">
        <v>50378355</v>
      </c>
      <c r="AD18" s="434">
        <v>13539176</v>
      </c>
      <c r="AE18" s="434">
        <v>234506290</v>
      </c>
      <c r="AF18" s="434">
        <v>15896320</v>
      </c>
      <c r="AG18" s="434">
        <v>50390196</v>
      </c>
      <c r="AH18" s="434">
        <v>44440850</v>
      </c>
      <c r="AI18" s="434">
        <v>40301339</v>
      </c>
      <c r="AJ18" s="434">
        <v>15467030</v>
      </c>
      <c r="AK18" s="434">
        <v>170361514</v>
      </c>
      <c r="AL18" s="434">
        <v>162800738</v>
      </c>
      <c r="AM18" s="434">
        <v>26527012</v>
      </c>
      <c r="AN18" s="203"/>
      <c r="AO18" s="203"/>
      <c r="AP18" s="203"/>
      <c r="AQ18" s="203"/>
      <c r="AR18" s="203"/>
      <c r="AS18" s="203"/>
      <c r="AT18" s="203"/>
    </row>
    <row r="19" spans="1:46" s="155" customFormat="1" ht="12" x14ac:dyDescent="0.2">
      <c r="A19" s="146">
        <v>2</v>
      </c>
      <c r="B19" s="225">
        <v>95391</v>
      </c>
      <c r="C19" s="256" t="s">
        <v>1401</v>
      </c>
      <c r="D19" s="432">
        <f>E19+SUM(H19:O19)</f>
        <v>71784926</v>
      </c>
      <c r="E19" s="434">
        <v>26907906</v>
      </c>
      <c r="F19" s="434">
        <v>13177631</v>
      </c>
      <c r="G19" s="434">
        <v>875775</v>
      </c>
      <c r="H19" s="434">
        <v>0</v>
      </c>
      <c r="I19" s="434">
        <v>31005604</v>
      </c>
      <c r="J19" s="434">
        <v>0</v>
      </c>
      <c r="K19" s="434">
        <v>2120360</v>
      </c>
      <c r="L19" s="434">
        <v>0</v>
      </c>
      <c r="M19" s="434">
        <v>4381746</v>
      </c>
      <c r="N19" s="434">
        <v>7361310</v>
      </c>
      <c r="O19" s="434">
        <v>8000</v>
      </c>
      <c r="P19" s="432">
        <f>IF(SUM(Q19:AB19)=SUM(AC19:AM19),SUM(Q19:AB19),"  EROARE ART/CAP")</f>
        <v>70655379</v>
      </c>
      <c r="Q19" s="435">
        <v>32442878</v>
      </c>
      <c r="R19" s="435">
        <v>12532993</v>
      </c>
      <c r="S19" s="435">
        <v>753221</v>
      </c>
      <c r="T19" s="435">
        <v>1743903</v>
      </c>
      <c r="U19" s="435">
        <v>2101742</v>
      </c>
      <c r="V19" s="431">
        <v>1868</v>
      </c>
      <c r="W19" s="431">
        <v>13757796</v>
      </c>
      <c r="X19" s="431">
        <v>1774728</v>
      </c>
      <c r="Y19" s="431">
        <v>823387</v>
      </c>
      <c r="Z19" s="431">
        <v>3075272</v>
      </c>
      <c r="AA19" s="431">
        <v>1903742</v>
      </c>
      <c r="AB19" s="431">
        <v>-256151</v>
      </c>
      <c r="AC19" s="434">
        <v>5214710</v>
      </c>
      <c r="AD19" s="434">
        <v>968291</v>
      </c>
      <c r="AE19" s="434">
        <v>29735316</v>
      </c>
      <c r="AF19" s="434">
        <v>656963</v>
      </c>
      <c r="AG19" s="434">
        <v>3000869</v>
      </c>
      <c r="AH19" s="434">
        <v>3641222</v>
      </c>
      <c r="AI19" s="434">
        <v>19870705</v>
      </c>
      <c r="AJ19" s="434">
        <v>1346167</v>
      </c>
      <c r="AK19" s="434">
        <v>1743903</v>
      </c>
      <c r="AL19" s="434">
        <v>4325935</v>
      </c>
      <c r="AM19" s="434">
        <v>151298</v>
      </c>
      <c r="AN19" s="203"/>
      <c r="AO19" s="203"/>
      <c r="AP19" s="203"/>
      <c r="AQ19" s="203"/>
      <c r="AR19" s="203"/>
      <c r="AS19" s="203"/>
      <c r="AT19" s="203"/>
    </row>
    <row r="20" spans="1:46" s="155" customFormat="1" ht="12" hidden="1" x14ac:dyDescent="0.2">
      <c r="A20" s="146">
        <v>3</v>
      </c>
      <c r="B20" s="146"/>
      <c r="C20" s="206"/>
      <c r="D20" s="432">
        <f t="shared" ref="D20:D41" si="5">E20+SUM(H20:O20)</f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2">
        <f t="shared" si="3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  <c r="AN20" s="203"/>
      <c r="AO20" s="203"/>
      <c r="AP20" s="203"/>
      <c r="AQ20" s="203"/>
      <c r="AR20" s="203"/>
      <c r="AS20" s="203"/>
      <c r="AT20" s="203"/>
    </row>
    <row r="21" spans="1:46" s="155" customFormat="1" ht="12" hidden="1" x14ac:dyDescent="0.2">
      <c r="A21" s="146">
        <v>4</v>
      </c>
      <c r="B21" s="146"/>
      <c r="C21" s="206"/>
      <c r="D21" s="432">
        <f t="shared" si="5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3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  <c r="AN21" s="203"/>
      <c r="AO21" s="203"/>
      <c r="AP21" s="203"/>
      <c r="AQ21" s="203"/>
      <c r="AR21" s="203"/>
      <c r="AS21" s="203"/>
      <c r="AT21" s="203"/>
    </row>
    <row r="22" spans="1:46" s="155" customFormat="1" ht="12" hidden="1" x14ac:dyDescent="0.2">
      <c r="A22" s="146">
        <v>5</v>
      </c>
      <c r="B22" s="146"/>
      <c r="C22" s="206"/>
      <c r="D22" s="432">
        <f t="shared" si="5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3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  <c r="AN22" s="203"/>
      <c r="AO22" s="203"/>
      <c r="AP22" s="203"/>
      <c r="AQ22" s="203"/>
      <c r="AR22" s="203"/>
      <c r="AS22" s="203"/>
      <c r="AT22" s="203"/>
    </row>
    <row r="23" spans="1:46" s="155" customFormat="1" ht="12" hidden="1" x14ac:dyDescent="0.2">
      <c r="A23" s="146">
        <v>6</v>
      </c>
      <c r="B23" s="146"/>
      <c r="C23" s="206"/>
      <c r="D23" s="432">
        <f t="shared" si="5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3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  <c r="AN23" s="203"/>
      <c r="AO23" s="203"/>
      <c r="AP23" s="203"/>
      <c r="AQ23" s="203"/>
      <c r="AR23" s="203"/>
      <c r="AS23" s="203"/>
      <c r="AT23" s="203"/>
    </row>
    <row r="24" spans="1:46" s="155" customFormat="1" ht="12" hidden="1" x14ac:dyDescent="0.2">
      <c r="A24" s="146">
        <v>7</v>
      </c>
      <c r="B24" s="146"/>
      <c r="C24" s="206"/>
      <c r="D24" s="432">
        <f t="shared" si="5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3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  <c r="AN24" s="203"/>
      <c r="AO24" s="203"/>
      <c r="AP24" s="203"/>
      <c r="AQ24" s="203"/>
      <c r="AR24" s="203"/>
      <c r="AS24" s="203"/>
      <c r="AT24" s="203"/>
    </row>
    <row r="25" spans="1:46" s="155" customFormat="1" ht="12" hidden="1" x14ac:dyDescent="0.2">
      <c r="A25" s="146">
        <v>8</v>
      </c>
      <c r="B25" s="146"/>
      <c r="C25" s="206"/>
      <c r="D25" s="432">
        <f t="shared" si="5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3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  <c r="AN25" s="203"/>
      <c r="AO25" s="203"/>
      <c r="AP25" s="203"/>
      <c r="AQ25" s="203"/>
      <c r="AR25" s="203"/>
      <c r="AS25" s="203"/>
      <c r="AT25" s="203"/>
    </row>
    <row r="26" spans="1:46" s="155" customFormat="1" ht="12" hidden="1" x14ac:dyDescent="0.2">
      <c r="A26" s="146">
        <v>9</v>
      </c>
      <c r="B26" s="146"/>
      <c r="C26" s="206"/>
      <c r="D26" s="432">
        <f t="shared" si="5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3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  <c r="AN26" s="203"/>
      <c r="AO26" s="203"/>
      <c r="AP26" s="203"/>
      <c r="AQ26" s="203"/>
      <c r="AR26" s="203"/>
      <c r="AS26" s="203"/>
      <c r="AT26" s="203"/>
    </row>
    <row r="27" spans="1:46" s="155" customFormat="1" ht="12" hidden="1" x14ac:dyDescent="0.2">
      <c r="A27" s="146">
        <v>10</v>
      </c>
      <c r="B27" s="146"/>
      <c r="C27" s="206"/>
      <c r="D27" s="432">
        <f t="shared" si="5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3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  <c r="AN27" s="203"/>
      <c r="AO27" s="203"/>
      <c r="AP27" s="203"/>
      <c r="AQ27" s="203"/>
      <c r="AR27" s="203"/>
      <c r="AS27" s="203"/>
      <c r="AT27" s="203"/>
    </row>
    <row r="28" spans="1:46" s="155" customFormat="1" ht="12" hidden="1" x14ac:dyDescent="0.2">
      <c r="A28" s="146">
        <v>11</v>
      </c>
      <c r="B28" s="146"/>
      <c r="C28" s="206"/>
      <c r="D28" s="432">
        <f t="shared" si="5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3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  <c r="AN28" s="203"/>
      <c r="AO28" s="203"/>
      <c r="AP28" s="203"/>
      <c r="AQ28" s="203"/>
      <c r="AR28" s="203"/>
      <c r="AS28" s="203"/>
      <c r="AT28" s="203"/>
    </row>
    <row r="29" spans="1:46" s="155" customFormat="1" ht="12" hidden="1" x14ac:dyDescent="0.2">
      <c r="A29" s="146">
        <v>12</v>
      </c>
      <c r="B29" s="146"/>
      <c r="C29" s="206"/>
      <c r="D29" s="432">
        <f t="shared" si="5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3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  <c r="AN29" s="203"/>
      <c r="AO29" s="203"/>
      <c r="AP29" s="203"/>
      <c r="AQ29" s="203"/>
      <c r="AR29" s="203"/>
      <c r="AS29" s="203"/>
      <c r="AT29" s="203"/>
    </row>
    <row r="30" spans="1:46" s="155" customFormat="1" ht="12" hidden="1" x14ac:dyDescent="0.2">
      <c r="A30" s="146">
        <v>13</v>
      </c>
      <c r="B30" s="146"/>
      <c r="C30" s="206"/>
      <c r="D30" s="432">
        <f t="shared" si="5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3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  <c r="AN30" s="203"/>
      <c r="AO30" s="203"/>
      <c r="AP30" s="203"/>
      <c r="AQ30" s="203"/>
      <c r="AR30" s="203"/>
      <c r="AS30" s="203"/>
      <c r="AT30" s="203"/>
    </row>
    <row r="31" spans="1:46" s="155" customFormat="1" ht="12" hidden="1" x14ac:dyDescent="0.2">
      <c r="A31" s="146">
        <v>14</v>
      </c>
      <c r="B31" s="146"/>
      <c r="C31" s="206"/>
      <c r="D31" s="432">
        <f t="shared" si="5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3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  <c r="AN31" s="203"/>
      <c r="AO31" s="203"/>
      <c r="AP31" s="203"/>
      <c r="AQ31" s="203"/>
      <c r="AR31" s="203"/>
      <c r="AS31" s="203"/>
      <c r="AT31" s="203"/>
    </row>
    <row r="32" spans="1:46" s="155" customFormat="1" ht="12" hidden="1" x14ac:dyDescent="0.2">
      <c r="A32" s="146">
        <v>15</v>
      </c>
      <c r="B32" s="146"/>
      <c r="C32" s="207"/>
      <c r="D32" s="432">
        <f t="shared" si="5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3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  <c r="AN32" s="203"/>
      <c r="AO32" s="203"/>
      <c r="AP32" s="203"/>
      <c r="AQ32" s="203"/>
      <c r="AR32" s="203"/>
      <c r="AS32" s="203"/>
      <c r="AT32" s="203"/>
    </row>
    <row r="33" spans="1:46" s="155" customFormat="1" ht="12" x14ac:dyDescent="0.2">
      <c r="A33" s="164" t="s">
        <v>75</v>
      </c>
      <c r="B33" s="164"/>
      <c r="C33" s="208"/>
      <c r="D33" s="432">
        <f t="shared" si="5"/>
        <v>68271751</v>
      </c>
      <c r="E33" s="432">
        <f>SUM(E34:E53)</f>
        <v>19474193</v>
      </c>
      <c r="F33" s="432">
        <f t="shared" ref="F33:O33" si="6">SUM(F34:F53)</f>
        <v>7146633</v>
      </c>
      <c r="G33" s="432">
        <f t="shared" si="6"/>
        <v>4620463</v>
      </c>
      <c r="H33" s="432">
        <f t="shared" si="6"/>
        <v>0</v>
      </c>
      <c r="I33" s="432">
        <f t="shared" si="6"/>
        <v>32910242</v>
      </c>
      <c r="J33" s="432">
        <f t="shared" si="6"/>
        <v>200000</v>
      </c>
      <c r="K33" s="432">
        <f t="shared" si="6"/>
        <v>2790090</v>
      </c>
      <c r="L33" s="432">
        <f t="shared" si="6"/>
        <v>0</v>
      </c>
      <c r="M33" s="432">
        <f t="shared" si="6"/>
        <v>3534528</v>
      </c>
      <c r="N33" s="432">
        <f t="shared" si="6"/>
        <v>9297248</v>
      </c>
      <c r="O33" s="432">
        <f t="shared" si="6"/>
        <v>65450</v>
      </c>
      <c r="P33" s="432">
        <f t="shared" si="3"/>
        <v>67191079</v>
      </c>
      <c r="Q33" s="432">
        <f>SUM(Q34:Q53)</f>
        <v>34801533</v>
      </c>
      <c r="R33" s="432">
        <f t="shared" ref="R33:AM33" si="7">SUM(R34:R53)</f>
        <v>10283221</v>
      </c>
      <c r="S33" s="432">
        <f t="shared" si="7"/>
        <v>237085</v>
      </c>
      <c r="T33" s="432">
        <f t="shared" si="7"/>
        <v>0</v>
      </c>
      <c r="U33" s="432">
        <f t="shared" si="7"/>
        <v>1199942</v>
      </c>
      <c r="V33" s="432">
        <f t="shared" si="7"/>
        <v>29086</v>
      </c>
      <c r="W33" s="432">
        <f t="shared" si="7"/>
        <v>10957596</v>
      </c>
      <c r="X33" s="432">
        <f t="shared" si="7"/>
        <v>1548288</v>
      </c>
      <c r="Y33" s="432">
        <f t="shared" si="7"/>
        <v>332443</v>
      </c>
      <c r="Z33" s="432">
        <f t="shared" si="7"/>
        <v>7349587</v>
      </c>
      <c r="AA33" s="432">
        <f t="shared" si="7"/>
        <v>512840</v>
      </c>
      <c r="AB33" s="432">
        <f t="shared" si="7"/>
        <v>-60542</v>
      </c>
      <c r="AC33" s="432">
        <f t="shared" si="7"/>
        <v>12024051</v>
      </c>
      <c r="AD33" s="432">
        <f t="shared" si="7"/>
        <v>960204</v>
      </c>
      <c r="AE33" s="432">
        <f t="shared" si="7"/>
        <v>35693434</v>
      </c>
      <c r="AF33" s="432">
        <f t="shared" si="7"/>
        <v>1171244</v>
      </c>
      <c r="AG33" s="432">
        <f t="shared" si="7"/>
        <v>2229244</v>
      </c>
      <c r="AH33" s="432">
        <f t="shared" si="7"/>
        <v>5326597</v>
      </c>
      <c r="AI33" s="432">
        <f t="shared" si="7"/>
        <v>5384314</v>
      </c>
      <c r="AJ33" s="432">
        <f t="shared" si="7"/>
        <v>787068</v>
      </c>
      <c r="AK33" s="432">
        <f t="shared" si="7"/>
        <v>0</v>
      </c>
      <c r="AL33" s="432">
        <f t="shared" si="7"/>
        <v>3554956</v>
      </c>
      <c r="AM33" s="432">
        <f t="shared" si="7"/>
        <v>59967</v>
      </c>
      <c r="AN33" s="203"/>
      <c r="AO33" s="203"/>
      <c r="AP33" s="203"/>
      <c r="AQ33" s="203"/>
      <c r="AR33" s="203"/>
      <c r="AS33" s="203"/>
      <c r="AT33" s="203"/>
    </row>
    <row r="34" spans="1:46" s="155" customFormat="1" ht="12" x14ac:dyDescent="0.2">
      <c r="A34" s="146">
        <v>1</v>
      </c>
      <c r="B34" s="225">
        <v>95355</v>
      </c>
      <c r="C34" s="256" t="s">
        <v>1402</v>
      </c>
      <c r="D34" s="432">
        <f>E34+SUM(H34:O34)</f>
        <v>28427588</v>
      </c>
      <c r="E34" s="435">
        <v>6472189</v>
      </c>
      <c r="F34" s="435">
        <v>2485358</v>
      </c>
      <c r="G34" s="435">
        <v>1448660</v>
      </c>
      <c r="H34" s="435">
        <v>0</v>
      </c>
      <c r="I34" s="435">
        <v>12641359</v>
      </c>
      <c r="J34" s="435">
        <v>0</v>
      </c>
      <c r="K34" s="435">
        <v>864460</v>
      </c>
      <c r="L34" s="435">
        <v>0</v>
      </c>
      <c r="M34" s="435">
        <v>774563</v>
      </c>
      <c r="N34" s="435">
        <v>7658017</v>
      </c>
      <c r="O34" s="435">
        <v>17000</v>
      </c>
      <c r="P34" s="432">
        <f>IF(SUM(Q34:AB34)=SUM(AC34:AM34),SUM(Q34:AB34),"  EROARE ART/CAP")</f>
        <v>28283439</v>
      </c>
      <c r="Q34" s="435">
        <v>13282918</v>
      </c>
      <c r="R34" s="435">
        <v>4134546</v>
      </c>
      <c r="S34" s="435">
        <v>0</v>
      </c>
      <c r="T34" s="435">
        <v>0</v>
      </c>
      <c r="U34" s="435">
        <v>338409</v>
      </c>
      <c r="V34" s="431">
        <v>25982</v>
      </c>
      <c r="W34" s="431">
        <v>8472831</v>
      </c>
      <c r="X34" s="431">
        <v>468853</v>
      </c>
      <c r="Y34" s="431">
        <v>178030</v>
      </c>
      <c r="Z34" s="431">
        <v>1386765</v>
      </c>
      <c r="AA34" s="431">
        <v>0</v>
      </c>
      <c r="AB34" s="431">
        <v>-4895</v>
      </c>
      <c r="AC34" s="445">
        <v>7976035</v>
      </c>
      <c r="AD34" s="431">
        <v>523850</v>
      </c>
      <c r="AE34" s="435">
        <v>15690856</v>
      </c>
      <c r="AF34" s="435">
        <v>234076</v>
      </c>
      <c r="AG34" s="435">
        <v>521534</v>
      </c>
      <c r="AH34" s="435">
        <v>1315699</v>
      </c>
      <c r="AI34" s="435">
        <v>388246</v>
      </c>
      <c r="AJ34" s="435">
        <v>715319</v>
      </c>
      <c r="AK34" s="435">
        <v>0</v>
      </c>
      <c r="AL34" s="435">
        <v>917824</v>
      </c>
      <c r="AM34" s="435">
        <v>0</v>
      </c>
      <c r="AN34" s="203"/>
      <c r="AO34" s="203"/>
      <c r="AP34" s="203"/>
      <c r="AQ34" s="203"/>
      <c r="AR34" s="203"/>
      <c r="AS34" s="203"/>
      <c r="AT34" s="203"/>
    </row>
    <row r="35" spans="1:46" s="155" customFormat="1" ht="12" x14ac:dyDescent="0.2">
      <c r="A35" s="146">
        <v>2</v>
      </c>
      <c r="B35" s="225">
        <v>95471</v>
      </c>
      <c r="C35" s="256" t="s">
        <v>1403</v>
      </c>
      <c r="D35" s="432">
        <f>E35+SUM(H35:O35)</f>
        <v>24360501</v>
      </c>
      <c r="E35" s="435">
        <v>7354533</v>
      </c>
      <c r="F35" s="435">
        <v>3247826</v>
      </c>
      <c r="G35" s="435">
        <v>319448</v>
      </c>
      <c r="H35" s="435">
        <v>0</v>
      </c>
      <c r="I35" s="435">
        <v>12194052</v>
      </c>
      <c r="J35" s="435">
        <v>0</v>
      </c>
      <c r="K35" s="435">
        <v>1110590</v>
      </c>
      <c r="L35" s="435">
        <v>0</v>
      </c>
      <c r="M35" s="435">
        <v>2270816</v>
      </c>
      <c r="N35" s="435">
        <v>1416410</v>
      </c>
      <c r="O35" s="435">
        <v>14100</v>
      </c>
      <c r="P35" s="432">
        <f>IF(SUM(Q35:AB35)=SUM(AC35:AM35),SUM(Q35:AB35),"  EROARE ART/CAP")</f>
        <v>23868824</v>
      </c>
      <c r="Q35" s="435">
        <v>12679726</v>
      </c>
      <c r="R35" s="435">
        <v>3895888</v>
      </c>
      <c r="S35" s="435">
        <v>237085</v>
      </c>
      <c r="T35" s="435">
        <v>0</v>
      </c>
      <c r="U35" s="435">
        <v>51233</v>
      </c>
      <c r="V35" s="431">
        <v>88</v>
      </c>
      <c r="W35" s="431">
        <v>2089100</v>
      </c>
      <c r="X35" s="431">
        <v>564327</v>
      </c>
      <c r="Y35" s="431">
        <v>77600</v>
      </c>
      <c r="Z35" s="431">
        <v>3813543</v>
      </c>
      <c r="AA35" s="431">
        <v>512840</v>
      </c>
      <c r="AB35" s="431">
        <v>-52606</v>
      </c>
      <c r="AC35" s="445">
        <v>2671820</v>
      </c>
      <c r="AD35" s="435">
        <v>253116</v>
      </c>
      <c r="AE35" s="435">
        <v>11761237</v>
      </c>
      <c r="AF35" s="435">
        <v>114862</v>
      </c>
      <c r="AG35" s="435">
        <v>1612555</v>
      </c>
      <c r="AH35" s="435">
        <v>3283903</v>
      </c>
      <c r="AI35" s="435">
        <v>1678804</v>
      </c>
      <c r="AJ35" s="435">
        <v>55395</v>
      </c>
      <c r="AK35" s="435">
        <v>0</v>
      </c>
      <c r="AL35" s="435">
        <v>2437132</v>
      </c>
      <c r="AM35" s="435">
        <v>0</v>
      </c>
      <c r="AN35" s="203"/>
      <c r="AO35" s="203"/>
      <c r="AP35" s="203"/>
      <c r="AQ35" s="203"/>
      <c r="AR35" s="203"/>
      <c r="AS35" s="203"/>
      <c r="AT35" s="203"/>
    </row>
    <row r="36" spans="1:46" s="155" customFormat="1" ht="12" x14ac:dyDescent="0.2">
      <c r="A36" s="146">
        <v>3</v>
      </c>
      <c r="B36" s="225">
        <v>98373</v>
      </c>
      <c r="C36" s="256" t="s">
        <v>1404</v>
      </c>
      <c r="D36" s="432">
        <f>E36+SUM(H36:O36)</f>
        <v>15483662</v>
      </c>
      <c r="E36" s="435">
        <v>5647471</v>
      </c>
      <c r="F36" s="435">
        <v>1413449</v>
      </c>
      <c r="G36" s="435">
        <v>2852355</v>
      </c>
      <c r="H36" s="435">
        <v>0</v>
      </c>
      <c r="I36" s="435">
        <v>8074831</v>
      </c>
      <c r="J36" s="435">
        <v>200000</v>
      </c>
      <c r="K36" s="435">
        <v>815040</v>
      </c>
      <c r="L36" s="435">
        <v>0</v>
      </c>
      <c r="M36" s="435">
        <v>489149</v>
      </c>
      <c r="N36" s="435">
        <v>222821</v>
      </c>
      <c r="O36" s="435">
        <v>34350</v>
      </c>
      <c r="P36" s="432">
        <f>IF(SUM(Q36:AB36)=SUM(AC36:AM36),SUM(Q36:AB36),"  EROARE ART/CAP")</f>
        <v>15038816</v>
      </c>
      <c r="Q36" s="435">
        <v>8838889</v>
      </c>
      <c r="R36" s="435">
        <v>2252787</v>
      </c>
      <c r="S36" s="435">
        <v>0</v>
      </c>
      <c r="T36" s="435">
        <v>0</v>
      </c>
      <c r="U36" s="435">
        <v>810300</v>
      </c>
      <c r="V36" s="431">
        <v>3016</v>
      </c>
      <c r="W36" s="431">
        <v>395665</v>
      </c>
      <c r="X36" s="431">
        <v>515108</v>
      </c>
      <c r="Y36" s="431">
        <v>76813</v>
      </c>
      <c r="Z36" s="431">
        <v>2149279</v>
      </c>
      <c r="AA36" s="431">
        <v>0</v>
      </c>
      <c r="AB36" s="431">
        <v>-3041</v>
      </c>
      <c r="AC36" s="445">
        <v>1376196</v>
      </c>
      <c r="AD36" s="435">
        <v>183238</v>
      </c>
      <c r="AE36" s="435">
        <v>8241341</v>
      </c>
      <c r="AF36" s="435">
        <v>822306</v>
      </c>
      <c r="AG36" s="435">
        <v>95155</v>
      </c>
      <c r="AH36" s="435">
        <v>726995</v>
      </c>
      <c r="AI36" s="435">
        <v>3317264</v>
      </c>
      <c r="AJ36" s="435">
        <v>16354</v>
      </c>
      <c r="AK36" s="435">
        <v>0</v>
      </c>
      <c r="AL36" s="435">
        <v>200000</v>
      </c>
      <c r="AM36" s="435">
        <v>59967</v>
      </c>
      <c r="AN36" s="203"/>
      <c r="AO36" s="203"/>
      <c r="AP36" s="203"/>
      <c r="AQ36" s="203"/>
      <c r="AR36" s="203"/>
      <c r="AS36" s="203"/>
      <c r="AT36" s="203"/>
    </row>
    <row r="37" spans="1:46" s="155" customFormat="1" ht="12" hidden="1" x14ac:dyDescent="0.2">
      <c r="A37" s="146">
        <v>4</v>
      </c>
      <c r="B37" s="146"/>
      <c r="C37" s="172"/>
      <c r="D37" s="432">
        <f t="shared" si="5"/>
        <v>0</v>
      </c>
      <c r="E37" s="435"/>
      <c r="F37" s="435"/>
      <c r="G37" s="435"/>
      <c r="H37" s="435"/>
      <c r="I37" s="435"/>
      <c r="J37" s="435"/>
      <c r="K37" s="435"/>
      <c r="L37" s="435"/>
      <c r="M37" s="435"/>
      <c r="N37" s="435"/>
      <c r="O37" s="435"/>
      <c r="P37" s="432">
        <f t="shared" si="3"/>
        <v>0</v>
      </c>
      <c r="Q37" s="435"/>
      <c r="R37" s="435"/>
      <c r="S37" s="435"/>
      <c r="T37" s="435"/>
      <c r="U37" s="435"/>
      <c r="V37" s="431"/>
      <c r="W37" s="431"/>
      <c r="X37" s="431"/>
      <c r="Y37" s="431"/>
      <c r="Z37" s="431"/>
      <c r="AA37" s="431"/>
      <c r="AB37" s="431"/>
      <c r="AC37" s="445"/>
      <c r="AD37" s="435"/>
      <c r="AE37" s="435"/>
      <c r="AF37" s="435"/>
      <c r="AG37" s="435"/>
      <c r="AH37" s="435"/>
      <c r="AI37" s="435"/>
      <c r="AJ37" s="435"/>
      <c r="AK37" s="435"/>
      <c r="AL37" s="435"/>
      <c r="AM37" s="435"/>
      <c r="AN37" s="203"/>
      <c r="AO37" s="203"/>
      <c r="AP37" s="203"/>
      <c r="AQ37" s="203"/>
      <c r="AR37" s="203"/>
      <c r="AS37" s="203"/>
      <c r="AT37" s="203"/>
    </row>
    <row r="38" spans="1:46" s="155" customFormat="1" ht="12" hidden="1" x14ac:dyDescent="0.2">
      <c r="A38" s="146">
        <v>5</v>
      </c>
      <c r="B38" s="146"/>
      <c r="C38" s="172"/>
      <c r="D38" s="432">
        <f t="shared" si="5"/>
        <v>0</v>
      </c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2">
        <f t="shared" si="3"/>
        <v>0</v>
      </c>
      <c r="Q38" s="435"/>
      <c r="R38" s="435"/>
      <c r="S38" s="435"/>
      <c r="T38" s="435"/>
      <c r="U38" s="435"/>
      <c r="V38" s="431"/>
      <c r="W38" s="431"/>
      <c r="X38" s="431"/>
      <c r="Y38" s="431"/>
      <c r="Z38" s="435"/>
      <c r="AA38" s="431"/>
      <c r="AB38" s="431"/>
      <c r="AC38" s="445"/>
      <c r="AD38" s="435"/>
      <c r="AE38" s="435"/>
      <c r="AF38" s="435"/>
      <c r="AG38" s="435"/>
      <c r="AH38" s="435"/>
      <c r="AI38" s="435"/>
      <c r="AJ38" s="435"/>
      <c r="AK38" s="435"/>
      <c r="AL38" s="435"/>
      <c r="AM38" s="435"/>
      <c r="AN38" s="203"/>
      <c r="AO38" s="203"/>
      <c r="AP38" s="203"/>
      <c r="AQ38" s="203"/>
      <c r="AR38" s="203"/>
      <c r="AS38" s="203"/>
      <c r="AT38" s="203"/>
    </row>
    <row r="39" spans="1:46" s="155" customFormat="1" ht="12" hidden="1" x14ac:dyDescent="0.2">
      <c r="A39" s="146">
        <v>6</v>
      </c>
      <c r="B39" s="146"/>
      <c r="C39" s="172"/>
      <c r="D39" s="432">
        <f t="shared" si="5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3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  <c r="AN39" s="203"/>
      <c r="AO39" s="203"/>
      <c r="AP39" s="203"/>
      <c r="AQ39" s="203"/>
      <c r="AR39" s="203"/>
      <c r="AS39" s="203"/>
      <c r="AT39" s="203"/>
    </row>
    <row r="40" spans="1:46" s="155" customFormat="1" ht="12" hidden="1" x14ac:dyDescent="0.2">
      <c r="A40" s="146">
        <v>7</v>
      </c>
      <c r="B40" s="146"/>
      <c r="C40" s="182"/>
      <c r="D40" s="432">
        <f t="shared" si="5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3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  <c r="AN40" s="203"/>
      <c r="AO40" s="203"/>
      <c r="AP40" s="203"/>
      <c r="AQ40" s="203"/>
      <c r="AR40" s="203"/>
      <c r="AS40" s="203"/>
      <c r="AT40" s="203"/>
    </row>
    <row r="41" spans="1:46" s="155" customFormat="1" ht="12" hidden="1" x14ac:dyDescent="0.2">
      <c r="A41" s="146">
        <v>8</v>
      </c>
      <c r="B41" s="146"/>
      <c r="C41" s="173"/>
      <c r="D41" s="432">
        <f t="shared" si="5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3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  <c r="AN41" s="203"/>
      <c r="AO41" s="203"/>
      <c r="AP41" s="203"/>
      <c r="AQ41" s="203"/>
      <c r="AR41" s="203"/>
      <c r="AS41" s="203"/>
      <c r="AT41" s="203"/>
    </row>
    <row r="42" spans="1:46" s="155" customFormat="1" ht="12" hidden="1" x14ac:dyDescent="0.2">
      <c r="A42" s="146">
        <v>9</v>
      </c>
      <c r="B42" s="146"/>
      <c r="C42" s="206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3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  <c r="AN42" s="203"/>
      <c r="AO42" s="203"/>
      <c r="AP42" s="203"/>
      <c r="AQ42" s="203"/>
      <c r="AR42" s="203"/>
      <c r="AS42" s="203"/>
      <c r="AT42" s="203"/>
    </row>
    <row r="43" spans="1:46" s="155" customFormat="1" ht="12" hidden="1" x14ac:dyDescent="0.2">
      <c r="A43" s="146">
        <v>10</v>
      </c>
      <c r="B43" s="146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3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  <c r="AN43" s="203"/>
      <c r="AO43" s="203"/>
      <c r="AP43" s="203"/>
      <c r="AQ43" s="203"/>
      <c r="AR43" s="203"/>
      <c r="AS43" s="203"/>
      <c r="AT43" s="203"/>
    </row>
    <row r="44" spans="1:46" s="155" customFormat="1" ht="12" hidden="1" x14ac:dyDescent="0.2">
      <c r="A44" s="146">
        <v>11</v>
      </c>
      <c r="B44" s="146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3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  <c r="AN44" s="203"/>
      <c r="AO44" s="203"/>
      <c r="AP44" s="203"/>
      <c r="AQ44" s="203"/>
      <c r="AR44" s="203"/>
      <c r="AS44" s="203"/>
      <c r="AT44" s="203"/>
    </row>
    <row r="45" spans="1:46" s="155" customFormat="1" ht="12" hidden="1" x14ac:dyDescent="0.2">
      <c r="A45" s="146">
        <v>12</v>
      </c>
      <c r="B45" s="146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3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  <c r="AN45" s="203"/>
      <c r="AO45" s="203"/>
      <c r="AP45" s="203"/>
      <c r="AQ45" s="203"/>
      <c r="AR45" s="203"/>
      <c r="AS45" s="203"/>
      <c r="AT45" s="203"/>
    </row>
    <row r="46" spans="1:46" s="155" customFormat="1" ht="12" hidden="1" x14ac:dyDescent="0.2">
      <c r="A46" s="146">
        <v>13</v>
      </c>
      <c r="B46" s="146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3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  <c r="AN46" s="203"/>
      <c r="AO46" s="203"/>
      <c r="AP46" s="203"/>
      <c r="AQ46" s="203"/>
      <c r="AR46" s="203"/>
      <c r="AS46" s="203"/>
      <c r="AT46" s="203"/>
    </row>
    <row r="47" spans="1:46" s="155" customFormat="1" ht="12" hidden="1" x14ac:dyDescent="0.2">
      <c r="A47" s="146">
        <v>14</v>
      </c>
      <c r="B47" s="146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3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  <c r="AN47" s="203"/>
      <c r="AO47" s="203"/>
      <c r="AP47" s="203"/>
      <c r="AQ47" s="203"/>
      <c r="AR47" s="203"/>
      <c r="AS47" s="203"/>
      <c r="AT47" s="203"/>
    </row>
    <row r="48" spans="1:46" s="155" customFormat="1" ht="12" hidden="1" x14ac:dyDescent="0.2">
      <c r="A48" s="146">
        <v>15</v>
      </c>
      <c r="B48" s="146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3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  <c r="AN48" s="203"/>
      <c r="AO48" s="203"/>
      <c r="AP48" s="203"/>
      <c r="AQ48" s="203"/>
      <c r="AR48" s="203"/>
      <c r="AS48" s="203"/>
      <c r="AT48" s="203"/>
    </row>
    <row r="49" spans="1:46" s="155" customFormat="1" ht="12" hidden="1" x14ac:dyDescent="0.2">
      <c r="A49" s="146">
        <v>16</v>
      </c>
      <c r="B49" s="146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3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  <c r="AN49" s="203"/>
      <c r="AO49" s="203"/>
      <c r="AP49" s="203"/>
      <c r="AQ49" s="203"/>
      <c r="AR49" s="203"/>
      <c r="AS49" s="203"/>
      <c r="AT49" s="203"/>
    </row>
    <row r="50" spans="1:46" s="155" customFormat="1" ht="12" hidden="1" x14ac:dyDescent="0.2">
      <c r="A50" s="146">
        <v>17</v>
      </c>
      <c r="B50" s="146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3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  <c r="AN50" s="203"/>
      <c r="AO50" s="203"/>
      <c r="AP50" s="203"/>
      <c r="AQ50" s="203"/>
      <c r="AR50" s="203"/>
      <c r="AS50" s="203"/>
      <c r="AT50" s="203"/>
    </row>
    <row r="51" spans="1:46" s="155" customFormat="1" ht="12" hidden="1" x14ac:dyDescent="0.2">
      <c r="A51" s="146">
        <v>18</v>
      </c>
      <c r="B51" s="146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3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  <c r="AN51" s="203"/>
      <c r="AO51" s="203"/>
      <c r="AP51" s="203"/>
      <c r="AQ51" s="203"/>
      <c r="AR51" s="203"/>
      <c r="AS51" s="203"/>
      <c r="AT51" s="203"/>
    </row>
    <row r="52" spans="1:46" s="155" customFormat="1" ht="12" hidden="1" x14ac:dyDescent="0.2">
      <c r="A52" s="146">
        <v>19</v>
      </c>
      <c r="B52" s="146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3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  <c r="AN52" s="203"/>
      <c r="AO52" s="203"/>
      <c r="AP52" s="203"/>
      <c r="AQ52" s="203"/>
      <c r="AR52" s="203"/>
      <c r="AS52" s="203"/>
      <c r="AT52" s="203"/>
    </row>
    <row r="53" spans="1:46" s="155" customFormat="1" ht="12" hidden="1" x14ac:dyDescent="0.2">
      <c r="A53" s="146">
        <v>20</v>
      </c>
      <c r="B53" s="146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3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  <c r="AN53" s="203"/>
      <c r="AO53" s="203"/>
      <c r="AP53" s="203"/>
      <c r="AQ53" s="203"/>
      <c r="AR53" s="203"/>
      <c r="AS53" s="203"/>
      <c r="AT53" s="203"/>
    </row>
    <row r="54" spans="1:46" s="155" customFormat="1" ht="12.75" customHeight="1" x14ac:dyDescent="0.2">
      <c r="A54" s="164" t="s">
        <v>76</v>
      </c>
      <c r="B54" s="164"/>
      <c r="C54" s="208"/>
      <c r="D54" s="432">
        <f t="shared" ref="D54" si="8">E54+SUM(H54:O54)</f>
        <v>709220192</v>
      </c>
      <c r="E54" s="432">
        <f>SUM(E55:E147)</f>
        <v>216603654</v>
      </c>
      <c r="F54" s="432">
        <f t="shared" ref="F54:AM54" si="9">SUM(F55:F147)</f>
        <v>38955809</v>
      </c>
      <c r="G54" s="432">
        <f t="shared" si="9"/>
        <v>80143584</v>
      </c>
      <c r="H54" s="432">
        <f t="shared" si="9"/>
        <v>0</v>
      </c>
      <c r="I54" s="432">
        <f t="shared" si="9"/>
        <v>243086672</v>
      </c>
      <c r="J54" s="432">
        <f t="shared" si="9"/>
        <v>3199919</v>
      </c>
      <c r="K54" s="432">
        <f t="shared" si="9"/>
        <v>68900500</v>
      </c>
      <c r="L54" s="432">
        <f t="shared" si="9"/>
        <v>0</v>
      </c>
      <c r="M54" s="432">
        <f t="shared" si="9"/>
        <v>107498651</v>
      </c>
      <c r="N54" s="432">
        <f t="shared" si="9"/>
        <v>63755525</v>
      </c>
      <c r="O54" s="432">
        <f t="shared" si="9"/>
        <v>6175271</v>
      </c>
      <c r="P54" s="432">
        <f t="shared" si="9"/>
        <v>650177512</v>
      </c>
      <c r="Q54" s="432">
        <f t="shared" si="9"/>
        <v>266005503</v>
      </c>
      <c r="R54" s="432">
        <f t="shared" si="9"/>
        <v>115644880</v>
      </c>
      <c r="S54" s="432">
        <f t="shared" si="9"/>
        <v>865170</v>
      </c>
      <c r="T54" s="432">
        <f t="shared" si="9"/>
        <v>66880</v>
      </c>
      <c r="U54" s="432">
        <f t="shared" si="9"/>
        <v>610038</v>
      </c>
      <c r="V54" s="432">
        <f t="shared" si="9"/>
        <v>991148</v>
      </c>
      <c r="W54" s="432">
        <f t="shared" si="9"/>
        <v>72574445</v>
      </c>
      <c r="X54" s="432">
        <f t="shared" si="9"/>
        <v>21261348</v>
      </c>
      <c r="Y54" s="432">
        <f t="shared" si="9"/>
        <v>4539885</v>
      </c>
      <c r="Z54" s="432">
        <f t="shared" si="9"/>
        <v>161234530</v>
      </c>
      <c r="AA54" s="432">
        <f t="shared" si="9"/>
        <v>7058311</v>
      </c>
      <c r="AB54" s="432">
        <f t="shared" si="9"/>
        <v>-674626</v>
      </c>
      <c r="AC54" s="432">
        <f t="shared" si="9"/>
        <v>102606410</v>
      </c>
      <c r="AD54" s="432">
        <f t="shared" si="9"/>
        <v>3792333</v>
      </c>
      <c r="AE54" s="432">
        <f t="shared" si="9"/>
        <v>242927786</v>
      </c>
      <c r="AF54" s="432">
        <f t="shared" si="9"/>
        <v>1594301</v>
      </c>
      <c r="AG54" s="432">
        <f t="shared" si="9"/>
        <v>25320833</v>
      </c>
      <c r="AH54" s="432">
        <f t="shared" si="9"/>
        <v>46788568</v>
      </c>
      <c r="AI54" s="432">
        <f t="shared" si="9"/>
        <v>75893836</v>
      </c>
      <c r="AJ54" s="432">
        <f t="shared" si="9"/>
        <v>13576687</v>
      </c>
      <c r="AK54" s="432">
        <f t="shared" si="9"/>
        <v>0</v>
      </c>
      <c r="AL54" s="432">
        <f t="shared" si="9"/>
        <v>132567435</v>
      </c>
      <c r="AM54" s="432">
        <f t="shared" si="9"/>
        <v>5109323</v>
      </c>
      <c r="AN54" s="203"/>
      <c r="AO54" s="203"/>
      <c r="AP54" s="203"/>
      <c r="AQ54" s="203"/>
      <c r="AR54" s="203"/>
      <c r="AS54" s="203"/>
      <c r="AT54" s="203"/>
    </row>
    <row r="55" spans="1:46" s="155" customFormat="1" ht="12" x14ac:dyDescent="0.2">
      <c r="A55" s="168">
        <v>1</v>
      </c>
      <c r="B55" s="227">
        <v>95612</v>
      </c>
      <c r="C55" s="256" t="s">
        <v>1405</v>
      </c>
      <c r="D55" s="432">
        <f t="shared" ref="D55:D86" si="10">E55+SUM(H55:O55)</f>
        <v>3441371</v>
      </c>
      <c r="E55" s="434">
        <v>1357745</v>
      </c>
      <c r="F55" s="434">
        <v>76296</v>
      </c>
      <c r="G55" s="434">
        <v>1024424</v>
      </c>
      <c r="H55" s="434">
        <v>0</v>
      </c>
      <c r="I55" s="434">
        <v>1292315</v>
      </c>
      <c r="J55" s="434">
        <v>0</v>
      </c>
      <c r="K55" s="434">
        <v>418910</v>
      </c>
      <c r="L55" s="434">
        <v>0</v>
      </c>
      <c r="M55" s="434">
        <v>206803</v>
      </c>
      <c r="N55" s="434">
        <v>165598</v>
      </c>
      <c r="O55" s="434">
        <v>0</v>
      </c>
      <c r="P55" s="432">
        <f t="shared" ref="P55:P86" si="11">IF(SUM(Q55:AB55)=SUM(AC55:AM55),SUM(Q55:AB55),"  EROARE ART/CAP")</f>
        <v>3364611</v>
      </c>
      <c r="Q55" s="431">
        <v>1585886</v>
      </c>
      <c r="R55" s="431">
        <v>686131</v>
      </c>
      <c r="S55" s="431">
        <v>2411</v>
      </c>
      <c r="T55" s="431">
        <v>0</v>
      </c>
      <c r="U55" s="431">
        <v>1434</v>
      </c>
      <c r="V55" s="431">
        <v>0</v>
      </c>
      <c r="W55" s="431">
        <v>0</v>
      </c>
      <c r="X55" s="431">
        <v>66245</v>
      </c>
      <c r="Y55" s="431">
        <v>25300</v>
      </c>
      <c r="Z55" s="431">
        <v>755449</v>
      </c>
      <c r="AA55" s="431">
        <v>243189</v>
      </c>
      <c r="AB55" s="431">
        <v>-1434</v>
      </c>
      <c r="AC55" s="469">
        <v>896843</v>
      </c>
      <c r="AD55" s="434">
        <v>7130</v>
      </c>
      <c r="AE55" s="434">
        <v>1286299</v>
      </c>
      <c r="AF55" s="434">
        <v>123204</v>
      </c>
      <c r="AG55" s="434">
        <v>177750</v>
      </c>
      <c r="AH55" s="434">
        <v>276071</v>
      </c>
      <c r="AI55" s="469">
        <v>238524</v>
      </c>
      <c r="AJ55" s="469">
        <v>17000</v>
      </c>
      <c r="AK55" s="434">
        <v>0</v>
      </c>
      <c r="AL55" s="434">
        <v>309290</v>
      </c>
      <c r="AM55" s="434">
        <v>32500</v>
      </c>
      <c r="AN55" s="203"/>
      <c r="AO55" s="203"/>
      <c r="AP55" s="203"/>
      <c r="AQ55" s="203"/>
      <c r="AR55" s="203"/>
      <c r="AS55" s="203"/>
      <c r="AT55" s="203"/>
    </row>
    <row r="56" spans="1:46" s="155" customFormat="1" ht="12" x14ac:dyDescent="0.2">
      <c r="A56" s="168">
        <v>2</v>
      </c>
      <c r="B56" s="227">
        <v>95667</v>
      </c>
      <c r="C56" s="256" t="s">
        <v>1406</v>
      </c>
      <c r="D56" s="432">
        <f t="shared" si="10"/>
        <v>9343481</v>
      </c>
      <c r="E56" s="434">
        <v>1611217</v>
      </c>
      <c r="F56" s="434">
        <v>421792</v>
      </c>
      <c r="G56" s="434">
        <v>871249</v>
      </c>
      <c r="H56" s="434">
        <v>0</v>
      </c>
      <c r="I56" s="434">
        <v>2396974</v>
      </c>
      <c r="J56" s="434">
        <v>100000</v>
      </c>
      <c r="K56" s="434">
        <v>503860</v>
      </c>
      <c r="L56" s="434">
        <v>0</v>
      </c>
      <c r="M56" s="434">
        <v>622773</v>
      </c>
      <c r="N56" s="434">
        <v>4108657</v>
      </c>
      <c r="O56" s="434">
        <v>0</v>
      </c>
      <c r="P56" s="432">
        <f t="shared" si="11"/>
        <v>5361442</v>
      </c>
      <c r="Q56" s="431">
        <v>2805835</v>
      </c>
      <c r="R56" s="431">
        <v>1304403</v>
      </c>
      <c r="S56" s="431">
        <v>0</v>
      </c>
      <c r="T56" s="431">
        <v>0</v>
      </c>
      <c r="U56" s="431">
        <v>0</v>
      </c>
      <c r="V56" s="431">
        <v>0</v>
      </c>
      <c r="W56" s="431">
        <v>40194</v>
      </c>
      <c r="X56" s="431">
        <v>212760</v>
      </c>
      <c r="Y56" s="431">
        <v>25000</v>
      </c>
      <c r="Z56" s="468">
        <v>973250</v>
      </c>
      <c r="AA56" s="431">
        <v>0</v>
      </c>
      <c r="AB56" s="431">
        <v>0</v>
      </c>
      <c r="AC56" s="469">
        <v>1083520</v>
      </c>
      <c r="AD56" s="434">
        <v>99237</v>
      </c>
      <c r="AE56" s="434">
        <v>2349699</v>
      </c>
      <c r="AF56" s="434">
        <v>0</v>
      </c>
      <c r="AG56" s="434">
        <v>59123</v>
      </c>
      <c r="AH56" s="434">
        <v>438824</v>
      </c>
      <c r="AI56" s="469">
        <v>603723</v>
      </c>
      <c r="AJ56" s="469">
        <v>0</v>
      </c>
      <c r="AK56" s="434">
        <v>0</v>
      </c>
      <c r="AL56" s="434">
        <v>727316</v>
      </c>
      <c r="AM56" s="434">
        <v>0</v>
      </c>
      <c r="AN56" s="203"/>
      <c r="AO56" s="203"/>
      <c r="AP56" s="203"/>
      <c r="AQ56" s="203"/>
      <c r="AR56" s="203"/>
      <c r="AS56" s="203"/>
      <c r="AT56" s="203"/>
    </row>
    <row r="57" spans="1:46" s="155" customFormat="1" ht="12" x14ac:dyDescent="0.2">
      <c r="A57" s="168">
        <v>3</v>
      </c>
      <c r="B57" s="227">
        <v>95747</v>
      </c>
      <c r="C57" s="256" t="s">
        <v>1407</v>
      </c>
      <c r="D57" s="432">
        <f t="shared" si="10"/>
        <v>12355127</v>
      </c>
      <c r="E57" s="434">
        <v>9583972</v>
      </c>
      <c r="F57" s="434">
        <v>225777</v>
      </c>
      <c r="G57" s="434">
        <v>645749</v>
      </c>
      <c r="H57" s="434">
        <v>0</v>
      </c>
      <c r="I57" s="434">
        <v>1741380</v>
      </c>
      <c r="J57" s="434">
        <v>100000</v>
      </c>
      <c r="K57" s="434">
        <v>566240</v>
      </c>
      <c r="L57" s="434">
        <v>0</v>
      </c>
      <c r="M57" s="434">
        <v>88616</v>
      </c>
      <c r="N57" s="434">
        <v>274919</v>
      </c>
      <c r="O57" s="434">
        <v>0</v>
      </c>
      <c r="P57" s="432">
        <f t="shared" si="11"/>
        <v>13030982</v>
      </c>
      <c r="Q57" s="431">
        <v>1750713</v>
      </c>
      <c r="R57" s="431">
        <v>1839381</v>
      </c>
      <c r="S57" s="431">
        <v>18720</v>
      </c>
      <c r="T57" s="431">
        <v>0</v>
      </c>
      <c r="U57" s="431">
        <v>0</v>
      </c>
      <c r="V57" s="431">
        <v>0</v>
      </c>
      <c r="W57" s="431">
        <v>8004135</v>
      </c>
      <c r="X57" s="431">
        <v>151437</v>
      </c>
      <c r="Y57" s="431">
        <v>70637</v>
      </c>
      <c r="Z57" s="431">
        <v>957665</v>
      </c>
      <c r="AA57" s="431">
        <v>242447</v>
      </c>
      <c r="AB57" s="431">
        <v>-4153</v>
      </c>
      <c r="AC57" s="468">
        <v>2420441</v>
      </c>
      <c r="AD57" s="431">
        <v>22151</v>
      </c>
      <c r="AE57" s="431">
        <v>1910974</v>
      </c>
      <c r="AF57" s="431">
        <v>0</v>
      </c>
      <c r="AG57" s="431">
        <v>7591972</v>
      </c>
      <c r="AH57" s="431">
        <v>229788</v>
      </c>
      <c r="AI57" s="468">
        <v>274585</v>
      </c>
      <c r="AJ57" s="468">
        <v>0</v>
      </c>
      <c r="AK57" s="431">
        <v>0</v>
      </c>
      <c r="AL57" s="431">
        <v>561697</v>
      </c>
      <c r="AM57" s="431">
        <v>19374</v>
      </c>
      <c r="AN57" s="203"/>
      <c r="AO57" s="203"/>
      <c r="AP57" s="203"/>
      <c r="AQ57" s="203"/>
      <c r="AR57" s="203"/>
      <c r="AS57" s="203"/>
      <c r="AT57" s="203"/>
    </row>
    <row r="58" spans="1:46" s="155" customFormat="1" ht="12" x14ac:dyDescent="0.2">
      <c r="A58" s="168">
        <v>4</v>
      </c>
      <c r="B58" s="227">
        <v>100273</v>
      </c>
      <c r="C58" s="256" t="s">
        <v>1408</v>
      </c>
      <c r="D58" s="432">
        <f t="shared" si="10"/>
        <v>4493026</v>
      </c>
      <c r="E58" s="434">
        <v>1440371</v>
      </c>
      <c r="F58" s="434">
        <v>109544</v>
      </c>
      <c r="G58" s="434">
        <v>923741</v>
      </c>
      <c r="H58" s="434">
        <v>0</v>
      </c>
      <c r="I58" s="434">
        <v>1676299</v>
      </c>
      <c r="J58" s="434">
        <v>0</v>
      </c>
      <c r="K58" s="434">
        <v>412680</v>
      </c>
      <c r="L58" s="434">
        <v>0</v>
      </c>
      <c r="M58" s="434">
        <v>594564</v>
      </c>
      <c r="N58" s="434">
        <v>155057</v>
      </c>
      <c r="O58" s="434">
        <v>214055</v>
      </c>
      <c r="P58" s="432">
        <f t="shared" si="11"/>
        <v>4288189</v>
      </c>
      <c r="Q58" s="431">
        <v>1920275</v>
      </c>
      <c r="R58" s="431">
        <v>1020505</v>
      </c>
      <c r="S58" s="431">
        <v>0</v>
      </c>
      <c r="T58" s="431">
        <v>0</v>
      </c>
      <c r="U58" s="431">
        <v>0</v>
      </c>
      <c r="V58" s="431">
        <v>1919</v>
      </c>
      <c r="W58" s="431">
        <v>227698</v>
      </c>
      <c r="X58" s="431">
        <v>132965</v>
      </c>
      <c r="Y58" s="431">
        <v>0</v>
      </c>
      <c r="Z58" s="468">
        <v>985701</v>
      </c>
      <c r="AA58" s="431">
        <v>0</v>
      </c>
      <c r="AB58" s="431">
        <v>-874</v>
      </c>
      <c r="AC58" s="469">
        <v>1170246</v>
      </c>
      <c r="AD58" s="434">
        <v>0</v>
      </c>
      <c r="AE58" s="434">
        <v>1940960</v>
      </c>
      <c r="AF58" s="434">
        <v>0</v>
      </c>
      <c r="AG58" s="434">
        <v>68443</v>
      </c>
      <c r="AH58" s="434">
        <v>598986</v>
      </c>
      <c r="AI58" s="469">
        <v>246626</v>
      </c>
      <c r="AJ58" s="469">
        <v>26486</v>
      </c>
      <c r="AK58" s="434">
        <v>0</v>
      </c>
      <c r="AL58" s="434">
        <v>224525</v>
      </c>
      <c r="AM58" s="434">
        <v>11917</v>
      </c>
      <c r="AN58" s="203"/>
      <c r="AO58" s="203"/>
      <c r="AP58" s="203"/>
      <c r="AQ58" s="203"/>
      <c r="AR58" s="203"/>
      <c r="AS58" s="203"/>
      <c r="AT58" s="203"/>
    </row>
    <row r="59" spans="1:46" s="155" customFormat="1" ht="12" x14ac:dyDescent="0.2">
      <c r="A59" s="168">
        <v>5</v>
      </c>
      <c r="B59" s="227">
        <v>95792</v>
      </c>
      <c r="C59" s="256" t="s">
        <v>1409</v>
      </c>
      <c r="D59" s="432">
        <f t="shared" si="10"/>
        <v>6498281</v>
      </c>
      <c r="E59" s="434">
        <v>1691823</v>
      </c>
      <c r="F59" s="434">
        <v>354254</v>
      </c>
      <c r="G59" s="434">
        <v>709032</v>
      </c>
      <c r="H59" s="434">
        <v>0</v>
      </c>
      <c r="I59" s="434">
        <v>2722786</v>
      </c>
      <c r="J59" s="434">
        <v>0</v>
      </c>
      <c r="K59" s="434">
        <v>699710</v>
      </c>
      <c r="L59" s="434">
        <v>0</v>
      </c>
      <c r="M59" s="434">
        <v>364961</v>
      </c>
      <c r="N59" s="434">
        <v>970166</v>
      </c>
      <c r="O59" s="434">
        <v>48835</v>
      </c>
      <c r="P59" s="432">
        <f t="shared" si="11"/>
        <v>5926378</v>
      </c>
      <c r="Q59" s="431">
        <v>2835839</v>
      </c>
      <c r="R59" s="431">
        <v>1195459</v>
      </c>
      <c r="S59" s="431">
        <v>0</v>
      </c>
      <c r="T59" s="431">
        <v>0</v>
      </c>
      <c r="U59" s="431">
        <v>0</v>
      </c>
      <c r="V59" s="431">
        <v>1625</v>
      </c>
      <c r="W59" s="431">
        <v>1357683</v>
      </c>
      <c r="X59" s="431">
        <v>268009</v>
      </c>
      <c r="Y59" s="431">
        <v>48611</v>
      </c>
      <c r="Z59" s="468">
        <v>220756</v>
      </c>
      <c r="AA59" s="431">
        <v>0</v>
      </c>
      <c r="AB59" s="431">
        <v>-1604</v>
      </c>
      <c r="AC59" s="469">
        <v>1121164</v>
      </c>
      <c r="AD59" s="434">
        <v>1549</v>
      </c>
      <c r="AE59" s="434">
        <v>2496577</v>
      </c>
      <c r="AF59" s="434">
        <v>0</v>
      </c>
      <c r="AG59" s="434">
        <v>114233</v>
      </c>
      <c r="AH59" s="434">
        <v>453178</v>
      </c>
      <c r="AI59" s="469">
        <v>672843</v>
      </c>
      <c r="AJ59" s="469">
        <v>66059</v>
      </c>
      <c r="AK59" s="434">
        <v>0</v>
      </c>
      <c r="AL59" s="434">
        <v>1000775</v>
      </c>
      <c r="AM59" s="434">
        <v>0</v>
      </c>
      <c r="AN59" s="203"/>
      <c r="AO59" s="203"/>
      <c r="AP59" s="203"/>
      <c r="AQ59" s="203"/>
      <c r="AR59" s="203"/>
      <c r="AS59" s="203"/>
      <c r="AT59" s="203"/>
    </row>
    <row r="60" spans="1:46" s="155" customFormat="1" ht="12" x14ac:dyDescent="0.2">
      <c r="A60" s="168">
        <v>6</v>
      </c>
      <c r="B60" s="227">
        <v>95872</v>
      </c>
      <c r="C60" s="256" t="s">
        <v>1410</v>
      </c>
      <c r="D60" s="432">
        <f t="shared" si="10"/>
        <v>13812523</v>
      </c>
      <c r="E60" s="434">
        <v>2080703</v>
      </c>
      <c r="F60" s="434">
        <v>455165</v>
      </c>
      <c r="G60" s="434">
        <v>1020602</v>
      </c>
      <c r="H60" s="434">
        <v>0</v>
      </c>
      <c r="I60" s="434">
        <v>7790570</v>
      </c>
      <c r="J60" s="434">
        <v>100000</v>
      </c>
      <c r="K60" s="434">
        <v>1523350</v>
      </c>
      <c r="L60" s="434">
        <v>0</v>
      </c>
      <c r="M60" s="469">
        <v>271418</v>
      </c>
      <c r="N60" s="469">
        <v>2046482</v>
      </c>
      <c r="O60" s="434">
        <v>0</v>
      </c>
      <c r="P60" s="432">
        <f t="shared" si="11"/>
        <v>11672552</v>
      </c>
      <c r="Q60" s="431">
        <v>7637426</v>
      </c>
      <c r="R60" s="431">
        <v>2520955</v>
      </c>
      <c r="S60" s="431">
        <v>0</v>
      </c>
      <c r="T60" s="431">
        <v>0</v>
      </c>
      <c r="U60" s="431">
        <v>0</v>
      </c>
      <c r="V60" s="431">
        <v>0</v>
      </c>
      <c r="W60" s="431">
        <v>0</v>
      </c>
      <c r="X60" s="431">
        <v>593555</v>
      </c>
      <c r="Y60" s="431">
        <v>0</v>
      </c>
      <c r="Z60" s="468">
        <v>921234</v>
      </c>
      <c r="AA60" s="431">
        <v>0</v>
      </c>
      <c r="AB60" s="431">
        <v>-618</v>
      </c>
      <c r="AC60" s="469">
        <v>1689051</v>
      </c>
      <c r="AD60" s="434">
        <v>152961</v>
      </c>
      <c r="AE60" s="434">
        <v>7258047</v>
      </c>
      <c r="AF60" s="434">
        <v>80712</v>
      </c>
      <c r="AG60" s="434">
        <v>107969</v>
      </c>
      <c r="AH60" s="434">
        <v>1019225</v>
      </c>
      <c r="AI60" s="469">
        <v>656377</v>
      </c>
      <c r="AJ60" s="469">
        <v>0</v>
      </c>
      <c r="AK60" s="434">
        <v>0</v>
      </c>
      <c r="AL60" s="434">
        <v>708210</v>
      </c>
      <c r="AM60" s="434">
        <v>0</v>
      </c>
      <c r="AN60" s="203"/>
      <c r="AO60" s="203"/>
      <c r="AP60" s="203"/>
      <c r="AQ60" s="203"/>
      <c r="AR60" s="203"/>
      <c r="AS60" s="203"/>
      <c r="AT60" s="203"/>
    </row>
    <row r="61" spans="1:46" s="155" customFormat="1" ht="12" x14ac:dyDescent="0.2">
      <c r="A61" s="168">
        <v>7</v>
      </c>
      <c r="B61" s="227">
        <v>95943</v>
      </c>
      <c r="C61" s="256" t="s">
        <v>1411</v>
      </c>
      <c r="D61" s="432">
        <f t="shared" si="10"/>
        <v>6036319</v>
      </c>
      <c r="E61" s="434">
        <v>2018116</v>
      </c>
      <c r="F61" s="434">
        <v>1038060</v>
      </c>
      <c r="G61" s="434">
        <v>443181</v>
      </c>
      <c r="H61" s="434">
        <v>0</v>
      </c>
      <c r="I61" s="434">
        <v>2065195</v>
      </c>
      <c r="J61" s="434">
        <v>0</v>
      </c>
      <c r="K61" s="434">
        <v>597080</v>
      </c>
      <c r="L61" s="434">
        <v>0</v>
      </c>
      <c r="M61" s="434">
        <v>1148067</v>
      </c>
      <c r="N61" s="434">
        <v>207861</v>
      </c>
      <c r="O61" s="434">
        <v>0</v>
      </c>
      <c r="P61" s="432">
        <f t="shared" si="11"/>
        <v>5703170</v>
      </c>
      <c r="Q61" s="431">
        <v>2303783</v>
      </c>
      <c r="R61" s="431">
        <v>1550940</v>
      </c>
      <c r="S61" s="431">
        <v>0</v>
      </c>
      <c r="T61" s="431">
        <v>0</v>
      </c>
      <c r="U61" s="431">
        <v>0</v>
      </c>
      <c r="V61" s="431">
        <v>0</v>
      </c>
      <c r="W61" s="431">
        <v>281604</v>
      </c>
      <c r="X61" s="431">
        <v>142711</v>
      </c>
      <c r="Y61" s="431">
        <v>55000</v>
      </c>
      <c r="Z61" s="468">
        <v>1369132</v>
      </c>
      <c r="AA61" s="431">
        <v>0</v>
      </c>
      <c r="AB61" s="431">
        <v>0</v>
      </c>
      <c r="AC61" s="469">
        <v>776791</v>
      </c>
      <c r="AD61" s="434">
        <v>25194</v>
      </c>
      <c r="AE61" s="434">
        <v>1893837</v>
      </c>
      <c r="AF61" s="434">
        <v>0</v>
      </c>
      <c r="AG61" s="434">
        <v>238803</v>
      </c>
      <c r="AH61" s="434">
        <v>334639</v>
      </c>
      <c r="AI61" s="469">
        <v>594983</v>
      </c>
      <c r="AJ61" s="469">
        <v>81747</v>
      </c>
      <c r="AK61" s="434">
        <v>0</v>
      </c>
      <c r="AL61" s="434">
        <v>1757176</v>
      </c>
      <c r="AM61" s="434">
        <v>0</v>
      </c>
      <c r="AN61" s="203"/>
      <c r="AO61" s="203"/>
      <c r="AP61" s="203"/>
      <c r="AQ61" s="203"/>
      <c r="AR61" s="203"/>
      <c r="AS61" s="203"/>
      <c r="AT61" s="203"/>
    </row>
    <row r="62" spans="1:46" s="155" customFormat="1" ht="12" x14ac:dyDescent="0.2">
      <c r="A62" s="168">
        <v>8</v>
      </c>
      <c r="B62" s="227">
        <v>95088</v>
      </c>
      <c r="C62" s="256" t="s">
        <v>1412</v>
      </c>
      <c r="D62" s="432">
        <f t="shared" si="10"/>
        <v>5218451</v>
      </c>
      <c r="E62" s="434">
        <v>2498045</v>
      </c>
      <c r="F62" s="434">
        <v>806116</v>
      </c>
      <c r="G62" s="434">
        <v>222978</v>
      </c>
      <c r="H62" s="434">
        <v>0</v>
      </c>
      <c r="I62" s="434">
        <v>1739262</v>
      </c>
      <c r="J62" s="434">
        <v>0</v>
      </c>
      <c r="K62" s="434">
        <v>727540</v>
      </c>
      <c r="L62" s="434">
        <v>0</v>
      </c>
      <c r="M62" s="434">
        <v>65627</v>
      </c>
      <c r="N62" s="434">
        <v>172277</v>
      </c>
      <c r="O62" s="434">
        <v>15700</v>
      </c>
      <c r="P62" s="432">
        <f t="shared" si="11"/>
        <v>4964768</v>
      </c>
      <c r="Q62" s="431">
        <v>2399011</v>
      </c>
      <c r="R62" s="431">
        <v>1807173</v>
      </c>
      <c r="S62" s="431">
        <v>71805</v>
      </c>
      <c r="T62" s="431">
        <v>0</v>
      </c>
      <c r="U62" s="431">
        <v>0</v>
      </c>
      <c r="V62" s="431">
        <v>0</v>
      </c>
      <c r="W62" s="431">
        <v>0</v>
      </c>
      <c r="X62" s="431">
        <v>230684</v>
      </c>
      <c r="Y62" s="431">
        <v>57546</v>
      </c>
      <c r="Z62" s="468">
        <v>156264</v>
      </c>
      <c r="AA62" s="431">
        <v>242285</v>
      </c>
      <c r="AB62" s="431">
        <v>0</v>
      </c>
      <c r="AC62" s="469">
        <v>1346541</v>
      </c>
      <c r="AD62" s="434">
        <v>133156</v>
      </c>
      <c r="AE62" s="434">
        <v>1495112</v>
      </c>
      <c r="AF62" s="434">
        <v>0</v>
      </c>
      <c r="AG62" s="434">
        <v>169964</v>
      </c>
      <c r="AH62" s="434">
        <v>462302</v>
      </c>
      <c r="AI62" s="469">
        <v>745340</v>
      </c>
      <c r="AJ62" s="469">
        <v>52858</v>
      </c>
      <c r="AK62" s="434">
        <v>0</v>
      </c>
      <c r="AL62" s="434">
        <v>524675</v>
      </c>
      <c r="AM62" s="434">
        <v>34820</v>
      </c>
      <c r="AN62" s="203"/>
      <c r="AO62" s="203"/>
      <c r="AP62" s="203"/>
      <c r="AQ62" s="203"/>
      <c r="AR62" s="203"/>
      <c r="AS62" s="203"/>
      <c r="AT62" s="203"/>
    </row>
    <row r="63" spans="1:46" s="155" customFormat="1" ht="12" x14ac:dyDescent="0.2">
      <c r="A63" s="168">
        <v>9</v>
      </c>
      <c r="B63" s="227">
        <v>96003</v>
      </c>
      <c r="C63" s="256" t="s">
        <v>1413</v>
      </c>
      <c r="D63" s="432">
        <f t="shared" si="10"/>
        <v>6227178</v>
      </c>
      <c r="E63" s="434">
        <v>1351342</v>
      </c>
      <c r="F63" s="434">
        <v>155759</v>
      </c>
      <c r="G63" s="434">
        <v>833635</v>
      </c>
      <c r="H63" s="434">
        <v>0</v>
      </c>
      <c r="I63" s="434">
        <v>2034346</v>
      </c>
      <c r="J63" s="434">
        <v>0</v>
      </c>
      <c r="K63" s="434">
        <v>427300</v>
      </c>
      <c r="L63" s="434">
        <v>0</v>
      </c>
      <c r="M63" s="434">
        <v>199418</v>
      </c>
      <c r="N63" s="434">
        <v>1896776</v>
      </c>
      <c r="O63" s="434">
        <v>317996</v>
      </c>
      <c r="P63" s="432">
        <f t="shared" si="11"/>
        <v>4526612</v>
      </c>
      <c r="Q63" s="431">
        <v>2218833</v>
      </c>
      <c r="R63" s="431">
        <v>661896</v>
      </c>
      <c r="S63" s="431">
        <v>14359</v>
      </c>
      <c r="T63" s="431">
        <v>0</v>
      </c>
      <c r="U63" s="431">
        <v>0</v>
      </c>
      <c r="V63" s="431">
        <v>0</v>
      </c>
      <c r="W63" s="431">
        <v>22430</v>
      </c>
      <c r="X63" s="431">
        <v>279629</v>
      </c>
      <c r="Y63" s="431">
        <v>13124</v>
      </c>
      <c r="Z63" s="468">
        <v>944341</v>
      </c>
      <c r="AA63" s="431">
        <v>372000</v>
      </c>
      <c r="AB63" s="431">
        <v>0</v>
      </c>
      <c r="AC63" s="469">
        <v>841826</v>
      </c>
      <c r="AD63" s="434">
        <v>19059</v>
      </c>
      <c r="AE63" s="434">
        <v>2084002</v>
      </c>
      <c r="AF63" s="434">
        <v>0</v>
      </c>
      <c r="AG63" s="434">
        <v>58196</v>
      </c>
      <c r="AH63" s="434">
        <v>280180</v>
      </c>
      <c r="AI63" s="469">
        <v>817524</v>
      </c>
      <c r="AJ63" s="469">
        <v>338718</v>
      </c>
      <c r="AK63" s="434">
        <v>0</v>
      </c>
      <c r="AL63" s="434">
        <v>87107</v>
      </c>
      <c r="AM63" s="434">
        <v>0</v>
      </c>
      <c r="AN63" s="203"/>
      <c r="AO63" s="203"/>
      <c r="AP63" s="203"/>
      <c r="AQ63" s="203"/>
      <c r="AR63" s="203"/>
      <c r="AS63" s="203"/>
      <c r="AT63" s="203"/>
    </row>
    <row r="64" spans="1:46" s="155" customFormat="1" ht="12" x14ac:dyDescent="0.2">
      <c r="A64" s="168">
        <v>10</v>
      </c>
      <c r="B64" s="227">
        <v>96058</v>
      </c>
      <c r="C64" s="256" t="s">
        <v>1414</v>
      </c>
      <c r="D64" s="432">
        <f t="shared" si="10"/>
        <v>3675924</v>
      </c>
      <c r="E64" s="434">
        <v>1355312</v>
      </c>
      <c r="F64" s="434">
        <v>103479</v>
      </c>
      <c r="G64" s="434">
        <v>989234</v>
      </c>
      <c r="H64" s="434">
        <v>0</v>
      </c>
      <c r="I64" s="434">
        <v>1786078</v>
      </c>
      <c r="J64" s="434">
        <v>100000</v>
      </c>
      <c r="K64" s="434">
        <v>408110</v>
      </c>
      <c r="L64" s="434">
        <v>0</v>
      </c>
      <c r="M64" s="434">
        <v>26424</v>
      </c>
      <c r="N64" s="434">
        <v>0</v>
      </c>
      <c r="O64" s="434">
        <v>0</v>
      </c>
      <c r="P64" s="432">
        <f t="shared" si="11"/>
        <v>3717061</v>
      </c>
      <c r="Q64" s="431">
        <v>2150115</v>
      </c>
      <c r="R64" s="431">
        <v>1065778</v>
      </c>
      <c r="S64" s="431">
        <v>0</v>
      </c>
      <c r="T64" s="431">
        <v>0</v>
      </c>
      <c r="U64" s="431">
        <v>0</v>
      </c>
      <c r="V64" s="431">
        <v>45000</v>
      </c>
      <c r="W64" s="431">
        <v>0</v>
      </c>
      <c r="X64" s="431">
        <v>162932</v>
      </c>
      <c r="Y64" s="431">
        <v>67000</v>
      </c>
      <c r="Z64" s="468">
        <v>294236</v>
      </c>
      <c r="AA64" s="431">
        <v>0</v>
      </c>
      <c r="AB64" s="431">
        <v>-68000</v>
      </c>
      <c r="AC64" s="469">
        <v>817397</v>
      </c>
      <c r="AD64" s="434">
        <v>0</v>
      </c>
      <c r="AE64" s="434">
        <v>1576881</v>
      </c>
      <c r="AF64" s="434">
        <v>0</v>
      </c>
      <c r="AG64" s="434">
        <v>136098</v>
      </c>
      <c r="AH64" s="434">
        <v>478224</v>
      </c>
      <c r="AI64" s="469">
        <v>155929</v>
      </c>
      <c r="AJ64" s="469">
        <v>24992</v>
      </c>
      <c r="AK64" s="434">
        <v>0</v>
      </c>
      <c r="AL64" s="434">
        <v>474578</v>
      </c>
      <c r="AM64" s="434">
        <v>52962</v>
      </c>
      <c r="AN64" s="203"/>
      <c r="AO64" s="203"/>
      <c r="AP64" s="203"/>
      <c r="AQ64" s="203"/>
      <c r="AR64" s="203"/>
      <c r="AS64" s="203"/>
      <c r="AT64" s="203"/>
    </row>
    <row r="65" spans="1:46" s="155" customFormat="1" ht="12" x14ac:dyDescent="0.2">
      <c r="A65" s="168">
        <v>11</v>
      </c>
      <c r="B65" s="227">
        <v>96110</v>
      </c>
      <c r="C65" s="256" t="s">
        <v>1415</v>
      </c>
      <c r="D65" s="432">
        <f t="shared" si="10"/>
        <v>4923210</v>
      </c>
      <c r="E65" s="434">
        <v>1364160</v>
      </c>
      <c r="F65" s="434">
        <v>261420</v>
      </c>
      <c r="G65" s="434">
        <v>581947</v>
      </c>
      <c r="H65" s="434">
        <v>0</v>
      </c>
      <c r="I65" s="434">
        <v>1435048</v>
      </c>
      <c r="J65" s="434">
        <v>0</v>
      </c>
      <c r="K65" s="434">
        <v>376320</v>
      </c>
      <c r="L65" s="434">
        <v>0</v>
      </c>
      <c r="M65" s="434">
        <v>1430477</v>
      </c>
      <c r="N65" s="434">
        <v>317205</v>
      </c>
      <c r="O65" s="434">
        <v>0</v>
      </c>
      <c r="P65" s="432">
        <f t="shared" si="11"/>
        <v>4914291</v>
      </c>
      <c r="Q65" s="431">
        <v>1890323</v>
      </c>
      <c r="R65" s="431">
        <v>841583</v>
      </c>
      <c r="S65" s="431">
        <v>9860</v>
      </c>
      <c r="T65" s="431">
        <v>0</v>
      </c>
      <c r="U65" s="431">
        <v>70136</v>
      </c>
      <c r="V65" s="431">
        <v>4327</v>
      </c>
      <c r="W65" s="431">
        <v>0</v>
      </c>
      <c r="X65" s="431">
        <v>85247</v>
      </c>
      <c r="Y65" s="431">
        <v>23665</v>
      </c>
      <c r="Z65" s="468">
        <v>1604903</v>
      </c>
      <c r="AA65" s="431">
        <v>394320</v>
      </c>
      <c r="AB65" s="431">
        <v>-10073</v>
      </c>
      <c r="AC65" s="469">
        <v>1210026</v>
      </c>
      <c r="AD65" s="434">
        <v>4365</v>
      </c>
      <c r="AE65" s="434">
        <v>1188624</v>
      </c>
      <c r="AF65" s="434">
        <v>0</v>
      </c>
      <c r="AG65" s="434">
        <v>216213</v>
      </c>
      <c r="AH65" s="434">
        <v>468752</v>
      </c>
      <c r="AI65" s="469">
        <v>352167</v>
      </c>
      <c r="AJ65" s="469">
        <v>42180</v>
      </c>
      <c r="AK65" s="434">
        <v>0</v>
      </c>
      <c r="AL65" s="434">
        <v>1431964</v>
      </c>
      <c r="AM65" s="434">
        <v>0</v>
      </c>
      <c r="AN65" s="203"/>
      <c r="AO65" s="203"/>
      <c r="AP65" s="203"/>
      <c r="AQ65" s="203"/>
      <c r="AR65" s="203"/>
      <c r="AS65" s="203"/>
      <c r="AT65" s="203"/>
    </row>
    <row r="66" spans="1:46" s="155" customFormat="1" ht="12" x14ac:dyDescent="0.2">
      <c r="A66" s="168">
        <v>12</v>
      </c>
      <c r="B66" s="227">
        <v>96147</v>
      </c>
      <c r="C66" s="256" t="s">
        <v>1416</v>
      </c>
      <c r="D66" s="432">
        <f t="shared" si="10"/>
        <v>4958471</v>
      </c>
      <c r="E66" s="434">
        <v>1433259</v>
      </c>
      <c r="F66" s="434">
        <v>226609</v>
      </c>
      <c r="G66" s="434">
        <v>983369</v>
      </c>
      <c r="H66" s="434">
        <v>0</v>
      </c>
      <c r="I66" s="434">
        <v>2811974</v>
      </c>
      <c r="J66" s="434">
        <v>100000</v>
      </c>
      <c r="K66" s="434">
        <v>481010</v>
      </c>
      <c r="L66" s="434">
        <v>0</v>
      </c>
      <c r="M66" s="434">
        <v>89942</v>
      </c>
      <c r="N66" s="434">
        <v>24686</v>
      </c>
      <c r="O66" s="434">
        <v>17600</v>
      </c>
      <c r="P66" s="432">
        <f t="shared" si="11"/>
        <v>5937073</v>
      </c>
      <c r="Q66" s="431">
        <v>3237643</v>
      </c>
      <c r="R66" s="431">
        <v>1353842</v>
      </c>
      <c r="S66" s="431">
        <v>0</v>
      </c>
      <c r="T66" s="431">
        <v>0</v>
      </c>
      <c r="U66" s="431">
        <v>0</v>
      </c>
      <c r="V66" s="431">
        <v>0</v>
      </c>
      <c r="W66" s="431">
        <v>67697</v>
      </c>
      <c r="X66" s="431">
        <v>109963</v>
      </c>
      <c r="Y66" s="431">
        <v>17190</v>
      </c>
      <c r="Z66" s="468">
        <v>1150738</v>
      </c>
      <c r="AA66" s="431">
        <v>0</v>
      </c>
      <c r="AB66" s="431">
        <v>0</v>
      </c>
      <c r="AC66" s="469">
        <v>1137246</v>
      </c>
      <c r="AD66" s="434">
        <v>0</v>
      </c>
      <c r="AE66" s="434">
        <v>2618004</v>
      </c>
      <c r="AF66" s="434">
        <v>36815</v>
      </c>
      <c r="AG66" s="434">
        <v>53488</v>
      </c>
      <c r="AH66" s="434">
        <v>341317</v>
      </c>
      <c r="AI66" s="469">
        <v>386910</v>
      </c>
      <c r="AJ66" s="469">
        <v>30804</v>
      </c>
      <c r="AK66" s="434">
        <v>0</v>
      </c>
      <c r="AL66" s="434">
        <v>1309592</v>
      </c>
      <c r="AM66" s="434">
        <v>22897</v>
      </c>
      <c r="AN66" s="203"/>
      <c r="AO66" s="203"/>
      <c r="AP66" s="203"/>
      <c r="AQ66" s="203"/>
      <c r="AR66" s="203"/>
      <c r="AS66" s="203"/>
      <c r="AT66" s="203"/>
    </row>
    <row r="67" spans="1:46" s="155" customFormat="1" ht="12" x14ac:dyDescent="0.2">
      <c r="A67" s="168">
        <v>13</v>
      </c>
      <c r="B67" s="227">
        <v>100362</v>
      </c>
      <c r="C67" s="256" t="s">
        <v>1417</v>
      </c>
      <c r="D67" s="432">
        <f t="shared" si="10"/>
        <v>5344216</v>
      </c>
      <c r="E67" s="434">
        <v>1374699</v>
      </c>
      <c r="F67" s="434">
        <v>75666</v>
      </c>
      <c r="G67" s="434">
        <v>1086984</v>
      </c>
      <c r="H67" s="434">
        <v>0</v>
      </c>
      <c r="I67" s="434">
        <v>870837</v>
      </c>
      <c r="J67" s="434">
        <v>0</v>
      </c>
      <c r="K67" s="434">
        <v>351550</v>
      </c>
      <c r="L67" s="434">
        <v>0</v>
      </c>
      <c r="M67" s="434">
        <v>643178</v>
      </c>
      <c r="N67" s="434">
        <v>2103952</v>
      </c>
      <c r="O67" s="434">
        <v>0</v>
      </c>
      <c r="P67" s="432">
        <f t="shared" si="11"/>
        <v>3073969</v>
      </c>
      <c r="Q67" s="431">
        <v>1091201</v>
      </c>
      <c r="R67" s="468">
        <v>555467</v>
      </c>
      <c r="S67" s="431">
        <v>0</v>
      </c>
      <c r="T67" s="431">
        <v>0</v>
      </c>
      <c r="U67" s="431">
        <v>0</v>
      </c>
      <c r="V67" s="431">
        <v>0</v>
      </c>
      <c r="W67" s="431">
        <v>301101</v>
      </c>
      <c r="X67" s="431">
        <v>153269</v>
      </c>
      <c r="Y67" s="431">
        <v>2000</v>
      </c>
      <c r="Z67" s="468">
        <v>971108</v>
      </c>
      <c r="AA67" s="431">
        <v>0</v>
      </c>
      <c r="AB67" s="431">
        <v>-177</v>
      </c>
      <c r="AC67" s="469">
        <v>964518</v>
      </c>
      <c r="AD67" s="434">
        <v>1057</v>
      </c>
      <c r="AE67" s="434">
        <v>780751</v>
      </c>
      <c r="AF67" s="434">
        <v>15783</v>
      </c>
      <c r="AG67" s="434">
        <v>67592</v>
      </c>
      <c r="AH67" s="434">
        <v>153092</v>
      </c>
      <c r="AI67" s="469">
        <v>571989</v>
      </c>
      <c r="AJ67" s="469">
        <v>0</v>
      </c>
      <c r="AK67" s="434">
        <v>0</v>
      </c>
      <c r="AL67" s="434">
        <v>472053</v>
      </c>
      <c r="AM67" s="434">
        <v>47134</v>
      </c>
      <c r="AN67" s="203"/>
      <c r="AO67" s="203"/>
      <c r="AP67" s="203"/>
      <c r="AQ67" s="203"/>
      <c r="AR67" s="203"/>
      <c r="AS67" s="203"/>
      <c r="AT67" s="203"/>
    </row>
    <row r="68" spans="1:46" s="155" customFormat="1" ht="12" x14ac:dyDescent="0.2">
      <c r="A68" s="168">
        <v>14</v>
      </c>
      <c r="B68" s="227">
        <v>96192</v>
      </c>
      <c r="C68" s="256" t="s">
        <v>1418</v>
      </c>
      <c r="D68" s="432">
        <f t="shared" si="10"/>
        <v>6380733</v>
      </c>
      <c r="E68" s="434">
        <v>1525963</v>
      </c>
      <c r="F68" s="434">
        <v>242900</v>
      </c>
      <c r="G68" s="434">
        <v>1009761</v>
      </c>
      <c r="H68" s="434">
        <v>0</v>
      </c>
      <c r="I68" s="434">
        <v>2416718</v>
      </c>
      <c r="J68" s="434">
        <v>0</v>
      </c>
      <c r="K68" s="434">
        <v>498470</v>
      </c>
      <c r="L68" s="434">
        <v>0</v>
      </c>
      <c r="M68" s="434">
        <v>1727145</v>
      </c>
      <c r="N68" s="434">
        <v>212437</v>
      </c>
      <c r="O68" s="434">
        <v>0</v>
      </c>
      <c r="P68" s="432">
        <f t="shared" si="11"/>
        <v>5871916</v>
      </c>
      <c r="Q68" s="431">
        <v>2628204</v>
      </c>
      <c r="R68" s="468">
        <v>897939</v>
      </c>
      <c r="S68" s="431">
        <v>0</v>
      </c>
      <c r="T68" s="431">
        <v>0</v>
      </c>
      <c r="U68" s="431">
        <v>0</v>
      </c>
      <c r="V68" s="431">
        <v>0</v>
      </c>
      <c r="W68" s="431">
        <v>0</v>
      </c>
      <c r="X68" s="431">
        <v>299761</v>
      </c>
      <c r="Y68" s="431">
        <v>10000</v>
      </c>
      <c r="Z68" s="468">
        <v>2036012</v>
      </c>
      <c r="AA68" s="431">
        <v>0</v>
      </c>
      <c r="AB68" s="431">
        <v>0</v>
      </c>
      <c r="AC68" s="469">
        <v>769345</v>
      </c>
      <c r="AD68" s="434">
        <v>0</v>
      </c>
      <c r="AE68" s="434">
        <v>2300389</v>
      </c>
      <c r="AF68" s="434">
        <v>0</v>
      </c>
      <c r="AG68" s="434">
        <v>114770</v>
      </c>
      <c r="AH68" s="434">
        <v>299761</v>
      </c>
      <c r="AI68" s="469">
        <v>566811</v>
      </c>
      <c r="AJ68" s="469">
        <v>0</v>
      </c>
      <c r="AK68" s="434">
        <v>0</v>
      </c>
      <c r="AL68" s="434">
        <v>1820840</v>
      </c>
      <c r="AM68" s="434">
        <v>0</v>
      </c>
      <c r="AN68" s="203"/>
      <c r="AO68" s="203"/>
      <c r="AP68" s="203"/>
      <c r="AQ68" s="203"/>
      <c r="AR68" s="203"/>
      <c r="AS68" s="203"/>
      <c r="AT68" s="203"/>
    </row>
    <row r="69" spans="1:46" s="155" customFormat="1" ht="12" x14ac:dyDescent="0.2">
      <c r="A69" s="168">
        <v>15</v>
      </c>
      <c r="B69" s="227">
        <v>96254</v>
      </c>
      <c r="C69" s="256" t="s">
        <v>1419</v>
      </c>
      <c r="D69" s="432">
        <f t="shared" si="10"/>
        <v>23763119</v>
      </c>
      <c r="E69" s="434">
        <v>4416439</v>
      </c>
      <c r="F69" s="434">
        <v>941676</v>
      </c>
      <c r="G69" s="434">
        <v>1152809</v>
      </c>
      <c r="H69" s="434">
        <v>0</v>
      </c>
      <c r="I69" s="434">
        <v>5294564</v>
      </c>
      <c r="J69" s="434">
        <v>0</v>
      </c>
      <c r="K69" s="434">
        <v>2651240</v>
      </c>
      <c r="L69" s="434">
        <v>0</v>
      </c>
      <c r="M69" s="434">
        <v>9225282</v>
      </c>
      <c r="N69" s="434">
        <v>2075532</v>
      </c>
      <c r="O69" s="434">
        <v>100062</v>
      </c>
      <c r="P69" s="432">
        <f t="shared" si="11"/>
        <v>23811543</v>
      </c>
      <c r="Q69" s="431">
        <v>6681995</v>
      </c>
      <c r="R69" s="431">
        <v>3432809</v>
      </c>
      <c r="S69" s="431">
        <v>143453</v>
      </c>
      <c r="T69" s="431">
        <v>66880</v>
      </c>
      <c r="U69" s="431">
        <v>0</v>
      </c>
      <c r="V69" s="431">
        <v>8432</v>
      </c>
      <c r="W69" s="431">
        <v>2752279</v>
      </c>
      <c r="X69" s="431">
        <v>317484</v>
      </c>
      <c r="Y69" s="431">
        <v>48869</v>
      </c>
      <c r="Z69" s="468">
        <v>10007710</v>
      </c>
      <c r="AA69" s="431">
        <v>352064</v>
      </c>
      <c r="AB69" s="431">
        <v>-432</v>
      </c>
      <c r="AC69" s="469">
        <v>3424764</v>
      </c>
      <c r="AD69" s="434">
        <v>563936</v>
      </c>
      <c r="AE69" s="434">
        <v>5150026</v>
      </c>
      <c r="AF69" s="434">
        <v>0</v>
      </c>
      <c r="AG69" s="434">
        <v>135901</v>
      </c>
      <c r="AH69" s="434">
        <v>2474998</v>
      </c>
      <c r="AI69" s="469">
        <v>922095</v>
      </c>
      <c r="AJ69" s="469">
        <v>1325160</v>
      </c>
      <c r="AK69" s="434">
        <v>0</v>
      </c>
      <c r="AL69" s="434">
        <v>9814663</v>
      </c>
      <c r="AM69" s="434">
        <v>0</v>
      </c>
      <c r="AN69" s="203"/>
      <c r="AO69" s="203"/>
      <c r="AP69" s="203"/>
      <c r="AQ69" s="203"/>
      <c r="AR69" s="203"/>
      <c r="AS69" s="203"/>
      <c r="AT69" s="203"/>
    </row>
    <row r="70" spans="1:46" s="155" customFormat="1" ht="12" x14ac:dyDescent="0.2">
      <c r="A70" s="168">
        <v>16</v>
      </c>
      <c r="B70" s="227">
        <v>96334</v>
      </c>
      <c r="C70" s="256" t="s">
        <v>1420</v>
      </c>
      <c r="D70" s="432">
        <f t="shared" si="10"/>
        <v>6512903</v>
      </c>
      <c r="E70" s="434">
        <v>1306261</v>
      </c>
      <c r="F70" s="434">
        <v>102234</v>
      </c>
      <c r="G70" s="434">
        <v>910056</v>
      </c>
      <c r="H70" s="434">
        <v>0</v>
      </c>
      <c r="I70" s="434">
        <v>1970238</v>
      </c>
      <c r="J70" s="434">
        <v>0</v>
      </c>
      <c r="K70" s="434">
        <v>426370</v>
      </c>
      <c r="L70" s="434">
        <v>0</v>
      </c>
      <c r="M70" s="434">
        <v>1793260</v>
      </c>
      <c r="N70" s="434">
        <v>1016774</v>
      </c>
      <c r="O70" s="434">
        <v>0</v>
      </c>
      <c r="P70" s="432">
        <f t="shared" si="11"/>
        <v>6586318</v>
      </c>
      <c r="Q70" s="431">
        <v>1988596</v>
      </c>
      <c r="R70" s="431">
        <v>641694</v>
      </c>
      <c r="S70" s="431">
        <v>0</v>
      </c>
      <c r="T70" s="431">
        <v>0</v>
      </c>
      <c r="U70" s="431">
        <v>0</v>
      </c>
      <c r="V70" s="431">
        <v>0</v>
      </c>
      <c r="W70" s="431">
        <v>1444992</v>
      </c>
      <c r="X70" s="431">
        <v>162935</v>
      </c>
      <c r="Y70" s="431">
        <v>19360</v>
      </c>
      <c r="Z70" s="468">
        <v>2329151</v>
      </c>
      <c r="AA70" s="431">
        <v>0</v>
      </c>
      <c r="AB70" s="431">
        <v>-410</v>
      </c>
      <c r="AC70" s="469">
        <v>519768</v>
      </c>
      <c r="AD70" s="434">
        <v>5589</v>
      </c>
      <c r="AE70" s="434">
        <v>1761234</v>
      </c>
      <c r="AF70" s="434">
        <v>304356</v>
      </c>
      <c r="AG70" s="434">
        <v>403499</v>
      </c>
      <c r="AH70" s="434">
        <v>934412</v>
      </c>
      <c r="AI70" s="469">
        <v>146210</v>
      </c>
      <c r="AJ70" s="469">
        <v>1417048</v>
      </c>
      <c r="AK70" s="434">
        <v>0</v>
      </c>
      <c r="AL70" s="434">
        <v>1010042</v>
      </c>
      <c r="AM70" s="434">
        <v>84160</v>
      </c>
      <c r="AN70" s="203"/>
      <c r="AO70" s="203"/>
      <c r="AP70" s="203"/>
      <c r="AQ70" s="203"/>
      <c r="AR70" s="203"/>
      <c r="AS70" s="203"/>
      <c r="AT70" s="203"/>
    </row>
    <row r="71" spans="1:46" s="155" customFormat="1" ht="12" x14ac:dyDescent="0.2">
      <c r="A71" s="168">
        <v>17</v>
      </c>
      <c r="B71" s="227">
        <v>96370</v>
      </c>
      <c r="C71" s="256" t="s">
        <v>1421</v>
      </c>
      <c r="D71" s="432">
        <f t="shared" si="10"/>
        <v>5492030</v>
      </c>
      <c r="E71" s="434">
        <v>1360559</v>
      </c>
      <c r="F71" s="434">
        <v>132140</v>
      </c>
      <c r="G71" s="434">
        <v>856293</v>
      </c>
      <c r="H71" s="434">
        <v>0</v>
      </c>
      <c r="I71" s="434">
        <v>2132459</v>
      </c>
      <c r="J71" s="434">
        <v>0</v>
      </c>
      <c r="K71" s="434">
        <v>492830</v>
      </c>
      <c r="L71" s="434">
        <v>0</v>
      </c>
      <c r="M71" s="434">
        <v>1192864</v>
      </c>
      <c r="N71" s="434">
        <v>285000</v>
      </c>
      <c r="O71" s="434">
        <v>28318</v>
      </c>
      <c r="P71" s="432">
        <f t="shared" si="11"/>
        <v>7313800</v>
      </c>
      <c r="Q71" s="431">
        <v>2235812</v>
      </c>
      <c r="R71" s="431">
        <v>994339</v>
      </c>
      <c r="S71" s="431">
        <v>0</v>
      </c>
      <c r="T71" s="431">
        <v>0</v>
      </c>
      <c r="U71" s="431">
        <v>0</v>
      </c>
      <c r="V71" s="431">
        <v>0</v>
      </c>
      <c r="W71" s="431">
        <v>372000</v>
      </c>
      <c r="X71" s="431">
        <v>280729</v>
      </c>
      <c r="Y71" s="431">
        <v>25402</v>
      </c>
      <c r="Z71" s="468">
        <v>3405518</v>
      </c>
      <c r="AA71" s="431">
        <v>0</v>
      </c>
      <c r="AB71" s="431">
        <v>0</v>
      </c>
      <c r="AC71" s="469">
        <v>775639</v>
      </c>
      <c r="AD71" s="434">
        <v>1200</v>
      </c>
      <c r="AE71" s="434">
        <v>2010087</v>
      </c>
      <c r="AF71" s="434">
        <v>0</v>
      </c>
      <c r="AG71" s="434">
        <v>331869</v>
      </c>
      <c r="AH71" s="434">
        <v>398329</v>
      </c>
      <c r="AI71" s="469">
        <v>827666</v>
      </c>
      <c r="AJ71" s="469">
        <v>5022</v>
      </c>
      <c r="AK71" s="434">
        <v>0</v>
      </c>
      <c r="AL71" s="434">
        <v>2963988</v>
      </c>
      <c r="AM71" s="434">
        <v>0</v>
      </c>
      <c r="AN71" s="203"/>
      <c r="AO71" s="203"/>
      <c r="AP71" s="203"/>
      <c r="AQ71" s="203"/>
      <c r="AR71" s="203"/>
      <c r="AS71" s="203"/>
      <c r="AT71" s="203"/>
    </row>
    <row r="72" spans="1:46" s="155" customFormat="1" ht="12" x14ac:dyDescent="0.2">
      <c r="A72" s="168">
        <v>18</v>
      </c>
      <c r="B72" s="227">
        <v>100282</v>
      </c>
      <c r="C72" s="256" t="s">
        <v>1422</v>
      </c>
      <c r="D72" s="432">
        <f t="shared" si="10"/>
        <v>3667071</v>
      </c>
      <c r="E72" s="434">
        <v>1392525</v>
      </c>
      <c r="F72" s="434">
        <v>78425</v>
      </c>
      <c r="G72" s="434">
        <v>1045929</v>
      </c>
      <c r="H72" s="434">
        <v>0</v>
      </c>
      <c r="I72" s="434">
        <v>971270</v>
      </c>
      <c r="J72" s="434">
        <v>0</v>
      </c>
      <c r="K72" s="434">
        <v>329730</v>
      </c>
      <c r="L72" s="434">
        <v>0</v>
      </c>
      <c r="M72" s="434">
        <v>664321</v>
      </c>
      <c r="N72" s="434">
        <v>309225</v>
      </c>
      <c r="O72" s="434">
        <v>0</v>
      </c>
      <c r="P72" s="432">
        <f t="shared" si="11"/>
        <v>3262075</v>
      </c>
      <c r="Q72" s="431">
        <v>1230643</v>
      </c>
      <c r="R72" s="431">
        <v>632834</v>
      </c>
      <c r="S72" s="431">
        <v>0</v>
      </c>
      <c r="T72" s="431">
        <v>0</v>
      </c>
      <c r="U72" s="431">
        <v>0</v>
      </c>
      <c r="V72" s="431">
        <v>330</v>
      </c>
      <c r="W72" s="431">
        <v>403620</v>
      </c>
      <c r="X72" s="431">
        <v>83137</v>
      </c>
      <c r="Y72" s="431">
        <v>7360</v>
      </c>
      <c r="Z72" s="468">
        <v>904555</v>
      </c>
      <c r="AA72" s="431">
        <v>0</v>
      </c>
      <c r="AB72" s="431">
        <v>-404</v>
      </c>
      <c r="AC72" s="469">
        <v>1041010</v>
      </c>
      <c r="AD72" s="434">
        <v>1800</v>
      </c>
      <c r="AE72" s="434">
        <v>1122454</v>
      </c>
      <c r="AF72" s="434">
        <v>0</v>
      </c>
      <c r="AG72" s="434">
        <v>55700</v>
      </c>
      <c r="AH72" s="434">
        <v>169567</v>
      </c>
      <c r="AI72" s="469">
        <v>80897</v>
      </c>
      <c r="AJ72" s="469">
        <v>31702</v>
      </c>
      <c r="AK72" s="434">
        <v>0</v>
      </c>
      <c r="AL72" s="434">
        <v>758945</v>
      </c>
      <c r="AM72" s="434">
        <v>0</v>
      </c>
      <c r="AN72" s="203"/>
      <c r="AO72" s="203"/>
      <c r="AP72" s="203"/>
      <c r="AQ72" s="203"/>
      <c r="AR72" s="203"/>
      <c r="AS72" s="203"/>
      <c r="AT72" s="203"/>
    </row>
    <row r="73" spans="1:46" s="155" customFormat="1" ht="12" x14ac:dyDescent="0.2">
      <c r="A73" s="168">
        <v>19</v>
      </c>
      <c r="B73" s="227">
        <v>96423</v>
      </c>
      <c r="C73" s="256" t="s">
        <v>1423</v>
      </c>
      <c r="D73" s="432">
        <f t="shared" si="10"/>
        <v>4657539</v>
      </c>
      <c r="E73" s="434">
        <v>1433724</v>
      </c>
      <c r="F73" s="434">
        <v>106553</v>
      </c>
      <c r="G73" s="434">
        <v>1000367</v>
      </c>
      <c r="H73" s="434">
        <v>0</v>
      </c>
      <c r="I73" s="434">
        <v>2229289</v>
      </c>
      <c r="J73" s="434">
        <v>100000</v>
      </c>
      <c r="K73" s="434">
        <v>567900</v>
      </c>
      <c r="L73" s="434">
        <v>0</v>
      </c>
      <c r="M73" s="434">
        <v>106677</v>
      </c>
      <c r="N73" s="434">
        <v>219949</v>
      </c>
      <c r="O73" s="434">
        <v>0</v>
      </c>
      <c r="P73" s="432">
        <f t="shared" si="11"/>
        <v>4815439</v>
      </c>
      <c r="Q73" s="431">
        <v>2179174</v>
      </c>
      <c r="R73" s="431">
        <v>645019</v>
      </c>
      <c r="S73" s="431">
        <v>0</v>
      </c>
      <c r="T73" s="431">
        <v>0</v>
      </c>
      <c r="U73" s="431">
        <v>0</v>
      </c>
      <c r="V73" s="431">
        <v>0</v>
      </c>
      <c r="W73" s="431">
        <v>273420</v>
      </c>
      <c r="X73" s="431">
        <v>422921</v>
      </c>
      <c r="Y73" s="431">
        <v>30440</v>
      </c>
      <c r="Z73" s="468">
        <v>1266440</v>
      </c>
      <c r="AA73" s="431">
        <v>0</v>
      </c>
      <c r="AB73" s="431">
        <v>-1975</v>
      </c>
      <c r="AC73" s="469">
        <v>1051829</v>
      </c>
      <c r="AD73" s="434">
        <v>14471</v>
      </c>
      <c r="AE73" s="434">
        <v>2365557</v>
      </c>
      <c r="AF73" s="434">
        <v>4913</v>
      </c>
      <c r="AG73" s="434">
        <v>40454</v>
      </c>
      <c r="AH73" s="434">
        <v>438239</v>
      </c>
      <c r="AI73" s="469">
        <v>384808</v>
      </c>
      <c r="AJ73" s="469">
        <v>2000</v>
      </c>
      <c r="AK73" s="434">
        <v>0</v>
      </c>
      <c r="AL73" s="434">
        <v>480928</v>
      </c>
      <c r="AM73" s="434">
        <v>32240</v>
      </c>
      <c r="AN73" s="203"/>
      <c r="AO73" s="203"/>
      <c r="AP73" s="203"/>
      <c r="AQ73" s="203"/>
      <c r="AR73" s="203"/>
      <c r="AS73" s="203"/>
      <c r="AT73" s="203"/>
    </row>
    <row r="74" spans="1:46" s="155" customFormat="1" ht="12" x14ac:dyDescent="0.2">
      <c r="A74" s="168">
        <v>20</v>
      </c>
      <c r="B74" s="227">
        <v>96478</v>
      </c>
      <c r="C74" s="256" t="s">
        <v>1424</v>
      </c>
      <c r="D74" s="432">
        <f t="shared" si="10"/>
        <v>9863125</v>
      </c>
      <c r="E74" s="434">
        <v>2848988</v>
      </c>
      <c r="F74" s="434">
        <v>1214108</v>
      </c>
      <c r="G74" s="434">
        <v>559699</v>
      </c>
      <c r="H74" s="434">
        <v>0</v>
      </c>
      <c r="I74" s="434">
        <v>4558321</v>
      </c>
      <c r="J74" s="434">
        <v>0</v>
      </c>
      <c r="K74" s="434">
        <v>1472100</v>
      </c>
      <c r="L74" s="434">
        <v>0</v>
      </c>
      <c r="M74" s="434">
        <v>329048</v>
      </c>
      <c r="N74" s="434">
        <v>577384</v>
      </c>
      <c r="O74" s="434">
        <v>77284</v>
      </c>
      <c r="P74" s="432">
        <f t="shared" si="11"/>
        <v>8460185</v>
      </c>
      <c r="Q74" s="431">
        <v>4956020</v>
      </c>
      <c r="R74" s="431">
        <v>1903413</v>
      </c>
      <c r="S74" s="431">
        <v>0</v>
      </c>
      <c r="T74" s="431">
        <v>0</v>
      </c>
      <c r="U74" s="431">
        <v>0</v>
      </c>
      <c r="V74" s="431">
        <v>0</v>
      </c>
      <c r="W74" s="431">
        <v>775374</v>
      </c>
      <c r="X74" s="431">
        <v>226911</v>
      </c>
      <c r="Y74" s="431">
        <v>53000</v>
      </c>
      <c r="Z74" s="468">
        <v>549521</v>
      </c>
      <c r="AA74" s="431">
        <v>0</v>
      </c>
      <c r="AB74" s="431">
        <v>-4054</v>
      </c>
      <c r="AC74" s="469">
        <v>1170640</v>
      </c>
      <c r="AD74" s="434">
        <v>80301</v>
      </c>
      <c r="AE74" s="434">
        <v>4307891</v>
      </c>
      <c r="AF74" s="434">
        <v>45802</v>
      </c>
      <c r="AG74" s="434">
        <v>131613</v>
      </c>
      <c r="AH74" s="434">
        <v>1440187</v>
      </c>
      <c r="AI74" s="469">
        <v>402704</v>
      </c>
      <c r="AJ74" s="469">
        <v>105230</v>
      </c>
      <c r="AK74" s="434">
        <v>0</v>
      </c>
      <c r="AL74" s="434">
        <v>483734</v>
      </c>
      <c r="AM74" s="434">
        <v>292083</v>
      </c>
      <c r="AN74" s="203"/>
      <c r="AO74" s="203"/>
      <c r="AP74" s="203"/>
      <c r="AQ74" s="203"/>
      <c r="AR74" s="203"/>
      <c r="AS74" s="203"/>
      <c r="AT74" s="203"/>
    </row>
    <row r="75" spans="1:46" s="155" customFormat="1" ht="12" x14ac:dyDescent="0.2">
      <c r="A75" s="168">
        <v>21</v>
      </c>
      <c r="B75" s="227">
        <v>96593</v>
      </c>
      <c r="C75" s="256" t="s">
        <v>1425</v>
      </c>
      <c r="D75" s="432">
        <f t="shared" si="10"/>
        <v>5655134</v>
      </c>
      <c r="E75" s="434">
        <v>1373108</v>
      </c>
      <c r="F75" s="434">
        <v>143722</v>
      </c>
      <c r="G75" s="434">
        <v>1020514</v>
      </c>
      <c r="H75" s="434">
        <v>0</v>
      </c>
      <c r="I75" s="434">
        <v>2045699</v>
      </c>
      <c r="J75" s="434">
        <v>100000</v>
      </c>
      <c r="K75" s="434">
        <v>306750</v>
      </c>
      <c r="L75" s="434">
        <v>0</v>
      </c>
      <c r="M75" s="434">
        <v>126561</v>
      </c>
      <c r="N75" s="434">
        <v>1661854</v>
      </c>
      <c r="O75" s="434">
        <v>41162</v>
      </c>
      <c r="P75" s="432">
        <f t="shared" si="11"/>
        <v>3498433</v>
      </c>
      <c r="Q75" s="431">
        <v>2291054</v>
      </c>
      <c r="R75" s="431">
        <v>955470</v>
      </c>
      <c r="S75" s="431">
        <v>0</v>
      </c>
      <c r="T75" s="431">
        <v>0</v>
      </c>
      <c r="U75" s="431">
        <v>0</v>
      </c>
      <c r="V75" s="431">
        <v>0</v>
      </c>
      <c r="W75" s="431">
        <v>0</v>
      </c>
      <c r="X75" s="431">
        <v>80391</v>
      </c>
      <c r="Y75" s="431">
        <v>0</v>
      </c>
      <c r="Z75" s="468">
        <v>171518</v>
      </c>
      <c r="AA75" s="431">
        <v>0</v>
      </c>
      <c r="AB75" s="431">
        <v>0</v>
      </c>
      <c r="AC75" s="469">
        <v>610720</v>
      </c>
      <c r="AD75" s="434">
        <v>0</v>
      </c>
      <c r="AE75" s="434">
        <v>1995088</v>
      </c>
      <c r="AF75" s="434">
        <v>17586</v>
      </c>
      <c r="AG75" s="434">
        <v>91220</v>
      </c>
      <c r="AH75" s="434">
        <v>242557</v>
      </c>
      <c r="AI75" s="469">
        <v>53728</v>
      </c>
      <c r="AJ75" s="469">
        <v>10632</v>
      </c>
      <c r="AK75" s="434">
        <v>0</v>
      </c>
      <c r="AL75" s="434">
        <v>373267</v>
      </c>
      <c r="AM75" s="434">
        <v>103635</v>
      </c>
      <c r="AN75" s="203"/>
      <c r="AO75" s="203"/>
      <c r="AP75" s="203"/>
      <c r="AQ75" s="203"/>
      <c r="AR75" s="203"/>
      <c r="AS75" s="203"/>
      <c r="AT75" s="203"/>
    </row>
    <row r="76" spans="1:46" s="155" customFormat="1" ht="12" x14ac:dyDescent="0.2">
      <c r="A76" s="168">
        <v>22</v>
      </c>
      <c r="B76" s="227">
        <v>96637</v>
      </c>
      <c r="C76" s="256" t="s">
        <v>1426</v>
      </c>
      <c r="D76" s="432">
        <f t="shared" si="10"/>
        <v>10280984</v>
      </c>
      <c r="E76" s="434">
        <v>1590351</v>
      </c>
      <c r="F76" s="434">
        <v>221134</v>
      </c>
      <c r="G76" s="434">
        <v>814329</v>
      </c>
      <c r="H76" s="434">
        <v>0</v>
      </c>
      <c r="I76" s="434">
        <v>2183909</v>
      </c>
      <c r="J76" s="434">
        <v>0</v>
      </c>
      <c r="K76" s="434">
        <v>559390</v>
      </c>
      <c r="L76" s="434">
        <v>0</v>
      </c>
      <c r="M76" s="434">
        <v>4328146</v>
      </c>
      <c r="N76" s="434">
        <v>1557424</v>
      </c>
      <c r="O76" s="434">
        <v>61764</v>
      </c>
      <c r="P76" s="432">
        <f t="shared" si="11"/>
        <v>9125268</v>
      </c>
      <c r="Q76" s="431">
        <v>2451625</v>
      </c>
      <c r="R76" s="431">
        <v>1490413</v>
      </c>
      <c r="S76" s="431">
        <v>5000</v>
      </c>
      <c r="T76" s="431">
        <v>0</v>
      </c>
      <c r="U76" s="431">
        <v>0</v>
      </c>
      <c r="V76" s="431">
        <v>0</v>
      </c>
      <c r="W76" s="431">
        <v>798489</v>
      </c>
      <c r="X76" s="431">
        <v>161601</v>
      </c>
      <c r="Y76" s="431">
        <v>40095</v>
      </c>
      <c r="Z76" s="468">
        <v>4121045</v>
      </c>
      <c r="AA76" s="431">
        <v>57000</v>
      </c>
      <c r="AB76" s="431">
        <v>0</v>
      </c>
      <c r="AC76" s="469">
        <v>1134699</v>
      </c>
      <c r="AD76" s="434">
        <v>7350</v>
      </c>
      <c r="AE76" s="434">
        <v>2031801</v>
      </c>
      <c r="AF76" s="434">
        <v>21377</v>
      </c>
      <c r="AG76" s="434">
        <v>258945</v>
      </c>
      <c r="AH76" s="434">
        <v>291778</v>
      </c>
      <c r="AI76" s="469">
        <v>4085605</v>
      </c>
      <c r="AJ76" s="469">
        <v>205635</v>
      </c>
      <c r="AK76" s="434">
        <v>0</v>
      </c>
      <c r="AL76" s="434">
        <v>1088078</v>
      </c>
      <c r="AM76" s="434">
        <v>0</v>
      </c>
      <c r="AN76" s="203"/>
      <c r="AO76" s="203"/>
      <c r="AP76" s="203"/>
      <c r="AQ76" s="203"/>
      <c r="AR76" s="203"/>
      <c r="AS76" s="203"/>
      <c r="AT76" s="203"/>
    </row>
    <row r="77" spans="1:46" s="155" customFormat="1" ht="12" x14ac:dyDescent="0.2">
      <c r="A77" s="168">
        <v>23</v>
      </c>
      <c r="B77" s="227">
        <v>96664</v>
      </c>
      <c r="C77" s="256" t="s">
        <v>1427</v>
      </c>
      <c r="D77" s="432">
        <f t="shared" si="10"/>
        <v>4172682</v>
      </c>
      <c r="E77" s="434">
        <v>1302366</v>
      </c>
      <c r="F77" s="434">
        <v>63283</v>
      </c>
      <c r="G77" s="434">
        <v>1071344</v>
      </c>
      <c r="H77" s="434">
        <v>0</v>
      </c>
      <c r="I77" s="434">
        <v>715483</v>
      </c>
      <c r="J77" s="434">
        <v>0</v>
      </c>
      <c r="K77" s="434">
        <v>329490</v>
      </c>
      <c r="L77" s="434">
        <v>0</v>
      </c>
      <c r="M77" s="434">
        <v>390826</v>
      </c>
      <c r="N77" s="434">
        <v>576190</v>
      </c>
      <c r="O77" s="434">
        <v>858327</v>
      </c>
      <c r="P77" s="432">
        <f t="shared" si="11"/>
        <v>4646826</v>
      </c>
      <c r="Q77" s="431">
        <v>973503</v>
      </c>
      <c r="R77" s="431">
        <v>921308</v>
      </c>
      <c r="S77" s="431">
        <v>0</v>
      </c>
      <c r="T77" s="431">
        <v>0</v>
      </c>
      <c r="U77" s="431">
        <v>489</v>
      </c>
      <c r="V77" s="431">
        <v>260000</v>
      </c>
      <c r="W77" s="431">
        <v>618350</v>
      </c>
      <c r="X77" s="431">
        <v>24264</v>
      </c>
      <c r="Y77" s="431">
        <v>0</v>
      </c>
      <c r="Z77" s="468">
        <v>1849401</v>
      </c>
      <c r="AA77" s="431">
        <v>0</v>
      </c>
      <c r="AB77" s="431">
        <v>-489</v>
      </c>
      <c r="AC77" s="469">
        <v>764894</v>
      </c>
      <c r="AD77" s="434">
        <v>0</v>
      </c>
      <c r="AE77" s="434">
        <v>706378</v>
      </c>
      <c r="AF77" s="434">
        <v>0</v>
      </c>
      <c r="AG77" s="434">
        <v>3217</v>
      </c>
      <c r="AH77" s="434">
        <v>91153</v>
      </c>
      <c r="AI77" s="469">
        <v>1328047</v>
      </c>
      <c r="AJ77" s="469">
        <v>29760</v>
      </c>
      <c r="AK77" s="434">
        <v>0</v>
      </c>
      <c r="AL77" s="434">
        <v>706124</v>
      </c>
      <c r="AM77" s="434">
        <v>1017253</v>
      </c>
      <c r="AN77" s="203"/>
      <c r="AO77" s="203"/>
      <c r="AP77" s="203"/>
      <c r="AQ77" s="203"/>
      <c r="AR77" s="203"/>
      <c r="AS77" s="203"/>
      <c r="AT77" s="203"/>
    </row>
    <row r="78" spans="1:46" s="155" customFormat="1" ht="12" x14ac:dyDescent="0.2">
      <c r="A78" s="168">
        <v>24</v>
      </c>
      <c r="B78" s="227">
        <v>96717</v>
      </c>
      <c r="C78" s="256" t="s">
        <v>1428</v>
      </c>
      <c r="D78" s="432">
        <f t="shared" si="10"/>
        <v>4643063</v>
      </c>
      <c r="E78" s="434">
        <v>1176322</v>
      </c>
      <c r="F78" s="434">
        <v>166977</v>
      </c>
      <c r="G78" s="434">
        <v>709834</v>
      </c>
      <c r="H78" s="434">
        <v>0</v>
      </c>
      <c r="I78" s="434">
        <v>2752800</v>
      </c>
      <c r="J78" s="434">
        <v>100000</v>
      </c>
      <c r="K78" s="434">
        <v>536500</v>
      </c>
      <c r="L78" s="434">
        <v>0</v>
      </c>
      <c r="M78" s="434">
        <v>77441</v>
      </c>
      <c r="N78" s="434">
        <v>0</v>
      </c>
      <c r="O78" s="434">
        <v>0</v>
      </c>
      <c r="P78" s="432">
        <f t="shared" si="11"/>
        <v>4931457</v>
      </c>
      <c r="Q78" s="431">
        <v>2787231</v>
      </c>
      <c r="R78" s="431">
        <v>1423831</v>
      </c>
      <c r="S78" s="431">
        <v>0</v>
      </c>
      <c r="T78" s="431">
        <v>0</v>
      </c>
      <c r="U78" s="431">
        <v>0</v>
      </c>
      <c r="V78" s="431">
        <v>8000</v>
      </c>
      <c r="W78" s="431">
        <v>0</v>
      </c>
      <c r="X78" s="431">
        <v>251583</v>
      </c>
      <c r="Y78" s="431">
        <v>17400</v>
      </c>
      <c r="Z78" s="468">
        <v>443412</v>
      </c>
      <c r="AA78" s="431">
        <v>0</v>
      </c>
      <c r="AB78" s="431">
        <v>0</v>
      </c>
      <c r="AC78" s="469">
        <v>822063</v>
      </c>
      <c r="AD78" s="434">
        <v>36258</v>
      </c>
      <c r="AE78" s="434">
        <v>2673096</v>
      </c>
      <c r="AF78" s="434">
        <v>51010</v>
      </c>
      <c r="AG78" s="434">
        <v>330657</v>
      </c>
      <c r="AH78" s="434">
        <v>251583</v>
      </c>
      <c r="AI78" s="469">
        <v>200872</v>
      </c>
      <c r="AJ78" s="469">
        <v>91462</v>
      </c>
      <c r="AK78" s="434">
        <v>0</v>
      </c>
      <c r="AL78" s="434">
        <v>474456</v>
      </c>
      <c r="AM78" s="434">
        <v>0</v>
      </c>
      <c r="AN78" s="203"/>
      <c r="AO78" s="203"/>
      <c r="AP78" s="203"/>
      <c r="AQ78" s="203"/>
      <c r="AR78" s="203"/>
      <c r="AS78" s="203"/>
      <c r="AT78" s="203"/>
    </row>
    <row r="79" spans="1:46" s="155" customFormat="1" ht="12" x14ac:dyDescent="0.2">
      <c r="A79" s="168">
        <v>25</v>
      </c>
      <c r="B79" s="227">
        <v>96815</v>
      </c>
      <c r="C79" s="256" t="s">
        <v>1429</v>
      </c>
      <c r="D79" s="432">
        <f t="shared" si="10"/>
        <v>11953887</v>
      </c>
      <c r="E79" s="434">
        <v>2590439</v>
      </c>
      <c r="F79" s="434">
        <v>403089</v>
      </c>
      <c r="G79" s="434">
        <v>1189426</v>
      </c>
      <c r="H79" s="434">
        <v>0</v>
      </c>
      <c r="I79" s="434">
        <v>5410680</v>
      </c>
      <c r="J79" s="434">
        <v>100000</v>
      </c>
      <c r="K79" s="434">
        <v>2194060</v>
      </c>
      <c r="L79" s="434">
        <v>0</v>
      </c>
      <c r="M79" s="434">
        <v>709476</v>
      </c>
      <c r="N79" s="434">
        <v>889232</v>
      </c>
      <c r="O79" s="434">
        <v>60000</v>
      </c>
      <c r="P79" s="432">
        <f t="shared" si="11"/>
        <v>11520146</v>
      </c>
      <c r="Q79" s="431">
        <v>5662503</v>
      </c>
      <c r="R79" s="431">
        <v>2687590</v>
      </c>
      <c r="S79" s="431">
        <v>0</v>
      </c>
      <c r="T79" s="431">
        <v>0</v>
      </c>
      <c r="U79" s="431">
        <v>13000</v>
      </c>
      <c r="V79" s="431">
        <v>14114</v>
      </c>
      <c r="W79" s="431">
        <v>977146</v>
      </c>
      <c r="X79" s="431">
        <v>414611</v>
      </c>
      <c r="Y79" s="431">
        <v>74824</v>
      </c>
      <c r="Z79" s="468">
        <v>1676358</v>
      </c>
      <c r="AA79" s="431">
        <v>0</v>
      </c>
      <c r="AB79" s="431">
        <v>0</v>
      </c>
      <c r="AC79" s="469">
        <v>1712732</v>
      </c>
      <c r="AD79" s="434">
        <v>25078</v>
      </c>
      <c r="AE79" s="434">
        <v>5644136</v>
      </c>
      <c r="AF79" s="434">
        <v>65003</v>
      </c>
      <c r="AG79" s="434">
        <v>363236</v>
      </c>
      <c r="AH79" s="434">
        <v>1087146</v>
      </c>
      <c r="AI79" s="469">
        <v>1528094</v>
      </c>
      <c r="AJ79" s="469">
        <v>137000</v>
      </c>
      <c r="AK79" s="434">
        <v>0</v>
      </c>
      <c r="AL79" s="434">
        <v>957721</v>
      </c>
      <c r="AM79" s="434">
        <v>0</v>
      </c>
      <c r="AN79" s="203"/>
      <c r="AO79" s="203"/>
      <c r="AP79" s="203"/>
      <c r="AQ79" s="203"/>
      <c r="AR79" s="203"/>
      <c r="AS79" s="203"/>
      <c r="AT79" s="203"/>
    </row>
    <row r="80" spans="1:46" s="155" customFormat="1" ht="12" x14ac:dyDescent="0.2">
      <c r="A80" s="168">
        <v>26</v>
      </c>
      <c r="B80" s="227">
        <v>96888</v>
      </c>
      <c r="C80" s="256" t="s">
        <v>1430</v>
      </c>
      <c r="D80" s="432">
        <f t="shared" si="10"/>
        <v>5402707</v>
      </c>
      <c r="E80" s="434">
        <v>1476188</v>
      </c>
      <c r="F80" s="434">
        <v>181438</v>
      </c>
      <c r="G80" s="434">
        <v>948178</v>
      </c>
      <c r="H80" s="434">
        <v>0</v>
      </c>
      <c r="I80" s="434">
        <v>1296680</v>
      </c>
      <c r="J80" s="434">
        <v>0</v>
      </c>
      <c r="K80" s="434">
        <v>409790</v>
      </c>
      <c r="L80" s="434">
        <v>0</v>
      </c>
      <c r="M80" s="434">
        <v>1956477</v>
      </c>
      <c r="N80" s="434">
        <v>263572</v>
      </c>
      <c r="O80" s="434">
        <v>0</v>
      </c>
      <c r="P80" s="432">
        <f t="shared" si="11"/>
        <v>5161326</v>
      </c>
      <c r="Q80" s="431">
        <v>1540576</v>
      </c>
      <c r="R80" s="431">
        <v>612221</v>
      </c>
      <c r="S80" s="431">
        <v>0</v>
      </c>
      <c r="T80" s="431">
        <v>0</v>
      </c>
      <c r="U80" s="431">
        <v>0</v>
      </c>
      <c r="V80" s="431">
        <v>0</v>
      </c>
      <c r="W80" s="431">
        <v>338296</v>
      </c>
      <c r="X80" s="431">
        <v>136186</v>
      </c>
      <c r="Y80" s="431">
        <v>10440</v>
      </c>
      <c r="Z80" s="468">
        <v>2523607</v>
      </c>
      <c r="AA80" s="431">
        <v>0</v>
      </c>
      <c r="AB80" s="431">
        <v>0</v>
      </c>
      <c r="AC80" s="469">
        <v>486233</v>
      </c>
      <c r="AD80" s="434">
        <v>12477</v>
      </c>
      <c r="AE80" s="434">
        <v>1273601</v>
      </c>
      <c r="AF80" s="434">
        <v>21378</v>
      </c>
      <c r="AG80" s="434">
        <v>368057</v>
      </c>
      <c r="AH80" s="434">
        <v>165699</v>
      </c>
      <c r="AI80" s="469">
        <v>129555</v>
      </c>
      <c r="AJ80" s="469">
        <v>9932</v>
      </c>
      <c r="AK80" s="434">
        <v>0</v>
      </c>
      <c r="AL80" s="434">
        <v>2643884</v>
      </c>
      <c r="AM80" s="434">
        <v>50510</v>
      </c>
      <c r="AN80" s="203"/>
      <c r="AO80" s="203"/>
      <c r="AP80" s="203"/>
      <c r="AQ80" s="203"/>
      <c r="AR80" s="203"/>
      <c r="AS80" s="203"/>
      <c r="AT80" s="203"/>
    </row>
    <row r="81" spans="1:46" s="155" customFormat="1" ht="12" x14ac:dyDescent="0.2">
      <c r="A81" s="168">
        <v>27</v>
      </c>
      <c r="B81" s="227">
        <v>96904</v>
      </c>
      <c r="C81" s="256" t="s">
        <v>1431</v>
      </c>
      <c r="D81" s="432">
        <f t="shared" si="10"/>
        <v>6210175</v>
      </c>
      <c r="E81" s="434">
        <v>1349655</v>
      </c>
      <c r="F81" s="434">
        <v>101315</v>
      </c>
      <c r="G81" s="434">
        <v>1039086</v>
      </c>
      <c r="H81" s="434">
        <v>0</v>
      </c>
      <c r="I81" s="434">
        <v>1671368</v>
      </c>
      <c r="J81" s="434">
        <v>0</v>
      </c>
      <c r="K81" s="434">
        <v>416720</v>
      </c>
      <c r="L81" s="434">
        <v>0</v>
      </c>
      <c r="M81" s="434">
        <v>218672</v>
      </c>
      <c r="N81" s="434">
        <v>2536160</v>
      </c>
      <c r="O81" s="434">
        <v>17600</v>
      </c>
      <c r="P81" s="432">
        <f t="shared" si="11"/>
        <v>3618265</v>
      </c>
      <c r="Q81" s="431">
        <v>1728897</v>
      </c>
      <c r="R81" s="431">
        <v>1031649</v>
      </c>
      <c r="S81" s="431">
        <v>0</v>
      </c>
      <c r="T81" s="431">
        <v>0</v>
      </c>
      <c r="U81" s="431">
        <v>0</v>
      </c>
      <c r="V81" s="431">
        <v>0</v>
      </c>
      <c r="W81" s="431">
        <v>2132</v>
      </c>
      <c r="X81" s="431">
        <v>239283</v>
      </c>
      <c r="Y81" s="431">
        <v>54970</v>
      </c>
      <c r="Z81" s="468">
        <v>561334</v>
      </c>
      <c r="AA81" s="431">
        <v>0</v>
      </c>
      <c r="AB81" s="431">
        <v>0</v>
      </c>
      <c r="AC81" s="469">
        <v>526306</v>
      </c>
      <c r="AD81" s="434">
        <v>19495</v>
      </c>
      <c r="AE81" s="434">
        <v>1581660</v>
      </c>
      <c r="AF81" s="434">
        <v>219115</v>
      </c>
      <c r="AG81" s="434">
        <v>53125</v>
      </c>
      <c r="AH81" s="434">
        <v>258871</v>
      </c>
      <c r="AI81" s="469">
        <v>227553</v>
      </c>
      <c r="AJ81" s="469">
        <v>575</v>
      </c>
      <c r="AK81" s="434">
        <v>0</v>
      </c>
      <c r="AL81" s="434">
        <v>731565</v>
      </c>
      <c r="AM81" s="434">
        <v>0</v>
      </c>
      <c r="AN81" s="203"/>
      <c r="AO81" s="203"/>
      <c r="AP81" s="203"/>
      <c r="AQ81" s="203"/>
      <c r="AR81" s="203"/>
      <c r="AS81" s="203"/>
      <c r="AT81" s="203"/>
    </row>
    <row r="82" spans="1:46" s="155" customFormat="1" ht="12" x14ac:dyDescent="0.2">
      <c r="A82" s="168">
        <v>28</v>
      </c>
      <c r="B82" s="227">
        <v>100308</v>
      </c>
      <c r="C82" s="256" t="s">
        <v>1432</v>
      </c>
      <c r="D82" s="432">
        <f t="shared" si="10"/>
        <v>2959167</v>
      </c>
      <c r="E82" s="434">
        <v>1299571</v>
      </c>
      <c r="F82" s="434">
        <v>46854</v>
      </c>
      <c r="G82" s="434">
        <v>1121197</v>
      </c>
      <c r="H82" s="434">
        <v>0</v>
      </c>
      <c r="I82" s="434">
        <v>846461</v>
      </c>
      <c r="J82" s="434">
        <v>0</v>
      </c>
      <c r="K82" s="434">
        <v>314520</v>
      </c>
      <c r="L82" s="434">
        <v>0</v>
      </c>
      <c r="M82" s="434">
        <v>418998</v>
      </c>
      <c r="N82" s="434">
        <v>66121</v>
      </c>
      <c r="O82" s="434">
        <v>13496</v>
      </c>
      <c r="P82" s="432">
        <f t="shared" si="11"/>
        <v>2584796</v>
      </c>
      <c r="Q82" s="431">
        <v>979115</v>
      </c>
      <c r="R82" s="431">
        <v>452118</v>
      </c>
      <c r="S82" s="431">
        <v>0</v>
      </c>
      <c r="T82" s="431">
        <v>0</v>
      </c>
      <c r="U82" s="431">
        <v>0</v>
      </c>
      <c r="V82" s="431">
        <v>1502</v>
      </c>
      <c r="W82" s="431">
        <v>339750</v>
      </c>
      <c r="X82" s="431">
        <v>125613</v>
      </c>
      <c r="Y82" s="431">
        <v>19881</v>
      </c>
      <c r="Z82" s="468">
        <v>668319</v>
      </c>
      <c r="AA82" s="431">
        <v>0</v>
      </c>
      <c r="AB82" s="431">
        <v>-1502</v>
      </c>
      <c r="AC82" s="469">
        <v>573786</v>
      </c>
      <c r="AD82" s="434">
        <v>3991</v>
      </c>
      <c r="AE82" s="434">
        <v>1169931</v>
      </c>
      <c r="AF82" s="434">
        <v>4075</v>
      </c>
      <c r="AG82" s="434">
        <v>12229</v>
      </c>
      <c r="AH82" s="434">
        <v>152540</v>
      </c>
      <c r="AI82" s="469">
        <v>86415</v>
      </c>
      <c r="AJ82" s="469">
        <v>15670</v>
      </c>
      <c r="AK82" s="434">
        <v>0</v>
      </c>
      <c r="AL82" s="434">
        <v>565468</v>
      </c>
      <c r="AM82" s="434">
        <v>691</v>
      </c>
      <c r="AN82" s="203"/>
      <c r="AO82" s="203"/>
      <c r="AP82" s="203"/>
      <c r="AQ82" s="203"/>
      <c r="AR82" s="203"/>
      <c r="AS82" s="203"/>
      <c r="AT82" s="203"/>
    </row>
    <row r="83" spans="1:46" s="155" customFormat="1" ht="12" x14ac:dyDescent="0.2">
      <c r="A83" s="168">
        <v>29</v>
      </c>
      <c r="B83" s="227">
        <v>96940</v>
      </c>
      <c r="C83" s="256" t="s">
        <v>1433</v>
      </c>
      <c r="D83" s="432">
        <f t="shared" si="10"/>
        <v>8314360</v>
      </c>
      <c r="E83" s="434">
        <v>3159495</v>
      </c>
      <c r="F83" s="434">
        <v>386765</v>
      </c>
      <c r="G83" s="434">
        <v>1001511</v>
      </c>
      <c r="H83" s="434">
        <v>0</v>
      </c>
      <c r="I83" s="434">
        <v>3192470</v>
      </c>
      <c r="J83" s="434">
        <v>0</v>
      </c>
      <c r="K83" s="434">
        <v>825010</v>
      </c>
      <c r="L83" s="434">
        <v>0</v>
      </c>
      <c r="M83" s="434">
        <v>260124</v>
      </c>
      <c r="N83" s="434">
        <v>877261</v>
      </c>
      <c r="O83" s="434">
        <v>0</v>
      </c>
      <c r="P83" s="432">
        <f t="shared" si="11"/>
        <v>9043491</v>
      </c>
      <c r="Q83" s="431">
        <v>3145113</v>
      </c>
      <c r="R83" s="431">
        <v>1756120</v>
      </c>
      <c r="S83" s="431">
        <v>0</v>
      </c>
      <c r="T83" s="431">
        <v>0</v>
      </c>
      <c r="U83" s="431">
        <v>0</v>
      </c>
      <c r="V83" s="431">
        <v>0</v>
      </c>
      <c r="W83" s="431">
        <v>2560683</v>
      </c>
      <c r="X83" s="431">
        <v>348949</v>
      </c>
      <c r="Y83" s="431">
        <v>0</v>
      </c>
      <c r="Z83" s="468">
        <v>1232626</v>
      </c>
      <c r="AA83" s="431">
        <v>0</v>
      </c>
      <c r="AB83" s="431">
        <v>0</v>
      </c>
      <c r="AC83" s="469">
        <v>1593609</v>
      </c>
      <c r="AD83" s="434">
        <v>0</v>
      </c>
      <c r="AE83" s="434">
        <v>4645960</v>
      </c>
      <c r="AF83" s="434">
        <v>0</v>
      </c>
      <c r="AG83" s="434">
        <v>166956</v>
      </c>
      <c r="AH83" s="434">
        <v>348949</v>
      </c>
      <c r="AI83" s="469">
        <v>166247</v>
      </c>
      <c r="AJ83" s="469">
        <v>921433</v>
      </c>
      <c r="AK83" s="434">
        <v>0</v>
      </c>
      <c r="AL83" s="434">
        <v>989461</v>
      </c>
      <c r="AM83" s="434">
        <v>210876</v>
      </c>
      <c r="AN83" s="203"/>
      <c r="AO83" s="203"/>
      <c r="AP83" s="203"/>
      <c r="AQ83" s="203"/>
      <c r="AR83" s="203"/>
      <c r="AS83" s="203"/>
      <c r="AT83" s="203"/>
    </row>
    <row r="84" spans="1:46" s="155" customFormat="1" ht="12" x14ac:dyDescent="0.2">
      <c r="A84" s="168">
        <v>30</v>
      </c>
      <c r="B84" s="227">
        <v>97009</v>
      </c>
      <c r="C84" s="256" t="s">
        <v>1434</v>
      </c>
      <c r="D84" s="432">
        <f t="shared" si="10"/>
        <v>8326810</v>
      </c>
      <c r="E84" s="434">
        <v>1924615</v>
      </c>
      <c r="F84" s="434">
        <v>237989</v>
      </c>
      <c r="G84" s="434">
        <v>951551</v>
      </c>
      <c r="H84" s="434">
        <v>0</v>
      </c>
      <c r="I84" s="434">
        <v>2920567</v>
      </c>
      <c r="J84" s="434">
        <v>0</v>
      </c>
      <c r="K84" s="434">
        <v>954730</v>
      </c>
      <c r="L84" s="434">
        <v>0</v>
      </c>
      <c r="M84" s="434">
        <v>1171396</v>
      </c>
      <c r="N84" s="434">
        <v>1355502</v>
      </c>
      <c r="O84" s="434">
        <v>0</v>
      </c>
      <c r="P84" s="432">
        <f t="shared" si="11"/>
        <v>7701476</v>
      </c>
      <c r="Q84" s="431">
        <v>3314240</v>
      </c>
      <c r="R84" s="431">
        <v>1336086</v>
      </c>
      <c r="S84" s="431">
        <v>4933</v>
      </c>
      <c r="T84" s="431">
        <v>0</v>
      </c>
      <c r="U84" s="431">
        <v>0</v>
      </c>
      <c r="V84" s="431">
        <v>0</v>
      </c>
      <c r="W84" s="431">
        <v>1606568</v>
      </c>
      <c r="X84" s="431">
        <v>253846</v>
      </c>
      <c r="Y84" s="431">
        <v>95567</v>
      </c>
      <c r="Z84" s="468">
        <v>1175895</v>
      </c>
      <c r="AA84" s="431">
        <v>0</v>
      </c>
      <c r="AB84" s="431">
        <v>-85659</v>
      </c>
      <c r="AC84" s="469">
        <v>1109256</v>
      </c>
      <c r="AD84" s="434">
        <v>0</v>
      </c>
      <c r="AE84" s="434">
        <v>2807372</v>
      </c>
      <c r="AF84" s="434">
        <v>0</v>
      </c>
      <c r="AG84" s="434">
        <v>330455</v>
      </c>
      <c r="AH84" s="434">
        <v>735057</v>
      </c>
      <c r="AI84" s="469">
        <v>711878</v>
      </c>
      <c r="AJ84" s="469">
        <v>63609</v>
      </c>
      <c r="AK84" s="434">
        <v>0</v>
      </c>
      <c r="AL84" s="434">
        <v>1940630</v>
      </c>
      <c r="AM84" s="434">
        <v>3219</v>
      </c>
      <c r="AN84" s="203"/>
      <c r="AO84" s="203"/>
      <c r="AP84" s="203"/>
      <c r="AQ84" s="203"/>
      <c r="AR84" s="203"/>
      <c r="AS84" s="203"/>
      <c r="AT84" s="203"/>
    </row>
    <row r="85" spans="1:46" s="155" customFormat="1" ht="12" x14ac:dyDescent="0.2">
      <c r="A85" s="168">
        <v>31</v>
      </c>
      <c r="B85" s="227">
        <v>100317</v>
      </c>
      <c r="C85" s="256" t="s">
        <v>1435</v>
      </c>
      <c r="D85" s="432">
        <f t="shared" si="10"/>
        <v>5404672</v>
      </c>
      <c r="E85" s="434">
        <v>1391924</v>
      </c>
      <c r="F85" s="434">
        <v>98398</v>
      </c>
      <c r="G85" s="434">
        <v>1090894</v>
      </c>
      <c r="H85" s="434">
        <v>0</v>
      </c>
      <c r="I85" s="434">
        <v>1624126</v>
      </c>
      <c r="J85" s="434">
        <v>0</v>
      </c>
      <c r="K85" s="434">
        <v>406130</v>
      </c>
      <c r="L85" s="434">
        <v>0</v>
      </c>
      <c r="M85" s="434">
        <v>1435606</v>
      </c>
      <c r="N85" s="434">
        <v>420483</v>
      </c>
      <c r="O85" s="434">
        <v>126403</v>
      </c>
      <c r="P85" s="432">
        <f t="shared" si="11"/>
        <v>5072697</v>
      </c>
      <c r="Q85" s="431">
        <v>1825747</v>
      </c>
      <c r="R85" s="431">
        <v>1148747</v>
      </c>
      <c r="S85" s="431">
        <v>0</v>
      </c>
      <c r="T85" s="431">
        <v>0</v>
      </c>
      <c r="U85" s="431">
        <v>0</v>
      </c>
      <c r="V85" s="431">
        <v>0</v>
      </c>
      <c r="W85" s="431">
        <v>527730</v>
      </c>
      <c r="X85" s="431">
        <v>170772</v>
      </c>
      <c r="Y85" s="431">
        <v>8000</v>
      </c>
      <c r="Z85" s="468">
        <v>1391701</v>
      </c>
      <c r="AA85" s="431">
        <v>0</v>
      </c>
      <c r="AB85" s="431">
        <v>0</v>
      </c>
      <c r="AC85" s="469">
        <v>741029</v>
      </c>
      <c r="AD85" s="434">
        <v>0</v>
      </c>
      <c r="AE85" s="434">
        <v>1912038</v>
      </c>
      <c r="AF85" s="434">
        <v>2000</v>
      </c>
      <c r="AG85" s="434">
        <v>132262</v>
      </c>
      <c r="AH85" s="434">
        <v>460479</v>
      </c>
      <c r="AI85" s="469">
        <v>7277</v>
      </c>
      <c r="AJ85" s="469">
        <v>0</v>
      </c>
      <c r="AK85" s="434">
        <v>0</v>
      </c>
      <c r="AL85" s="434">
        <v>1722071</v>
      </c>
      <c r="AM85" s="434">
        <v>95541</v>
      </c>
      <c r="AN85" s="203"/>
      <c r="AO85" s="203"/>
      <c r="AP85" s="203"/>
      <c r="AQ85" s="203"/>
      <c r="AR85" s="203"/>
      <c r="AS85" s="203"/>
      <c r="AT85" s="203"/>
    </row>
    <row r="86" spans="1:46" s="155" customFormat="1" ht="12" x14ac:dyDescent="0.2">
      <c r="A86" s="168">
        <v>32</v>
      </c>
      <c r="B86" s="227">
        <v>97063</v>
      </c>
      <c r="C86" s="256" t="s">
        <v>1436</v>
      </c>
      <c r="D86" s="432">
        <f t="shared" si="10"/>
        <v>7485306</v>
      </c>
      <c r="E86" s="434">
        <v>1542126</v>
      </c>
      <c r="F86" s="434">
        <v>185725</v>
      </c>
      <c r="G86" s="434">
        <v>969683</v>
      </c>
      <c r="H86" s="434">
        <v>0</v>
      </c>
      <c r="I86" s="434">
        <v>2605220</v>
      </c>
      <c r="J86" s="434">
        <v>0</v>
      </c>
      <c r="K86" s="434">
        <v>430130</v>
      </c>
      <c r="L86" s="434">
        <v>0</v>
      </c>
      <c r="M86" s="434">
        <v>2198878</v>
      </c>
      <c r="N86" s="434">
        <v>660151</v>
      </c>
      <c r="O86" s="434">
        <v>48801</v>
      </c>
      <c r="P86" s="432">
        <f t="shared" si="11"/>
        <v>7468841</v>
      </c>
      <c r="Q86" s="431">
        <v>2577189</v>
      </c>
      <c r="R86" s="431">
        <v>882840</v>
      </c>
      <c r="S86" s="431">
        <v>0</v>
      </c>
      <c r="T86" s="431">
        <v>0</v>
      </c>
      <c r="U86" s="431">
        <v>0</v>
      </c>
      <c r="V86" s="431">
        <v>8757</v>
      </c>
      <c r="W86" s="431">
        <v>1080517</v>
      </c>
      <c r="X86" s="431">
        <v>272458</v>
      </c>
      <c r="Y86" s="431">
        <v>46016</v>
      </c>
      <c r="Z86" s="468">
        <v>2609897</v>
      </c>
      <c r="AA86" s="431">
        <v>0</v>
      </c>
      <c r="AB86" s="431">
        <v>-8833</v>
      </c>
      <c r="AC86" s="469">
        <v>724077</v>
      </c>
      <c r="AD86" s="434">
        <v>5056</v>
      </c>
      <c r="AE86" s="434">
        <v>2379283</v>
      </c>
      <c r="AF86" s="434">
        <v>23467</v>
      </c>
      <c r="AG86" s="434">
        <v>105318</v>
      </c>
      <c r="AH86" s="434">
        <v>308174</v>
      </c>
      <c r="AI86" s="469">
        <v>114686</v>
      </c>
      <c r="AJ86" s="469">
        <v>22366</v>
      </c>
      <c r="AK86" s="434">
        <v>0</v>
      </c>
      <c r="AL86" s="434">
        <v>3786414</v>
      </c>
      <c r="AM86" s="434">
        <v>0</v>
      </c>
      <c r="AN86" s="203"/>
      <c r="AO86" s="203"/>
      <c r="AP86" s="203"/>
      <c r="AQ86" s="203"/>
      <c r="AR86" s="203"/>
      <c r="AS86" s="203"/>
      <c r="AT86" s="203"/>
    </row>
    <row r="87" spans="1:46" s="155" customFormat="1" ht="12" x14ac:dyDescent="0.2">
      <c r="A87" s="168">
        <v>33</v>
      </c>
      <c r="B87" s="227">
        <v>97090</v>
      </c>
      <c r="C87" s="256" t="s">
        <v>1437</v>
      </c>
      <c r="D87" s="432">
        <f t="shared" ref="D87:D118" si="12">E87+SUM(H87:O87)</f>
        <v>8174977</v>
      </c>
      <c r="E87" s="434">
        <v>1836265</v>
      </c>
      <c r="F87" s="434">
        <v>137949</v>
      </c>
      <c r="G87" s="434">
        <v>1043974</v>
      </c>
      <c r="H87" s="434">
        <v>0</v>
      </c>
      <c r="I87" s="434">
        <v>1994954</v>
      </c>
      <c r="J87" s="434">
        <v>0</v>
      </c>
      <c r="K87" s="434">
        <v>476650</v>
      </c>
      <c r="L87" s="434">
        <v>0</v>
      </c>
      <c r="M87" s="434">
        <v>1558983</v>
      </c>
      <c r="N87" s="434">
        <v>2094885</v>
      </c>
      <c r="O87" s="434">
        <v>213240</v>
      </c>
      <c r="P87" s="432">
        <f t="shared" ref="P87:P118" si="13">IF(SUM(Q87:AB87)=SUM(AC87:AM87),SUM(Q87:AB87),"  EROARE ART/CAP")</f>
        <v>8356858</v>
      </c>
      <c r="Q87" s="431">
        <v>2256429</v>
      </c>
      <c r="R87" s="431">
        <v>2040415</v>
      </c>
      <c r="S87" s="431">
        <v>21816</v>
      </c>
      <c r="T87" s="431">
        <v>0</v>
      </c>
      <c r="U87" s="431">
        <v>0</v>
      </c>
      <c r="V87" s="431">
        <v>73600</v>
      </c>
      <c r="W87" s="431">
        <v>2366196</v>
      </c>
      <c r="X87" s="431">
        <v>115163</v>
      </c>
      <c r="Y87" s="431">
        <v>0</v>
      </c>
      <c r="Z87" s="468">
        <v>1435293</v>
      </c>
      <c r="AA87" s="431">
        <v>47946</v>
      </c>
      <c r="AB87" s="431">
        <v>0</v>
      </c>
      <c r="AC87" s="469">
        <v>1587388</v>
      </c>
      <c r="AD87" s="434">
        <v>0</v>
      </c>
      <c r="AE87" s="434">
        <v>2306383</v>
      </c>
      <c r="AF87" s="434">
        <v>0</v>
      </c>
      <c r="AG87" s="434">
        <v>386564</v>
      </c>
      <c r="AH87" s="434">
        <v>335971</v>
      </c>
      <c r="AI87" s="469">
        <v>857105</v>
      </c>
      <c r="AJ87" s="469">
        <v>0</v>
      </c>
      <c r="AK87" s="434">
        <v>0</v>
      </c>
      <c r="AL87" s="434">
        <v>2883447</v>
      </c>
      <c r="AM87" s="434">
        <v>0</v>
      </c>
      <c r="AN87" s="203"/>
      <c r="AO87" s="203"/>
      <c r="AP87" s="203"/>
      <c r="AQ87" s="203"/>
      <c r="AR87" s="203"/>
      <c r="AS87" s="203"/>
      <c r="AT87" s="203"/>
    </row>
    <row r="88" spans="1:46" s="155" customFormat="1" ht="12" x14ac:dyDescent="0.2">
      <c r="A88" s="168">
        <v>34</v>
      </c>
      <c r="B88" s="227">
        <v>97189</v>
      </c>
      <c r="C88" s="256" t="s">
        <v>1438</v>
      </c>
      <c r="D88" s="432">
        <f t="shared" si="12"/>
        <v>5778764</v>
      </c>
      <c r="E88" s="434">
        <v>1470775</v>
      </c>
      <c r="F88" s="434">
        <v>173681</v>
      </c>
      <c r="G88" s="434">
        <v>880731</v>
      </c>
      <c r="H88" s="434">
        <v>0</v>
      </c>
      <c r="I88" s="434">
        <v>1625739</v>
      </c>
      <c r="J88" s="434">
        <v>0</v>
      </c>
      <c r="K88" s="434">
        <v>367970</v>
      </c>
      <c r="L88" s="434">
        <v>0</v>
      </c>
      <c r="M88" s="434">
        <v>664975</v>
      </c>
      <c r="N88" s="434">
        <v>1649305</v>
      </c>
      <c r="O88" s="434">
        <v>0</v>
      </c>
      <c r="P88" s="432">
        <f t="shared" si="13"/>
        <v>3568841</v>
      </c>
      <c r="Q88" s="431">
        <v>1864162</v>
      </c>
      <c r="R88" s="431">
        <v>826992</v>
      </c>
      <c r="S88" s="431">
        <v>0</v>
      </c>
      <c r="T88" s="431">
        <v>0</v>
      </c>
      <c r="U88" s="431">
        <v>0</v>
      </c>
      <c r="V88" s="431">
        <v>0</v>
      </c>
      <c r="W88" s="431">
        <v>0</v>
      </c>
      <c r="X88" s="431">
        <v>188927</v>
      </c>
      <c r="Y88" s="431">
        <v>5000</v>
      </c>
      <c r="Z88" s="468">
        <v>683760</v>
      </c>
      <c r="AA88" s="431">
        <v>0</v>
      </c>
      <c r="AB88" s="431">
        <v>0</v>
      </c>
      <c r="AC88" s="469">
        <v>693369</v>
      </c>
      <c r="AD88" s="434">
        <v>4152</v>
      </c>
      <c r="AE88" s="434">
        <v>1535578</v>
      </c>
      <c r="AF88" s="434">
        <v>0</v>
      </c>
      <c r="AG88" s="434">
        <v>120792</v>
      </c>
      <c r="AH88" s="434">
        <v>235341</v>
      </c>
      <c r="AI88" s="469">
        <v>68197</v>
      </c>
      <c r="AJ88" s="469">
        <v>0</v>
      </c>
      <c r="AK88" s="434">
        <v>0</v>
      </c>
      <c r="AL88" s="434">
        <v>862926</v>
      </c>
      <c r="AM88" s="434">
        <v>48486</v>
      </c>
      <c r="AN88" s="203"/>
      <c r="AO88" s="203"/>
      <c r="AP88" s="203"/>
      <c r="AQ88" s="203"/>
      <c r="AR88" s="203"/>
      <c r="AS88" s="203"/>
      <c r="AT88" s="203"/>
    </row>
    <row r="89" spans="1:46" s="155" customFormat="1" ht="12" x14ac:dyDescent="0.2">
      <c r="A89" s="168">
        <v>35</v>
      </c>
      <c r="B89" s="227">
        <v>97241</v>
      </c>
      <c r="C89" s="256" t="s">
        <v>1439</v>
      </c>
      <c r="D89" s="432">
        <f t="shared" si="12"/>
        <v>4029597</v>
      </c>
      <c r="E89" s="434">
        <v>1530174</v>
      </c>
      <c r="F89" s="434">
        <v>464141</v>
      </c>
      <c r="G89" s="434">
        <v>762453</v>
      </c>
      <c r="H89" s="434">
        <v>0</v>
      </c>
      <c r="I89" s="434">
        <v>1691586</v>
      </c>
      <c r="J89" s="434">
        <v>0</v>
      </c>
      <c r="K89" s="434">
        <v>388950</v>
      </c>
      <c r="L89" s="434">
        <v>0</v>
      </c>
      <c r="M89" s="434">
        <v>388876</v>
      </c>
      <c r="N89" s="434">
        <v>30011</v>
      </c>
      <c r="O89" s="434">
        <v>0</v>
      </c>
      <c r="P89" s="432">
        <f t="shared" si="13"/>
        <v>4104127</v>
      </c>
      <c r="Q89" s="431">
        <v>1871327</v>
      </c>
      <c r="R89" s="431">
        <v>725414</v>
      </c>
      <c r="S89" s="431">
        <v>0</v>
      </c>
      <c r="T89" s="431">
        <v>0</v>
      </c>
      <c r="U89" s="431">
        <v>0</v>
      </c>
      <c r="V89" s="431">
        <v>0</v>
      </c>
      <c r="W89" s="431">
        <v>161359</v>
      </c>
      <c r="X89" s="431">
        <v>220187</v>
      </c>
      <c r="Y89" s="431">
        <v>6000</v>
      </c>
      <c r="Z89" s="468">
        <v>1119984</v>
      </c>
      <c r="AA89" s="431">
        <v>0</v>
      </c>
      <c r="AB89" s="431">
        <v>-144</v>
      </c>
      <c r="AC89" s="469">
        <v>737109</v>
      </c>
      <c r="AD89" s="434">
        <v>24474</v>
      </c>
      <c r="AE89" s="434">
        <v>1707472</v>
      </c>
      <c r="AF89" s="434">
        <v>0</v>
      </c>
      <c r="AG89" s="434">
        <v>568024</v>
      </c>
      <c r="AH89" s="434">
        <v>300445</v>
      </c>
      <c r="AI89" s="469">
        <v>426042</v>
      </c>
      <c r="AJ89" s="469">
        <v>65515</v>
      </c>
      <c r="AK89" s="434">
        <v>0</v>
      </c>
      <c r="AL89" s="434">
        <v>273597</v>
      </c>
      <c r="AM89" s="434">
        <v>1449</v>
      </c>
      <c r="AN89" s="203"/>
      <c r="AO89" s="203"/>
      <c r="AP89" s="203"/>
      <c r="AQ89" s="203"/>
      <c r="AR89" s="203"/>
      <c r="AS89" s="203"/>
      <c r="AT89" s="203"/>
    </row>
    <row r="90" spans="1:46" s="155" customFormat="1" ht="12" x14ac:dyDescent="0.2">
      <c r="A90" s="168">
        <v>36</v>
      </c>
      <c r="B90" s="227">
        <v>97321</v>
      </c>
      <c r="C90" s="256" t="s">
        <v>1440</v>
      </c>
      <c r="D90" s="432">
        <f t="shared" si="12"/>
        <v>6888082</v>
      </c>
      <c r="E90" s="434">
        <v>1412128</v>
      </c>
      <c r="F90" s="434">
        <v>129692</v>
      </c>
      <c r="G90" s="434">
        <v>917876</v>
      </c>
      <c r="H90" s="434">
        <v>0</v>
      </c>
      <c r="I90" s="434">
        <v>2101816</v>
      </c>
      <c r="J90" s="434">
        <v>0</v>
      </c>
      <c r="K90" s="434">
        <v>429830</v>
      </c>
      <c r="L90" s="434">
        <v>0</v>
      </c>
      <c r="M90" s="434">
        <v>2696414</v>
      </c>
      <c r="N90" s="434">
        <v>231695</v>
      </c>
      <c r="O90" s="434">
        <v>16199</v>
      </c>
      <c r="P90" s="432">
        <f t="shared" si="13"/>
        <v>6550842</v>
      </c>
      <c r="Q90" s="431">
        <v>2238797</v>
      </c>
      <c r="R90" s="431">
        <v>1119454</v>
      </c>
      <c r="S90" s="431">
        <v>0</v>
      </c>
      <c r="T90" s="431">
        <v>0</v>
      </c>
      <c r="U90" s="431">
        <v>0</v>
      </c>
      <c r="V90" s="431">
        <v>0</v>
      </c>
      <c r="W90" s="431">
        <v>24484</v>
      </c>
      <c r="X90" s="431">
        <v>254217</v>
      </c>
      <c r="Y90" s="431">
        <v>85656</v>
      </c>
      <c r="Z90" s="468">
        <v>2829597</v>
      </c>
      <c r="AA90" s="431">
        <v>0</v>
      </c>
      <c r="AB90" s="431">
        <v>-1363</v>
      </c>
      <c r="AC90" s="469">
        <v>1405242</v>
      </c>
      <c r="AD90" s="434">
        <v>9754</v>
      </c>
      <c r="AE90" s="434">
        <v>3242701</v>
      </c>
      <c r="AF90" s="434">
        <v>0</v>
      </c>
      <c r="AG90" s="434">
        <v>115204</v>
      </c>
      <c r="AH90" s="434">
        <v>251050</v>
      </c>
      <c r="AI90" s="469">
        <v>59616</v>
      </c>
      <c r="AJ90" s="469">
        <v>142362</v>
      </c>
      <c r="AK90" s="434">
        <v>0</v>
      </c>
      <c r="AL90" s="434">
        <v>1294942</v>
      </c>
      <c r="AM90" s="434">
        <v>29971</v>
      </c>
      <c r="AN90" s="203"/>
      <c r="AO90" s="203"/>
      <c r="AP90" s="203"/>
      <c r="AQ90" s="203"/>
      <c r="AR90" s="203"/>
      <c r="AS90" s="203"/>
      <c r="AT90" s="203"/>
    </row>
    <row r="91" spans="1:46" s="155" customFormat="1" ht="12" x14ac:dyDescent="0.2">
      <c r="A91" s="168">
        <v>37</v>
      </c>
      <c r="B91" s="227">
        <v>97394</v>
      </c>
      <c r="C91" s="256" t="s">
        <v>1441</v>
      </c>
      <c r="D91" s="432">
        <f t="shared" si="12"/>
        <v>4180132</v>
      </c>
      <c r="E91" s="434">
        <v>1299049</v>
      </c>
      <c r="F91" s="434">
        <v>61339</v>
      </c>
      <c r="G91" s="434">
        <v>1122173</v>
      </c>
      <c r="H91" s="434">
        <v>0</v>
      </c>
      <c r="I91" s="434">
        <v>780113</v>
      </c>
      <c r="J91" s="434">
        <v>0</v>
      </c>
      <c r="K91" s="434">
        <v>348260</v>
      </c>
      <c r="L91" s="434">
        <v>0</v>
      </c>
      <c r="M91" s="434">
        <v>90856</v>
      </c>
      <c r="N91" s="434">
        <v>1661854</v>
      </c>
      <c r="O91" s="434">
        <v>0</v>
      </c>
      <c r="P91" s="432">
        <f t="shared" si="13"/>
        <v>2277835</v>
      </c>
      <c r="Q91" s="431">
        <v>1063921</v>
      </c>
      <c r="R91" s="431">
        <v>286343</v>
      </c>
      <c r="S91" s="431">
        <v>0</v>
      </c>
      <c r="T91" s="431">
        <v>0</v>
      </c>
      <c r="U91" s="431">
        <v>0</v>
      </c>
      <c r="V91" s="431">
        <v>0</v>
      </c>
      <c r="W91" s="431">
        <v>0</v>
      </c>
      <c r="X91" s="431">
        <v>139026</v>
      </c>
      <c r="Y91" s="431">
        <v>0</v>
      </c>
      <c r="Z91" s="468">
        <v>788545</v>
      </c>
      <c r="AA91" s="431">
        <v>0</v>
      </c>
      <c r="AB91" s="431">
        <v>0</v>
      </c>
      <c r="AC91" s="469">
        <v>629640</v>
      </c>
      <c r="AD91" s="434">
        <v>108663</v>
      </c>
      <c r="AE91" s="434">
        <v>749110</v>
      </c>
      <c r="AF91" s="434">
        <v>11736</v>
      </c>
      <c r="AG91" s="434">
        <v>23427</v>
      </c>
      <c r="AH91" s="434">
        <v>151685</v>
      </c>
      <c r="AI91" s="469">
        <v>19781</v>
      </c>
      <c r="AJ91" s="469">
        <v>0</v>
      </c>
      <c r="AK91" s="434">
        <v>0</v>
      </c>
      <c r="AL91" s="434">
        <v>197888</v>
      </c>
      <c r="AM91" s="434">
        <v>385905</v>
      </c>
      <c r="AN91" s="203"/>
      <c r="AO91" s="203"/>
      <c r="AP91" s="203"/>
      <c r="AQ91" s="203"/>
      <c r="AR91" s="203"/>
      <c r="AS91" s="203"/>
      <c r="AT91" s="203"/>
    </row>
    <row r="92" spans="1:46" s="155" customFormat="1" ht="12" x14ac:dyDescent="0.2">
      <c r="A92" s="168">
        <v>38</v>
      </c>
      <c r="B92" s="227">
        <v>97438</v>
      </c>
      <c r="C92" s="256" t="s">
        <v>1442</v>
      </c>
      <c r="D92" s="432">
        <f t="shared" si="12"/>
        <v>7074171</v>
      </c>
      <c r="E92" s="434">
        <v>1638347</v>
      </c>
      <c r="F92" s="434">
        <v>341625</v>
      </c>
      <c r="G92" s="434">
        <v>649835</v>
      </c>
      <c r="H92" s="434">
        <v>0</v>
      </c>
      <c r="I92" s="434">
        <v>3878794</v>
      </c>
      <c r="J92" s="434">
        <v>100000</v>
      </c>
      <c r="K92" s="434">
        <v>668180</v>
      </c>
      <c r="L92" s="434">
        <v>0</v>
      </c>
      <c r="M92" s="434">
        <v>207977</v>
      </c>
      <c r="N92" s="434">
        <v>580873</v>
      </c>
      <c r="O92" s="434">
        <v>0</v>
      </c>
      <c r="P92" s="432">
        <f t="shared" si="13"/>
        <v>6207817</v>
      </c>
      <c r="Q92" s="431">
        <v>4108702</v>
      </c>
      <c r="R92" s="431">
        <v>684724</v>
      </c>
      <c r="S92" s="431">
        <v>0</v>
      </c>
      <c r="T92" s="431">
        <v>0</v>
      </c>
      <c r="U92" s="431">
        <v>0</v>
      </c>
      <c r="V92" s="431">
        <v>300000</v>
      </c>
      <c r="W92" s="431">
        <v>392221</v>
      </c>
      <c r="X92" s="431">
        <v>218522</v>
      </c>
      <c r="Y92" s="431">
        <v>29184</v>
      </c>
      <c r="Z92" s="468">
        <v>474464</v>
      </c>
      <c r="AA92" s="431">
        <v>0</v>
      </c>
      <c r="AB92" s="431">
        <v>0</v>
      </c>
      <c r="AC92" s="469">
        <v>1455678</v>
      </c>
      <c r="AD92" s="434">
        <v>18260</v>
      </c>
      <c r="AE92" s="434">
        <v>3340122</v>
      </c>
      <c r="AF92" s="434">
        <v>17187</v>
      </c>
      <c r="AG92" s="434">
        <v>76503</v>
      </c>
      <c r="AH92" s="434">
        <v>654780</v>
      </c>
      <c r="AI92" s="469">
        <v>117539</v>
      </c>
      <c r="AJ92" s="469">
        <v>6860</v>
      </c>
      <c r="AK92" s="434">
        <v>0</v>
      </c>
      <c r="AL92" s="434">
        <v>500888</v>
      </c>
      <c r="AM92" s="434">
        <v>20000</v>
      </c>
      <c r="AN92" s="203"/>
      <c r="AO92" s="203"/>
      <c r="AP92" s="203"/>
      <c r="AQ92" s="203"/>
      <c r="AR92" s="203"/>
      <c r="AS92" s="203"/>
      <c r="AT92" s="203"/>
    </row>
    <row r="93" spans="1:46" s="155" customFormat="1" ht="12" x14ac:dyDescent="0.2">
      <c r="A93" s="168">
        <v>39</v>
      </c>
      <c r="B93" s="227">
        <v>100326</v>
      </c>
      <c r="C93" s="256" t="s">
        <v>1443</v>
      </c>
      <c r="D93" s="432">
        <f t="shared" si="12"/>
        <v>6727695</v>
      </c>
      <c r="E93" s="434">
        <v>1321295</v>
      </c>
      <c r="F93" s="434">
        <v>94652</v>
      </c>
      <c r="G93" s="434">
        <v>1040064</v>
      </c>
      <c r="H93" s="434">
        <v>0</v>
      </c>
      <c r="I93" s="434">
        <v>1060500</v>
      </c>
      <c r="J93" s="434">
        <v>100000</v>
      </c>
      <c r="K93" s="434">
        <v>307370</v>
      </c>
      <c r="L93" s="434">
        <v>0</v>
      </c>
      <c r="M93" s="434">
        <v>227464</v>
      </c>
      <c r="N93" s="434">
        <v>3694370</v>
      </c>
      <c r="O93" s="434">
        <v>16696</v>
      </c>
      <c r="P93" s="432">
        <f t="shared" si="13"/>
        <v>2742257</v>
      </c>
      <c r="Q93" s="431">
        <v>1340646</v>
      </c>
      <c r="R93" s="431">
        <v>994859</v>
      </c>
      <c r="S93" s="431">
        <v>0</v>
      </c>
      <c r="T93" s="431">
        <v>0</v>
      </c>
      <c r="U93" s="431">
        <v>0</v>
      </c>
      <c r="V93" s="431">
        <v>0</v>
      </c>
      <c r="W93" s="431">
        <v>0</v>
      </c>
      <c r="X93" s="431">
        <v>63685</v>
      </c>
      <c r="Y93" s="431">
        <v>33921</v>
      </c>
      <c r="Z93" s="468">
        <v>322602</v>
      </c>
      <c r="AA93" s="431">
        <v>0</v>
      </c>
      <c r="AB93" s="431">
        <v>-13456</v>
      </c>
      <c r="AC93" s="469">
        <v>901332</v>
      </c>
      <c r="AD93" s="434">
        <v>14658</v>
      </c>
      <c r="AE93" s="434">
        <v>991747</v>
      </c>
      <c r="AF93" s="434">
        <v>0</v>
      </c>
      <c r="AG93" s="434">
        <v>75062</v>
      </c>
      <c r="AH93" s="434">
        <v>233758</v>
      </c>
      <c r="AI93" s="469">
        <v>137196</v>
      </c>
      <c r="AJ93" s="469">
        <v>45661</v>
      </c>
      <c r="AK93" s="434">
        <v>0</v>
      </c>
      <c r="AL93" s="434">
        <v>342843</v>
      </c>
      <c r="AM93" s="434">
        <v>0</v>
      </c>
      <c r="AN93" s="203"/>
      <c r="AO93" s="203"/>
      <c r="AP93" s="203"/>
      <c r="AQ93" s="203"/>
      <c r="AR93" s="203"/>
      <c r="AS93" s="203"/>
      <c r="AT93" s="203"/>
    </row>
    <row r="94" spans="1:46" s="155" customFormat="1" ht="12" x14ac:dyDescent="0.2">
      <c r="A94" s="168">
        <v>40</v>
      </c>
      <c r="B94" s="227">
        <v>97465</v>
      </c>
      <c r="C94" s="256" t="s">
        <v>1444</v>
      </c>
      <c r="D94" s="432">
        <f t="shared" si="12"/>
        <v>5384624</v>
      </c>
      <c r="E94" s="434">
        <v>1419055</v>
      </c>
      <c r="F94" s="434">
        <v>110629</v>
      </c>
      <c r="G94" s="434">
        <v>963818</v>
      </c>
      <c r="H94" s="434">
        <v>0</v>
      </c>
      <c r="I94" s="434">
        <v>1359817</v>
      </c>
      <c r="J94" s="434">
        <v>0</v>
      </c>
      <c r="K94" s="434">
        <v>341010</v>
      </c>
      <c r="L94" s="434">
        <v>0</v>
      </c>
      <c r="M94" s="434">
        <v>838853</v>
      </c>
      <c r="N94" s="434">
        <v>1389536</v>
      </c>
      <c r="O94" s="434">
        <v>36353</v>
      </c>
      <c r="P94" s="432">
        <f t="shared" si="13"/>
        <v>3211779</v>
      </c>
      <c r="Q94" s="431">
        <v>1631626</v>
      </c>
      <c r="R94" s="431">
        <v>594341</v>
      </c>
      <c r="S94" s="431">
        <v>0</v>
      </c>
      <c r="T94" s="431">
        <v>0</v>
      </c>
      <c r="U94" s="431">
        <v>0</v>
      </c>
      <c r="V94" s="431">
        <v>0</v>
      </c>
      <c r="W94" s="431">
        <v>0</v>
      </c>
      <c r="X94" s="431">
        <v>62833</v>
      </c>
      <c r="Y94" s="431">
        <v>0</v>
      </c>
      <c r="Z94" s="468">
        <v>922979</v>
      </c>
      <c r="AA94" s="431">
        <v>0</v>
      </c>
      <c r="AB94" s="431">
        <v>0</v>
      </c>
      <c r="AC94" s="469">
        <v>501374</v>
      </c>
      <c r="AD94" s="434">
        <v>21202</v>
      </c>
      <c r="AE94" s="434">
        <v>2053045</v>
      </c>
      <c r="AF94" s="434">
        <v>0</v>
      </c>
      <c r="AG94" s="434">
        <v>42159</v>
      </c>
      <c r="AH94" s="434">
        <v>276851</v>
      </c>
      <c r="AI94" s="469">
        <v>43062</v>
      </c>
      <c r="AJ94" s="469">
        <v>56000</v>
      </c>
      <c r="AK94" s="434">
        <v>0</v>
      </c>
      <c r="AL94" s="434">
        <v>202761</v>
      </c>
      <c r="AM94" s="434">
        <v>15325</v>
      </c>
      <c r="AN94" s="203"/>
      <c r="AO94" s="203"/>
      <c r="AP94" s="203"/>
      <c r="AQ94" s="203"/>
      <c r="AR94" s="203"/>
      <c r="AS94" s="203"/>
      <c r="AT94" s="203"/>
    </row>
    <row r="95" spans="1:46" s="155" customFormat="1" ht="12" x14ac:dyDescent="0.2">
      <c r="A95" s="168">
        <v>41</v>
      </c>
      <c r="B95" s="227">
        <v>95159</v>
      </c>
      <c r="C95" s="256" t="s">
        <v>1445</v>
      </c>
      <c r="D95" s="432">
        <f t="shared" si="12"/>
        <v>16990304</v>
      </c>
      <c r="E95" s="431">
        <v>5668084</v>
      </c>
      <c r="F95" s="431">
        <v>2029761</v>
      </c>
      <c r="G95" s="431">
        <v>920447</v>
      </c>
      <c r="H95" s="431">
        <v>0</v>
      </c>
      <c r="I95" s="431">
        <v>6555647</v>
      </c>
      <c r="J95" s="431">
        <v>0</v>
      </c>
      <c r="K95" s="431">
        <v>1964460</v>
      </c>
      <c r="L95" s="431">
        <v>0</v>
      </c>
      <c r="M95" s="431">
        <v>2772101</v>
      </c>
      <c r="N95" s="431">
        <v>0</v>
      </c>
      <c r="O95" s="431">
        <v>30012</v>
      </c>
      <c r="P95" s="432">
        <f t="shared" si="13"/>
        <v>13161804</v>
      </c>
      <c r="Q95" s="431">
        <v>7095425</v>
      </c>
      <c r="R95" s="431">
        <v>1784588</v>
      </c>
      <c r="S95" s="431">
        <v>0</v>
      </c>
      <c r="T95" s="431">
        <v>0</v>
      </c>
      <c r="U95" s="431">
        <v>37000</v>
      </c>
      <c r="V95" s="431">
        <v>0</v>
      </c>
      <c r="W95" s="431">
        <v>0</v>
      </c>
      <c r="X95" s="431">
        <v>429151</v>
      </c>
      <c r="Y95" s="431">
        <v>17064</v>
      </c>
      <c r="Z95" s="468">
        <v>3798576</v>
      </c>
      <c r="AA95" s="431">
        <v>0</v>
      </c>
      <c r="AB95" s="431">
        <v>0</v>
      </c>
      <c r="AC95" s="468">
        <v>1390578</v>
      </c>
      <c r="AD95" s="431">
        <v>167982</v>
      </c>
      <c r="AE95" s="431">
        <v>5695199</v>
      </c>
      <c r="AF95" s="431">
        <v>0</v>
      </c>
      <c r="AG95" s="431">
        <v>180568</v>
      </c>
      <c r="AH95" s="431">
        <v>1297892</v>
      </c>
      <c r="AI95" s="468">
        <v>775726</v>
      </c>
      <c r="AJ95" s="468">
        <v>39277</v>
      </c>
      <c r="AK95" s="431">
        <v>0</v>
      </c>
      <c r="AL95" s="431">
        <v>3588220</v>
      </c>
      <c r="AM95" s="431">
        <v>26362</v>
      </c>
      <c r="AN95" s="203"/>
      <c r="AO95" s="203"/>
      <c r="AP95" s="203"/>
      <c r="AQ95" s="203"/>
      <c r="AR95" s="203"/>
      <c r="AS95" s="203"/>
      <c r="AT95" s="203"/>
    </row>
    <row r="96" spans="1:46" s="155" customFormat="1" ht="12" x14ac:dyDescent="0.2">
      <c r="A96" s="168">
        <v>42</v>
      </c>
      <c r="B96" s="227">
        <v>97517</v>
      </c>
      <c r="C96" s="256" t="s">
        <v>1446</v>
      </c>
      <c r="D96" s="432">
        <f t="shared" si="12"/>
        <v>6026435</v>
      </c>
      <c r="E96" s="431">
        <v>1997622</v>
      </c>
      <c r="F96" s="431">
        <v>167634</v>
      </c>
      <c r="G96" s="431">
        <v>993144</v>
      </c>
      <c r="H96" s="431">
        <v>0</v>
      </c>
      <c r="I96" s="431">
        <v>1716946</v>
      </c>
      <c r="J96" s="431">
        <v>0</v>
      </c>
      <c r="K96" s="431">
        <v>1599450</v>
      </c>
      <c r="L96" s="431">
        <v>0</v>
      </c>
      <c r="M96" s="431">
        <v>489350</v>
      </c>
      <c r="N96" s="431">
        <v>0</v>
      </c>
      <c r="O96" s="431">
        <v>223067</v>
      </c>
      <c r="P96" s="432">
        <f t="shared" si="13"/>
        <v>6027349</v>
      </c>
      <c r="Q96" s="431">
        <v>1953277</v>
      </c>
      <c r="R96" s="431">
        <v>962988</v>
      </c>
      <c r="S96" s="431">
        <v>0</v>
      </c>
      <c r="T96" s="431">
        <v>0</v>
      </c>
      <c r="U96" s="431">
        <v>0</v>
      </c>
      <c r="V96" s="431">
        <v>0</v>
      </c>
      <c r="W96" s="431">
        <v>665500</v>
      </c>
      <c r="X96" s="431">
        <v>111100</v>
      </c>
      <c r="Y96" s="431">
        <v>141780</v>
      </c>
      <c r="Z96" s="468">
        <v>2192704</v>
      </c>
      <c r="AA96" s="431">
        <v>0</v>
      </c>
      <c r="AB96" s="431">
        <v>0</v>
      </c>
      <c r="AC96" s="468">
        <v>719214</v>
      </c>
      <c r="AD96" s="431">
        <v>73192</v>
      </c>
      <c r="AE96" s="431">
        <v>2295148</v>
      </c>
      <c r="AF96" s="431">
        <v>15162</v>
      </c>
      <c r="AG96" s="431">
        <v>147968</v>
      </c>
      <c r="AH96" s="431">
        <v>381724</v>
      </c>
      <c r="AI96" s="468">
        <v>343203</v>
      </c>
      <c r="AJ96" s="468">
        <v>110955</v>
      </c>
      <c r="AK96" s="431">
        <v>0</v>
      </c>
      <c r="AL96" s="431">
        <v>1936783</v>
      </c>
      <c r="AM96" s="431">
        <v>4000</v>
      </c>
      <c r="AN96" s="203"/>
      <c r="AO96" s="203"/>
      <c r="AP96" s="203"/>
      <c r="AQ96" s="203"/>
      <c r="AR96" s="203"/>
      <c r="AS96" s="203"/>
      <c r="AT96" s="203"/>
    </row>
    <row r="97" spans="1:46" s="155" customFormat="1" ht="12" x14ac:dyDescent="0.2">
      <c r="A97" s="168">
        <v>43</v>
      </c>
      <c r="B97" s="227">
        <v>97553</v>
      </c>
      <c r="C97" s="256" t="s">
        <v>1447</v>
      </c>
      <c r="D97" s="432">
        <f t="shared" si="12"/>
        <v>3839105</v>
      </c>
      <c r="E97" s="431">
        <v>1363267</v>
      </c>
      <c r="F97" s="431">
        <v>97540</v>
      </c>
      <c r="G97" s="431">
        <v>904191</v>
      </c>
      <c r="H97" s="431">
        <v>0</v>
      </c>
      <c r="I97" s="431">
        <v>1129428</v>
      </c>
      <c r="J97" s="431">
        <v>0</v>
      </c>
      <c r="K97" s="431">
        <v>379680</v>
      </c>
      <c r="L97" s="431">
        <v>0</v>
      </c>
      <c r="M97" s="431">
        <v>939384</v>
      </c>
      <c r="N97" s="431">
        <v>27346</v>
      </c>
      <c r="O97" s="431">
        <v>0</v>
      </c>
      <c r="P97" s="432">
        <f t="shared" si="13"/>
        <v>3678931</v>
      </c>
      <c r="Q97" s="431">
        <v>1365383</v>
      </c>
      <c r="R97" s="431">
        <v>712308</v>
      </c>
      <c r="S97" s="431">
        <v>0</v>
      </c>
      <c r="T97" s="431">
        <v>0</v>
      </c>
      <c r="U97" s="431">
        <v>0</v>
      </c>
      <c r="V97" s="431">
        <v>0</v>
      </c>
      <c r="W97" s="431">
        <v>344695</v>
      </c>
      <c r="X97" s="431">
        <v>143951</v>
      </c>
      <c r="Y97" s="431">
        <v>6000</v>
      </c>
      <c r="Z97" s="468">
        <v>1106594</v>
      </c>
      <c r="AA97" s="431">
        <v>0</v>
      </c>
      <c r="AB97" s="431">
        <v>0</v>
      </c>
      <c r="AC97" s="468">
        <v>770185</v>
      </c>
      <c r="AD97" s="431">
        <v>0</v>
      </c>
      <c r="AE97" s="431">
        <v>1363927</v>
      </c>
      <c r="AF97" s="431">
        <v>0</v>
      </c>
      <c r="AG97" s="431">
        <v>0</v>
      </c>
      <c r="AH97" s="431">
        <v>143951</v>
      </c>
      <c r="AI97" s="468">
        <v>131072</v>
      </c>
      <c r="AJ97" s="468">
        <v>0</v>
      </c>
      <c r="AK97" s="431">
        <v>0</v>
      </c>
      <c r="AL97" s="431">
        <v>1226796</v>
      </c>
      <c r="AM97" s="431">
        <v>43000</v>
      </c>
      <c r="AN97" s="203"/>
      <c r="AO97" s="203"/>
      <c r="AP97" s="203"/>
      <c r="AQ97" s="203"/>
      <c r="AR97" s="203"/>
      <c r="AS97" s="203"/>
      <c r="AT97" s="203"/>
    </row>
    <row r="98" spans="1:46" s="155" customFormat="1" ht="12" x14ac:dyDescent="0.2">
      <c r="A98" s="168">
        <v>44</v>
      </c>
      <c r="B98" s="227">
        <v>97606</v>
      </c>
      <c r="C98" s="256" t="s">
        <v>1448</v>
      </c>
      <c r="D98" s="432">
        <f t="shared" si="12"/>
        <v>6186389</v>
      </c>
      <c r="E98" s="431">
        <v>1698852</v>
      </c>
      <c r="F98" s="431">
        <v>307911</v>
      </c>
      <c r="G98" s="431">
        <v>930877</v>
      </c>
      <c r="H98" s="431">
        <v>0</v>
      </c>
      <c r="I98" s="431">
        <v>3584223</v>
      </c>
      <c r="J98" s="431">
        <v>100000</v>
      </c>
      <c r="K98" s="431">
        <v>766440</v>
      </c>
      <c r="L98" s="431">
        <v>0</v>
      </c>
      <c r="M98" s="431">
        <v>36874</v>
      </c>
      <c r="N98" s="431">
        <v>0</v>
      </c>
      <c r="O98" s="431">
        <v>0</v>
      </c>
      <c r="P98" s="432">
        <f t="shared" si="13"/>
        <v>6184105</v>
      </c>
      <c r="Q98" s="431">
        <v>3658996</v>
      </c>
      <c r="R98" s="431">
        <v>2043556</v>
      </c>
      <c r="S98" s="431">
        <v>0</v>
      </c>
      <c r="T98" s="431">
        <v>0</v>
      </c>
      <c r="U98" s="431">
        <v>0</v>
      </c>
      <c r="V98" s="431">
        <v>0</v>
      </c>
      <c r="W98" s="431">
        <v>0</v>
      </c>
      <c r="X98" s="431">
        <v>362515</v>
      </c>
      <c r="Y98" s="431">
        <v>19038</v>
      </c>
      <c r="Z98" s="468">
        <v>100000</v>
      </c>
      <c r="AA98" s="431">
        <v>0</v>
      </c>
      <c r="AB98" s="431">
        <v>0</v>
      </c>
      <c r="AC98" s="468">
        <v>1199941</v>
      </c>
      <c r="AD98" s="431">
        <v>149841</v>
      </c>
      <c r="AE98" s="431">
        <v>3198098</v>
      </c>
      <c r="AF98" s="431">
        <v>0</v>
      </c>
      <c r="AG98" s="431">
        <v>339635</v>
      </c>
      <c r="AH98" s="431">
        <v>534101</v>
      </c>
      <c r="AI98" s="468">
        <v>254299</v>
      </c>
      <c r="AJ98" s="468">
        <v>0</v>
      </c>
      <c r="AK98" s="431">
        <v>0</v>
      </c>
      <c r="AL98" s="431">
        <v>508190</v>
      </c>
      <c r="AM98" s="431">
        <v>0</v>
      </c>
      <c r="AN98" s="203"/>
      <c r="AO98" s="203"/>
      <c r="AP98" s="203"/>
      <c r="AQ98" s="203"/>
      <c r="AR98" s="203"/>
      <c r="AS98" s="203"/>
      <c r="AT98" s="203"/>
    </row>
    <row r="99" spans="1:46" s="155" customFormat="1" ht="12" x14ac:dyDescent="0.2">
      <c r="A99" s="168">
        <v>45</v>
      </c>
      <c r="B99" s="227">
        <v>97679</v>
      </c>
      <c r="C99" s="256" t="s">
        <v>1449</v>
      </c>
      <c r="D99" s="432">
        <f t="shared" si="12"/>
        <v>9125069</v>
      </c>
      <c r="E99" s="431">
        <v>4033801</v>
      </c>
      <c r="F99" s="431">
        <v>2081701</v>
      </c>
      <c r="G99" s="431">
        <v>474861</v>
      </c>
      <c r="H99" s="431">
        <v>0</v>
      </c>
      <c r="I99" s="431">
        <v>3698044</v>
      </c>
      <c r="J99" s="431">
        <v>100000</v>
      </c>
      <c r="K99" s="431">
        <v>1191650</v>
      </c>
      <c r="L99" s="431">
        <v>0</v>
      </c>
      <c r="M99" s="431">
        <v>84974</v>
      </c>
      <c r="N99" s="431">
        <v>0</v>
      </c>
      <c r="O99" s="431">
        <v>16600</v>
      </c>
      <c r="P99" s="432">
        <f t="shared" si="13"/>
        <v>8592072</v>
      </c>
      <c r="Q99" s="431">
        <v>4097887</v>
      </c>
      <c r="R99" s="431">
        <v>1956172</v>
      </c>
      <c r="S99" s="431">
        <v>0</v>
      </c>
      <c r="T99" s="431">
        <v>0</v>
      </c>
      <c r="U99" s="431">
        <v>0</v>
      </c>
      <c r="V99" s="431">
        <v>432</v>
      </c>
      <c r="W99" s="431">
        <v>0</v>
      </c>
      <c r="X99" s="431">
        <v>257531</v>
      </c>
      <c r="Y99" s="431">
        <v>308631</v>
      </c>
      <c r="Z99" s="468">
        <v>1973118</v>
      </c>
      <c r="AA99" s="431">
        <v>0</v>
      </c>
      <c r="AB99" s="431">
        <v>-1699</v>
      </c>
      <c r="AC99" s="468">
        <v>1738311</v>
      </c>
      <c r="AD99" s="431">
        <v>64480</v>
      </c>
      <c r="AE99" s="431">
        <v>3880867</v>
      </c>
      <c r="AF99" s="431">
        <v>0</v>
      </c>
      <c r="AG99" s="431">
        <v>435747</v>
      </c>
      <c r="AH99" s="431">
        <v>833823</v>
      </c>
      <c r="AI99" s="468">
        <v>459363</v>
      </c>
      <c r="AJ99" s="468">
        <v>756500</v>
      </c>
      <c r="AK99" s="431">
        <v>0</v>
      </c>
      <c r="AL99" s="431">
        <v>381144</v>
      </c>
      <c r="AM99" s="431">
        <v>41837</v>
      </c>
      <c r="AN99" s="203"/>
      <c r="AO99" s="203"/>
      <c r="AP99" s="203"/>
      <c r="AQ99" s="203"/>
      <c r="AR99" s="203"/>
      <c r="AS99" s="203"/>
      <c r="AT99" s="203"/>
    </row>
    <row r="100" spans="1:46" s="155" customFormat="1" ht="12" x14ac:dyDescent="0.2">
      <c r="A100" s="168">
        <v>46</v>
      </c>
      <c r="B100" s="227">
        <v>97722</v>
      </c>
      <c r="C100" s="256" t="s">
        <v>1450</v>
      </c>
      <c r="D100" s="432">
        <f t="shared" si="12"/>
        <v>6857799</v>
      </c>
      <c r="E100" s="431">
        <v>1489967</v>
      </c>
      <c r="F100" s="431">
        <v>228677</v>
      </c>
      <c r="G100" s="431">
        <v>924259</v>
      </c>
      <c r="H100" s="431">
        <v>0</v>
      </c>
      <c r="I100" s="431">
        <v>4185854</v>
      </c>
      <c r="J100" s="431">
        <v>0</v>
      </c>
      <c r="K100" s="431">
        <v>540940</v>
      </c>
      <c r="L100" s="431">
        <v>0</v>
      </c>
      <c r="M100" s="431">
        <v>517649</v>
      </c>
      <c r="N100" s="431">
        <v>0</v>
      </c>
      <c r="O100" s="431">
        <v>123389</v>
      </c>
      <c r="P100" s="432">
        <f t="shared" si="13"/>
        <v>6856505</v>
      </c>
      <c r="Q100" s="431">
        <v>4249133</v>
      </c>
      <c r="R100" s="431">
        <v>1613025</v>
      </c>
      <c r="S100" s="431">
        <v>0</v>
      </c>
      <c r="T100" s="431">
        <v>0</v>
      </c>
      <c r="U100" s="431">
        <v>0</v>
      </c>
      <c r="V100" s="431">
        <v>1409</v>
      </c>
      <c r="W100" s="431">
        <v>0</v>
      </c>
      <c r="X100" s="431">
        <v>210067</v>
      </c>
      <c r="Y100" s="431">
        <v>68024</v>
      </c>
      <c r="Z100" s="468">
        <v>716256</v>
      </c>
      <c r="AA100" s="431">
        <v>0</v>
      </c>
      <c r="AB100" s="431">
        <v>-1409</v>
      </c>
      <c r="AC100" s="468">
        <v>1444417</v>
      </c>
      <c r="AD100" s="431">
        <v>18810</v>
      </c>
      <c r="AE100" s="431">
        <v>3444956</v>
      </c>
      <c r="AF100" s="431">
        <v>30175</v>
      </c>
      <c r="AG100" s="431">
        <v>114391</v>
      </c>
      <c r="AH100" s="431">
        <v>902057</v>
      </c>
      <c r="AI100" s="468">
        <v>175978</v>
      </c>
      <c r="AJ100" s="468">
        <v>45103</v>
      </c>
      <c r="AK100" s="431">
        <v>0</v>
      </c>
      <c r="AL100" s="431">
        <v>680618</v>
      </c>
      <c r="AM100" s="431">
        <v>0</v>
      </c>
      <c r="AN100" s="203"/>
      <c r="AO100" s="203"/>
      <c r="AP100" s="203"/>
      <c r="AQ100" s="203"/>
      <c r="AR100" s="203"/>
      <c r="AS100" s="203"/>
      <c r="AT100" s="203"/>
    </row>
    <row r="101" spans="1:46" s="155" customFormat="1" ht="12" x14ac:dyDescent="0.2">
      <c r="A101" s="168">
        <v>47</v>
      </c>
      <c r="B101" s="227">
        <v>97777</v>
      </c>
      <c r="C101" s="256" t="s">
        <v>1451</v>
      </c>
      <c r="D101" s="432">
        <f t="shared" si="12"/>
        <v>2824094</v>
      </c>
      <c r="E101" s="431">
        <v>1302622</v>
      </c>
      <c r="F101" s="431">
        <v>61141</v>
      </c>
      <c r="G101" s="431">
        <v>1105556</v>
      </c>
      <c r="H101" s="431">
        <v>0</v>
      </c>
      <c r="I101" s="431">
        <v>1118469</v>
      </c>
      <c r="J101" s="431">
        <v>0</v>
      </c>
      <c r="K101" s="431">
        <v>348340</v>
      </c>
      <c r="L101" s="431">
        <v>0</v>
      </c>
      <c r="M101" s="431">
        <v>54663</v>
      </c>
      <c r="N101" s="431">
        <v>0</v>
      </c>
      <c r="O101" s="431">
        <v>0</v>
      </c>
      <c r="P101" s="432">
        <f t="shared" si="13"/>
        <v>2224621</v>
      </c>
      <c r="Q101" s="431">
        <v>1416782</v>
      </c>
      <c r="R101" s="468">
        <v>454569</v>
      </c>
      <c r="S101" s="431">
        <v>0</v>
      </c>
      <c r="T101" s="431">
        <v>0</v>
      </c>
      <c r="U101" s="431">
        <v>0</v>
      </c>
      <c r="V101" s="431">
        <v>108</v>
      </c>
      <c r="W101" s="431">
        <v>0</v>
      </c>
      <c r="X101" s="431">
        <v>100650</v>
      </c>
      <c r="Y101" s="431">
        <v>45550</v>
      </c>
      <c r="Z101" s="468">
        <v>207569</v>
      </c>
      <c r="AA101" s="431">
        <v>0</v>
      </c>
      <c r="AB101" s="431">
        <v>-607</v>
      </c>
      <c r="AC101" s="468">
        <v>478298</v>
      </c>
      <c r="AD101" s="431">
        <v>0</v>
      </c>
      <c r="AE101" s="431">
        <v>1062752</v>
      </c>
      <c r="AF101" s="431">
        <v>22905</v>
      </c>
      <c r="AG101" s="431">
        <v>65688</v>
      </c>
      <c r="AH101" s="431">
        <v>266748</v>
      </c>
      <c r="AI101" s="468">
        <v>100824</v>
      </c>
      <c r="AJ101" s="468">
        <v>5661</v>
      </c>
      <c r="AK101" s="431">
        <v>0</v>
      </c>
      <c r="AL101" s="431">
        <v>99938</v>
      </c>
      <c r="AM101" s="431">
        <v>121807</v>
      </c>
      <c r="AN101" s="203"/>
      <c r="AO101" s="203"/>
      <c r="AP101" s="203"/>
      <c r="AQ101" s="203"/>
      <c r="AR101" s="203"/>
      <c r="AS101" s="203"/>
      <c r="AT101" s="203"/>
    </row>
    <row r="102" spans="1:46" s="155" customFormat="1" ht="12" x14ac:dyDescent="0.2">
      <c r="A102" s="168">
        <v>48</v>
      </c>
      <c r="B102" s="227">
        <v>97811</v>
      </c>
      <c r="C102" s="256" t="s">
        <v>1452</v>
      </c>
      <c r="D102" s="432">
        <f t="shared" si="12"/>
        <v>5852764</v>
      </c>
      <c r="E102" s="431">
        <v>1448931</v>
      </c>
      <c r="F102" s="431">
        <v>302448</v>
      </c>
      <c r="G102" s="431">
        <v>703803</v>
      </c>
      <c r="H102" s="431">
        <v>0</v>
      </c>
      <c r="I102" s="431">
        <v>1980650</v>
      </c>
      <c r="J102" s="431">
        <v>100000</v>
      </c>
      <c r="K102" s="468">
        <v>353740</v>
      </c>
      <c r="L102" s="431">
        <v>0</v>
      </c>
      <c r="M102" s="431">
        <v>127966</v>
      </c>
      <c r="N102" s="431">
        <v>485065</v>
      </c>
      <c r="O102" s="431">
        <v>1356412</v>
      </c>
      <c r="P102" s="432">
        <f t="shared" si="13"/>
        <v>5849827</v>
      </c>
      <c r="Q102" s="431">
        <v>2342026</v>
      </c>
      <c r="R102" s="431">
        <v>856641</v>
      </c>
      <c r="S102" s="431">
        <v>0</v>
      </c>
      <c r="T102" s="431">
        <v>0</v>
      </c>
      <c r="U102" s="431">
        <v>0</v>
      </c>
      <c r="V102" s="431">
        <v>0</v>
      </c>
      <c r="W102" s="431">
        <v>570665</v>
      </c>
      <c r="X102" s="431">
        <v>95275</v>
      </c>
      <c r="Y102" s="431">
        <v>48437</v>
      </c>
      <c r="Z102" s="468">
        <v>1936783</v>
      </c>
      <c r="AA102" s="431">
        <v>0</v>
      </c>
      <c r="AB102" s="431">
        <v>0</v>
      </c>
      <c r="AC102" s="468">
        <v>765067</v>
      </c>
      <c r="AD102" s="431">
        <v>36000</v>
      </c>
      <c r="AE102" s="431">
        <v>1756457</v>
      </c>
      <c r="AF102" s="431">
        <v>0</v>
      </c>
      <c r="AG102" s="431">
        <v>329337</v>
      </c>
      <c r="AH102" s="431">
        <v>329475</v>
      </c>
      <c r="AI102" s="468">
        <v>864961</v>
      </c>
      <c r="AJ102" s="468">
        <v>1445873</v>
      </c>
      <c r="AK102" s="431">
        <v>0</v>
      </c>
      <c r="AL102" s="431">
        <v>322657</v>
      </c>
      <c r="AM102" s="431">
        <v>0</v>
      </c>
      <c r="AN102" s="203"/>
      <c r="AO102" s="203"/>
      <c r="AP102" s="203"/>
      <c r="AQ102" s="203"/>
      <c r="AR102" s="203"/>
      <c r="AS102" s="203"/>
      <c r="AT102" s="203"/>
    </row>
    <row r="103" spans="1:46" s="155" customFormat="1" ht="12" x14ac:dyDescent="0.2">
      <c r="A103" s="168">
        <v>49</v>
      </c>
      <c r="B103" s="227">
        <v>97875</v>
      </c>
      <c r="C103" s="256" t="s">
        <v>1453</v>
      </c>
      <c r="D103" s="432">
        <f t="shared" si="12"/>
        <v>5337516</v>
      </c>
      <c r="E103" s="431">
        <v>1643462</v>
      </c>
      <c r="F103" s="431">
        <v>146755</v>
      </c>
      <c r="G103" s="431">
        <v>996858</v>
      </c>
      <c r="H103" s="431">
        <v>0</v>
      </c>
      <c r="I103" s="431">
        <v>2745180</v>
      </c>
      <c r="J103" s="431">
        <v>100000</v>
      </c>
      <c r="K103" s="431">
        <v>650130</v>
      </c>
      <c r="L103" s="431">
        <v>0</v>
      </c>
      <c r="M103" s="431">
        <v>24933</v>
      </c>
      <c r="N103" s="431">
        <v>128209</v>
      </c>
      <c r="O103" s="431">
        <v>45602</v>
      </c>
      <c r="P103" s="432">
        <f t="shared" si="13"/>
        <v>5350172</v>
      </c>
      <c r="Q103" s="431">
        <v>2634072</v>
      </c>
      <c r="R103" s="431">
        <v>1179854</v>
      </c>
      <c r="S103" s="431">
        <v>0</v>
      </c>
      <c r="T103" s="431">
        <v>0</v>
      </c>
      <c r="U103" s="431">
        <v>0</v>
      </c>
      <c r="V103" s="431">
        <v>0</v>
      </c>
      <c r="W103" s="431">
        <v>1102248</v>
      </c>
      <c r="X103" s="431">
        <v>330623</v>
      </c>
      <c r="Y103" s="431">
        <v>12000</v>
      </c>
      <c r="Z103" s="468">
        <v>91375</v>
      </c>
      <c r="AA103" s="431">
        <v>0</v>
      </c>
      <c r="AB103" s="431">
        <v>0</v>
      </c>
      <c r="AC103" s="468">
        <v>912118</v>
      </c>
      <c r="AD103" s="431">
        <v>47975</v>
      </c>
      <c r="AE103" s="431">
        <v>2862830</v>
      </c>
      <c r="AF103" s="431">
        <v>22968</v>
      </c>
      <c r="AG103" s="431">
        <v>467527</v>
      </c>
      <c r="AH103" s="431">
        <v>491696</v>
      </c>
      <c r="AI103" s="468">
        <v>57819</v>
      </c>
      <c r="AJ103" s="468">
        <v>246405</v>
      </c>
      <c r="AK103" s="431">
        <v>0</v>
      </c>
      <c r="AL103" s="431">
        <v>228000</v>
      </c>
      <c r="AM103" s="431">
        <v>12834</v>
      </c>
      <c r="AN103" s="203"/>
      <c r="AO103" s="203"/>
      <c r="AP103" s="203"/>
      <c r="AQ103" s="203"/>
      <c r="AR103" s="203"/>
      <c r="AS103" s="203"/>
      <c r="AT103" s="203"/>
    </row>
    <row r="104" spans="1:46" s="155" customFormat="1" ht="12" x14ac:dyDescent="0.2">
      <c r="A104" s="168">
        <v>50</v>
      </c>
      <c r="B104" s="227">
        <v>97919</v>
      </c>
      <c r="C104" s="256" t="s">
        <v>1454</v>
      </c>
      <c r="D104" s="432">
        <f t="shared" si="12"/>
        <v>56179965</v>
      </c>
      <c r="E104" s="431">
        <v>41601817</v>
      </c>
      <c r="F104" s="431">
        <v>6936263</v>
      </c>
      <c r="G104" s="431">
        <v>165540</v>
      </c>
      <c r="H104" s="431">
        <v>0</v>
      </c>
      <c r="I104" s="431">
        <v>6142394</v>
      </c>
      <c r="J104" s="431">
        <v>0</v>
      </c>
      <c r="K104" s="431">
        <v>6021060</v>
      </c>
      <c r="L104" s="431">
        <v>0</v>
      </c>
      <c r="M104" s="431">
        <v>491675</v>
      </c>
      <c r="N104" s="431">
        <v>1863621</v>
      </c>
      <c r="O104" s="431">
        <v>59398</v>
      </c>
      <c r="P104" s="432">
        <f t="shared" si="13"/>
        <v>49132186</v>
      </c>
      <c r="Q104" s="431">
        <v>7467840</v>
      </c>
      <c r="R104" s="431">
        <v>5169092</v>
      </c>
      <c r="S104" s="431">
        <v>412240</v>
      </c>
      <c r="T104" s="431">
        <v>0</v>
      </c>
      <c r="U104" s="431">
        <v>0</v>
      </c>
      <c r="V104" s="431">
        <v>0</v>
      </c>
      <c r="W104" s="431">
        <v>26553998</v>
      </c>
      <c r="X104" s="431">
        <v>379216</v>
      </c>
      <c r="Y104" s="431">
        <v>1036160</v>
      </c>
      <c r="Z104" s="468">
        <v>7316765</v>
      </c>
      <c r="AA104" s="431">
        <v>796875</v>
      </c>
      <c r="AB104" s="431">
        <v>0</v>
      </c>
      <c r="AC104" s="468">
        <v>3717910</v>
      </c>
      <c r="AD104" s="431">
        <v>255885</v>
      </c>
      <c r="AE104" s="431">
        <v>5627636</v>
      </c>
      <c r="AF104" s="431">
        <v>0</v>
      </c>
      <c r="AG104" s="431">
        <v>1203989</v>
      </c>
      <c r="AH104" s="431">
        <v>1705329</v>
      </c>
      <c r="AI104" s="468">
        <v>29398265</v>
      </c>
      <c r="AJ104" s="468">
        <v>755026</v>
      </c>
      <c r="AK104" s="431">
        <v>0</v>
      </c>
      <c r="AL104" s="431">
        <v>6468146</v>
      </c>
      <c r="AM104" s="431">
        <v>0</v>
      </c>
      <c r="AN104" s="203"/>
      <c r="AO104" s="203"/>
      <c r="AP104" s="203"/>
      <c r="AQ104" s="203"/>
      <c r="AR104" s="203"/>
      <c r="AS104" s="203"/>
      <c r="AT104" s="203"/>
    </row>
    <row r="105" spans="1:46" s="155" customFormat="1" ht="12" x14ac:dyDescent="0.2">
      <c r="A105" s="168">
        <v>51</v>
      </c>
      <c r="B105" s="227">
        <v>98051</v>
      </c>
      <c r="C105" s="256" t="s">
        <v>1455</v>
      </c>
      <c r="D105" s="432">
        <f t="shared" si="12"/>
        <v>9219510</v>
      </c>
      <c r="E105" s="431">
        <v>1660778</v>
      </c>
      <c r="F105" s="431">
        <v>243006</v>
      </c>
      <c r="G105" s="431">
        <v>645318</v>
      </c>
      <c r="H105" s="431">
        <v>0</v>
      </c>
      <c r="I105" s="431">
        <v>2589156</v>
      </c>
      <c r="J105" s="431">
        <v>0</v>
      </c>
      <c r="K105" s="431">
        <v>721980</v>
      </c>
      <c r="L105" s="431">
        <v>0</v>
      </c>
      <c r="M105" s="431">
        <v>3977605</v>
      </c>
      <c r="N105" s="431">
        <v>269991</v>
      </c>
      <c r="O105" s="431">
        <v>0</v>
      </c>
      <c r="P105" s="432">
        <f t="shared" si="13"/>
        <v>9154716</v>
      </c>
      <c r="Q105" s="431">
        <v>2481946</v>
      </c>
      <c r="R105" s="431">
        <v>1156178</v>
      </c>
      <c r="S105" s="431">
        <v>0</v>
      </c>
      <c r="T105" s="431">
        <v>0</v>
      </c>
      <c r="U105" s="431">
        <v>0</v>
      </c>
      <c r="V105" s="431">
        <v>0</v>
      </c>
      <c r="W105" s="431">
        <v>280151</v>
      </c>
      <c r="X105" s="431">
        <v>351754</v>
      </c>
      <c r="Y105" s="431">
        <v>0</v>
      </c>
      <c r="Z105" s="468">
        <v>4891520</v>
      </c>
      <c r="AA105" s="431">
        <v>0</v>
      </c>
      <c r="AB105" s="431">
        <v>-6833</v>
      </c>
      <c r="AC105" s="468">
        <v>653885</v>
      </c>
      <c r="AD105" s="431">
        <v>14975</v>
      </c>
      <c r="AE105" s="431">
        <v>2961841</v>
      </c>
      <c r="AF105" s="431">
        <v>-581</v>
      </c>
      <c r="AG105" s="431">
        <v>114104</v>
      </c>
      <c r="AH105" s="431">
        <v>448985</v>
      </c>
      <c r="AI105" s="468">
        <v>147533</v>
      </c>
      <c r="AJ105" s="468">
        <v>70617</v>
      </c>
      <c r="AK105" s="431">
        <v>0</v>
      </c>
      <c r="AL105" s="431">
        <v>4689912</v>
      </c>
      <c r="AM105" s="431">
        <v>53445</v>
      </c>
      <c r="AN105" s="203"/>
      <c r="AO105" s="203"/>
      <c r="AP105" s="203"/>
      <c r="AQ105" s="203"/>
      <c r="AR105" s="203"/>
      <c r="AS105" s="203"/>
      <c r="AT105" s="203"/>
    </row>
    <row r="106" spans="1:46" s="155" customFormat="1" ht="12" x14ac:dyDescent="0.2">
      <c r="A106" s="168">
        <v>52</v>
      </c>
      <c r="B106" s="227">
        <v>98113</v>
      </c>
      <c r="C106" s="256" t="s">
        <v>1456</v>
      </c>
      <c r="D106" s="432">
        <f t="shared" si="12"/>
        <v>19513295</v>
      </c>
      <c r="E106" s="431">
        <v>1503535</v>
      </c>
      <c r="F106" s="431">
        <v>218429</v>
      </c>
      <c r="G106" s="431">
        <v>1015128</v>
      </c>
      <c r="H106" s="431">
        <v>0</v>
      </c>
      <c r="I106" s="431">
        <v>3745267</v>
      </c>
      <c r="J106" s="431">
        <v>0</v>
      </c>
      <c r="K106" s="431">
        <v>643930</v>
      </c>
      <c r="L106" s="431">
        <v>0</v>
      </c>
      <c r="M106" s="431">
        <v>13221264</v>
      </c>
      <c r="N106" s="431">
        <v>315354</v>
      </c>
      <c r="O106" s="431">
        <v>83945</v>
      </c>
      <c r="P106" s="432">
        <f t="shared" si="13"/>
        <v>19662777</v>
      </c>
      <c r="Q106" s="431">
        <v>4294057</v>
      </c>
      <c r="R106" s="431">
        <v>1124831</v>
      </c>
      <c r="S106" s="431">
        <v>10300</v>
      </c>
      <c r="T106" s="431">
        <v>0</v>
      </c>
      <c r="U106" s="431">
        <v>0</v>
      </c>
      <c r="V106" s="431">
        <v>0</v>
      </c>
      <c r="W106" s="431">
        <v>0</v>
      </c>
      <c r="X106" s="431">
        <v>190485</v>
      </c>
      <c r="Y106" s="431">
        <v>0</v>
      </c>
      <c r="Z106" s="468">
        <v>13632154</v>
      </c>
      <c r="AA106" s="431">
        <v>410950</v>
      </c>
      <c r="AB106" s="431">
        <v>0</v>
      </c>
      <c r="AC106" s="468">
        <v>1906210</v>
      </c>
      <c r="AD106" s="431">
        <v>110254</v>
      </c>
      <c r="AE106" s="431">
        <v>3754347</v>
      </c>
      <c r="AF106" s="431">
        <v>0</v>
      </c>
      <c r="AG106" s="431">
        <v>32366</v>
      </c>
      <c r="AH106" s="431">
        <v>774115</v>
      </c>
      <c r="AI106" s="468">
        <v>295552</v>
      </c>
      <c r="AJ106" s="468">
        <v>450761</v>
      </c>
      <c r="AK106" s="431">
        <v>0</v>
      </c>
      <c r="AL106" s="431">
        <v>12337755</v>
      </c>
      <c r="AM106" s="431">
        <v>1417</v>
      </c>
      <c r="AN106" s="203"/>
      <c r="AO106" s="203"/>
      <c r="AP106" s="203"/>
      <c r="AQ106" s="203"/>
      <c r="AR106" s="203"/>
      <c r="AS106" s="203"/>
      <c r="AT106" s="203"/>
    </row>
    <row r="107" spans="1:46" s="155" customFormat="1" ht="12" x14ac:dyDescent="0.2">
      <c r="A107" s="168">
        <v>53</v>
      </c>
      <c r="B107" s="227">
        <v>98168</v>
      </c>
      <c r="C107" s="256" t="s">
        <v>1457</v>
      </c>
      <c r="D107" s="432">
        <f t="shared" si="12"/>
        <v>4126814</v>
      </c>
      <c r="E107" s="431">
        <v>1460283</v>
      </c>
      <c r="F107" s="431">
        <v>475615</v>
      </c>
      <c r="G107" s="431">
        <v>645152</v>
      </c>
      <c r="H107" s="431">
        <v>0</v>
      </c>
      <c r="I107" s="431">
        <v>2102353</v>
      </c>
      <c r="J107" s="431">
        <v>100000</v>
      </c>
      <c r="K107" s="431">
        <v>350890</v>
      </c>
      <c r="L107" s="431">
        <v>0</v>
      </c>
      <c r="M107" s="431">
        <v>90236</v>
      </c>
      <c r="N107" s="431">
        <v>0</v>
      </c>
      <c r="O107" s="431">
        <v>23052</v>
      </c>
      <c r="P107" s="432">
        <f t="shared" si="13"/>
        <v>4127095</v>
      </c>
      <c r="Q107" s="431">
        <v>2535442</v>
      </c>
      <c r="R107" s="431">
        <v>1186425</v>
      </c>
      <c r="S107" s="431">
        <v>0</v>
      </c>
      <c r="T107" s="431">
        <v>0</v>
      </c>
      <c r="U107" s="431">
        <v>6000</v>
      </c>
      <c r="V107" s="431">
        <v>0</v>
      </c>
      <c r="W107" s="431">
        <v>0</v>
      </c>
      <c r="X107" s="431">
        <v>119955</v>
      </c>
      <c r="Y107" s="431">
        <v>10100</v>
      </c>
      <c r="Z107" s="468">
        <v>269173</v>
      </c>
      <c r="AA107" s="431">
        <v>0</v>
      </c>
      <c r="AB107" s="431">
        <v>0</v>
      </c>
      <c r="AC107" s="468">
        <v>1003363</v>
      </c>
      <c r="AD107" s="431">
        <v>4737</v>
      </c>
      <c r="AE107" s="431">
        <v>1871248</v>
      </c>
      <c r="AF107" s="431">
        <v>0</v>
      </c>
      <c r="AG107" s="431">
        <v>77639</v>
      </c>
      <c r="AH107" s="431">
        <v>375378</v>
      </c>
      <c r="AI107" s="468">
        <v>306815</v>
      </c>
      <c r="AJ107" s="468">
        <v>65000</v>
      </c>
      <c r="AK107" s="431">
        <v>0</v>
      </c>
      <c r="AL107" s="431">
        <v>422915</v>
      </c>
      <c r="AM107" s="431">
        <v>0</v>
      </c>
      <c r="AN107" s="203"/>
      <c r="AO107" s="203"/>
      <c r="AP107" s="203"/>
      <c r="AQ107" s="203"/>
      <c r="AR107" s="203"/>
      <c r="AS107" s="203"/>
      <c r="AT107" s="203"/>
    </row>
    <row r="108" spans="1:46" s="155" customFormat="1" ht="12" x14ac:dyDescent="0.2">
      <c r="A108" s="168">
        <v>54</v>
      </c>
      <c r="B108" s="227">
        <v>98202</v>
      </c>
      <c r="C108" s="256" t="s">
        <v>1458</v>
      </c>
      <c r="D108" s="432">
        <f t="shared" si="12"/>
        <v>3762651</v>
      </c>
      <c r="E108" s="431">
        <v>1366876</v>
      </c>
      <c r="F108" s="431">
        <v>57970</v>
      </c>
      <c r="G108" s="431">
        <v>1088939</v>
      </c>
      <c r="H108" s="431">
        <v>0</v>
      </c>
      <c r="I108" s="431">
        <v>892035</v>
      </c>
      <c r="J108" s="431">
        <v>0</v>
      </c>
      <c r="K108" s="431">
        <v>437390</v>
      </c>
      <c r="L108" s="431">
        <v>0</v>
      </c>
      <c r="M108" s="431">
        <v>880750</v>
      </c>
      <c r="N108" s="431">
        <v>185600</v>
      </c>
      <c r="O108" s="431">
        <v>0</v>
      </c>
      <c r="P108" s="432">
        <f t="shared" si="13"/>
        <v>3267601</v>
      </c>
      <c r="Q108" s="431">
        <v>1042772</v>
      </c>
      <c r="R108" s="431">
        <v>664325</v>
      </c>
      <c r="S108" s="431">
        <v>0</v>
      </c>
      <c r="T108" s="431">
        <v>0</v>
      </c>
      <c r="U108" s="431">
        <v>0</v>
      </c>
      <c r="V108" s="431">
        <v>258000</v>
      </c>
      <c r="W108" s="431">
        <v>299991</v>
      </c>
      <c r="X108" s="431">
        <v>218532</v>
      </c>
      <c r="Y108" s="431">
        <v>0</v>
      </c>
      <c r="Z108" s="468">
        <v>783981</v>
      </c>
      <c r="AA108" s="431">
        <v>0</v>
      </c>
      <c r="AB108" s="431">
        <v>0</v>
      </c>
      <c r="AC108" s="468">
        <v>819699</v>
      </c>
      <c r="AD108" s="431">
        <v>16365</v>
      </c>
      <c r="AE108" s="431">
        <v>772195</v>
      </c>
      <c r="AF108" s="431">
        <v>0</v>
      </c>
      <c r="AG108" s="431">
        <v>79141</v>
      </c>
      <c r="AH108" s="431">
        <v>218532</v>
      </c>
      <c r="AI108" s="468">
        <v>89012</v>
      </c>
      <c r="AJ108" s="468">
        <v>0</v>
      </c>
      <c r="AK108" s="431">
        <v>0</v>
      </c>
      <c r="AL108" s="431">
        <v>1249763</v>
      </c>
      <c r="AM108" s="431">
        <v>22894</v>
      </c>
      <c r="AN108" s="203"/>
      <c r="AO108" s="203"/>
      <c r="AP108" s="203"/>
      <c r="AQ108" s="203"/>
      <c r="AR108" s="203"/>
      <c r="AS108" s="203"/>
      <c r="AT108" s="203"/>
    </row>
    <row r="109" spans="1:46" s="155" customFormat="1" ht="12" x14ac:dyDescent="0.2">
      <c r="A109" s="168">
        <v>55</v>
      </c>
      <c r="B109" s="227">
        <v>98220</v>
      </c>
      <c r="C109" s="256" t="s">
        <v>1459</v>
      </c>
      <c r="D109" s="432">
        <f t="shared" si="12"/>
        <v>7868460</v>
      </c>
      <c r="E109" s="431">
        <v>1800201</v>
      </c>
      <c r="F109" s="431">
        <v>281922</v>
      </c>
      <c r="G109" s="431">
        <v>713578</v>
      </c>
      <c r="H109" s="431">
        <v>0</v>
      </c>
      <c r="I109" s="431">
        <v>2653772</v>
      </c>
      <c r="J109" s="431">
        <v>0</v>
      </c>
      <c r="K109" s="431">
        <v>368340</v>
      </c>
      <c r="L109" s="431">
        <v>0</v>
      </c>
      <c r="M109" s="431">
        <v>2100014</v>
      </c>
      <c r="N109" s="431">
        <v>916553</v>
      </c>
      <c r="O109" s="431">
        <v>29580</v>
      </c>
      <c r="P109" s="432">
        <f t="shared" si="13"/>
        <v>7867568</v>
      </c>
      <c r="Q109" s="431">
        <v>2934581</v>
      </c>
      <c r="R109" s="431">
        <v>1451487</v>
      </c>
      <c r="S109" s="431">
        <v>0</v>
      </c>
      <c r="T109" s="431">
        <v>0</v>
      </c>
      <c r="U109" s="431">
        <v>0</v>
      </c>
      <c r="V109" s="431">
        <v>0</v>
      </c>
      <c r="W109" s="431">
        <v>1193727</v>
      </c>
      <c r="X109" s="431">
        <v>300070</v>
      </c>
      <c r="Y109" s="431">
        <v>4196</v>
      </c>
      <c r="Z109" s="468">
        <v>1985378</v>
      </c>
      <c r="AA109" s="431">
        <v>0</v>
      </c>
      <c r="AB109" s="431">
        <v>-1871</v>
      </c>
      <c r="AC109" s="468">
        <v>2161388</v>
      </c>
      <c r="AD109" s="431">
        <v>46691</v>
      </c>
      <c r="AE109" s="431">
        <v>2534472</v>
      </c>
      <c r="AF109" s="431">
        <v>19173</v>
      </c>
      <c r="AG109" s="431">
        <v>156404</v>
      </c>
      <c r="AH109" s="431">
        <v>555547</v>
      </c>
      <c r="AI109" s="468">
        <v>846424</v>
      </c>
      <c r="AJ109" s="468">
        <v>139525</v>
      </c>
      <c r="AK109" s="431">
        <v>0</v>
      </c>
      <c r="AL109" s="431">
        <v>1407944</v>
      </c>
      <c r="AM109" s="431">
        <v>0</v>
      </c>
      <c r="AN109" s="203"/>
      <c r="AO109" s="203"/>
      <c r="AP109" s="203"/>
      <c r="AQ109" s="203"/>
      <c r="AR109" s="203"/>
      <c r="AS109" s="203"/>
      <c r="AT109" s="203"/>
    </row>
    <row r="110" spans="1:46" s="155" customFormat="1" ht="12" x14ac:dyDescent="0.2">
      <c r="A110" s="168">
        <v>56</v>
      </c>
      <c r="B110" s="227">
        <v>98257</v>
      </c>
      <c r="C110" s="256" t="s">
        <v>1460</v>
      </c>
      <c r="D110" s="432">
        <f t="shared" si="12"/>
        <v>4988227</v>
      </c>
      <c r="E110" s="431">
        <v>1693532</v>
      </c>
      <c r="F110" s="431">
        <v>311747</v>
      </c>
      <c r="G110" s="431">
        <v>764447</v>
      </c>
      <c r="H110" s="431">
        <v>0</v>
      </c>
      <c r="I110" s="431">
        <v>1326267</v>
      </c>
      <c r="J110" s="431">
        <v>0</v>
      </c>
      <c r="K110" s="431">
        <v>473270</v>
      </c>
      <c r="L110" s="431">
        <v>0</v>
      </c>
      <c r="M110" s="431">
        <v>842380</v>
      </c>
      <c r="N110" s="431">
        <v>586356</v>
      </c>
      <c r="O110" s="431">
        <v>66422</v>
      </c>
      <c r="P110" s="432">
        <f t="shared" si="13"/>
        <v>5108590</v>
      </c>
      <c r="Q110" s="431">
        <v>1563363</v>
      </c>
      <c r="R110" s="431">
        <v>829055</v>
      </c>
      <c r="S110" s="431">
        <v>4713</v>
      </c>
      <c r="T110" s="431">
        <v>0</v>
      </c>
      <c r="U110" s="431">
        <v>0</v>
      </c>
      <c r="V110" s="431">
        <v>0</v>
      </c>
      <c r="W110" s="431">
        <v>1365549</v>
      </c>
      <c r="X110" s="431">
        <v>193181</v>
      </c>
      <c r="Y110" s="431">
        <v>53244</v>
      </c>
      <c r="Z110" s="468">
        <v>1064360</v>
      </c>
      <c r="AA110" s="431">
        <v>35125</v>
      </c>
      <c r="AB110" s="431">
        <v>0</v>
      </c>
      <c r="AC110" s="468">
        <v>981542</v>
      </c>
      <c r="AD110" s="431">
        <v>14894</v>
      </c>
      <c r="AE110" s="431">
        <v>2076942</v>
      </c>
      <c r="AF110" s="431">
        <v>0</v>
      </c>
      <c r="AG110" s="431">
        <v>241737</v>
      </c>
      <c r="AH110" s="431">
        <v>282187</v>
      </c>
      <c r="AI110" s="468">
        <v>385437</v>
      </c>
      <c r="AJ110" s="468">
        <v>104512</v>
      </c>
      <c r="AK110" s="431">
        <v>0</v>
      </c>
      <c r="AL110" s="431">
        <v>979274</v>
      </c>
      <c r="AM110" s="431">
        <v>42065</v>
      </c>
      <c r="AN110" s="203"/>
      <c r="AO110" s="203"/>
      <c r="AP110" s="203"/>
      <c r="AQ110" s="203"/>
      <c r="AR110" s="203"/>
      <c r="AS110" s="203"/>
      <c r="AT110" s="203"/>
    </row>
    <row r="111" spans="1:46" s="155" customFormat="1" ht="12" x14ac:dyDescent="0.2">
      <c r="A111" s="168">
        <v>57</v>
      </c>
      <c r="B111" s="227">
        <v>98300</v>
      </c>
      <c r="C111" s="256" t="s">
        <v>1461</v>
      </c>
      <c r="D111" s="432">
        <f t="shared" si="12"/>
        <v>5345896</v>
      </c>
      <c r="E111" s="431">
        <v>1394253</v>
      </c>
      <c r="F111" s="431">
        <v>127027</v>
      </c>
      <c r="G111" s="431">
        <v>795688</v>
      </c>
      <c r="H111" s="431">
        <v>0</v>
      </c>
      <c r="I111" s="431">
        <v>1787286</v>
      </c>
      <c r="J111" s="431">
        <v>100000</v>
      </c>
      <c r="K111" s="431">
        <v>314740</v>
      </c>
      <c r="L111" s="431">
        <v>0</v>
      </c>
      <c r="M111" s="431">
        <v>96146</v>
      </c>
      <c r="N111" s="431">
        <v>1653471</v>
      </c>
      <c r="O111" s="431">
        <v>0</v>
      </c>
      <c r="P111" s="432">
        <f t="shared" si="13"/>
        <v>3342052</v>
      </c>
      <c r="Q111" s="431">
        <v>1834983</v>
      </c>
      <c r="R111" s="431">
        <v>753529</v>
      </c>
      <c r="S111" s="431">
        <v>0</v>
      </c>
      <c r="T111" s="431">
        <v>0</v>
      </c>
      <c r="U111" s="431">
        <v>0</v>
      </c>
      <c r="V111" s="431">
        <v>0</v>
      </c>
      <c r="W111" s="431">
        <v>1145</v>
      </c>
      <c r="X111" s="431">
        <v>194867</v>
      </c>
      <c r="Y111" s="431">
        <v>9899</v>
      </c>
      <c r="Z111" s="468">
        <v>550001</v>
      </c>
      <c r="AA111" s="431">
        <v>0</v>
      </c>
      <c r="AB111" s="431">
        <v>-2372</v>
      </c>
      <c r="AC111" s="468">
        <v>658163</v>
      </c>
      <c r="AD111" s="431">
        <v>2000</v>
      </c>
      <c r="AE111" s="431">
        <v>1665266</v>
      </c>
      <c r="AF111" s="431">
        <v>14498</v>
      </c>
      <c r="AG111" s="431">
        <v>101593</v>
      </c>
      <c r="AH111" s="431">
        <v>231364</v>
      </c>
      <c r="AI111" s="468">
        <v>242088</v>
      </c>
      <c r="AJ111" s="468">
        <v>86682</v>
      </c>
      <c r="AK111" s="431">
        <v>0</v>
      </c>
      <c r="AL111" s="431">
        <v>277768</v>
      </c>
      <c r="AM111" s="431">
        <v>62630</v>
      </c>
      <c r="AN111" s="203"/>
      <c r="AO111" s="203"/>
      <c r="AP111" s="203"/>
      <c r="AQ111" s="203"/>
      <c r="AR111" s="203"/>
      <c r="AS111" s="203"/>
      <c r="AT111" s="203"/>
    </row>
    <row r="112" spans="1:46" s="155" customFormat="1" ht="12" x14ac:dyDescent="0.2">
      <c r="A112" s="168">
        <v>58</v>
      </c>
      <c r="B112" s="227">
        <v>98337</v>
      </c>
      <c r="C112" s="256" t="s">
        <v>1462</v>
      </c>
      <c r="D112" s="432">
        <f t="shared" si="12"/>
        <v>9759180</v>
      </c>
      <c r="E112" s="431">
        <v>1439428</v>
      </c>
      <c r="F112" s="431">
        <v>197633</v>
      </c>
      <c r="G112" s="431">
        <v>902236</v>
      </c>
      <c r="H112" s="431">
        <v>0</v>
      </c>
      <c r="I112" s="431">
        <v>2127813</v>
      </c>
      <c r="J112" s="431">
        <v>0</v>
      </c>
      <c r="K112" s="431">
        <v>430090</v>
      </c>
      <c r="L112" s="431">
        <v>0</v>
      </c>
      <c r="M112" s="431">
        <v>1998964</v>
      </c>
      <c r="N112" s="431">
        <v>3745733</v>
      </c>
      <c r="O112" s="431">
        <v>17152</v>
      </c>
      <c r="P112" s="432">
        <f t="shared" si="13"/>
        <v>5722069</v>
      </c>
      <c r="Q112" s="431">
        <v>2338521</v>
      </c>
      <c r="R112" s="468">
        <v>918659</v>
      </c>
      <c r="S112" s="431">
        <v>0</v>
      </c>
      <c r="T112" s="431">
        <v>0</v>
      </c>
      <c r="U112" s="431">
        <v>0</v>
      </c>
      <c r="V112" s="431">
        <v>0</v>
      </c>
      <c r="W112" s="431">
        <v>249070</v>
      </c>
      <c r="X112" s="431">
        <v>90667</v>
      </c>
      <c r="Y112" s="431">
        <v>73712</v>
      </c>
      <c r="Z112" s="468">
        <v>2058166</v>
      </c>
      <c r="AA112" s="431">
        <v>0</v>
      </c>
      <c r="AB112" s="431">
        <v>-6726</v>
      </c>
      <c r="AC112" s="468">
        <v>1093341</v>
      </c>
      <c r="AD112" s="431">
        <v>19502</v>
      </c>
      <c r="AE112" s="431">
        <v>2132872</v>
      </c>
      <c r="AF112" s="431">
        <v>0</v>
      </c>
      <c r="AG112" s="431">
        <v>137423</v>
      </c>
      <c r="AH112" s="431">
        <v>259290</v>
      </c>
      <c r="AI112" s="468">
        <v>1857166</v>
      </c>
      <c r="AJ112" s="468">
        <v>27700</v>
      </c>
      <c r="AK112" s="431">
        <v>0</v>
      </c>
      <c r="AL112" s="431">
        <v>175990</v>
      </c>
      <c r="AM112" s="431">
        <v>18785</v>
      </c>
      <c r="AN112" s="203"/>
      <c r="AO112" s="203"/>
      <c r="AP112" s="203"/>
      <c r="AQ112" s="203"/>
      <c r="AR112" s="203"/>
      <c r="AS112" s="203"/>
      <c r="AT112" s="203"/>
    </row>
    <row r="113" spans="1:46" s="155" customFormat="1" ht="12" x14ac:dyDescent="0.2">
      <c r="A113" s="168">
        <v>59</v>
      </c>
      <c r="B113" s="227">
        <v>98435</v>
      </c>
      <c r="C113" s="256" t="s">
        <v>1463</v>
      </c>
      <c r="D113" s="432">
        <f t="shared" si="12"/>
        <v>4777273</v>
      </c>
      <c r="E113" s="431">
        <v>1498988</v>
      </c>
      <c r="F113" s="431">
        <v>143324</v>
      </c>
      <c r="G113" s="431">
        <v>949127</v>
      </c>
      <c r="H113" s="431">
        <v>0</v>
      </c>
      <c r="I113" s="431">
        <v>2602119</v>
      </c>
      <c r="J113" s="431">
        <v>100000</v>
      </c>
      <c r="K113" s="431">
        <v>537000</v>
      </c>
      <c r="L113" s="431">
        <v>0</v>
      </c>
      <c r="M113" s="431">
        <v>39166</v>
      </c>
      <c r="N113" s="431">
        <v>0</v>
      </c>
      <c r="O113" s="431">
        <v>0</v>
      </c>
      <c r="P113" s="432">
        <f t="shared" si="13"/>
        <v>4348931</v>
      </c>
      <c r="Q113" s="431">
        <v>2845586</v>
      </c>
      <c r="R113" s="431">
        <v>1301156</v>
      </c>
      <c r="S113" s="431">
        <v>0</v>
      </c>
      <c r="T113" s="431">
        <v>0</v>
      </c>
      <c r="U113" s="431">
        <v>0</v>
      </c>
      <c r="V113" s="431">
        <v>754</v>
      </c>
      <c r="W113" s="431">
        <v>0</v>
      </c>
      <c r="X113" s="431">
        <v>144791</v>
      </c>
      <c r="Y113" s="431">
        <v>16970</v>
      </c>
      <c r="Z113" s="468">
        <v>58832</v>
      </c>
      <c r="AA113" s="431">
        <v>0</v>
      </c>
      <c r="AB113" s="431">
        <v>-19158</v>
      </c>
      <c r="AC113" s="468">
        <v>830810</v>
      </c>
      <c r="AD113" s="431">
        <v>29859</v>
      </c>
      <c r="AE113" s="431">
        <v>2360916</v>
      </c>
      <c r="AF113" s="431">
        <v>21265</v>
      </c>
      <c r="AG113" s="431">
        <v>77083</v>
      </c>
      <c r="AH113" s="431">
        <v>427843</v>
      </c>
      <c r="AI113" s="468">
        <v>174806</v>
      </c>
      <c r="AJ113" s="468">
        <v>40052</v>
      </c>
      <c r="AK113" s="431">
        <v>0</v>
      </c>
      <c r="AL113" s="431">
        <v>386297</v>
      </c>
      <c r="AM113" s="431">
        <v>0</v>
      </c>
      <c r="AN113" s="203"/>
      <c r="AO113" s="203"/>
      <c r="AP113" s="203"/>
      <c r="AQ113" s="203"/>
      <c r="AR113" s="203"/>
      <c r="AS113" s="203"/>
      <c r="AT113" s="203"/>
    </row>
    <row r="114" spans="1:46" s="155" customFormat="1" ht="12" x14ac:dyDescent="0.2">
      <c r="A114" s="168">
        <v>60</v>
      </c>
      <c r="B114" s="227">
        <v>98505</v>
      </c>
      <c r="C114" s="256" t="s">
        <v>1464</v>
      </c>
      <c r="D114" s="432">
        <f t="shared" si="12"/>
        <v>6803261</v>
      </c>
      <c r="E114" s="431">
        <v>2179341</v>
      </c>
      <c r="F114" s="431">
        <v>388551</v>
      </c>
      <c r="G114" s="431">
        <v>553179</v>
      </c>
      <c r="H114" s="431">
        <v>0</v>
      </c>
      <c r="I114" s="431">
        <v>3191652</v>
      </c>
      <c r="J114" s="431">
        <v>0</v>
      </c>
      <c r="K114" s="431">
        <v>958680</v>
      </c>
      <c r="L114" s="431">
        <v>0</v>
      </c>
      <c r="M114" s="431">
        <v>423208</v>
      </c>
      <c r="N114" s="431">
        <v>0</v>
      </c>
      <c r="O114" s="431">
        <v>50380</v>
      </c>
      <c r="P114" s="432">
        <f t="shared" si="13"/>
        <v>6540522</v>
      </c>
      <c r="Q114" s="431">
        <v>3150917</v>
      </c>
      <c r="R114" s="431">
        <v>1468786</v>
      </c>
      <c r="S114" s="431">
        <v>0</v>
      </c>
      <c r="T114" s="431">
        <v>0</v>
      </c>
      <c r="U114" s="431">
        <v>0</v>
      </c>
      <c r="V114" s="431">
        <v>0</v>
      </c>
      <c r="W114" s="431">
        <v>0</v>
      </c>
      <c r="X114" s="431">
        <v>595360</v>
      </c>
      <c r="Y114" s="431">
        <v>215000</v>
      </c>
      <c r="Z114" s="468">
        <v>1110459</v>
      </c>
      <c r="AA114" s="431">
        <v>0</v>
      </c>
      <c r="AB114" s="431">
        <v>0</v>
      </c>
      <c r="AC114" s="468">
        <v>699417</v>
      </c>
      <c r="AD114" s="431">
        <v>9759</v>
      </c>
      <c r="AE114" s="431">
        <v>2958559</v>
      </c>
      <c r="AF114" s="431">
        <v>0</v>
      </c>
      <c r="AG114" s="431">
        <v>187072</v>
      </c>
      <c r="AH114" s="431">
        <v>595360</v>
      </c>
      <c r="AI114" s="468">
        <v>1071163</v>
      </c>
      <c r="AJ114" s="468">
        <v>292614</v>
      </c>
      <c r="AK114" s="431">
        <v>0</v>
      </c>
      <c r="AL114" s="431">
        <v>348528</v>
      </c>
      <c r="AM114" s="431">
        <v>378050</v>
      </c>
      <c r="AN114" s="203"/>
      <c r="AO114" s="203"/>
      <c r="AP114" s="203"/>
      <c r="AQ114" s="203"/>
      <c r="AR114" s="203"/>
      <c r="AS114" s="203"/>
      <c r="AT114" s="203"/>
    </row>
    <row r="115" spans="1:46" s="155" customFormat="1" ht="12" x14ac:dyDescent="0.2">
      <c r="A115" s="168">
        <v>61</v>
      </c>
      <c r="B115" s="227">
        <v>98603</v>
      </c>
      <c r="C115" s="256" t="s">
        <v>1465</v>
      </c>
      <c r="D115" s="432">
        <f t="shared" si="12"/>
        <v>5576931</v>
      </c>
      <c r="E115" s="431">
        <v>1431663</v>
      </c>
      <c r="F115" s="431">
        <v>127330</v>
      </c>
      <c r="G115" s="431">
        <v>999986</v>
      </c>
      <c r="H115" s="431">
        <v>0</v>
      </c>
      <c r="I115" s="431">
        <v>2026436</v>
      </c>
      <c r="J115" s="431">
        <v>100000</v>
      </c>
      <c r="K115" s="431">
        <v>432550</v>
      </c>
      <c r="L115" s="431">
        <v>0</v>
      </c>
      <c r="M115" s="431">
        <v>43816</v>
      </c>
      <c r="N115" s="431">
        <v>1527466</v>
      </c>
      <c r="O115" s="431">
        <v>15000</v>
      </c>
      <c r="P115" s="432">
        <f t="shared" si="13"/>
        <v>5508609</v>
      </c>
      <c r="Q115" s="431">
        <v>2435488</v>
      </c>
      <c r="R115" s="431">
        <v>970473</v>
      </c>
      <c r="S115" s="431">
        <v>0</v>
      </c>
      <c r="T115" s="431">
        <v>0</v>
      </c>
      <c r="U115" s="431">
        <v>0</v>
      </c>
      <c r="V115" s="431">
        <v>0</v>
      </c>
      <c r="W115" s="431">
        <v>1681654</v>
      </c>
      <c r="X115" s="431">
        <v>58277</v>
      </c>
      <c r="Y115" s="431">
        <v>15450</v>
      </c>
      <c r="Z115" s="468">
        <v>347267</v>
      </c>
      <c r="AA115" s="431">
        <v>0</v>
      </c>
      <c r="AB115" s="431">
        <v>0</v>
      </c>
      <c r="AC115" s="468">
        <v>955443</v>
      </c>
      <c r="AD115" s="431">
        <v>0</v>
      </c>
      <c r="AE115" s="431">
        <v>3565666</v>
      </c>
      <c r="AF115" s="431">
        <v>38567</v>
      </c>
      <c r="AG115" s="431">
        <v>36310</v>
      </c>
      <c r="AH115" s="431">
        <v>387994</v>
      </c>
      <c r="AI115" s="468">
        <v>360501</v>
      </c>
      <c r="AJ115" s="468">
        <v>0</v>
      </c>
      <c r="AK115" s="431">
        <v>0</v>
      </c>
      <c r="AL115" s="431">
        <v>164128</v>
      </c>
      <c r="AM115" s="431">
        <v>0</v>
      </c>
      <c r="AN115" s="203"/>
      <c r="AO115" s="203"/>
      <c r="AP115" s="203"/>
      <c r="AQ115" s="203"/>
      <c r="AR115" s="203"/>
      <c r="AS115" s="203"/>
      <c r="AT115" s="203"/>
    </row>
    <row r="116" spans="1:46" s="155" customFormat="1" ht="12" x14ac:dyDescent="0.2">
      <c r="A116" s="168">
        <v>62</v>
      </c>
      <c r="B116" s="227">
        <v>98649</v>
      </c>
      <c r="C116" s="256" t="s">
        <v>1466</v>
      </c>
      <c r="D116" s="432">
        <f t="shared" si="12"/>
        <v>5497520</v>
      </c>
      <c r="E116" s="431">
        <v>2291832</v>
      </c>
      <c r="F116" s="431">
        <v>135842</v>
      </c>
      <c r="G116" s="431">
        <v>921786</v>
      </c>
      <c r="H116" s="431">
        <v>0</v>
      </c>
      <c r="I116" s="431">
        <v>2029434</v>
      </c>
      <c r="J116" s="431">
        <v>0</v>
      </c>
      <c r="K116" s="431">
        <v>415080</v>
      </c>
      <c r="L116" s="431">
        <v>0</v>
      </c>
      <c r="M116" s="431">
        <v>524050</v>
      </c>
      <c r="N116" s="431">
        <v>237124</v>
      </c>
      <c r="O116" s="431">
        <v>0</v>
      </c>
      <c r="P116" s="432">
        <f t="shared" si="13"/>
        <v>5504767</v>
      </c>
      <c r="Q116" s="431">
        <v>2192421</v>
      </c>
      <c r="R116" s="431">
        <v>775407</v>
      </c>
      <c r="S116" s="431">
        <v>0</v>
      </c>
      <c r="T116" s="431">
        <v>0</v>
      </c>
      <c r="U116" s="431">
        <v>0</v>
      </c>
      <c r="V116" s="431">
        <v>0</v>
      </c>
      <c r="W116" s="431">
        <v>814835</v>
      </c>
      <c r="X116" s="431">
        <v>256772</v>
      </c>
      <c r="Y116" s="431">
        <v>26000</v>
      </c>
      <c r="Z116" s="468">
        <v>1689540</v>
      </c>
      <c r="AA116" s="431">
        <v>0</v>
      </c>
      <c r="AB116" s="431">
        <v>-250208</v>
      </c>
      <c r="AC116" s="468">
        <v>786454</v>
      </c>
      <c r="AD116" s="431">
        <v>14951</v>
      </c>
      <c r="AE116" s="431">
        <v>2898288</v>
      </c>
      <c r="AF116" s="431">
        <v>0</v>
      </c>
      <c r="AG116" s="431">
        <v>34655</v>
      </c>
      <c r="AH116" s="431">
        <v>378086</v>
      </c>
      <c r="AI116" s="468">
        <v>365284</v>
      </c>
      <c r="AJ116" s="468">
        <v>15725</v>
      </c>
      <c r="AK116" s="431">
        <v>0</v>
      </c>
      <c r="AL116" s="431">
        <v>1011324</v>
      </c>
      <c r="AM116" s="431">
        <v>0</v>
      </c>
      <c r="AN116" s="203"/>
      <c r="AO116" s="203"/>
      <c r="AP116" s="203"/>
      <c r="AQ116" s="203"/>
      <c r="AR116" s="203"/>
      <c r="AS116" s="203"/>
      <c r="AT116" s="203"/>
    </row>
    <row r="117" spans="1:46" s="155" customFormat="1" ht="12" x14ac:dyDescent="0.2">
      <c r="A117" s="168">
        <v>63</v>
      </c>
      <c r="B117" s="227">
        <v>100335</v>
      </c>
      <c r="C117" s="256" t="s">
        <v>1467</v>
      </c>
      <c r="D117" s="432">
        <f t="shared" si="12"/>
        <v>7733903</v>
      </c>
      <c r="E117" s="431">
        <v>1678819</v>
      </c>
      <c r="F117" s="431">
        <v>697979</v>
      </c>
      <c r="G117" s="431">
        <v>591390</v>
      </c>
      <c r="H117" s="431">
        <v>0</v>
      </c>
      <c r="I117" s="431">
        <v>1748319</v>
      </c>
      <c r="J117" s="431">
        <v>0</v>
      </c>
      <c r="K117" s="431">
        <v>267170</v>
      </c>
      <c r="L117" s="431">
        <v>0</v>
      </c>
      <c r="M117" s="431">
        <v>1600967</v>
      </c>
      <c r="N117" s="431">
        <v>2438628</v>
      </c>
      <c r="O117" s="431">
        <v>0</v>
      </c>
      <c r="P117" s="432">
        <f t="shared" si="13"/>
        <v>5723740</v>
      </c>
      <c r="Q117" s="431">
        <v>2013042</v>
      </c>
      <c r="R117" s="431">
        <v>707075</v>
      </c>
      <c r="S117" s="431">
        <v>350</v>
      </c>
      <c r="T117" s="431">
        <v>0</v>
      </c>
      <c r="U117" s="431">
        <v>0</v>
      </c>
      <c r="V117" s="431">
        <v>0</v>
      </c>
      <c r="W117" s="431">
        <v>1317704</v>
      </c>
      <c r="X117" s="431">
        <v>164367</v>
      </c>
      <c r="Y117" s="431">
        <v>38000</v>
      </c>
      <c r="Z117" s="468">
        <v>1499533</v>
      </c>
      <c r="AA117" s="431">
        <v>0</v>
      </c>
      <c r="AB117" s="431">
        <v>-16331</v>
      </c>
      <c r="AC117" s="468">
        <v>1416374</v>
      </c>
      <c r="AD117" s="431">
        <v>0</v>
      </c>
      <c r="AE117" s="431">
        <v>1425355</v>
      </c>
      <c r="AF117" s="431">
        <v>11920</v>
      </c>
      <c r="AG117" s="431">
        <v>112338</v>
      </c>
      <c r="AH117" s="431">
        <v>459339</v>
      </c>
      <c r="AI117" s="468">
        <v>171536</v>
      </c>
      <c r="AJ117" s="468">
        <v>67287</v>
      </c>
      <c r="AK117" s="431">
        <v>0</v>
      </c>
      <c r="AL117" s="431">
        <v>2059591</v>
      </c>
      <c r="AM117" s="431">
        <v>0</v>
      </c>
      <c r="AN117" s="203"/>
      <c r="AO117" s="203"/>
      <c r="AP117" s="203"/>
      <c r="AQ117" s="203"/>
      <c r="AR117" s="203"/>
      <c r="AS117" s="203"/>
      <c r="AT117" s="203"/>
    </row>
    <row r="118" spans="1:46" s="155" customFormat="1" ht="12" x14ac:dyDescent="0.2">
      <c r="A118" s="168">
        <v>64</v>
      </c>
      <c r="B118" s="227">
        <v>98685</v>
      </c>
      <c r="C118" s="256" t="s">
        <v>1468</v>
      </c>
      <c r="D118" s="432">
        <f t="shared" si="12"/>
        <v>10032642</v>
      </c>
      <c r="E118" s="431">
        <v>2865800</v>
      </c>
      <c r="F118" s="431">
        <v>1239222</v>
      </c>
      <c r="G118" s="431">
        <v>555564</v>
      </c>
      <c r="H118" s="431">
        <v>0</v>
      </c>
      <c r="I118" s="431">
        <v>5585580</v>
      </c>
      <c r="J118" s="431">
        <v>100000</v>
      </c>
      <c r="K118" s="431">
        <v>1449860</v>
      </c>
      <c r="L118" s="431">
        <v>0</v>
      </c>
      <c r="M118" s="431">
        <v>31402</v>
      </c>
      <c r="N118" s="431">
        <v>0</v>
      </c>
      <c r="O118" s="431">
        <v>0</v>
      </c>
      <c r="P118" s="432">
        <f t="shared" si="13"/>
        <v>10450266</v>
      </c>
      <c r="Q118" s="431">
        <v>5262642</v>
      </c>
      <c r="R118" s="431">
        <v>2558830</v>
      </c>
      <c r="S118" s="431">
        <v>0</v>
      </c>
      <c r="T118" s="431">
        <v>0</v>
      </c>
      <c r="U118" s="431">
        <v>347080</v>
      </c>
      <c r="V118" s="431">
        <v>0</v>
      </c>
      <c r="W118" s="431">
        <v>0</v>
      </c>
      <c r="X118" s="431">
        <v>749186</v>
      </c>
      <c r="Y118" s="431">
        <v>159465</v>
      </c>
      <c r="Z118" s="468">
        <v>1373480</v>
      </c>
      <c r="AA118" s="431">
        <v>0</v>
      </c>
      <c r="AB118" s="431">
        <v>-417</v>
      </c>
      <c r="AC118" s="468">
        <v>1111564</v>
      </c>
      <c r="AD118" s="431">
        <v>278804</v>
      </c>
      <c r="AE118" s="431">
        <v>5136376</v>
      </c>
      <c r="AF118" s="431">
        <v>19737</v>
      </c>
      <c r="AG118" s="431">
        <v>142533</v>
      </c>
      <c r="AH118" s="431">
        <v>784826</v>
      </c>
      <c r="AI118" s="468">
        <v>156227</v>
      </c>
      <c r="AJ118" s="468">
        <v>90093</v>
      </c>
      <c r="AK118" s="431">
        <v>0</v>
      </c>
      <c r="AL118" s="431">
        <v>2730106</v>
      </c>
      <c r="AM118" s="431">
        <v>0</v>
      </c>
      <c r="AN118" s="203"/>
      <c r="AO118" s="203"/>
      <c r="AP118" s="203"/>
      <c r="AQ118" s="203"/>
      <c r="AR118" s="203"/>
      <c r="AS118" s="203"/>
      <c r="AT118" s="203"/>
    </row>
    <row r="119" spans="1:46" s="155" customFormat="1" ht="12" x14ac:dyDescent="0.2">
      <c r="A119" s="168">
        <v>65</v>
      </c>
      <c r="B119" s="227">
        <v>95239</v>
      </c>
      <c r="C119" s="256" t="s">
        <v>1469</v>
      </c>
      <c r="D119" s="432">
        <f t="shared" ref="D119:D147" si="14">E119+SUM(H119:O119)</f>
        <v>4838945</v>
      </c>
      <c r="E119" s="431">
        <v>2229721</v>
      </c>
      <c r="F119" s="431">
        <v>452614</v>
      </c>
      <c r="G119" s="431">
        <v>815815</v>
      </c>
      <c r="H119" s="431">
        <v>0</v>
      </c>
      <c r="I119" s="431">
        <v>1644315</v>
      </c>
      <c r="J119" s="431">
        <v>100000</v>
      </c>
      <c r="K119" s="431">
        <v>736460</v>
      </c>
      <c r="L119" s="431">
        <v>0</v>
      </c>
      <c r="M119" s="431">
        <v>38418</v>
      </c>
      <c r="N119" s="431">
        <v>83031</v>
      </c>
      <c r="O119" s="431">
        <v>7000</v>
      </c>
      <c r="P119" s="432">
        <f t="shared" ref="P119:P147" si="15">IF(SUM(Q119:AB119)=SUM(AC119:AM119),SUM(Q119:AB119),"  EROARE ART/CAP")</f>
        <v>4060017</v>
      </c>
      <c r="Q119" s="431">
        <v>1751576</v>
      </c>
      <c r="R119" s="431">
        <v>1115608</v>
      </c>
      <c r="S119" s="431">
        <v>0</v>
      </c>
      <c r="T119" s="431">
        <v>0</v>
      </c>
      <c r="U119" s="431">
        <v>0</v>
      </c>
      <c r="V119" s="431">
        <v>0</v>
      </c>
      <c r="W119" s="431">
        <v>157826</v>
      </c>
      <c r="X119" s="431">
        <v>367610</v>
      </c>
      <c r="Y119" s="431">
        <v>73000</v>
      </c>
      <c r="Z119" s="468">
        <v>594397</v>
      </c>
      <c r="AA119" s="431">
        <v>0</v>
      </c>
      <c r="AB119" s="431">
        <v>0</v>
      </c>
      <c r="AC119" s="468">
        <v>894608</v>
      </c>
      <c r="AD119" s="431">
        <v>69429</v>
      </c>
      <c r="AE119" s="431">
        <v>1390795</v>
      </c>
      <c r="AF119" s="431">
        <v>0</v>
      </c>
      <c r="AG119" s="431">
        <v>267043</v>
      </c>
      <c r="AH119" s="431">
        <v>367610</v>
      </c>
      <c r="AI119" s="468">
        <v>352002</v>
      </c>
      <c r="AJ119" s="468">
        <v>0</v>
      </c>
      <c r="AK119" s="431">
        <v>0</v>
      </c>
      <c r="AL119" s="431">
        <v>718530</v>
      </c>
      <c r="AM119" s="431">
        <v>0</v>
      </c>
      <c r="AN119" s="203"/>
      <c r="AO119" s="203"/>
      <c r="AP119" s="203"/>
      <c r="AQ119" s="203"/>
      <c r="AR119" s="203"/>
      <c r="AS119" s="203"/>
      <c r="AT119" s="203"/>
    </row>
    <row r="120" spans="1:46" s="155" customFormat="1" ht="12" x14ac:dyDescent="0.2">
      <c r="A120" s="168">
        <v>66</v>
      </c>
      <c r="B120" s="227">
        <v>98738</v>
      </c>
      <c r="C120" s="256" t="s">
        <v>1470</v>
      </c>
      <c r="D120" s="432">
        <f t="shared" si="14"/>
        <v>3275584</v>
      </c>
      <c r="E120" s="431">
        <v>1135397</v>
      </c>
      <c r="F120" s="431">
        <v>122602</v>
      </c>
      <c r="G120" s="431">
        <v>758543</v>
      </c>
      <c r="H120" s="431">
        <v>0</v>
      </c>
      <c r="I120" s="431">
        <v>1103039</v>
      </c>
      <c r="J120" s="431">
        <v>0</v>
      </c>
      <c r="K120" s="431">
        <v>307010</v>
      </c>
      <c r="L120" s="431">
        <v>0</v>
      </c>
      <c r="M120" s="431">
        <v>249390</v>
      </c>
      <c r="N120" s="431">
        <v>457315</v>
      </c>
      <c r="O120" s="431">
        <v>23433</v>
      </c>
      <c r="P120" s="432">
        <f t="shared" si="15"/>
        <v>3261507</v>
      </c>
      <c r="Q120" s="431">
        <v>1505070</v>
      </c>
      <c r="R120" s="431">
        <v>587212</v>
      </c>
      <c r="S120" s="431">
        <v>0</v>
      </c>
      <c r="T120" s="431">
        <v>0</v>
      </c>
      <c r="U120" s="431">
        <v>75000</v>
      </c>
      <c r="V120" s="431">
        <v>0</v>
      </c>
      <c r="W120" s="431">
        <v>592369</v>
      </c>
      <c r="X120" s="431">
        <v>59224</v>
      </c>
      <c r="Y120" s="431">
        <v>10470</v>
      </c>
      <c r="Z120" s="468">
        <v>432162</v>
      </c>
      <c r="AA120" s="431">
        <v>0</v>
      </c>
      <c r="AB120" s="431">
        <v>0</v>
      </c>
      <c r="AC120" s="468">
        <v>869915</v>
      </c>
      <c r="AD120" s="431">
        <v>11495</v>
      </c>
      <c r="AE120" s="431">
        <v>1215320</v>
      </c>
      <c r="AF120" s="431">
        <v>0</v>
      </c>
      <c r="AG120" s="431">
        <v>101513</v>
      </c>
      <c r="AH120" s="431">
        <v>230686</v>
      </c>
      <c r="AI120" s="468">
        <v>385502</v>
      </c>
      <c r="AJ120" s="468">
        <v>22974</v>
      </c>
      <c r="AK120" s="431">
        <v>0</v>
      </c>
      <c r="AL120" s="431">
        <v>200769</v>
      </c>
      <c r="AM120" s="431">
        <v>223333</v>
      </c>
      <c r="AN120" s="203"/>
      <c r="AO120" s="203"/>
      <c r="AP120" s="203"/>
      <c r="AQ120" s="203"/>
      <c r="AR120" s="203"/>
      <c r="AS120" s="203"/>
      <c r="AT120" s="203"/>
    </row>
    <row r="121" spans="1:46" s="155" customFormat="1" ht="12" x14ac:dyDescent="0.2">
      <c r="A121" s="168">
        <v>67</v>
      </c>
      <c r="B121" s="227">
        <v>100344</v>
      </c>
      <c r="C121" s="256" t="s">
        <v>1471</v>
      </c>
      <c r="D121" s="432">
        <f t="shared" si="14"/>
        <v>5532285</v>
      </c>
      <c r="E121" s="431">
        <v>1315688</v>
      </c>
      <c r="F121" s="431">
        <v>57066</v>
      </c>
      <c r="G121" s="431">
        <v>1084051</v>
      </c>
      <c r="H121" s="431">
        <v>0</v>
      </c>
      <c r="I121" s="431">
        <v>1065163</v>
      </c>
      <c r="J121" s="431">
        <v>0</v>
      </c>
      <c r="K121" s="431">
        <v>335970</v>
      </c>
      <c r="L121" s="431">
        <v>0</v>
      </c>
      <c r="M121" s="431">
        <v>2689798</v>
      </c>
      <c r="N121" s="431">
        <v>125666</v>
      </c>
      <c r="O121" s="431">
        <v>0</v>
      </c>
      <c r="P121" s="432">
        <f t="shared" si="15"/>
        <v>4920458</v>
      </c>
      <c r="Q121" s="431">
        <v>1265614</v>
      </c>
      <c r="R121" s="431">
        <v>508125</v>
      </c>
      <c r="S121" s="431">
        <v>0</v>
      </c>
      <c r="T121" s="431">
        <v>0</v>
      </c>
      <c r="U121" s="431">
        <v>823</v>
      </c>
      <c r="V121" s="431">
        <v>0</v>
      </c>
      <c r="W121" s="431">
        <v>132280</v>
      </c>
      <c r="X121" s="431">
        <v>79957</v>
      </c>
      <c r="Y121" s="431">
        <v>31000</v>
      </c>
      <c r="Z121" s="468">
        <v>2902659</v>
      </c>
      <c r="AA121" s="431">
        <v>0</v>
      </c>
      <c r="AB121" s="431">
        <v>0</v>
      </c>
      <c r="AC121" s="468">
        <v>650496</v>
      </c>
      <c r="AD121" s="431">
        <v>0</v>
      </c>
      <c r="AE121" s="431">
        <v>973354</v>
      </c>
      <c r="AF121" s="431">
        <v>0</v>
      </c>
      <c r="AG121" s="431">
        <v>26000</v>
      </c>
      <c r="AH121" s="431">
        <v>153827</v>
      </c>
      <c r="AI121" s="468">
        <v>184648</v>
      </c>
      <c r="AJ121" s="468">
        <v>6662</v>
      </c>
      <c r="AK121" s="431">
        <v>0</v>
      </c>
      <c r="AL121" s="431">
        <v>2925471</v>
      </c>
      <c r="AM121" s="431">
        <v>0</v>
      </c>
      <c r="AN121" s="203"/>
      <c r="AO121" s="203"/>
      <c r="AP121" s="203"/>
      <c r="AQ121" s="203"/>
      <c r="AR121" s="203"/>
      <c r="AS121" s="203"/>
      <c r="AT121" s="203"/>
    </row>
    <row r="122" spans="1:46" s="155" customFormat="1" ht="12" x14ac:dyDescent="0.2">
      <c r="A122" s="168">
        <v>68</v>
      </c>
      <c r="B122" s="227">
        <v>98774</v>
      </c>
      <c r="C122" s="256" t="s">
        <v>1472</v>
      </c>
      <c r="D122" s="432">
        <f t="shared" si="14"/>
        <v>6822608</v>
      </c>
      <c r="E122" s="431">
        <v>1723646</v>
      </c>
      <c r="F122" s="431">
        <v>263328</v>
      </c>
      <c r="G122" s="431">
        <v>845677</v>
      </c>
      <c r="H122" s="431">
        <v>0</v>
      </c>
      <c r="I122" s="431">
        <v>3029541</v>
      </c>
      <c r="J122" s="431">
        <v>0</v>
      </c>
      <c r="K122" s="431">
        <v>783150</v>
      </c>
      <c r="L122" s="431">
        <v>0</v>
      </c>
      <c r="M122" s="431">
        <v>958231</v>
      </c>
      <c r="N122" s="431">
        <v>318040</v>
      </c>
      <c r="O122" s="431">
        <v>10000</v>
      </c>
      <c r="P122" s="432">
        <f t="shared" si="15"/>
        <v>5901998</v>
      </c>
      <c r="Q122" s="431">
        <v>3408253</v>
      </c>
      <c r="R122" s="431">
        <v>1141997</v>
      </c>
      <c r="S122" s="431">
        <v>0</v>
      </c>
      <c r="T122" s="431">
        <v>0</v>
      </c>
      <c r="U122" s="431">
        <v>0</v>
      </c>
      <c r="V122" s="431">
        <v>0</v>
      </c>
      <c r="W122" s="431">
        <v>0</v>
      </c>
      <c r="X122" s="431">
        <v>225479</v>
      </c>
      <c r="Y122" s="431">
        <v>19683</v>
      </c>
      <c r="Z122" s="468">
        <v>1106586</v>
      </c>
      <c r="AA122" s="431">
        <v>0</v>
      </c>
      <c r="AB122" s="431">
        <v>0</v>
      </c>
      <c r="AC122" s="468">
        <v>676490</v>
      </c>
      <c r="AD122" s="431">
        <v>77912</v>
      </c>
      <c r="AE122" s="431">
        <v>2803527</v>
      </c>
      <c r="AF122" s="431">
        <v>0</v>
      </c>
      <c r="AG122" s="431">
        <v>169042</v>
      </c>
      <c r="AH122" s="431">
        <v>669716</v>
      </c>
      <c r="AI122" s="468">
        <v>549659</v>
      </c>
      <c r="AJ122" s="468">
        <v>637408</v>
      </c>
      <c r="AK122" s="431">
        <v>0</v>
      </c>
      <c r="AL122" s="431">
        <v>284268</v>
      </c>
      <c r="AM122" s="431">
        <v>33976</v>
      </c>
      <c r="AN122" s="203"/>
      <c r="AO122" s="203"/>
      <c r="AP122" s="203"/>
      <c r="AQ122" s="203"/>
      <c r="AR122" s="203"/>
      <c r="AS122" s="203"/>
      <c r="AT122" s="203"/>
    </row>
    <row r="123" spans="1:46" s="155" customFormat="1" ht="12" x14ac:dyDescent="0.2">
      <c r="A123" s="168">
        <v>69</v>
      </c>
      <c r="B123" s="227">
        <v>98827</v>
      </c>
      <c r="C123" s="256" t="s">
        <v>1473</v>
      </c>
      <c r="D123" s="432">
        <f t="shared" si="14"/>
        <v>7729706</v>
      </c>
      <c r="E123" s="431">
        <v>1546173</v>
      </c>
      <c r="F123" s="431">
        <v>233552</v>
      </c>
      <c r="G123" s="431">
        <v>1015988</v>
      </c>
      <c r="H123" s="431">
        <v>0</v>
      </c>
      <c r="I123" s="431">
        <v>2665164</v>
      </c>
      <c r="J123" s="431">
        <v>200000</v>
      </c>
      <c r="K123" s="431">
        <v>657780</v>
      </c>
      <c r="L123" s="431">
        <v>0</v>
      </c>
      <c r="M123" s="431">
        <v>2660589</v>
      </c>
      <c r="N123" s="431">
        <v>0</v>
      </c>
      <c r="O123" s="431">
        <v>0</v>
      </c>
      <c r="P123" s="432">
        <f t="shared" si="15"/>
        <v>7724397</v>
      </c>
      <c r="Q123" s="431">
        <v>2731844</v>
      </c>
      <c r="R123" s="431">
        <v>702366</v>
      </c>
      <c r="S123" s="431">
        <v>0</v>
      </c>
      <c r="T123" s="431">
        <v>0</v>
      </c>
      <c r="U123" s="431">
        <v>0</v>
      </c>
      <c r="V123" s="431">
        <v>0</v>
      </c>
      <c r="W123" s="431">
        <v>0</v>
      </c>
      <c r="X123" s="431">
        <v>300407</v>
      </c>
      <c r="Y123" s="431">
        <v>10000</v>
      </c>
      <c r="Z123" s="468">
        <v>3979780</v>
      </c>
      <c r="AA123" s="431">
        <v>0</v>
      </c>
      <c r="AB123" s="431">
        <v>0</v>
      </c>
      <c r="AC123" s="468">
        <v>3055006</v>
      </c>
      <c r="AD123" s="431">
        <v>30685</v>
      </c>
      <c r="AE123" s="431">
        <v>2639997</v>
      </c>
      <c r="AF123" s="431">
        <v>0</v>
      </c>
      <c r="AG123" s="431">
        <v>30818</v>
      </c>
      <c r="AH123" s="431">
        <v>300407</v>
      </c>
      <c r="AI123" s="468">
        <v>74200</v>
      </c>
      <c r="AJ123" s="468">
        <v>0</v>
      </c>
      <c r="AK123" s="431">
        <v>0</v>
      </c>
      <c r="AL123" s="431">
        <v>1593284</v>
      </c>
      <c r="AM123" s="431">
        <v>0</v>
      </c>
      <c r="AN123" s="203"/>
      <c r="AO123" s="203"/>
      <c r="AP123" s="203"/>
      <c r="AQ123" s="203"/>
      <c r="AR123" s="203"/>
      <c r="AS123" s="203"/>
      <c r="AT123" s="203"/>
    </row>
    <row r="124" spans="1:46" s="155" customFormat="1" ht="12" x14ac:dyDescent="0.2">
      <c r="A124" s="168">
        <v>70</v>
      </c>
      <c r="B124" s="227">
        <v>98916</v>
      </c>
      <c r="C124" s="256" t="s">
        <v>1474</v>
      </c>
      <c r="D124" s="432">
        <f t="shared" si="14"/>
        <v>10004134</v>
      </c>
      <c r="E124" s="431">
        <v>1505313</v>
      </c>
      <c r="F124" s="431">
        <v>193994</v>
      </c>
      <c r="G124" s="431">
        <v>882148</v>
      </c>
      <c r="H124" s="431">
        <v>0</v>
      </c>
      <c r="I124" s="431">
        <v>2827459</v>
      </c>
      <c r="J124" s="431">
        <v>0</v>
      </c>
      <c r="K124" s="431">
        <v>2077280</v>
      </c>
      <c r="L124" s="431">
        <v>0</v>
      </c>
      <c r="M124" s="431">
        <v>3299284</v>
      </c>
      <c r="N124" s="431">
        <v>294798</v>
      </c>
      <c r="O124" s="431">
        <v>0</v>
      </c>
      <c r="P124" s="432">
        <f t="shared" si="15"/>
        <v>8514609</v>
      </c>
      <c r="Q124" s="431">
        <v>2921789</v>
      </c>
      <c r="R124" s="431">
        <v>982685</v>
      </c>
      <c r="S124" s="431">
        <v>0</v>
      </c>
      <c r="T124" s="431">
        <v>0</v>
      </c>
      <c r="U124" s="431">
        <v>0</v>
      </c>
      <c r="V124" s="431">
        <v>0</v>
      </c>
      <c r="W124" s="431">
        <v>486540</v>
      </c>
      <c r="X124" s="431">
        <v>310635</v>
      </c>
      <c r="Y124" s="431">
        <v>11237</v>
      </c>
      <c r="Z124" s="468">
        <v>3801723</v>
      </c>
      <c r="AA124" s="431">
        <v>0</v>
      </c>
      <c r="AB124" s="431">
        <v>0</v>
      </c>
      <c r="AC124" s="468">
        <v>855163</v>
      </c>
      <c r="AD124" s="431">
        <v>173127</v>
      </c>
      <c r="AE124" s="431">
        <v>2573598</v>
      </c>
      <c r="AF124" s="431">
        <v>0</v>
      </c>
      <c r="AG124" s="431">
        <v>592241</v>
      </c>
      <c r="AH124" s="431">
        <v>310635</v>
      </c>
      <c r="AI124" s="468">
        <v>100669</v>
      </c>
      <c r="AJ124" s="468">
        <v>79580</v>
      </c>
      <c r="AK124" s="431">
        <v>0</v>
      </c>
      <c r="AL124" s="431">
        <v>3798775</v>
      </c>
      <c r="AM124" s="431">
        <v>30821</v>
      </c>
      <c r="AN124" s="203"/>
      <c r="AO124" s="203"/>
      <c r="AP124" s="203"/>
      <c r="AQ124" s="203"/>
      <c r="AR124" s="203"/>
      <c r="AS124" s="203"/>
      <c r="AT124" s="203"/>
    </row>
    <row r="125" spans="1:46" s="155" customFormat="1" ht="12" x14ac:dyDescent="0.2">
      <c r="A125" s="168">
        <v>71</v>
      </c>
      <c r="B125" s="227">
        <v>98998</v>
      </c>
      <c r="C125" s="256" t="s">
        <v>1475</v>
      </c>
      <c r="D125" s="432">
        <f t="shared" si="14"/>
        <v>8715421</v>
      </c>
      <c r="E125" s="431">
        <v>1871306</v>
      </c>
      <c r="F125" s="431">
        <v>287800</v>
      </c>
      <c r="G125" s="431">
        <v>1096084</v>
      </c>
      <c r="H125" s="431">
        <v>0</v>
      </c>
      <c r="I125" s="431">
        <v>3491118</v>
      </c>
      <c r="J125" s="431">
        <v>0</v>
      </c>
      <c r="K125" s="431">
        <v>1216420</v>
      </c>
      <c r="L125" s="431">
        <v>0</v>
      </c>
      <c r="M125" s="431">
        <v>1758665</v>
      </c>
      <c r="N125" s="431">
        <v>282031</v>
      </c>
      <c r="O125" s="431">
        <v>95881</v>
      </c>
      <c r="P125" s="432">
        <f t="shared" si="15"/>
        <v>9023884</v>
      </c>
      <c r="Q125" s="431">
        <v>3992698</v>
      </c>
      <c r="R125" s="431">
        <v>1647870</v>
      </c>
      <c r="S125" s="431">
        <v>0</v>
      </c>
      <c r="T125" s="431">
        <v>0</v>
      </c>
      <c r="U125" s="431">
        <v>0</v>
      </c>
      <c r="V125" s="431">
        <v>0</v>
      </c>
      <c r="W125" s="431">
        <v>0</v>
      </c>
      <c r="X125" s="431">
        <v>423050</v>
      </c>
      <c r="Y125" s="431">
        <v>22810</v>
      </c>
      <c r="Z125" s="468">
        <v>2937456</v>
      </c>
      <c r="AA125" s="431">
        <v>0</v>
      </c>
      <c r="AB125" s="431">
        <v>0</v>
      </c>
      <c r="AC125" s="468">
        <v>791548</v>
      </c>
      <c r="AD125" s="431">
        <v>15694</v>
      </c>
      <c r="AE125" s="431">
        <v>2960950</v>
      </c>
      <c r="AF125" s="431">
        <v>66380</v>
      </c>
      <c r="AG125" s="431">
        <v>76124</v>
      </c>
      <c r="AH125" s="431">
        <v>1132884</v>
      </c>
      <c r="AI125" s="468">
        <v>1479757</v>
      </c>
      <c r="AJ125" s="468">
        <v>62419</v>
      </c>
      <c r="AK125" s="431">
        <v>0</v>
      </c>
      <c r="AL125" s="431">
        <v>2359229</v>
      </c>
      <c r="AM125" s="431">
        <v>78899</v>
      </c>
      <c r="AN125" s="203"/>
      <c r="AO125" s="203"/>
      <c r="AP125" s="203"/>
      <c r="AQ125" s="203"/>
      <c r="AR125" s="203"/>
      <c r="AS125" s="203"/>
      <c r="AT125" s="203"/>
    </row>
    <row r="126" spans="1:46" s="155" customFormat="1" ht="12" x14ac:dyDescent="0.2">
      <c r="A126" s="168">
        <v>72</v>
      </c>
      <c r="B126" s="227">
        <v>99058</v>
      </c>
      <c r="C126" s="256" t="s">
        <v>1476</v>
      </c>
      <c r="D126" s="432">
        <f t="shared" si="14"/>
        <v>5401673</v>
      </c>
      <c r="E126" s="431">
        <v>1392756</v>
      </c>
      <c r="F126" s="431">
        <v>168072</v>
      </c>
      <c r="G126" s="431">
        <v>879978</v>
      </c>
      <c r="H126" s="431">
        <v>0</v>
      </c>
      <c r="I126" s="431">
        <v>2988024</v>
      </c>
      <c r="J126" s="431">
        <v>100000</v>
      </c>
      <c r="K126" s="431">
        <v>563020</v>
      </c>
      <c r="L126" s="431">
        <v>0</v>
      </c>
      <c r="M126" s="431">
        <v>28947</v>
      </c>
      <c r="N126" s="431">
        <v>328926</v>
      </c>
      <c r="O126" s="431">
        <v>0</v>
      </c>
      <c r="P126" s="432">
        <f t="shared" si="15"/>
        <v>5803466</v>
      </c>
      <c r="Q126" s="431">
        <v>3015492</v>
      </c>
      <c r="R126" s="431">
        <v>1077661</v>
      </c>
      <c r="S126" s="431">
        <v>0</v>
      </c>
      <c r="T126" s="431">
        <v>0</v>
      </c>
      <c r="U126" s="431">
        <v>40844</v>
      </c>
      <c r="V126" s="431">
        <v>0</v>
      </c>
      <c r="W126" s="431">
        <v>397272</v>
      </c>
      <c r="X126" s="431">
        <v>432496</v>
      </c>
      <c r="Y126" s="431">
        <v>25665</v>
      </c>
      <c r="Z126" s="468">
        <v>884073</v>
      </c>
      <c r="AA126" s="431">
        <v>0</v>
      </c>
      <c r="AB126" s="431">
        <v>-70037</v>
      </c>
      <c r="AC126" s="468">
        <v>939091</v>
      </c>
      <c r="AD126" s="431">
        <v>0</v>
      </c>
      <c r="AE126" s="431">
        <v>3900425</v>
      </c>
      <c r="AF126" s="431">
        <v>17087</v>
      </c>
      <c r="AG126" s="431">
        <v>104910</v>
      </c>
      <c r="AH126" s="431">
        <v>464811</v>
      </c>
      <c r="AI126" s="468">
        <v>117528</v>
      </c>
      <c r="AJ126" s="468">
        <v>0</v>
      </c>
      <c r="AK126" s="431">
        <v>0</v>
      </c>
      <c r="AL126" s="431">
        <v>259614</v>
      </c>
      <c r="AM126" s="431">
        <v>0</v>
      </c>
      <c r="AN126" s="203"/>
      <c r="AO126" s="203"/>
      <c r="AP126" s="203"/>
      <c r="AQ126" s="203"/>
      <c r="AR126" s="203"/>
      <c r="AS126" s="203"/>
      <c r="AT126" s="203"/>
    </row>
    <row r="127" spans="1:46" s="155" customFormat="1" ht="12" x14ac:dyDescent="0.2">
      <c r="A127" s="168">
        <v>73</v>
      </c>
      <c r="B127" s="227">
        <v>99101</v>
      </c>
      <c r="C127" s="256" t="s">
        <v>1477</v>
      </c>
      <c r="D127" s="432">
        <f t="shared" si="14"/>
        <v>5572334</v>
      </c>
      <c r="E127" s="431">
        <v>1369779</v>
      </c>
      <c r="F127" s="431">
        <v>159427</v>
      </c>
      <c r="G127" s="431">
        <v>814260</v>
      </c>
      <c r="H127" s="431">
        <v>0</v>
      </c>
      <c r="I127" s="431">
        <v>2814809</v>
      </c>
      <c r="J127" s="431">
        <v>200000</v>
      </c>
      <c r="K127" s="431">
        <v>363420</v>
      </c>
      <c r="L127" s="431">
        <v>0</v>
      </c>
      <c r="M127" s="431">
        <v>256226</v>
      </c>
      <c r="N127" s="431">
        <v>568100</v>
      </c>
      <c r="O127" s="431">
        <v>0</v>
      </c>
      <c r="P127" s="432">
        <f t="shared" si="15"/>
        <v>5434821</v>
      </c>
      <c r="Q127" s="431">
        <v>2962245</v>
      </c>
      <c r="R127" s="431">
        <v>1013876</v>
      </c>
      <c r="S127" s="431">
        <v>0</v>
      </c>
      <c r="T127" s="431">
        <v>0</v>
      </c>
      <c r="U127" s="431">
        <v>0</v>
      </c>
      <c r="V127" s="431">
        <v>0</v>
      </c>
      <c r="W127" s="431">
        <v>0</v>
      </c>
      <c r="X127" s="431">
        <v>170923</v>
      </c>
      <c r="Y127" s="431">
        <v>6414</v>
      </c>
      <c r="Z127" s="468">
        <v>1281363</v>
      </c>
      <c r="AA127" s="431">
        <v>0</v>
      </c>
      <c r="AB127" s="431">
        <v>0</v>
      </c>
      <c r="AC127" s="468">
        <v>686430</v>
      </c>
      <c r="AD127" s="431">
        <v>15837</v>
      </c>
      <c r="AE127" s="431">
        <v>2447864</v>
      </c>
      <c r="AF127" s="431">
        <v>20168</v>
      </c>
      <c r="AG127" s="431">
        <v>109101</v>
      </c>
      <c r="AH127" s="431">
        <v>524565</v>
      </c>
      <c r="AI127" s="468">
        <v>260000</v>
      </c>
      <c r="AJ127" s="468">
        <v>65769</v>
      </c>
      <c r="AK127" s="431">
        <v>0</v>
      </c>
      <c r="AL127" s="431">
        <v>1161352</v>
      </c>
      <c r="AM127" s="431">
        <v>143735</v>
      </c>
      <c r="AN127" s="203"/>
      <c r="AO127" s="203"/>
      <c r="AP127" s="203"/>
      <c r="AQ127" s="203"/>
      <c r="AR127" s="203"/>
      <c r="AS127" s="203"/>
      <c r="AT127" s="203"/>
    </row>
    <row r="128" spans="1:46" s="155" customFormat="1" ht="12" x14ac:dyDescent="0.2">
      <c r="A128" s="168">
        <v>74</v>
      </c>
      <c r="B128" s="227">
        <v>99165</v>
      </c>
      <c r="C128" s="256" t="s">
        <v>1478</v>
      </c>
      <c r="D128" s="432">
        <f t="shared" si="14"/>
        <v>6090862</v>
      </c>
      <c r="E128" s="431">
        <v>1672820</v>
      </c>
      <c r="F128" s="431">
        <v>216225</v>
      </c>
      <c r="G128" s="431">
        <v>1055342</v>
      </c>
      <c r="H128" s="431">
        <v>0</v>
      </c>
      <c r="I128" s="431">
        <v>3015180</v>
      </c>
      <c r="J128" s="431">
        <v>0</v>
      </c>
      <c r="K128" s="431">
        <v>937480</v>
      </c>
      <c r="L128" s="431">
        <v>0</v>
      </c>
      <c r="M128" s="431">
        <v>413835</v>
      </c>
      <c r="N128" s="431">
        <v>51547</v>
      </c>
      <c r="O128" s="431">
        <v>0</v>
      </c>
      <c r="P128" s="432">
        <f t="shared" si="15"/>
        <v>6071131</v>
      </c>
      <c r="Q128" s="431">
        <v>3274831</v>
      </c>
      <c r="R128" s="431">
        <v>1234212</v>
      </c>
      <c r="S128" s="431">
        <v>1220</v>
      </c>
      <c r="T128" s="431">
        <v>0</v>
      </c>
      <c r="U128" s="431">
        <v>0</v>
      </c>
      <c r="V128" s="431">
        <v>0</v>
      </c>
      <c r="W128" s="431">
        <v>23378</v>
      </c>
      <c r="X128" s="431">
        <v>197954</v>
      </c>
      <c r="Y128" s="431">
        <v>154045</v>
      </c>
      <c r="Z128" s="468">
        <v>1127491</v>
      </c>
      <c r="AA128" s="431">
        <v>58000</v>
      </c>
      <c r="AB128" s="431">
        <v>0</v>
      </c>
      <c r="AC128" s="468">
        <v>791612</v>
      </c>
      <c r="AD128" s="431">
        <v>2246</v>
      </c>
      <c r="AE128" s="431">
        <v>2856485</v>
      </c>
      <c r="AF128" s="431">
        <v>14406</v>
      </c>
      <c r="AG128" s="431">
        <v>443875</v>
      </c>
      <c r="AH128" s="431">
        <v>491779</v>
      </c>
      <c r="AI128" s="468">
        <v>354655</v>
      </c>
      <c r="AJ128" s="468">
        <v>171622</v>
      </c>
      <c r="AK128" s="431">
        <v>0</v>
      </c>
      <c r="AL128" s="431">
        <v>822085</v>
      </c>
      <c r="AM128" s="431">
        <v>122366</v>
      </c>
      <c r="AN128" s="203"/>
      <c r="AO128" s="203"/>
      <c r="AP128" s="203"/>
      <c r="AQ128" s="203"/>
      <c r="AR128" s="203"/>
      <c r="AS128" s="203"/>
      <c r="AT128" s="203"/>
    </row>
    <row r="129" spans="1:46" s="155" customFormat="1" ht="12" x14ac:dyDescent="0.2">
      <c r="A129" s="168">
        <v>75</v>
      </c>
      <c r="B129" s="227">
        <v>99209</v>
      </c>
      <c r="C129" s="256" t="s">
        <v>1479</v>
      </c>
      <c r="D129" s="432">
        <f t="shared" si="14"/>
        <v>4622316</v>
      </c>
      <c r="E129" s="431">
        <v>1747235</v>
      </c>
      <c r="F129" s="431">
        <v>361594</v>
      </c>
      <c r="G129" s="431">
        <v>800575</v>
      </c>
      <c r="H129" s="431">
        <v>0</v>
      </c>
      <c r="I129" s="431">
        <v>2250464</v>
      </c>
      <c r="J129" s="431">
        <v>0</v>
      </c>
      <c r="K129" s="431">
        <v>398880</v>
      </c>
      <c r="L129" s="431">
        <v>0</v>
      </c>
      <c r="M129" s="431">
        <v>220737</v>
      </c>
      <c r="N129" s="431">
        <v>0</v>
      </c>
      <c r="O129" s="431">
        <v>5000</v>
      </c>
      <c r="P129" s="432">
        <f t="shared" si="15"/>
        <v>4381264</v>
      </c>
      <c r="Q129" s="431">
        <v>2502004</v>
      </c>
      <c r="R129" s="431">
        <v>1130634</v>
      </c>
      <c r="S129" s="431">
        <v>0</v>
      </c>
      <c r="T129" s="431">
        <v>0</v>
      </c>
      <c r="U129" s="431">
        <v>0</v>
      </c>
      <c r="V129" s="431">
        <v>0</v>
      </c>
      <c r="W129" s="431">
        <v>18600</v>
      </c>
      <c r="X129" s="431">
        <v>183024</v>
      </c>
      <c r="Y129" s="431">
        <v>8240</v>
      </c>
      <c r="Z129" s="468">
        <v>545305</v>
      </c>
      <c r="AA129" s="431">
        <v>0</v>
      </c>
      <c r="AB129" s="431">
        <v>-6543</v>
      </c>
      <c r="AC129" s="468">
        <v>1085498</v>
      </c>
      <c r="AD129" s="431">
        <v>17239</v>
      </c>
      <c r="AE129" s="431">
        <v>2381109</v>
      </c>
      <c r="AF129" s="431">
        <v>0</v>
      </c>
      <c r="AG129" s="431">
        <v>88267</v>
      </c>
      <c r="AH129" s="431">
        <v>363128</v>
      </c>
      <c r="AI129" s="468">
        <v>191832</v>
      </c>
      <c r="AJ129" s="468">
        <v>99132</v>
      </c>
      <c r="AK129" s="431">
        <v>0</v>
      </c>
      <c r="AL129" s="431">
        <v>155059</v>
      </c>
      <c r="AM129" s="431">
        <v>0</v>
      </c>
      <c r="AN129" s="203"/>
      <c r="AO129" s="203"/>
      <c r="AP129" s="203"/>
      <c r="AQ129" s="203"/>
      <c r="AR129" s="203"/>
      <c r="AS129" s="203"/>
      <c r="AT129" s="203"/>
    </row>
    <row r="130" spans="1:46" s="155" customFormat="1" ht="12" x14ac:dyDescent="0.2">
      <c r="A130" s="168">
        <v>76</v>
      </c>
      <c r="B130" s="227">
        <v>99290</v>
      </c>
      <c r="C130" s="256" t="s">
        <v>1480</v>
      </c>
      <c r="D130" s="432">
        <f t="shared" si="14"/>
        <v>4567826</v>
      </c>
      <c r="E130" s="431">
        <v>1404255</v>
      </c>
      <c r="F130" s="431">
        <v>137558</v>
      </c>
      <c r="G130" s="431">
        <v>1006829</v>
      </c>
      <c r="H130" s="431">
        <v>0</v>
      </c>
      <c r="I130" s="431">
        <v>2521215</v>
      </c>
      <c r="J130" s="431">
        <v>200000</v>
      </c>
      <c r="K130" s="431">
        <v>384700</v>
      </c>
      <c r="L130" s="431">
        <v>0</v>
      </c>
      <c r="M130" s="431">
        <v>33236</v>
      </c>
      <c r="N130" s="431">
        <v>0</v>
      </c>
      <c r="O130" s="431">
        <v>24420</v>
      </c>
      <c r="P130" s="432">
        <f t="shared" si="15"/>
        <v>4048195</v>
      </c>
      <c r="Q130" s="431">
        <v>2683812</v>
      </c>
      <c r="R130" s="431">
        <v>969962</v>
      </c>
      <c r="S130" s="431">
        <v>0</v>
      </c>
      <c r="T130" s="431">
        <v>0</v>
      </c>
      <c r="U130" s="431">
        <v>0</v>
      </c>
      <c r="V130" s="431">
        <v>0</v>
      </c>
      <c r="W130" s="431">
        <v>0</v>
      </c>
      <c r="X130" s="431">
        <v>68770</v>
      </c>
      <c r="Y130" s="431">
        <v>27682</v>
      </c>
      <c r="Z130" s="431">
        <v>305947</v>
      </c>
      <c r="AA130" s="431">
        <v>0</v>
      </c>
      <c r="AB130" s="431">
        <v>-7978</v>
      </c>
      <c r="AC130" s="468">
        <v>715997</v>
      </c>
      <c r="AD130" s="431">
        <v>6783</v>
      </c>
      <c r="AE130" s="431">
        <v>2410402</v>
      </c>
      <c r="AF130" s="431">
        <v>0</v>
      </c>
      <c r="AG130" s="431">
        <v>62280</v>
      </c>
      <c r="AH130" s="431">
        <v>273354</v>
      </c>
      <c r="AI130" s="468">
        <v>166169</v>
      </c>
      <c r="AJ130" s="468">
        <v>0</v>
      </c>
      <c r="AK130" s="431">
        <v>0</v>
      </c>
      <c r="AL130" s="431">
        <v>380516</v>
      </c>
      <c r="AM130" s="431">
        <v>32694</v>
      </c>
      <c r="AN130" s="203"/>
      <c r="AO130" s="203"/>
      <c r="AP130" s="203"/>
      <c r="AQ130" s="203"/>
      <c r="AR130" s="203"/>
      <c r="AS130" s="203"/>
      <c r="AT130" s="203"/>
    </row>
    <row r="131" spans="1:46" s="155" customFormat="1" ht="12" x14ac:dyDescent="0.2">
      <c r="A131" s="168">
        <v>77</v>
      </c>
      <c r="B131" s="227">
        <v>99370</v>
      </c>
      <c r="C131" s="256" t="s">
        <v>1481</v>
      </c>
      <c r="D131" s="432">
        <f t="shared" si="14"/>
        <v>6523122</v>
      </c>
      <c r="E131" s="431">
        <v>1768406</v>
      </c>
      <c r="F131" s="431">
        <v>360565</v>
      </c>
      <c r="G131" s="431">
        <v>828669</v>
      </c>
      <c r="H131" s="431">
        <v>0</v>
      </c>
      <c r="I131" s="431">
        <v>3336425</v>
      </c>
      <c r="J131" s="431">
        <v>100000</v>
      </c>
      <c r="K131" s="431">
        <v>743880</v>
      </c>
      <c r="L131" s="431">
        <v>0</v>
      </c>
      <c r="M131" s="431">
        <v>157352</v>
      </c>
      <c r="N131" s="431">
        <v>417059</v>
      </c>
      <c r="O131" s="431">
        <v>0</v>
      </c>
      <c r="P131" s="432">
        <f t="shared" si="15"/>
        <v>6346051</v>
      </c>
      <c r="Q131" s="431">
        <v>3540292</v>
      </c>
      <c r="R131" s="431">
        <v>1668912</v>
      </c>
      <c r="S131" s="431">
        <v>31200</v>
      </c>
      <c r="T131" s="431">
        <v>0</v>
      </c>
      <c r="U131" s="431">
        <v>18232</v>
      </c>
      <c r="V131" s="431">
        <v>0</v>
      </c>
      <c r="W131" s="431">
        <v>277878</v>
      </c>
      <c r="X131" s="431">
        <v>212805</v>
      </c>
      <c r="Y131" s="431">
        <v>19818</v>
      </c>
      <c r="Z131" s="431">
        <v>322895</v>
      </c>
      <c r="AA131" s="431">
        <v>255000</v>
      </c>
      <c r="AB131" s="431">
        <v>-981</v>
      </c>
      <c r="AC131" s="468">
        <v>700767</v>
      </c>
      <c r="AD131" s="431">
        <v>22905</v>
      </c>
      <c r="AE131" s="431">
        <v>2953854</v>
      </c>
      <c r="AF131" s="431">
        <v>18232</v>
      </c>
      <c r="AG131" s="431">
        <v>35370</v>
      </c>
      <c r="AH131" s="431">
        <v>493976</v>
      </c>
      <c r="AI131" s="468">
        <v>1905947</v>
      </c>
      <c r="AJ131" s="468">
        <v>0</v>
      </c>
      <c r="AK131" s="431">
        <v>0</v>
      </c>
      <c r="AL131" s="431">
        <v>215000</v>
      </c>
      <c r="AM131" s="431">
        <v>0</v>
      </c>
      <c r="AN131" s="203"/>
      <c r="AO131" s="203"/>
      <c r="AP131" s="203"/>
      <c r="AQ131" s="203"/>
      <c r="AR131" s="203"/>
      <c r="AS131" s="203"/>
      <c r="AT131" s="203"/>
    </row>
    <row r="132" spans="1:46" s="155" customFormat="1" ht="12" x14ac:dyDescent="0.2">
      <c r="A132" s="168">
        <v>78</v>
      </c>
      <c r="B132" s="227">
        <v>99441</v>
      </c>
      <c r="C132" s="256" t="s">
        <v>1482</v>
      </c>
      <c r="D132" s="432">
        <f t="shared" si="14"/>
        <v>3295959</v>
      </c>
      <c r="E132" s="431">
        <v>1361472</v>
      </c>
      <c r="F132" s="431">
        <v>136353</v>
      </c>
      <c r="G132" s="431">
        <v>1012694</v>
      </c>
      <c r="H132" s="431">
        <v>0</v>
      </c>
      <c r="I132" s="431">
        <v>1391787</v>
      </c>
      <c r="J132" s="431">
        <v>99919</v>
      </c>
      <c r="K132" s="431">
        <v>392020</v>
      </c>
      <c r="L132" s="431">
        <v>0</v>
      </c>
      <c r="M132" s="431">
        <v>50761</v>
      </c>
      <c r="N132" s="431">
        <v>0</v>
      </c>
      <c r="O132" s="431">
        <v>0</v>
      </c>
      <c r="P132" s="432">
        <f t="shared" si="15"/>
        <v>2802541</v>
      </c>
      <c r="Q132" s="431">
        <v>1647966</v>
      </c>
      <c r="R132" s="431">
        <v>815347</v>
      </c>
      <c r="S132" s="431">
        <v>0</v>
      </c>
      <c r="T132" s="431">
        <v>0</v>
      </c>
      <c r="U132" s="431">
        <v>0</v>
      </c>
      <c r="V132" s="431">
        <v>0</v>
      </c>
      <c r="W132" s="431">
        <v>0</v>
      </c>
      <c r="X132" s="431">
        <v>166278</v>
      </c>
      <c r="Y132" s="431">
        <v>4200</v>
      </c>
      <c r="Z132" s="431">
        <v>168750</v>
      </c>
      <c r="AA132" s="431">
        <v>0</v>
      </c>
      <c r="AB132" s="431">
        <v>0</v>
      </c>
      <c r="AC132" s="468">
        <v>602808</v>
      </c>
      <c r="AD132" s="431">
        <v>19976</v>
      </c>
      <c r="AE132" s="431">
        <v>1234907</v>
      </c>
      <c r="AF132" s="431">
        <v>23189</v>
      </c>
      <c r="AG132" s="431">
        <v>86134</v>
      </c>
      <c r="AH132" s="431">
        <v>267152</v>
      </c>
      <c r="AI132" s="468">
        <v>99904</v>
      </c>
      <c r="AJ132" s="468">
        <v>88437</v>
      </c>
      <c r="AK132" s="431">
        <v>0</v>
      </c>
      <c r="AL132" s="431">
        <v>380034</v>
      </c>
      <c r="AM132" s="431">
        <v>0</v>
      </c>
      <c r="AN132" s="203"/>
      <c r="AO132" s="203"/>
      <c r="AP132" s="203"/>
      <c r="AQ132" s="203"/>
      <c r="AR132" s="203"/>
      <c r="AS132" s="203"/>
      <c r="AT132" s="203"/>
    </row>
    <row r="133" spans="1:46" s="155" customFormat="1" ht="12" x14ac:dyDescent="0.2">
      <c r="A133" s="168">
        <v>79</v>
      </c>
      <c r="B133" s="227">
        <v>99478</v>
      </c>
      <c r="C133" s="256" t="s">
        <v>1483</v>
      </c>
      <c r="D133" s="432">
        <f t="shared" si="14"/>
        <v>12447531</v>
      </c>
      <c r="E133" s="431">
        <v>1744336</v>
      </c>
      <c r="F133" s="431">
        <v>221227</v>
      </c>
      <c r="G133" s="431">
        <v>933438</v>
      </c>
      <c r="H133" s="431">
        <v>0</v>
      </c>
      <c r="I133" s="431">
        <v>3428818</v>
      </c>
      <c r="J133" s="431">
        <v>0</v>
      </c>
      <c r="K133" s="431">
        <v>905520</v>
      </c>
      <c r="L133" s="431">
        <v>0</v>
      </c>
      <c r="M133" s="431">
        <v>4173707</v>
      </c>
      <c r="N133" s="431">
        <v>2106429</v>
      </c>
      <c r="O133" s="431">
        <v>88721</v>
      </c>
      <c r="P133" s="432">
        <f t="shared" si="15"/>
        <v>12497067</v>
      </c>
      <c r="Q133" s="431">
        <v>3686307</v>
      </c>
      <c r="R133" s="431">
        <v>1446101</v>
      </c>
      <c r="S133" s="431">
        <v>7331</v>
      </c>
      <c r="T133" s="431">
        <v>0</v>
      </c>
      <c r="U133" s="431">
        <v>0</v>
      </c>
      <c r="V133" s="431">
        <v>0</v>
      </c>
      <c r="W133" s="431">
        <v>2512337</v>
      </c>
      <c r="X133" s="431">
        <v>183660</v>
      </c>
      <c r="Y133" s="431">
        <v>11000</v>
      </c>
      <c r="Z133" s="431">
        <v>4201153</v>
      </c>
      <c r="AA133" s="431">
        <v>449178</v>
      </c>
      <c r="AB133" s="431">
        <v>0</v>
      </c>
      <c r="AC133" s="468">
        <v>1267968</v>
      </c>
      <c r="AD133" s="431">
        <v>100039</v>
      </c>
      <c r="AE133" s="431">
        <v>3123678</v>
      </c>
      <c r="AF133" s="431">
        <v>35983</v>
      </c>
      <c r="AG133" s="431">
        <v>577230</v>
      </c>
      <c r="AH133" s="431">
        <v>612924</v>
      </c>
      <c r="AI133" s="468">
        <v>3696162</v>
      </c>
      <c r="AJ133" s="468">
        <v>74852</v>
      </c>
      <c r="AK133" s="431">
        <v>0</v>
      </c>
      <c r="AL133" s="431">
        <v>3008231</v>
      </c>
      <c r="AM133" s="431">
        <v>0</v>
      </c>
      <c r="AN133" s="203"/>
      <c r="AO133" s="203"/>
      <c r="AP133" s="203"/>
      <c r="AQ133" s="203"/>
      <c r="AR133" s="203"/>
      <c r="AS133" s="203"/>
      <c r="AT133" s="203"/>
    </row>
    <row r="134" spans="1:46" s="155" customFormat="1" ht="12" x14ac:dyDescent="0.2">
      <c r="A134" s="168">
        <v>80</v>
      </c>
      <c r="B134" s="227">
        <v>95499</v>
      </c>
      <c r="C134" s="256" t="s">
        <v>1484</v>
      </c>
      <c r="D134" s="432">
        <f t="shared" si="14"/>
        <v>7283167</v>
      </c>
      <c r="E134" s="431">
        <v>2613040</v>
      </c>
      <c r="F134" s="431">
        <v>762805</v>
      </c>
      <c r="G134" s="431">
        <v>501518</v>
      </c>
      <c r="H134" s="431">
        <v>0</v>
      </c>
      <c r="I134" s="431">
        <v>1975718</v>
      </c>
      <c r="J134" s="431">
        <v>0</v>
      </c>
      <c r="K134" s="431">
        <v>1182200</v>
      </c>
      <c r="L134" s="431">
        <v>0</v>
      </c>
      <c r="M134" s="431">
        <v>1450002</v>
      </c>
      <c r="N134" s="431">
        <v>0</v>
      </c>
      <c r="O134" s="431">
        <v>62207</v>
      </c>
      <c r="P134" s="432">
        <f t="shared" si="15"/>
        <v>6656442</v>
      </c>
      <c r="Q134" s="431">
        <v>2618072</v>
      </c>
      <c r="R134" s="431">
        <v>1637408</v>
      </c>
      <c r="S134" s="431">
        <v>0</v>
      </c>
      <c r="T134" s="431">
        <v>0</v>
      </c>
      <c r="U134" s="431">
        <v>0</v>
      </c>
      <c r="V134" s="431">
        <v>638</v>
      </c>
      <c r="W134" s="431">
        <v>0</v>
      </c>
      <c r="X134" s="431">
        <v>351227</v>
      </c>
      <c r="Y134" s="431">
        <v>13392</v>
      </c>
      <c r="Z134" s="431">
        <v>2101886</v>
      </c>
      <c r="AA134" s="431">
        <v>0</v>
      </c>
      <c r="AB134" s="431">
        <v>-66181</v>
      </c>
      <c r="AC134" s="468">
        <v>1384236</v>
      </c>
      <c r="AD134" s="431">
        <v>39295</v>
      </c>
      <c r="AE134" s="431">
        <v>3281417</v>
      </c>
      <c r="AF134" s="431">
        <v>0</v>
      </c>
      <c r="AG134" s="431">
        <v>0</v>
      </c>
      <c r="AH134" s="431">
        <v>540727</v>
      </c>
      <c r="AI134" s="468">
        <v>514323</v>
      </c>
      <c r="AJ134" s="468">
        <v>13900</v>
      </c>
      <c r="AK134" s="431">
        <v>0</v>
      </c>
      <c r="AL134" s="431">
        <v>852544</v>
      </c>
      <c r="AM134" s="431">
        <v>30000</v>
      </c>
      <c r="AN134" s="203"/>
      <c r="AO134" s="203"/>
      <c r="AP134" s="203"/>
      <c r="AQ134" s="203"/>
      <c r="AR134" s="203"/>
      <c r="AS134" s="203"/>
      <c r="AT134" s="203"/>
    </row>
    <row r="135" spans="1:46" s="155" customFormat="1" ht="12" x14ac:dyDescent="0.2">
      <c r="A135" s="168">
        <v>81</v>
      </c>
      <c r="B135" s="227">
        <v>99539</v>
      </c>
      <c r="C135" s="256" t="s">
        <v>1485</v>
      </c>
      <c r="D135" s="432">
        <f t="shared" si="14"/>
        <v>6775056</v>
      </c>
      <c r="E135" s="431">
        <v>1516313</v>
      </c>
      <c r="F135" s="431">
        <v>161843</v>
      </c>
      <c r="G135" s="431">
        <v>978706</v>
      </c>
      <c r="H135" s="431">
        <v>0</v>
      </c>
      <c r="I135" s="431">
        <v>2946758</v>
      </c>
      <c r="J135" s="431">
        <v>100000</v>
      </c>
      <c r="K135" s="431">
        <v>575070</v>
      </c>
      <c r="L135" s="431">
        <v>0</v>
      </c>
      <c r="M135" s="431">
        <v>814676</v>
      </c>
      <c r="N135" s="431">
        <v>822239</v>
      </c>
      <c r="O135" s="431">
        <v>0</v>
      </c>
      <c r="P135" s="432">
        <f t="shared" si="15"/>
        <v>6721815</v>
      </c>
      <c r="Q135" s="431">
        <v>3101169</v>
      </c>
      <c r="R135" s="431">
        <v>1125660</v>
      </c>
      <c r="S135" s="431">
        <v>0</v>
      </c>
      <c r="T135" s="431">
        <v>0</v>
      </c>
      <c r="U135" s="431">
        <v>0</v>
      </c>
      <c r="V135" s="431">
        <v>299</v>
      </c>
      <c r="W135" s="431">
        <v>1462676</v>
      </c>
      <c r="X135" s="431">
        <v>192277</v>
      </c>
      <c r="Y135" s="431">
        <v>10000</v>
      </c>
      <c r="Z135" s="431">
        <v>829734</v>
      </c>
      <c r="AA135" s="431">
        <v>0</v>
      </c>
      <c r="AB135" s="431">
        <v>0</v>
      </c>
      <c r="AC135" s="468">
        <v>942020</v>
      </c>
      <c r="AD135" s="431">
        <v>1010</v>
      </c>
      <c r="AE135" s="431">
        <v>4076845</v>
      </c>
      <c r="AF135" s="431">
        <v>0</v>
      </c>
      <c r="AG135" s="431">
        <v>95333</v>
      </c>
      <c r="AH135" s="431">
        <v>471631</v>
      </c>
      <c r="AI135" s="468">
        <v>118718</v>
      </c>
      <c r="AJ135" s="468">
        <v>810333</v>
      </c>
      <c r="AK135" s="431">
        <v>0</v>
      </c>
      <c r="AL135" s="431">
        <v>205925</v>
      </c>
      <c r="AM135" s="431">
        <v>0</v>
      </c>
      <c r="AN135" s="203"/>
      <c r="AO135" s="203"/>
      <c r="AP135" s="203"/>
      <c r="AQ135" s="203"/>
      <c r="AR135" s="203"/>
      <c r="AS135" s="203"/>
      <c r="AT135" s="203"/>
    </row>
    <row r="136" spans="1:46" s="155" customFormat="1" ht="12" x14ac:dyDescent="0.2">
      <c r="A136" s="168">
        <v>82</v>
      </c>
      <c r="B136" s="227">
        <v>95293</v>
      </c>
      <c r="C136" s="256" t="s">
        <v>1486</v>
      </c>
      <c r="D136" s="432">
        <f t="shared" si="14"/>
        <v>15033261</v>
      </c>
      <c r="E136" s="431">
        <v>3730572</v>
      </c>
      <c r="F136" s="431">
        <v>1048746</v>
      </c>
      <c r="G136" s="431">
        <v>923448</v>
      </c>
      <c r="H136" s="431">
        <v>0</v>
      </c>
      <c r="I136" s="431">
        <v>5521427</v>
      </c>
      <c r="J136" s="431">
        <v>0</v>
      </c>
      <c r="K136" s="431">
        <v>2066400</v>
      </c>
      <c r="L136" s="431">
        <v>0</v>
      </c>
      <c r="M136" s="431">
        <v>3638379</v>
      </c>
      <c r="N136" s="431">
        <v>30483</v>
      </c>
      <c r="O136" s="431">
        <v>46000</v>
      </c>
      <c r="P136" s="432">
        <f t="shared" si="15"/>
        <v>15005364</v>
      </c>
      <c r="Q136" s="431">
        <v>6210701</v>
      </c>
      <c r="R136" s="431">
        <v>2008826</v>
      </c>
      <c r="S136" s="431">
        <v>42106</v>
      </c>
      <c r="T136" s="431">
        <v>0</v>
      </c>
      <c r="U136" s="431">
        <v>0</v>
      </c>
      <c r="V136" s="431">
        <v>0</v>
      </c>
      <c r="W136" s="431">
        <v>194521</v>
      </c>
      <c r="X136" s="431">
        <v>298321</v>
      </c>
      <c r="Y136" s="431">
        <v>16276</v>
      </c>
      <c r="Z136" s="431">
        <v>6169067</v>
      </c>
      <c r="AA136" s="431">
        <v>65546</v>
      </c>
      <c r="AB136" s="431">
        <v>0</v>
      </c>
      <c r="AC136" s="468">
        <v>1207313</v>
      </c>
      <c r="AD136" s="431">
        <v>164835</v>
      </c>
      <c r="AE136" s="431">
        <v>5481304</v>
      </c>
      <c r="AF136" s="431">
        <v>0</v>
      </c>
      <c r="AG136" s="431">
        <v>1184387</v>
      </c>
      <c r="AH136" s="431">
        <v>1154266</v>
      </c>
      <c r="AI136" s="468">
        <v>1571086</v>
      </c>
      <c r="AJ136" s="468">
        <v>300000</v>
      </c>
      <c r="AK136" s="431">
        <v>0</v>
      </c>
      <c r="AL136" s="431">
        <v>3942173</v>
      </c>
      <c r="AM136" s="431">
        <v>0</v>
      </c>
      <c r="AN136" s="203"/>
      <c r="AO136" s="203"/>
      <c r="AP136" s="203"/>
      <c r="AQ136" s="203"/>
      <c r="AR136" s="203"/>
      <c r="AS136" s="203"/>
      <c r="AT136" s="203"/>
    </row>
    <row r="137" spans="1:46" s="155" customFormat="1" ht="12" x14ac:dyDescent="0.2">
      <c r="A137" s="168">
        <v>83</v>
      </c>
      <c r="B137" s="227">
        <v>99600</v>
      </c>
      <c r="C137" s="226" t="s">
        <v>1487</v>
      </c>
      <c r="D137" s="432">
        <f t="shared" si="14"/>
        <v>5459797</v>
      </c>
      <c r="E137" s="431">
        <v>1585395</v>
      </c>
      <c r="F137" s="431">
        <v>600302</v>
      </c>
      <c r="G137" s="431">
        <v>667058</v>
      </c>
      <c r="H137" s="431">
        <v>0</v>
      </c>
      <c r="I137" s="431">
        <v>2786023</v>
      </c>
      <c r="J137" s="431">
        <v>0</v>
      </c>
      <c r="K137" s="431">
        <v>514610</v>
      </c>
      <c r="L137" s="431">
        <v>0</v>
      </c>
      <c r="M137" s="431">
        <v>263028</v>
      </c>
      <c r="N137" s="431">
        <v>310741</v>
      </c>
      <c r="O137" s="431">
        <v>0</v>
      </c>
      <c r="P137" s="432">
        <f t="shared" si="15"/>
        <v>5325283</v>
      </c>
      <c r="Q137" s="431">
        <v>3009091</v>
      </c>
      <c r="R137" s="431">
        <v>1044669</v>
      </c>
      <c r="S137" s="431">
        <v>0</v>
      </c>
      <c r="T137" s="431">
        <v>0</v>
      </c>
      <c r="U137" s="431">
        <v>0</v>
      </c>
      <c r="V137" s="431">
        <v>0</v>
      </c>
      <c r="W137" s="431">
        <v>579297</v>
      </c>
      <c r="X137" s="431">
        <v>242707</v>
      </c>
      <c r="Y137" s="431">
        <v>59402</v>
      </c>
      <c r="Z137" s="431">
        <v>390117</v>
      </c>
      <c r="AA137" s="431">
        <v>0</v>
      </c>
      <c r="AB137" s="431">
        <v>0</v>
      </c>
      <c r="AC137" s="468">
        <v>794539</v>
      </c>
      <c r="AD137" s="431">
        <v>4080</v>
      </c>
      <c r="AE137" s="431">
        <v>2372039</v>
      </c>
      <c r="AF137" s="431">
        <v>0</v>
      </c>
      <c r="AG137" s="431">
        <v>282226</v>
      </c>
      <c r="AH137" s="431">
        <v>626294</v>
      </c>
      <c r="AI137" s="468">
        <v>1078539</v>
      </c>
      <c r="AJ137" s="468">
        <v>0</v>
      </c>
      <c r="AK137" s="431">
        <v>0</v>
      </c>
      <c r="AL137" s="431">
        <v>134306</v>
      </c>
      <c r="AM137" s="431">
        <v>33260</v>
      </c>
      <c r="AN137" s="203"/>
      <c r="AO137" s="203"/>
      <c r="AP137" s="203"/>
      <c r="AQ137" s="203"/>
      <c r="AR137" s="203"/>
      <c r="AS137" s="203"/>
      <c r="AT137" s="203"/>
    </row>
    <row r="138" spans="1:46" s="155" customFormat="1" ht="12" x14ac:dyDescent="0.2">
      <c r="A138" s="168">
        <v>84</v>
      </c>
      <c r="B138" s="227">
        <v>99673</v>
      </c>
      <c r="C138" s="226" t="s">
        <v>1488</v>
      </c>
      <c r="D138" s="432">
        <f t="shared" si="14"/>
        <v>9541433</v>
      </c>
      <c r="E138" s="431">
        <v>1739903</v>
      </c>
      <c r="F138" s="431">
        <v>204342</v>
      </c>
      <c r="G138" s="431">
        <v>1127120</v>
      </c>
      <c r="H138" s="431">
        <v>0</v>
      </c>
      <c r="I138" s="431">
        <v>5859630</v>
      </c>
      <c r="J138" s="431">
        <v>0</v>
      </c>
      <c r="K138" s="431">
        <v>1046820</v>
      </c>
      <c r="L138" s="431">
        <v>0</v>
      </c>
      <c r="M138" s="431">
        <v>212443</v>
      </c>
      <c r="N138" s="431">
        <v>0</v>
      </c>
      <c r="O138" s="431">
        <v>682637</v>
      </c>
      <c r="P138" s="432">
        <f t="shared" si="15"/>
        <v>9377512</v>
      </c>
      <c r="Q138" s="431">
        <v>5920350</v>
      </c>
      <c r="R138" s="431">
        <v>2215043</v>
      </c>
      <c r="S138" s="431">
        <v>0</v>
      </c>
      <c r="T138" s="431">
        <v>0</v>
      </c>
      <c r="U138" s="431">
        <v>0</v>
      </c>
      <c r="V138" s="431">
        <v>0</v>
      </c>
      <c r="W138" s="431">
        <v>0</v>
      </c>
      <c r="X138" s="431">
        <v>356420</v>
      </c>
      <c r="Y138" s="431">
        <v>0</v>
      </c>
      <c r="Z138" s="431">
        <v>885699</v>
      </c>
      <c r="AA138" s="431">
        <v>0</v>
      </c>
      <c r="AB138" s="431">
        <v>0</v>
      </c>
      <c r="AC138" s="468">
        <v>1432206</v>
      </c>
      <c r="AD138" s="431">
        <v>0</v>
      </c>
      <c r="AE138" s="431">
        <v>5036671</v>
      </c>
      <c r="AF138" s="431">
        <v>0</v>
      </c>
      <c r="AG138" s="431">
        <v>813899</v>
      </c>
      <c r="AH138" s="431">
        <v>1029902</v>
      </c>
      <c r="AI138" s="468">
        <v>339502</v>
      </c>
      <c r="AJ138" s="468">
        <v>0</v>
      </c>
      <c r="AK138" s="431">
        <v>0</v>
      </c>
      <c r="AL138" s="431">
        <v>546077</v>
      </c>
      <c r="AM138" s="431">
        <v>179255</v>
      </c>
      <c r="AN138" s="203"/>
      <c r="AO138" s="203"/>
      <c r="AP138" s="203"/>
      <c r="AQ138" s="203"/>
      <c r="AR138" s="203"/>
      <c r="AS138" s="203"/>
      <c r="AT138" s="203"/>
    </row>
    <row r="139" spans="1:46" s="155" customFormat="1" ht="12" x14ac:dyDescent="0.2">
      <c r="A139" s="168">
        <v>85</v>
      </c>
      <c r="B139" s="227">
        <v>99780</v>
      </c>
      <c r="C139" s="226" t="s">
        <v>1489</v>
      </c>
      <c r="D139" s="432">
        <f t="shared" si="14"/>
        <v>10029387</v>
      </c>
      <c r="E139" s="431">
        <v>2568845</v>
      </c>
      <c r="F139" s="431">
        <v>349098</v>
      </c>
      <c r="G139" s="431">
        <v>993329</v>
      </c>
      <c r="H139" s="431">
        <v>0</v>
      </c>
      <c r="I139" s="431">
        <v>5286998</v>
      </c>
      <c r="J139" s="431">
        <v>100000</v>
      </c>
      <c r="K139" s="431">
        <v>1507220</v>
      </c>
      <c r="L139" s="431">
        <v>0</v>
      </c>
      <c r="M139" s="431">
        <v>41646</v>
      </c>
      <c r="N139" s="431">
        <v>0</v>
      </c>
      <c r="O139" s="431">
        <v>524678</v>
      </c>
      <c r="P139" s="432">
        <f t="shared" si="15"/>
        <v>8718123</v>
      </c>
      <c r="Q139" s="431">
        <v>5041242</v>
      </c>
      <c r="R139" s="431">
        <v>1865097</v>
      </c>
      <c r="S139" s="431">
        <v>0</v>
      </c>
      <c r="T139" s="431">
        <v>0</v>
      </c>
      <c r="U139" s="431">
        <v>0</v>
      </c>
      <c r="V139" s="431">
        <v>0</v>
      </c>
      <c r="W139" s="431">
        <v>0</v>
      </c>
      <c r="X139" s="431">
        <v>697610</v>
      </c>
      <c r="Y139" s="431">
        <v>49604</v>
      </c>
      <c r="Z139" s="431">
        <v>1065738</v>
      </c>
      <c r="AA139" s="431">
        <v>0</v>
      </c>
      <c r="AB139" s="431">
        <v>-1168</v>
      </c>
      <c r="AC139" s="468">
        <v>1499771</v>
      </c>
      <c r="AD139" s="431">
        <v>90873</v>
      </c>
      <c r="AE139" s="431">
        <v>5097265</v>
      </c>
      <c r="AF139" s="431">
        <v>19492</v>
      </c>
      <c r="AG139" s="431">
        <v>158456</v>
      </c>
      <c r="AH139" s="431">
        <v>1163033</v>
      </c>
      <c r="AI139" s="468">
        <v>226508</v>
      </c>
      <c r="AJ139" s="468">
        <v>175600</v>
      </c>
      <c r="AK139" s="431">
        <v>0</v>
      </c>
      <c r="AL139" s="431">
        <v>217624</v>
      </c>
      <c r="AM139" s="468">
        <v>69501</v>
      </c>
      <c r="AN139" s="203"/>
      <c r="AO139" s="203"/>
      <c r="AP139" s="203"/>
      <c r="AQ139" s="203"/>
      <c r="AR139" s="203"/>
      <c r="AS139" s="203"/>
      <c r="AT139" s="203"/>
    </row>
    <row r="140" spans="1:46" s="155" customFormat="1" ht="12" x14ac:dyDescent="0.2">
      <c r="A140" s="168">
        <v>86</v>
      </c>
      <c r="B140" s="227">
        <v>99879</v>
      </c>
      <c r="C140" s="226" t="s">
        <v>1490</v>
      </c>
      <c r="D140" s="432">
        <f t="shared" si="14"/>
        <v>6651607</v>
      </c>
      <c r="E140" s="431">
        <v>1910961</v>
      </c>
      <c r="F140" s="431">
        <v>766530</v>
      </c>
      <c r="G140" s="431">
        <v>517930</v>
      </c>
      <c r="H140" s="431">
        <v>0</v>
      </c>
      <c r="I140" s="431">
        <v>2484604</v>
      </c>
      <c r="J140" s="431">
        <v>0</v>
      </c>
      <c r="K140" s="431">
        <v>789560</v>
      </c>
      <c r="L140" s="431">
        <v>0</v>
      </c>
      <c r="M140" s="431">
        <v>1162394</v>
      </c>
      <c r="N140" s="431">
        <v>264170</v>
      </c>
      <c r="O140" s="431">
        <v>39918</v>
      </c>
      <c r="P140" s="432">
        <f t="shared" si="15"/>
        <v>6286159</v>
      </c>
      <c r="Q140" s="431">
        <v>2833726</v>
      </c>
      <c r="R140" s="431">
        <v>1314687</v>
      </c>
      <c r="S140" s="431">
        <v>0</v>
      </c>
      <c r="T140" s="431">
        <v>0</v>
      </c>
      <c r="U140" s="431">
        <v>0</v>
      </c>
      <c r="V140" s="431">
        <v>0</v>
      </c>
      <c r="W140" s="431">
        <v>0</v>
      </c>
      <c r="X140" s="431">
        <v>177744</v>
      </c>
      <c r="Y140" s="431">
        <v>71637</v>
      </c>
      <c r="Z140" s="431">
        <v>1888365</v>
      </c>
      <c r="AA140" s="431">
        <v>0</v>
      </c>
      <c r="AB140" s="431">
        <v>0</v>
      </c>
      <c r="AC140" s="468">
        <v>1142075</v>
      </c>
      <c r="AD140" s="431">
        <v>20011</v>
      </c>
      <c r="AE140" s="431">
        <v>2970044</v>
      </c>
      <c r="AF140" s="431">
        <v>10799</v>
      </c>
      <c r="AG140" s="431">
        <v>138781</v>
      </c>
      <c r="AH140" s="431">
        <v>323678</v>
      </c>
      <c r="AI140" s="468">
        <v>300739</v>
      </c>
      <c r="AJ140" s="468">
        <v>109377</v>
      </c>
      <c r="AK140" s="431">
        <v>0</v>
      </c>
      <c r="AL140" s="431">
        <v>1046424</v>
      </c>
      <c r="AM140" s="431">
        <v>224231</v>
      </c>
      <c r="AN140" s="203"/>
      <c r="AO140" s="203"/>
      <c r="AP140" s="203"/>
      <c r="AQ140" s="203"/>
      <c r="AR140" s="203"/>
      <c r="AS140" s="203"/>
      <c r="AT140" s="203"/>
    </row>
    <row r="141" spans="1:46" s="155" customFormat="1" ht="12" x14ac:dyDescent="0.2">
      <c r="A141" s="168">
        <v>87</v>
      </c>
      <c r="B141" s="227">
        <v>99922</v>
      </c>
      <c r="C141" s="226" t="s">
        <v>1491</v>
      </c>
      <c r="D141" s="432">
        <f t="shared" si="14"/>
        <v>3054425</v>
      </c>
      <c r="E141" s="431">
        <v>1572204</v>
      </c>
      <c r="F141" s="431">
        <v>381950</v>
      </c>
      <c r="G141" s="431">
        <v>673500</v>
      </c>
      <c r="H141" s="431">
        <v>0</v>
      </c>
      <c r="I141" s="431">
        <v>1104359</v>
      </c>
      <c r="J141" s="431">
        <v>0</v>
      </c>
      <c r="K141" s="431">
        <v>285110</v>
      </c>
      <c r="L141" s="431">
        <v>0</v>
      </c>
      <c r="M141" s="431">
        <v>89252</v>
      </c>
      <c r="N141" s="431">
        <v>0</v>
      </c>
      <c r="O141" s="431">
        <v>3500</v>
      </c>
      <c r="P141" s="432">
        <f t="shared" si="15"/>
        <v>3055025</v>
      </c>
      <c r="Q141" s="431">
        <v>1451832</v>
      </c>
      <c r="R141" s="431">
        <v>989615</v>
      </c>
      <c r="S141" s="431">
        <v>0</v>
      </c>
      <c r="T141" s="431">
        <v>0</v>
      </c>
      <c r="U141" s="431">
        <v>0</v>
      </c>
      <c r="V141" s="431">
        <v>0</v>
      </c>
      <c r="W141" s="431">
        <v>0</v>
      </c>
      <c r="X141" s="431">
        <v>53225</v>
      </c>
      <c r="Y141" s="431">
        <v>0</v>
      </c>
      <c r="Z141" s="431">
        <v>560353</v>
      </c>
      <c r="AA141" s="431">
        <v>0</v>
      </c>
      <c r="AB141" s="431">
        <v>0</v>
      </c>
      <c r="AC141" s="468">
        <v>1288665</v>
      </c>
      <c r="AD141" s="431">
        <v>0</v>
      </c>
      <c r="AE141" s="431">
        <v>1024807</v>
      </c>
      <c r="AF141" s="431">
        <v>0</v>
      </c>
      <c r="AG141" s="431">
        <v>64802</v>
      </c>
      <c r="AH141" s="431">
        <v>211115</v>
      </c>
      <c r="AI141" s="468">
        <v>465636</v>
      </c>
      <c r="AJ141" s="468">
        <v>0</v>
      </c>
      <c r="AK141" s="431">
        <v>0</v>
      </c>
      <c r="AL141" s="431">
        <v>0</v>
      </c>
      <c r="AM141" s="431">
        <v>0</v>
      </c>
      <c r="AN141" s="203"/>
      <c r="AO141" s="203"/>
      <c r="AP141" s="203"/>
      <c r="AQ141" s="203"/>
      <c r="AR141" s="203"/>
      <c r="AS141" s="203"/>
      <c r="AT141" s="203"/>
    </row>
    <row r="142" spans="1:46" s="155" customFormat="1" ht="12" x14ac:dyDescent="0.2">
      <c r="A142" s="168">
        <v>88</v>
      </c>
      <c r="B142" s="227">
        <v>100353</v>
      </c>
      <c r="C142" s="226" t="s">
        <v>1492</v>
      </c>
      <c r="D142" s="432">
        <f t="shared" si="14"/>
        <v>6915284</v>
      </c>
      <c r="E142" s="431">
        <v>4193378</v>
      </c>
      <c r="F142" s="431">
        <v>1808211</v>
      </c>
      <c r="G142" s="431">
        <v>15767</v>
      </c>
      <c r="H142" s="431">
        <v>0</v>
      </c>
      <c r="I142" s="431">
        <v>1624631</v>
      </c>
      <c r="J142" s="431">
        <v>0</v>
      </c>
      <c r="K142" s="431">
        <v>133100</v>
      </c>
      <c r="L142" s="431">
        <v>0</v>
      </c>
      <c r="M142" s="431">
        <v>546304</v>
      </c>
      <c r="N142" s="431">
        <v>417871</v>
      </c>
      <c r="O142" s="431">
        <v>0</v>
      </c>
      <c r="P142" s="432">
        <f t="shared" si="15"/>
        <v>4870128</v>
      </c>
      <c r="Q142" s="431">
        <v>1956434</v>
      </c>
      <c r="R142" s="431">
        <v>1353156</v>
      </c>
      <c r="S142" s="431">
        <v>0</v>
      </c>
      <c r="T142" s="431">
        <v>0</v>
      </c>
      <c r="U142" s="431">
        <v>0</v>
      </c>
      <c r="V142" s="431">
        <v>1902</v>
      </c>
      <c r="W142" s="431">
        <v>359472</v>
      </c>
      <c r="X142" s="431">
        <v>225962</v>
      </c>
      <c r="Y142" s="431">
        <v>236546</v>
      </c>
      <c r="Z142" s="431">
        <v>740122</v>
      </c>
      <c r="AA142" s="431">
        <v>0</v>
      </c>
      <c r="AB142" s="431">
        <v>-3466</v>
      </c>
      <c r="AC142" s="468">
        <v>865994</v>
      </c>
      <c r="AD142" s="431">
        <v>0</v>
      </c>
      <c r="AE142" s="431">
        <v>1501791</v>
      </c>
      <c r="AF142" s="431">
        <v>0</v>
      </c>
      <c r="AG142" s="431">
        <v>252689</v>
      </c>
      <c r="AH142" s="431">
        <v>295230</v>
      </c>
      <c r="AI142" s="468">
        <v>586986</v>
      </c>
      <c r="AJ142" s="468">
        <v>0</v>
      </c>
      <c r="AK142" s="431">
        <v>0</v>
      </c>
      <c r="AL142" s="431">
        <v>1367438</v>
      </c>
      <c r="AM142" s="431">
        <v>0</v>
      </c>
      <c r="AN142" s="203"/>
      <c r="AO142" s="203"/>
      <c r="AP142" s="203"/>
      <c r="AQ142" s="203"/>
      <c r="AR142" s="203"/>
      <c r="AS142" s="203"/>
      <c r="AT142" s="203"/>
    </row>
    <row r="143" spans="1:46" s="155" customFormat="1" ht="12" x14ac:dyDescent="0.2">
      <c r="A143" s="168">
        <v>88</v>
      </c>
      <c r="B143" s="227">
        <v>99968</v>
      </c>
      <c r="C143" s="226" t="s">
        <v>1493</v>
      </c>
      <c r="D143" s="432">
        <f t="shared" si="14"/>
        <v>9440681</v>
      </c>
      <c r="E143" s="431">
        <v>1564827</v>
      </c>
      <c r="F143" s="431">
        <v>201642</v>
      </c>
      <c r="G143" s="431">
        <v>1033075</v>
      </c>
      <c r="H143" s="431">
        <v>0</v>
      </c>
      <c r="I143" s="431">
        <v>3338938</v>
      </c>
      <c r="J143" s="431">
        <v>0</v>
      </c>
      <c r="K143" s="431">
        <v>572480</v>
      </c>
      <c r="L143" s="431">
        <v>0</v>
      </c>
      <c r="M143" s="431">
        <v>1167850</v>
      </c>
      <c r="N143" s="431">
        <v>2796586</v>
      </c>
      <c r="O143" s="431">
        <v>0</v>
      </c>
      <c r="P143" s="432">
        <f t="shared" si="15"/>
        <v>8748634</v>
      </c>
      <c r="Q143" s="431">
        <v>3982001</v>
      </c>
      <c r="R143" s="431">
        <v>1144516</v>
      </c>
      <c r="S143" s="431">
        <v>59093</v>
      </c>
      <c r="T143" s="431">
        <v>0</v>
      </c>
      <c r="U143" s="431">
        <v>0</v>
      </c>
      <c r="V143" s="431">
        <v>0</v>
      </c>
      <c r="W143" s="431">
        <v>0</v>
      </c>
      <c r="X143" s="431">
        <v>181354</v>
      </c>
      <c r="Y143" s="431">
        <v>29845</v>
      </c>
      <c r="Z143" s="431">
        <v>408050</v>
      </c>
      <c r="AA143" s="436">
        <v>2943775</v>
      </c>
      <c r="AB143" s="436">
        <v>0</v>
      </c>
      <c r="AC143" s="468">
        <v>1409745</v>
      </c>
      <c r="AD143" s="431">
        <v>0</v>
      </c>
      <c r="AE143" s="431">
        <v>3178933</v>
      </c>
      <c r="AF143" s="431">
        <v>0</v>
      </c>
      <c r="AG143" s="431">
        <v>10037</v>
      </c>
      <c r="AH143" s="431">
        <v>568159</v>
      </c>
      <c r="AI143" s="468">
        <v>208421</v>
      </c>
      <c r="AJ143" s="468">
        <v>209428</v>
      </c>
      <c r="AK143" s="431">
        <v>0</v>
      </c>
      <c r="AL143" s="431">
        <v>3053931</v>
      </c>
      <c r="AM143" s="431">
        <v>109980</v>
      </c>
      <c r="AN143" s="203"/>
      <c r="AO143" s="203"/>
      <c r="AP143" s="203"/>
      <c r="AQ143" s="203"/>
      <c r="AR143" s="203"/>
      <c r="AS143" s="203"/>
      <c r="AT143" s="203"/>
    </row>
    <row r="144" spans="1:46" s="155" customFormat="1" ht="11.25" x14ac:dyDescent="0.2">
      <c r="A144" s="168">
        <v>88</v>
      </c>
      <c r="B144" s="227">
        <v>100004</v>
      </c>
      <c r="C144" s="226" t="s">
        <v>1494</v>
      </c>
      <c r="D144" s="198">
        <f t="shared" si="14"/>
        <v>6888379</v>
      </c>
      <c r="E144" s="145">
        <v>2157707</v>
      </c>
      <c r="F144" s="145">
        <v>492672</v>
      </c>
      <c r="G144" s="145">
        <v>595857</v>
      </c>
      <c r="H144" s="145">
        <v>0</v>
      </c>
      <c r="I144" s="145">
        <v>2911343</v>
      </c>
      <c r="J144" s="145">
        <v>0</v>
      </c>
      <c r="K144" s="145">
        <v>722280</v>
      </c>
      <c r="L144" s="145">
        <v>0</v>
      </c>
      <c r="M144" s="145">
        <v>887967</v>
      </c>
      <c r="N144" s="145">
        <v>209082</v>
      </c>
      <c r="O144" s="145">
        <v>0</v>
      </c>
      <c r="P144" s="198">
        <f t="shared" si="15"/>
        <v>7723028</v>
      </c>
      <c r="Q144" s="183">
        <v>2934092</v>
      </c>
      <c r="R144" s="183">
        <v>1166789</v>
      </c>
      <c r="S144" s="274">
        <v>0</v>
      </c>
      <c r="T144" s="274">
        <v>0</v>
      </c>
      <c r="U144" s="274">
        <v>0</v>
      </c>
      <c r="V144" s="274">
        <v>0</v>
      </c>
      <c r="W144" s="274">
        <v>0</v>
      </c>
      <c r="X144" s="274">
        <v>248103</v>
      </c>
      <c r="Y144" s="274">
        <v>30668</v>
      </c>
      <c r="Z144" s="274">
        <v>3344550</v>
      </c>
      <c r="AA144" s="274">
        <v>0</v>
      </c>
      <c r="AB144" s="274">
        <v>-1174</v>
      </c>
      <c r="AC144" s="274">
        <v>840840</v>
      </c>
      <c r="AD144" s="274">
        <v>43884</v>
      </c>
      <c r="AE144" s="274">
        <v>2704343</v>
      </c>
      <c r="AF144" s="274">
        <v>0</v>
      </c>
      <c r="AG144" s="274">
        <v>477297</v>
      </c>
      <c r="AH144" s="274">
        <v>258273</v>
      </c>
      <c r="AI144" s="274">
        <v>12826</v>
      </c>
      <c r="AJ144" s="274">
        <v>172414</v>
      </c>
      <c r="AK144" s="274">
        <v>0</v>
      </c>
      <c r="AL144" s="274">
        <v>3130224</v>
      </c>
      <c r="AM144" s="274">
        <v>82927</v>
      </c>
      <c r="AN144" s="203"/>
      <c r="AO144" s="203"/>
      <c r="AP144" s="203"/>
      <c r="AQ144" s="203"/>
      <c r="AR144" s="203"/>
      <c r="AS144" s="203"/>
      <c r="AT144" s="203"/>
    </row>
    <row r="145" spans="1:46" s="155" customFormat="1" ht="11.25" x14ac:dyDescent="0.2">
      <c r="A145" s="168">
        <v>88</v>
      </c>
      <c r="B145" s="227">
        <v>100086</v>
      </c>
      <c r="C145" s="226" t="s">
        <v>1495</v>
      </c>
      <c r="D145" s="198">
        <f t="shared" si="14"/>
        <v>6180850</v>
      </c>
      <c r="E145" s="145">
        <v>1467939</v>
      </c>
      <c r="F145" s="145">
        <v>165545</v>
      </c>
      <c r="G145" s="145">
        <v>994121</v>
      </c>
      <c r="H145" s="145">
        <v>0</v>
      </c>
      <c r="I145" s="145">
        <v>2430362</v>
      </c>
      <c r="J145" s="145">
        <v>0</v>
      </c>
      <c r="K145" s="145">
        <v>452670</v>
      </c>
      <c r="L145" s="145">
        <v>0</v>
      </c>
      <c r="M145" s="145">
        <v>1777643</v>
      </c>
      <c r="N145" s="145">
        <v>0</v>
      </c>
      <c r="O145" s="145">
        <v>52236</v>
      </c>
      <c r="P145" s="198">
        <f t="shared" si="15"/>
        <v>6176140</v>
      </c>
      <c r="Q145" s="183">
        <v>3080770</v>
      </c>
      <c r="R145" s="183">
        <v>1173142</v>
      </c>
      <c r="S145" s="183">
        <v>0</v>
      </c>
      <c r="T145" s="183">
        <v>0</v>
      </c>
      <c r="U145" s="183">
        <v>0</v>
      </c>
      <c r="V145" s="183">
        <v>0</v>
      </c>
      <c r="W145" s="183">
        <v>0</v>
      </c>
      <c r="X145" s="183">
        <v>121937</v>
      </c>
      <c r="Y145" s="183">
        <v>10000</v>
      </c>
      <c r="Z145" s="183">
        <v>1794104</v>
      </c>
      <c r="AA145" s="183">
        <v>0</v>
      </c>
      <c r="AB145" s="183">
        <v>-3813</v>
      </c>
      <c r="AC145" s="183">
        <v>1763921</v>
      </c>
      <c r="AD145" s="183">
        <v>3984</v>
      </c>
      <c r="AE145" s="183">
        <v>2060121</v>
      </c>
      <c r="AF145" s="183">
        <v>61702</v>
      </c>
      <c r="AG145" s="183">
        <v>126332</v>
      </c>
      <c r="AH145" s="183">
        <v>511514</v>
      </c>
      <c r="AI145" s="183">
        <v>292360</v>
      </c>
      <c r="AJ145" s="183">
        <v>56179</v>
      </c>
      <c r="AK145" s="183">
        <v>0</v>
      </c>
      <c r="AL145" s="183">
        <v>1182669</v>
      </c>
      <c r="AM145" s="183">
        <v>117358</v>
      </c>
      <c r="AN145" s="203"/>
      <c r="AO145" s="203"/>
      <c r="AP145" s="203"/>
      <c r="AQ145" s="203"/>
      <c r="AR145" s="203"/>
      <c r="AS145" s="203"/>
      <c r="AT145" s="203"/>
    </row>
    <row r="146" spans="1:46" s="155" customFormat="1" ht="11.25" x14ac:dyDescent="0.2">
      <c r="A146" s="168">
        <v>88</v>
      </c>
      <c r="B146" s="227">
        <v>100148</v>
      </c>
      <c r="C146" s="226" t="s">
        <v>1496</v>
      </c>
      <c r="D146" s="198">
        <f t="shared" si="14"/>
        <v>6537680</v>
      </c>
      <c r="E146" s="145">
        <v>1672292</v>
      </c>
      <c r="F146" s="145">
        <v>527051</v>
      </c>
      <c r="G146" s="145">
        <v>645358</v>
      </c>
      <c r="H146" s="145">
        <v>0</v>
      </c>
      <c r="I146" s="145">
        <v>4093773</v>
      </c>
      <c r="J146" s="145">
        <v>0</v>
      </c>
      <c r="K146" s="145">
        <v>579240</v>
      </c>
      <c r="L146" s="145">
        <v>0</v>
      </c>
      <c r="M146" s="145">
        <v>51607</v>
      </c>
      <c r="N146" s="145">
        <v>140768</v>
      </c>
      <c r="O146" s="145">
        <v>0</v>
      </c>
      <c r="P146" s="198">
        <f t="shared" si="15"/>
        <v>6200764</v>
      </c>
      <c r="Q146" s="183">
        <v>4097010</v>
      </c>
      <c r="R146" s="183">
        <v>1316876</v>
      </c>
      <c r="S146" s="183">
        <v>4260</v>
      </c>
      <c r="T146" s="183">
        <v>0</v>
      </c>
      <c r="U146" s="183">
        <v>0</v>
      </c>
      <c r="V146" s="183">
        <v>0</v>
      </c>
      <c r="W146" s="183">
        <v>28614</v>
      </c>
      <c r="X146" s="183">
        <v>258109</v>
      </c>
      <c r="Y146" s="183">
        <v>93022</v>
      </c>
      <c r="Z146" s="183">
        <v>310262</v>
      </c>
      <c r="AA146" s="183">
        <v>92611</v>
      </c>
      <c r="AB146" s="183">
        <v>0</v>
      </c>
      <c r="AC146" s="183">
        <v>1093425</v>
      </c>
      <c r="AD146" s="183">
        <v>39798</v>
      </c>
      <c r="AE146" s="183">
        <v>3888307</v>
      </c>
      <c r="AF146" s="183">
        <v>0</v>
      </c>
      <c r="AG146" s="183">
        <v>30000</v>
      </c>
      <c r="AH146" s="183">
        <v>438252</v>
      </c>
      <c r="AI146" s="183">
        <v>322779</v>
      </c>
      <c r="AJ146" s="183">
        <v>121756</v>
      </c>
      <c r="AK146" s="183">
        <v>0</v>
      </c>
      <c r="AL146" s="183">
        <v>151657</v>
      </c>
      <c r="AM146" s="183">
        <v>114790</v>
      </c>
      <c r="AN146" s="203"/>
      <c r="AO146" s="203"/>
      <c r="AP146" s="203"/>
      <c r="AQ146" s="203"/>
      <c r="AR146" s="203"/>
      <c r="AS146" s="203"/>
      <c r="AT146" s="203"/>
    </row>
    <row r="147" spans="1:46" s="155" customFormat="1" ht="11.25" x14ac:dyDescent="0.2">
      <c r="A147" s="168">
        <v>88</v>
      </c>
      <c r="B147" s="227">
        <v>100219</v>
      </c>
      <c r="C147" s="226" t="s">
        <v>1497</v>
      </c>
      <c r="D147" s="198">
        <f t="shared" si="14"/>
        <v>14052789</v>
      </c>
      <c r="E147" s="145">
        <v>2459750</v>
      </c>
      <c r="F147" s="145">
        <v>229297</v>
      </c>
      <c r="G147" s="145">
        <v>1206142</v>
      </c>
      <c r="H147" s="145">
        <v>0</v>
      </c>
      <c r="I147" s="145">
        <v>4190558</v>
      </c>
      <c r="J147" s="145">
        <v>0</v>
      </c>
      <c r="K147" s="145">
        <v>1110150</v>
      </c>
      <c r="L147" s="145">
        <v>0</v>
      </c>
      <c r="M147" s="145">
        <v>6238883</v>
      </c>
      <c r="N147" s="145">
        <v>13710</v>
      </c>
      <c r="O147" s="145">
        <v>39738</v>
      </c>
      <c r="P147" s="198">
        <f t="shared" si="15"/>
        <v>13139062</v>
      </c>
      <c r="Q147" s="183">
        <v>4292908</v>
      </c>
      <c r="R147" s="183">
        <v>1125324</v>
      </c>
      <c r="S147" s="183">
        <v>0</v>
      </c>
      <c r="T147" s="183">
        <v>0</v>
      </c>
      <c r="U147" s="183">
        <v>0</v>
      </c>
      <c r="V147" s="183">
        <v>0</v>
      </c>
      <c r="W147" s="183">
        <v>792305</v>
      </c>
      <c r="X147" s="183">
        <v>300336</v>
      </c>
      <c r="Y147" s="183">
        <v>33051</v>
      </c>
      <c r="Z147" s="183">
        <v>6595138</v>
      </c>
      <c r="AA147" s="183">
        <v>0</v>
      </c>
      <c r="AB147" s="183">
        <v>0</v>
      </c>
      <c r="AC147" s="183">
        <v>1205430</v>
      </c>
      <c r="AD147" s="183">
        <v>216</v>
      </c>
      <c r="AE147" s="183">
        <v>4441514</v>
      </c>
      <c r="AF147" s="183">
        <v>25555</v>
      </c>
      <c r="AG147" s="183">
        <v>204336</v>
      </c>
      <c r="AH147" s="183">
        <v>949460</v>
      </c>
      <c r="AI147" s="183">
        <v>888519</v>
      </c>
      <c r="AJ147" s="183">
        <v>51999</v>
      </c>
      <c r="AK147" s="183">
        <v>0</v>
      </c>
      <c r="AL147" s="183">
        <v>5331910</v>
      </c>
      <c r="AM147" s="183">
        <v>40123</v>
      </c>
      <c r="AN147" s="203"/>
      <c r="AO147" s="203"/>
      <c r="AP147" s="203"/>
      <c r="AQ147" s="203"/>
      <c r="AR147" s="203"/>
      <c r="AS147" s="203"/>
      <c r="AT147" s="203"/>
    </row>
    <row r="148" spans="1:46" s="155" customFormat="1" ht="11.25" x14ac:dyDescent="0.2">
      <c r="D148" s="203"/>
      <c r="E148" s="203"/>
      <c r="F148" s="203"/>
      <c r="G148" s="203"/>
      <c r="H148" s="203"/>
      <c r="I148" s="203"/>
      <c r="J148" s="203"/>
      <c r="K148" s="203"/>
      <c r="L148" s="203"/>
      <c r="M148" s="203"/>
      <c r="N148" s="203"/>
      <c r="O148" s="203"/>
      <c r="P148" s="203"/>
      <c r="Q148" s="203"/>
      <c r="R148" s="203"/>
      <c r="S148" s="203"/>
      <c r="T148" s="203"/>
      <c r="U148" s="203"/>
      <c r="V148" s="203"/>
      <c r="W148" s="203"/>
      <c r="X148" s="203"/>
      <c r="Y148" s="203"/>
      <c r="Z148" s="203"/>
      <c r="AA148" s="203"/>
      <c r="AB148" s="203"/>
      <c r="AC148" s="203"/>
      <c r="AD148" s="203"/>
      <c r="AE148" s="203"/>
      <c r="AF148" s="203"/>
      <c r="AG148" s="203"/>
      <c r="AH148" s="203"/>
      <c r="AI148" s="203"/>
      <c r="AJ148" s="203"/>
      <c r="AK148" s="203"/>
      <c r="AL148" s="203"/>
      <c r="AM148" s="203"/>
      <c r="AN148" s="203"/>
      <c r="AO148" s="203"/>
      <c r="AP148" s="203"/>
      <c r="AQ148" s="203"/>
      <c r="AR148" s="203"/>
      <c r="AS148" s="203"/>
      <c r="AT148" s="203"/>
    </row>
    <row r="149" spans="1:46" s="155" customFormat="1" ht="11.25" x14ac:dyDescent="0.2">
      <c r="D149" s="203"/>
      <c r="E149" s="203"/>
      <c r="F149" s="203"/>
      <c r="G149" s="203"/>
      <c r="H149" s="203"/>
      <c r="I149" s="203"/>
      <c r="J149" s="203"/>
      <c r="K149" s="203"/>
      <c r="L149" s="203"/>
      <c r="M149" s="203"/>
      <c r="N149" s="203"/>
      <c r="O149" s="203"/>
      <c r="P149" s="203"/>
      <c r="Q149" s="203"/>
      <c r="R149" s="203"/>
      <c r="S149" s="203"/>
      <c r="T149" s="203"/>
      <c r="U149" s="203"/>
      <c r="V149" s="203"/>
      <c r="W149" s="203"/>
      <c r="X149" s="203"/>
      <c r="Y149" s="203"/>
      <c r="Z149" s="203"/>
      <c r="AA149" s="203"/>
      <c r="AB149" s="203"/>
      <c r="AC149" s="203"/>
      <c r="AD149" s="203"/>
      <c r="AE149" s="203"/>
      <c r="AF149" s="203"/>
      <c r="AG149" s="203"/>
      <c r="AH149" s="203"/>
      <c r="AI149" s="203"/>
      <c r="AJ149" s="203"/>
      <c r="AK149" s="203"/>
      <c r="AL149" s="203"/>
      <c r="AM149" s="203"/>
      <c r="AN149" s="203"/>
      <c r="AO149" s="203"/>
      <c r="AP149" s="203"/>
      <c r="AQ149" s="203"/>
      <c r="AR149" s="203"/>
      <c r="AS149" s="203"/>
      <c r="AT149" s="203"/>
    </row>
    <row r="150" spans="1:46" s="155" customFormat="1" ht="11.25" x14ac:dyDescent="0.2">
      <c r="D150" s="203"/>
      <c r="E150" s="203"/>
      <c r="F150" s="203"/>
      <c r="G150" s="203"/>
      <c r="H150" s="203"/>
      <c r="I150" s="203"/>
      <c r="J150" s="203"/>
      <c r="K150" s="203"/>
      <c r="L150" s="203"/>
      <c r="M150" s="203"/>
      <c r="N150" s="203"/>
      <c r="O150" s="203"/>
      <c r="P150" s="203"/>
      <c r="Q150" s="203"/>
      <c r="R150" s="203"/>
      <c r="S150" s="203"/>
      <c r="T150" s="203"/>
      <c r="U150" s="203"/>
      <c r="V150" s="203"/>
      <c r="W150" s="203"/>
      <c r="X150" s="203"/>
      <c r="Y150" s="203"/>
      <c r="Z150" s="203"/>
      <c r="AA150" s="203"/>
      <c r="AB150" s="203"/>
      <c r="AC150" s="203"/>
      <c r="AD150" s="203"/>
      <c r="AE150" s="203"/>
      <c r="AF150" s="203"/>
      <c r="AG150" s="203"/>
      <c r="AH150" s="203"/>
      <c r="AI150" s="203"/>
      <c r="AJ150" s="203"/>
      <c r="AK150" s="203"/>
      <c r="AL150" s="203"/>
      <c r="AM150" s="203"/>
      <c r="AN150" s="203"/>
      <c r="AO150" s="203"/>
      <c r="AP150" s="203"/>
      <c r="AQ150" s="203"/>
      <c r="AR150" s="203"/>
      <c r="AS150" s="203"/>
      <c r="AT150" s="203"/>
    </row>
    <row r="151" spans="1:46" s="155" customFormat="1" ht="11.25" x14ac:dyDescent="0.2">
      <c r="D151" s="203"/>
      <c r="E151" s="203"/>
      <c r="F151" s="203"/>
      <c r="G151" s="203"/>
      <c r="H151" s="203"/>
      <c r="I151" s="203"/>
      <c r="J151" s="203"/>
      <c r="K151" s="203"/>
      <c r="L151" s="203"/>
      <c r="M151" s="203"/>
      <c r="N151" s="203"/>
      <c r="O151" s="203"/>
      <c r="P151" s="203"/>
      <c r="Q151" s="203"/>
      <c r="R151" s="203"/>
      <c r="S151" s="203"/>
      <c r="T151" s="203"/>
      <c r="U151" s="203"/>
      <c r="V151" s="203"/>
      <c r="W151" s="203"/>
      <c r="X151" s="203"/>
      <c r="Y151" s="203"/>
      <c r="Z151" s="203"/>
      <c r="AA151" s="203"/>
      <c r="AB151" s="203"/>
      <c r="AC151" s="203"/>
      <c r="AD151" s="203"/>
      <c r="AE151" s="203"/>
      <c r="AF151" s="203"/>
      <c r="AG151" s="203"/>
      <c r="AH151" s="203"/>
      <c r="AI151" s="203"/>
      <c r="AJ151" s="203"/>
      <c r="AK151" s="203"/>
      <c r="AL151" s="203"/>
      <c r="AM151" s="203"/>
      <c r="AN151" s="203"/>
      <c r="AO151" s="203"/>
      <c r="AP151" s="203"/>
      <c r="AQ151" s="203"/>
      <c r="AR151" s="203"/>
      <c r="AS151" s="203"/>
      <c r="AT151" s="203"/>
    </row>
    <row r="152" spans="1:46" s="155" customFormat="1" ht="11.25" x14ac:dyDescent="0.2"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203"/>
      <c r="AG152" s="203"/>
      <c r="AH152" s="203"/>
      <c r="AI152" s="203"/>
      <c r="AJ152" s="203"/>
      <c r="AK152" s="203"/>
      <c r="AL152" s="203"/>
      <c r="AM152" s="203"/>
      <c r="AN152" s="203"/>
      <c r="AO152" s="203"/>
      <c r="AP152" s="203"/>
      <c r="AQ152" s="203"/>
      <c r="AR152" s="203"/>
      <c r="AS152" s="203"/>
      <c r="AT152" s="203"/>
    </row>
    <row r="153" spans="1:46" s="155" customFormat="1" ht="11.25" x14ac:dyDescent="0.2">
      <c r="D153" s="203"/>
      <c r="E153" s="203"/>
      <c r="F153" s="203"/>
      <c r="G153" s="203"/>
      <c r="H153" s="203"/>
      <c r="I153" s="203"/>
      <c r="J153" s="203"/>
      <c r="K153" s="203"/>
      <c r="L153" s="203"/>
      <c r="M153" s="203"/>
      <c r="N153" s="203"/>
      <c r="O153" s="203"/>
      <c r="P153" s="203"/>
      <c r="Q153" s="203"/>
      <c r="R153" s="203"/>
      <c r="S153" s="203"/>
      <c r="T153" s="203"/>
      <c r="U153" s="203"/>
      <c r="V153" s="203"/>
      <c r="W153" s="203"/>
      <c r="X153" s="203"/>
      <c r="Y153" s="203"/>
      <c r="Z153" s="203"/>
      <c r="AA153" s="203"/>
      <c r="AB153" s="203"/>
      <c r="AC153" s="203"/>
      <c r="AD153" s="203"/>
      <c r="AE153" s="203"/>
      <c r="AF153" s="203"/>
      <c r="AG153" s="203"/>
      <c r="AH153" s="203"/>
      <c r="AI153" s="203"/>
      <c r="AJ153" s="203"/>
      <c r="AK153" s="203"/>
      <c r="AL153" s="203"/>
      <c r="AM153" s="203"/>
      <c r="AN153" s="203"/>
      <c r="AO153" s="203"/>
      <c r="AP153" s="203"/>
      <c r="AQ153" s="203"/>
      <c r="AR153" s="203"/>
      <c r="AS153" s="203"/>
      <c r="AT153" s="203"/>
    </row>
    <row r="154" spans="1:46" s="155" customFormat="1" ht="11.25" x14ac:dyDescent="0.2">
      <c r="D154" s="203"/>
      <c r="E154" s="203"/>
      <c r="F154" s="203"/>
      <c r="G154" s="203"/>
      <c r="H154" s="203"/>
      <c r="I154" s="203"/>
      <c r="J154" s="203"/>
      <c r="K154" s="203"/>
      <c r="L154" s="203"/>
      <c r="M154" s="203"/>
      <c r="N154" s="203"/>
      <c r="O154" s="203"/>
      <c r="P154" s="203"/>
      <c r="Q154" s="203"/>
      <c r="R154" s="203"/>
      <c r="S154" s="203"/>
      <c r="T154" s="203"/>
      <c r="U154" s="203"/>
      <c r="V154" s="203"/>
      <c r="W154" s="203"/>
      <c r="X154" s="203"/>
      <c r="Y154" s="203"/>
      <c r="Z154" s="203"/>
      <c r="AA154" s="203"/>
      <c r="AB154" s="203"/>
      <c r="AC154" s="203"/>
      <c r="AD154" s="203"/>
      <c r="AE154" s="203"/>
      <c r="AF154" s="203"/>
      <c r="AG154" s="203"/>
      <c r="AH154" s="203"/>
      <c r="AI154" s="203"/>
      <c r="AJ154" s="203"/>
      <c r="AK154" s="203"/>
      <c r="AL154" s="203"/>
      <c r="AM154" s="203"/>
      <c r="AN154" s="203"/>
      <c r="AO154" s="203"/>
      <c r="AP154" s="203"/>
      <c r="AQ154" s="203"/>
      <c r="AR154" s="203"/>
      <c r="AS154" s="203"/>
      <c r="AT154" s="203"/>
    </row>
    <row r="155" spans="1:46" s="155" customFormat="1" ht="11.25" x14ac:dyDescent="0.2"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203"/>
      <c r="O155" s="203"/>
      <c r="P155" s="203"/>
      <c r="Q155" s="203"/>
      <c r="R155" s="203"/>
      <c r="S155" s="203"/>
      <c r="T155" s="203"/>
      <c r="U155" s="203"/>
      <c r="V155" s="203"/>
      <c r="W155" s="203"/>
      <c r="X155" s="203"/>
      <c r="Y155" s="203"/>
      <c r="Z155" s="203"/>
      <c r="AA155" s="203"/>
      <c r="AB155" s="203"/>
      <c r="AC155" s="203"/>
      <c r="AD155" s="203"/>
      <c r="AE155" s="203"/>
      <c r="AF155" s="203"/>
      <c r="AG155" s="203"/>
      <c r="AH155" s="203"/>
      <c r="AI155" s="203"/>
      <c r="AJ155" s="203"/>
      <c r="AK155" s="203"/>
      <c r="AL155" s="203"/>
      <c r="AM155" s="203"/>
      <c r="AN155" s="203"/>
      <c r="AO155" s="203"/>
      <c r="AP155" s="203"/>
      <c r="AQ155" s="203"/>
      <c r="AR155" s="203"/>
      <c r="AS155" s="203"/>
      <c r="AT155" s="203"/>
    </row>
    <row r="156" spans="1:46" s="155" customFormat="1" ht="11.25" x14ac:dyDescent="0.2">
      <c r="D156" s="203"/>
      <c r="E156" s="203"/>
      <c r="F156" s="203"/>
      <c r="G156" s="203"/>
      <c r="H156" s="203"/>
      <c r="I156" s="203"/>
      <c r="J156" s="203"/>
      <c r="K156" s="203"/>
      <c r="L156" s="203"/>
      <c r="M156" s="203"/>
      <c r="N156" s="203"/>
      <c r="O156" s="203"/>
      <c r="P156" s="203"/>
      <c r="Q156" s="203"/>
      <c r="R156" s="203"/>
      <c r="S156" s="203"/>
      <c r="T156" s="203"/>
      <c r="U156" s="203"/>
      <c r="V156" s="203"/>
      <c r="W156" s="203"/>
      <c r="X156" s="203"/>
      <c r="Y156" s="203"/>
      <c r="Z156" s="203"/>
      <c r="AA156" s="203"/>
      <c r="AB156" s="203"/>
      <c r="AC156" s="203"/>
      <c r="AD156" s="203"/>
      <c r="AE156" s="203"/>
      <c r="AF156" s="203"/>
      <c r="AG156" s="203"/>
      <c r="AH156" s="203"/>
      <c r="AI156" s="203"/>
      <c r="AJ156" s="203"/>
      <c r="AK156" s="203"/>
      <c r="AL156" s="203"/>
      <c r="AM156" s="203"/>
      <c r="AN156" s="203"/>
      <c r="AO156" s="203"/>
      <c r="AP156" s="203"/>
      <c r="AQ156" s="203"/>
      <c r="AR156" s="203"/>
      <c r="AS156" s="203"/>
      <c r="AT156" s="203"/>
    </row>
    <row r="157" spans="1:46" s="155" customFormat="1" ht="11.25" x14ac:dyDescent="0.2">
      <c r="D157" s="203"/>
      <c r="E157" s="203"/>
      <c r="F157" s="203"/>
      <c r="G157" s="203"/>
      <c r="H157" s="203"/>
      <c r="I157" s="203"/>
      <c r="J157" s="203"/>
      <c r="K157" s="203"/>
      <c r="L157" s="203"/>
      <c r="M157" s="203"/>
      <c r="N157" s="203"/>
      <c r="O157" s="203"/>
      <c r="P157" s="203"/>
      <c r="Q157" s="203"/>
      <c r="R157" s="203"/>
      <c r="S157" s="203"/>
      <c r="T157" s="203"/>
      <c r="U157" s="203"/>
      <c r="V157" s="203"/>
      <c r="W157" s="203"/>
      <c r="X157" s="203"/>
      <c r="Y157" s="203"/>
      <c r="Z157" s="203"/>
      <c r="AA157" s="203"/>
      <c r="AB157" s="203"/>
      <c r="AC157" s="203"/>
      <c r="AD157" s="203"/>
      <c r="AE157" s="203"/>
      <c r="AF157" s="203"/>
      <c r="AG157" s="203"/>
      <c r="AH157" s="203"/>
      <c r="AI157" s="203"/>
      <c r="AJ157" s="203"/>
      <c r="AK157" s="203"/>
      <c r="AL157" s="203"/>
      <c r="AM157" s="203"/>
      <c r="AN157" s="203"/>
      <c r="AO157" s="203"/>
      <c r="AP157" s="203"/>
      <c r="AQ157" s="203"/>
      <c r="AR157" s="203"/>
      <c r="AS157" s="203"/>
      <c r="AT157" s="203"/>
    </row>
    <row r="158" spans="1:46" s="155" customFormat="1" ht="11.25" x14ac:dyDescent="0.2">
      <c r="D158" s="203"/>
      <c r="E158" s="203"/>
      <c r="F158" s="203"/>
      <c r="G158" s="203"/>
      <c r="H158" s="203"/>
      <c r="I158" s="203"/>
      <c r="J158" s="203"/>
      <c r="K158" s="203"/>
      <c r="L158" s="203"/>
      <c r="M158" s="203"/>
      <c r="N158" s="203"/>
      <c r="O158" s="203"/>
      <c r="P158" s="203"/>
      <c r="Q158" s="203"/>
      <c r="R158" s="203"/>
      <c r="S158" s="203"/>
      <c r="T158" s="203"/>
      <c r="U158" s="203"/>
      <c r="V158" s="203"/>
      <c r="W158" s="203"/>
      <c r="X158" s="203"/>
      <c r="Y158" s="203"/>
      <c r="Z158" s="203"/>
      <c r="AA158" s="203"/>
      <c r="AB158" s="203"/>
      <c r="AC158" s="203"/>
      <c r="AD158" s="203"/>
      <c r="AE158" s="203"/>
      <c r="AF158" s="203"/>
      <c r="AG158" s="203"/>
      <c r="AH158" s="203"/>
      <c r="AI158" s="203"/>
      <c r="AJ158" s="203"/>
      <c r="AK158" s="203"/>
      <c r="AL158" s="203"/>
      <c r="AM158" s="203"/>
      <c r="AN158" s="203"/>
      <c r="AO158" s="203"/>
      <c r="AP158" s="203"/>
      <c r="AQ158" s="203"/>
      <c r="AR158" s="203"/>
      <c r="AS158" s="203"/>
      <c r="AT158" s="203"/>
    </row>
    <row r="159" spans="1:46" s="155" customFormat="1" ht="11.25" x14ac:dyDescent="0.2">
      <c r="D159" s="203"/>
      <c r="E159" s="203"/>
      <c r="F159" s="203"/>
      <c r="G159" s="203"/>
      <c r="H159" s="203"/>
      <c r="I159" s="203"/>
      <c r="J159" s="203"/>
      <c r="K159" s="203"/>
      <c r="L159" s="203"/>
      <c r="M159" s="203"/>
      <c r="N159" s="203"/>
      <c r="O159" s="203"/>
      <c r="P159" s="203"/>
      <c r="Q159" s="203"/>
      <c r="R159" s="203"/>
      <c r="S159" s="203"/>
      <c r="T159" s="203"/>
      <c r="U159" s="203"/>
      <c r="V159" s="203"/>
      <c r="W159" s="203"/>
      <c r="X159" s="203"/>
      <c r="Y159" s="203"/>
      <c r="Z159" s="203"/>
      <c r="AA159" s="203"/>
      <c r="AB159" s="203"/>
      <c r="AC159" s="203"/>
      <c r="AD159" s="203"/>
      <c r="AE159" s="203"/>
      <c r="AF159" s="203"/>
      <c r="AG159" s="203"/>
      <c r="AH159" s="203"/>
      <c r="AI159" s="203"/>
      <c r="AJ159" s="203"/>
      <c r="AK159" s="203"/>
      <c r="AL159" s="203"/>
      <c r="AM159" s="203"/>
      <c r="AN159" s="203"/>
      <c r="AO159" s="203"/>
      <c r="AP159" s="203"/>
      <c r="AQ159" s="203"/>
      <c r="AR159" s="203"/>
      <c r="AS159" s="203"/>
      <c r="AT159" s="203"/>
    </row>
    <row r="160" spans="1:46" s="155" customFormat="1" ht="11.25" x14ac:dyDescent="0.2">
      <c r="D160" s="203"/>
      <c r="E160" s="203"/>
      <c r="F160" s="203"/>
      <c r="G160" s="203"/>
      <c r="H160" s="203"/>
      <c r="I160" s="203"/>
      <c r="J160" s="203"/>
      <c r="K160" s="203"/>
      <c r="L160" s="203"/>
      <c r="M160" s="203"/>
      <c r="N160" s="203"/>
      <c r="O160" s="203"/>
      <c r="P160" s="203"/>
      <c r="Q160" s="203"/>
      <c r="R160" s="203"/>
      <c r="S160" s="203"/>
      <c r="T160" s="203"/>
      <c r="U160" s="203"/>
      <c r="V160" s="203"/>
      <c r="W160" s="203"/>
      <c r="X160" s="203"/>
      <c r="Y160" s="203"/>
      <c r="Z160" s="203"/>
      <c r="AA160" s="203"/>
      <c r="AB160" s="203"/>
      <c r="AC160" s="203"/>
      <c r="AD160" s="203"/>
      <c r="AE160" s="203"/>
      <c r="AF160" s="203"/>
      <c r="AG160" s="203"/>
      <c r="AH160" s="203"/>
      <c r="AI160" s="203"/>
      <c r="AJ160" s="203"/>
      <c r="AK160" s="203"/>
      <c r="AL160" s="203"/>
      <c r="AM160" s="203"/>
      <c r="AN160" s="203"/>
      <c r="AO160" s="203"/>
      <c r="AP160" s="203"/>
      <c r="AQ160" s="203"/>
      <c r="AR160" s="203"/>
      <c r="AS160" s="203"/>
      <c r="AT160" s="203"/>
    </row>
    <row r="161" spans="4:46" s="155" customFormat="1" ht="11.25" x14ac:dyDescent="0.2">
      <c r="D161" s="203"/>
      <c r="E161" s="203"/>
      <c r="F161" s="203"/>
      <c r="G161" s="203"/>
      <c r="H161" s="203"/>
      <c r="I161" s="203"/>
      <c r="J161" s="203"/>
      <c r="K161" s="203"/>
      <c r="L161" s="203"/>
      <c r="M161" s="203"/>
      <c r="N161" s="203"/>
      <c r="O161" s="203"/>
      <c r="P161" s="203"/>
      <c r="Q161" s="203"/>
      <c r="R161" s="203"/>
      <c r="S161" s="203"/>
      <c r="T161" s="203"/>
      <c r="U161" s="203"/>
      <c r="V161" s="203"/>
      <c r="W161" s="203"/>
      <c r="X161" s="203"/>
      <c r="Y161" s="203"/>
      <c r="Z161" s="203"/>
      <c r="AA161" s="203"/>
      <c r="AB161" s="203"/>
      <c r="AC161" s="203"/>
      <c r="AD161" s="203"/>
      <c r="AE161" s="203"/>
      <c r="AF161" s="203"/>
      <c r="AG161" s="203"/>
      <c r="AH161" s="203"/>
      <c r="AI161" s="203"/>
      <c r="AJ161" s="203"/>
      <c r="AK161" s="203"/>
      <c r="AL161" s="203"/>
      <c r="AM161" s="203"/>
      <c r="AN161" s="203"/>
      <c r="AO161" s="203"/>
      <c r="AP161" s="203"/>
      <c r="AQ161" s="203"/>
      <c r="AR161" s="203"/>
      <c r="AS161" s="203"/>
      <c r="AT161" s="203"/>
    </row>
    <row r="162" spans="4:46" s="155" customFormat="1" ht="11.25" x14ac:dyDescent="0.2">
      <c r="D162" s="203"/>
      <c r="E162" s="203"/>
      <c r="F162" s="203"/>
      <c r="G162" s="203"/>
      <c r="H162" s="203"/>
      <c r="I162" s="203"/>
      <c r="J162" s="203"/>
      <c r="K162" s="203"/>
      <c r="L162" s="203"/>
      <c r="M162" s="203"/>
      <c r="N162" s="203"/>
      <c r="O162" s="203"/>
      <c r="P162" s="203"/>
      <c r="Q162" s="203"/>
      <c r="R162" s="203"/>
      <c r="S162" s="203"/>
      <c r="T162" s="203"/>
      <c r="U162" s="203"/>
      <c r="V162" s="203"/>
      <c r="W162" s="203"/>
      <c r="X162" s="203"/>
      <c r="Y162" s="203"/>
      <c r="Z162" s="203"/>
      <c r="AA162" s="203"/>
      <c r="AB162" s="203"/>
      <c r="AC162" s="203"/>
      <c r="AD162" s="203"/>
      <c r="AE162" s="203"/>
      <c r="AF162" s="203"/>
      <c r="AG162" s="203"/>
      <c r="AH162" s="203"/>
      <c r="AI162" s="203"/>
      <c r="AJ162" s="203"/>
      <c r="AK162" s="203"/>
      <c r="AL162" s="203"/>
      <c r="AM162" s="203"/>
      <c r="AN162" s="203"/>
      <c r="AO162" s="203"/>
      <c r="AP162" s="203"/>
      <c r="AQ162" s="203"/>
      <c r="AR162" s="203"/>
      <c r="AS162" s="203"/>
      <c r="AT162" s="203"/>
    </row>
    <row r="163" spans="4:46" s="155" customFormat="1" ht="11.25" x14ac:dyDescent="0.2">
      <c r="D163" s="203"/>
      <c r="E163" s="203"/>
      <c r="F163" s="203"/>
      <c r="G163" s="203"/>
      <c r="H163" s="203"/>
      <c r="I163" s="203"/>
      <c r="J163" s="203"/>
      <c r="K163" s="203"/>
      <c r="L163" s="203"/>
      <c r="M163" s="203"/>
      <c r="N163" s="203"/>
      <c r="O163" s="203"/>
      <c r="P163" s="203"/>
      <c r="Q163" s="203"/>
      <c r="R163" s="203"/>
      <c r="S163" s="203"/>
      <c r="T163" s="203"/>
      <c r="U163" s="203"/>
      <c r="V163" s="203"/>
      <c r="W163" s="203"/>
      <c r="X163" s="203"/>
      <c r="Y163" s="203"/>
      <c r="Z163" s="203"/>
      <c r="AA163" s="203"/>
      <c r="AB163" s="203"/>
      <c r="AC163" s="203"/>
      <c r="AD163" s="203"/>
      <c r="AE163" s="203"/>
      <c r="AF163" s="203"/>
      <c r="AG163" s="203"/>
      <c r="AH163" s="203"/>
      <c r="AI163" s="203"/>
      <c r="AJ163" s="203"/>
      <c r="AK163" s="203"/>
      <c r="AL163" s="203"/>
      <c r="AM163" s="203"/>
      <c r="AN163" s="203"/>
      <c r="AO163" s="203"/>
      <c r="AP163" s="203"/>
      <c r="AQ163" s="203"/>
      <c r="AR163" s="203"/>
      <c r="AS163" s="203"/>
      <c r="AT163" s="203"/>
    </row>
    <row r="164" spans="4:46" s="155" customFormat="1" ht="11.25" x14ac:dyDescent="0.2">
      <c r="D164" s="203"/>
      <c r="E164" s="203"/>
      <c r="F164" s="203"/>
      <c r="G164" s="203"/>
      <c r="H164" s="203"/>
      <c r="I164" s="203"/>
      <c r="J164" s="203"/>
      <c r="K164" s="203"/>
      <c r="L164" s="203"/>
      <c r="M164" s="203"/>
      <c r="N164" s="203"/>
      <c r="O164" s="203"/>
      <c r="P164" s="203"/>
      <c r="Q164" s="203"/>
      <c r="R164" s="203"/>
      <c r="S164" s="203"/>
      <c r="T164" s="203"/>
      <c r="U164" s="203"/>
      <c r="V164" s="203"/>
      <c r="W164" s="203"/>
      <c r="X164" s="203"/>
      <c r="Y164" s="203"/>
      <c r="Z164" s="203"/>
      <c r="AA164" s="203"/>
      <c r="AB164" s="203"/>
      <c r="AC164" s="203"/>
      <c r="AD164" s="203"/>
      <c r="AE164" s="203"/>
      <c r="AF164" s="203"/>
      <c r="AG164" s="203"/>
      <c r="AH164" s="203"/>
      <c r="AI164" s="203"/>
      <c r="AJ164" s="203"/>
      <c r="AK164" s="203"/>
      <c r="AL164" s="203"/>
      <c r="AM164" s="203"/>
      <c r="AN164" s="203"/>
      <c r="AO164" s="203"/>
      <c r="AP164" s="203"/>
      <c r="AQ164" s="203"/>
      <c r="AR164" s="203"/>
      <c r="AS164" s="203"/>
      <c r="AT164" s="203"/>
    </row>
    <row r="165" spans="4:46" s="155" customFormat="1" ht="11.25" x14ac:dyDescent="0.2">
      <c r="D165" s="203"/>
      <c r="E165" s="203"/>
      <c r="F165" s="203"/>
      <c r="G165" s="203"/>
      <c r="H165" s="203"/>
      <c r="I165" s="203"/>
      <c r="J165" s="203"/>
      <c r="K165" s="203"/>
      <c r="L165" s="203"/>
      <c r="M165" s="203"/>
      <c r="N165" s="203"/>
      <c r="O165" s="203"/>
      <c r="P165" s="203"/>
      <c r="Q165" s="203"/>
      <c r="R165" s="203"/>
      <c r="S165" s="203"/>
      <c r="T165" s="203"/>
      <c r="U165" s="203"/>
      <c r="V165" s="203"/>
      <c r="W165" s="203"/>
      <c r="X165" s="203"/>
      <c r="Y165" s="203"/>
      <c r="Z165" s="203"/>
      <c r="AA165" s="203"/>
      <c r="AB165" s="203"/>
      <c r="AC165" s="203"/>
      <c r="AD165" s="203"/>
      <c r="AE165" s="203"/>
      <c r="AF165" s="203"/>
      <c r="AG165" s="203"/>
      <c r="AH165" s="203"/>
      <c r="AI165" s="203"/>
      <c r="AJ165" s="203"/>
      <c r="AK165" s="203"/>
      <c r="AL165" s="203"/>
      <c r="AM165" s="203"/>
      <c r="AN165" s="203"/>
      <c r="AO165" s="203"/>
      <c r="AP165" s="203"/>
      <c r="AQ165" s="203"/>
      <c r="AR165" s="203"/>
      <c r="AS165" s="203"/>
      <c r="AT165" s="203"/>
    </row>
    <row r="166" spans="4:46" s="155" customFormat="1" ht="11.25" x14ac:dyDescent="0.2">
      <c r="D166" s="203"/>
      <c r="E166" s="203"/>
      <c r="F166" s="203"/>
      <c r="G166" s="203"/>
      <c r="H166" s="203"/>
      <c r="I166" s="203"/>
      <c r="J166" s="203"/>
      <c r="K166" s="203"/>
      <c r="L166" s="203"/>
      <c r="M166" s="203"/>
      <c r="N166" s="203"/>
      <c r="O166" s="203"/>
      <c r="P166" s="203"/>
      <c r="Q166" s="203"/>
      <c r="R166" s="203"/>
      <c r="S166" s="203"/>
      <c r="T166" s="203"/>
      <c r="U166" s="203"/>
      <c r="V166" s="203"/>
      <c r="W166" s="203"/>
      <c r="X166" s="203"/>
      <c r="Y166" s="203"/>
      <c r="Z166" s="203"/>
      <c r="AA166" s="203"/>
      <c r="AB166" s="203"/>
      <c r="AC166" s="203"/>
      <c r="AD166" s="203"/>
      <c r="AE166" s="203"/>
      <c r="AF166" s="203"/>
      <c r="AG166" s="203"/>
      <c r="AH166" s="203"/>
      <c r="AI166" s="203"/>
      <c r="AJ166" s="203"/>
      <c r="AK166" s="203"/>
      <c r="AL166" s="203"/>
      <c r="AM166" s="203"/>
      <c r="AN166" s="203"/>
      <c r="AO166" s="203"/>
      <c r="AP166" s="203"/>
      <c r="AQ166" s="203"/>
      <c r="AR166" s="203"/>
      <c r="AS166" s="203"/>
      <c r="AT166" s="203"/>
    </row>
    <row r="167" spans="4:46" s="155" customFormat="1" ht="11.25" x14ac:dyDescent="0.2">
      <c r="D167" s="203"/>
      <c r="E167" s="203"/>
      <c r="F167" s="203"/>
      <c r="G167" s="203"/>
      <c r="H167" s="203"/>
      <c r="I167" s="203"/>
      <c r="J167" s="203"/>
      <c r="K167" s="203"/>
      <c r="L167" s="203"/>
      <c r="M167" s="203"/>
      <c r="N167" s="203"/>
      <c r="O167" s="203"/>
      <c r="P167" s="203"/>
      <c r="Q167" s="203"/>
      <c r="R167" s="203"/>
      <c r="S167" s="203"/>
      <c r="T167" s="203"/>
      <c r="U167" s="203"/>
      <c r="V167" s="203"/>
      <c r="W167" s="203"/>
      <c r="X167" s="203"/>
      <c r="Y167" s="203"/>
      <c r="Z167" s="203"/>
      <c r="AA167" s="203"/>
      <c r="AB167" s="203"/>
      <c r="AC167" s="203"/>
      <c r="AD167" s="203"/>
      <c r="AE167" s="203"/>
      <c r="AF167" s="203"/>
      <c r="AG167" s="203"/>
      <c r="AH167" s="203"/>
      <c r="AI167" s="203"/>
      <c r="AJ167" s="203"/>
      <c r="AK167" s="203"/>
      <c r="AL167" s="203"/>
      <c r="AM167" s="203"/>
      <c r="AN167" s="203"/>
      <c r="AO167" s="203"/>
      <c r="AP167" s="203"/>
      <c r="AQ167" s="203"/>
      <c r="AR167" s="203"/>
      <c r="AS167" s="203"/>
      <c r="AT167" s="203"/>
    </row>
    <row r="168" spans="4:46" s="155" customFormat="1" ht="11.25" x14ac:dyDescent="0.2">
      <c r="D168" s="203"/>
      <c r="E168" s="203"/>
      <c r="F168" s="203"/>
      <c r="G168" s="203"/>
      <c r="H168" s="203"/>
      <c r="I168" s="203"/>
      <c r="J168" s="203"/>
      <c r="K168" s="203"/>
      <c r="L168" s="203"/>
      <c r="M168" s="203"/>
      <c r="N168" s="203"/>
      <c r="O168" s="203"/>
      <c r="P168" s="203"/>
      <c r="Q168" s="203"/>
      <c r="R168" s="203"/>
      <c r="S168" s="203"/>
      <c r="T168" s="203"/>
      <c r="U168" s="203"/>
      <c r="V168" s="203"/>
      <c r="W168" s="203"/>
      <c r="X168" s="203"/>
      <c r="Y168" s="203"/>
      <c r="Z168" s="203"/>
      <c r="AA168" s="203"/>
      <c r="AB168" s="203"/>
      <c r="AC168" s="203"/>
      <c r="AD168" s="203"/>
      <c r="AE168" s="203"/>
      <c r="AF168" s="203"/>
      <c r="AG168" s="203"/>
      <c r="AH168" s="203"/>
      <c r="AI168" s="203"/>
      <c r="AJ168" s="203"/>
      <c r="AK168" s="203"/>
      <c r="AL168" s="203"/>
      <c r="AM168" s="203"/>
      <c r="AN168" s="203"/>
      <c r="AO168" s="203"/>
      <c r="AP168" s="203"/>
      <c r="AQ168" s="203"/>
      <c r="AR168" s="203"/>
      <c r="AS168" s="203"/>
      <c r="AT168" s="203"/>
    </row>
    <row r="169" spans="4:46" s="155" customFormat="1" ht="11.25" x14ac:dyDescent="0.2">
      <c r="D169" s="203"/>
      <c r="E169" s="203"/>
      <c r="F169" s="203"/>
      <c r="G169" s="203"/>
      <c r="H169" s="203"/>
      <c r="I169" s="203"/>
      <c r="J169" s="203"/>
      <c r="K169" s="203"/>
      <c r="L169" s="203"/>
      <c r="M169" s="203"/>
      <c r="N169" s="203"/>
      <c r="O169" s="203"/>
      <c r="P169" s="203"/>
      <c r="Q169" s="203"/>
      <c r="R169" s="203"/>
      <c r="S169" s="203"/>
      <c r="T169" s="203"/>
      <c r="U169" s="203"/>
      <c r="V169" s="203"/>
      <c r="W169" s="203"/>
      <c r="X169" s="203"/>
      <c r="Y169" s="203"/>
      <c r="Z169" s="203"/>
      <c r="AA169" s="203"/>
      <c r="AB169" s="203"/>
      <c r="AC169" s="203"/>
      <c r="AD169" s="203"/>
      <c r="AE169" s="203"/>
      <c r="AF169" s="203"/>
      <c r="AG169" s="203"/>
      <c r="AH169" s="203"/>
      <c r="AI169" s="203"/>
      <c r="AJ169" s="203"/>
      <c r="AK169" s="203"/>
      <c r="AL169" s="203"/>
      <c r="AM169" s="203"/>
      <c r="AN169" s="203"/>
      <c r="AO169" s="203"/>
      <c r="AP169" s="203"/>
      <c r="AQ169" s="203"/>
      <c r="AR169" s="203"/>
      <c r="AS169" s="203"/>
      <c r="AT169" s="203"/>
    </row>
    <row r="170" spans="4:46" s="155" customFormat="1" ht="11.25" x14ac:dyDescent="0.2">
      <c r="D170" s="203"/>
      <c r="E170" s="203"/>
      <c r="F170" s="203"/>
      <c r="G170" s="203"/>
      <c r="H170" s="203"/>
      <c r="I170" s="203"/>
      <c r="J170" s="203"/>
      <c r="K170" s="203"/>
      <c r="L170" s="203"/>
      <c r="M170" s="203"/>
      <c r="N170" s="203"/>
      <c r="O170" s="203"/>
      <c r="P170" s="203"/>
      <c r="Q170" s="203"/>
      <c r="R170" s="203"/>
      <c r="S170" s="203"/>
      <c r="T170" s="203"/>
      <c r="U170" s="203"/>
      <c r="V170" s="203"/>
      <c r="W170" s="203"/>
      <c r="X170" s="203"/>
      <c r="Y170" s="203"/>
      <c r="Z170" s="203"/>
      <c r="AA170" s="203"/>
      <c r="AB170" s="203"/>
      <c r="AC170" s="203"/>
      <c r="AD170" s="203"/>
      <c r="AE170" s="203"/>
      <c r="AF170" s="203"/>
      <c r="AG170" s="203"/>
      <c r="AH170" s="203"/>
      <c r="AI170" s="203"/>
      <c r="AJ170" s="203"/>
      <c r="AK170" s="203"/>
      <c r="AL170" s="203"/>
      <c r="AM170" s="203"/>
      <c r="AN170" s="203"/>
      <c r="AO170" s="203"/>
      <c r="AP170" s="203"/>
      <c r="AQ170" s="203"/>
      <c r="AR170" s="203"/>
      <c r="AS170" s="203"/>
      <c r="AT170" s="203"/>
    </row>
    <row r="171" spans="4:46" s="155" customFormat="1" ht="11.25" x14ac:dyDescent="0.2">
      <c r="D171" s="203"/>
      <c r="E171" s="203"/>
      <c r="F171" s="203"/>
      <c r="G171" s="203"/>
      <c r="H171" s="203"/>
      <c r="I171" s="203"/>
      <c r="J171" s="203"/>
      <c r="K171" s="203"/>
      <c r="L171" s="203"/>
      <c r="M171" s="203"/>
      <c r="N171" s="203"/>
      <c r="O171" s="203"/>
      <c r="P171" s="203"/>
      <c r="Q171" s="203"/>
      <c r="R171" s="203"/>
      <c r="S171" s="203"/>
      <c r="T171" s="203"/>
      <c r="U171" s="203"/>
      <c r="V171" s="203"/>
      <c r="W171" s="203"/>
      <c r="X171" s="203"/>
      <c r="Y171" s="203"/>
      <c r="Z171" s="203"/>
      <c r="AA171" s="203"/>
      <c r="AB171" s="203"/>
      <c r="AC171" s="203"/>
      <c r="AD171" s="203"/>
      <c r="AE171" s="203"/>
      <c r="AF171" s="203"/>
      <c r="AG171" s="203"/>
      <c r="AH171" s="203"/>
      <c r="AI171" s="203"/>
      <c r="AJ171" s="203"/>
      <c r="AK171" s="203"/>
      <c r="AL171" s="203"/>
      <c r="AM171" s="203"/>
      <c r="AN171" s="203"/>
      <c r="AO171" s="203"/>
      <c r="AP171" s="203"/>
      <c r="AQ171" s="203"/>
      <c r="AR171" s="203"/>
      <c r="AS171" s="203"/>
      <c r="AT171" s="203"/>
    </row>
    <row r="172" spans="4:46" s="155" customFormat="1" ht="11.25" x14ac:dyDescent="0.2">
      <c r="D172" s="203"/>
      <c r="E172" s="203"/>
      <c r="F172" s="203"/>
      <c r="G172" s="203"/>
      <c r="H172" s="203"/>
      <c r="I172" s="203"/>
      <c r="J172" s="203"/>
      <c r="K172" s="203"/>
      <c r="L172" s="203"/>
      <c r="M172" s="203"/>
      <c r="N172" s="203"/>
      <c r="O172" s="203"/>
      <c r="P172" s="203"/>
      <c r="Q172" s="203"/>
      <c r="R172" s="203"/>
      <c r="S172" s="203"/>
      <c r="T172" s="203"/>
      <c r="U172" s="203"/>
      <c r="V172" s="203"/>
      <c r="W172" s="203"/>
      <c r="X172" s="203"/>
      <c r="Y172" s="203"/>
      <c r="Z172" s="203"/>
      <c r="AA172" s="203"/>
      <c r="AB172" s="203"/>
      <c r="AC172" s="203"/>
      <c r="AD172" s="203"/>
      <c r="AE172" s="203"/>
      <c r="AF172" s="203"/>
      <c r="AG172" s="203"/>
      <c r="AH172" s="203"/>
      <c r="AI172" s="203"/>
      <c r="AJ172" s="203"/>
      <c r="AK172" s="203"/>
      <c r="AL172" s="203"/>
      <c r="AM172" s="203"/>
      <c r="AN172" s="203"/>
      <c r="AO172" s="203"/>
      <c r="AP172" s="203"/>
      <c r="AQ172" s="203"/>
      <c r="AR172" s="203"/>
      <c r="AS172" s="203"/>
      <c r="AT172" s="203"/>
    </row>
    <row r="173" spans="4:46" s="155" customFormat="1" ht="11.25" x14ac:dyDescent="0.2">
      <c r="D173" s="203"/>
      <c r="E173" s="203"/>
      <c r="F173" s="203"/>
      <c r="G173" s="203"/>
      <c r="H173" s="203"/>
      <c r="I173" s="203"/>
      <c r="J173" s="203"/>
      <c r="K173" s="203"/>
      <c r="L173" s="203"/>
      <c r="M173" s="203"/>
      <c r="N173" s="203"/>
      <c r="O173" s="203"/>
      <c r="P173" s="203"/>
      <c r="Q173" s="203"/>
      <c r="R173" s="203"/>
      <c r="S173" s="203"/>
      <c r="T173" s="203"/>
      <c r="U173" s="203"/>
      <c r="V173" s="203"/>
      <c r="W173" s="203"/>
      <c r="X173" s="203"/>
      <c r="Y173" s="203"/>
      <c r="Z173" s="203"/>
      <c r="AA173" s="203"/>
      <c r="AB173" s="203"/>
      <c r="AC173" s="203"/>
      <c r="AD173" s="203"/>
      <c r="AE173" s="203"/>
      <c r="AF173" s="203"/>
      <c r="AG173" s="203"/>
      <c r="AH173" s="203"/>
      <c r="AI173" s="203"/>
      <c r="AJ173" s="203"/>
      <c r="AK173" s="203"/>
      <c r="AL173" s="203"/>
      <c r="AM173" s="203"/>
      <c r="AN173" s="203"/>
      <c r="AO173" s="203"/>
      <c r="AP173" s="203"/>
      <c r="AQ173" s="203"/>
      <c r="AR173" s="203"/>
      <c r="AS173" s="203"/>
      <c r="AT173" s="203"/>
    </row>
    <row r="174" spans="4:46" s="155" customFormat="1" ht="11.25" x14ac:dyDescent="0.2">
      <c r="D174" s="203"/>
      <c r="E174" s="203"/>
      <c r="F174" s="203"/>
      <c r="G174" s="203"/>
      <c r="H174" s="203"/>
      <c r="I174" s="203"/>
      <c r="J174" s="203"/>
      <c r="K174" s="203"/>
      <c r="L174" s="203"/>
      <c r="M174" s="203"/>
      <c r="N174" s="203"/>
      <c r="O174" s="203"/>
      <c r="P174" s="203"/>
      <c r="Q174" s="203"/>
      <c r="R174" s="203"/>
      <c r="S174" s="203"/>
      <c r="T174" s="203"/>
      <c r="U174" s="203"/>
      <c r="V174" s="203"/>
      <c r="W174" s="203"/>
      <c r="X174" s="203"/>
      <c r="Y174" s="203"/>
      <c r="Z174" s="203"/>
      <c r="AA174" s="203"/>
      <c r="AB174" s="203"/>
      <c r="AC174" s="203"/>
      <c r="AD174" s="203"/>
      <c r="AE174" s="203"/>
      <c r="AF174" s="203"/>
      <c r="AG174" s="203"/>
      <c r="AH174" s="203"/>
      <c r="AI174" s="203"/>
      <c r="AJ174" s="203"/>
      <c r="AK174" s="203"/>
      <c r="AL174" s="203"/>
      <c r="AM174" s="203"/>
      <c r="AN174" s="203"/>
      <c r="AO174" s="203"/>
      <c r="AP174" s="203"/>
      <c r="AQ174" s="203"/>
      <c r="AR174" s="203"/>
      <c r="AS174" s="203"/>
      <c r="AT174" s="203"/>
    </row>
    <row r="175" spans="4:46" s="155" customFormat="1" ht="11.25" x14ac:dyDescent="0.2">
      <c r="D175" s="203"/>
      <c r="E175" s="203"/>
      <c r="F175" s="203"/>
      <c r="G175" s="203"/>
      <c r="H175" s="203"/>
      <c r="I175" s="203"/>
      <c r="J175" s="203"/>
      <c r="K175" s="203"/>
      <c r="L175" s="203"/>
      <c r="M175" s="203"/>
      <c r="N175" s="203"/>
      <c r="O175" s="203"/>
      <c r="P175" s="203"/>
      <c r="Q175" s="203"/>
      <c r="R175" s="203"/>
      <c r="S175" s="203"/>
      <c r="T175" s="203"/>
      <c r="U175" s="203"/>
      <c r="V175" s="203"/>
      <c r="W175" s="203"/>
      <c r="X175" s="203"/>
      <c r="Y175" s="203"/>
      <c r="Z175" s="203"/>
      <c r="AA175" s="203"/>
      <c r="AB175" s="203"/>
      <c r="AC175" s="203"/>
      <c r="AD175" s="203"/>
      <c r="AE175" s="203"/>
      <c r="AF175" s="203"/>
      <c r="AG175" s="203"/>
      <c r="AH175" s="203"/>
      <c r="AI175" s="203"/>
      <c r="AJ175" s="203"/>
      <c r="AK175" s="203"/>
      <c r="AL175" s="203"/>
      <c r="AM175" s="203"/>
      <c r="AN175" s="203"/>
      <c r="AO175" s="203"/>
      <c r="AP175" s="203"/>
      <c r="AQ175" s="203"/>
      <c r="AR175" s="203"/>
      <c r="AS175" s="203"/>
      <c r="AT175" s="203"/>
    </row>
    <row r="176" spans="4:46" s="155" customFormat="1" ht="11.25" x14ac:dyDescent="0.2">
      <c r="D176" s="203"/>
      <c r="E176" s="203"/>
      <c r="F176" s="203"/>
      <c r="G176" s="203"/>
      <c r="H176" s="203"/>
      <c r="I176" s="203"/>
      <c r="J176" s="203"/>
      <c r="K176" s="203"/>
      <c r="L176" s="203"/>
      <c r="M176" s="203"/>
      <c r="N176" s="203"/>
      <c r="O176" s="203"/>
      <c r="P176" s="203"/>
      <c r="Q176" s="203"/>
      <c r="R176" s="203"/>
      <c r="S176" s="203"/>
      <c r="T176" s="203"/>
      <c r="U176" s="203"/>
      <c r="V176" s="203"/>
      <c r="W176" s="203"/>
      <c r="X176" s="203"/>
      <c r="Y176" s="203"/>
      <c r="Z176" s="203"/>
      <c r="AA176" s="203"/>
      <c r="AB176" s="203"/>
      <c r="AC176" s="203"/>
      <c r="AD176" s="203"/>
      <c r="AE176" s="203"/>
      <c r="AF176" s="203"/>
      <c r="AG176" s="203"/>
      <c r="AH176" s="203"/>
      <c r="AI176" s="203"/>
      <c r="AJ176" s="203"/>
      <c r="AK176" s="203"/>
      <c r="AL176" s="203"/>
      <c r="AM176" s="203"/>
      <c r="AN176" s="203"/>
      <c r="AO176" s="203"/>
      <c r="AP176" s="203"/>
      <c r="AQ176" s="203"/>
      <c r="AR176" s="203"/>
      <c r="AS176" s="203"/>
      <c r="AT176" s="203"/>
    </row>
    <row r="177" spans="4:46" s="155" customFormat="1" ht="11.25" x14ac:dyDescent="0.2">
      <c r="D177" s="203"/>
      <c r="E177" s="203"/>
      <c r="F177" s="203"/>
      <c r="G177" s="203"/>
      <c r="H177" s="203"/>
      <c r="I177" s="203"/>
      <c r="J177" s="203"/>
      <c r="K177" s="203"/>
      <c r="L177" s="203"/>
      <c r="M177" s="203"/>
      <c r="N177" s="203"/>
      <c r="O177" s="203"/>
      <c r="P177" s="203"/>
      <c r="Q177" s="203"/>
      <c r="R177" s="203"/>
      <c r="S177" s="203"/>
      <c r="T177" s="203"/>
      <c r="U177" s="203"/>
      <c r="V177" s="203"/>
      <c r="W177" s="203"/>
      <c r="X177" s="203"/>
      <c r="Y177" s="203"/>
      <c r="Z177" s="203"/>
      <c r="AA177" s="203"/>
      <c r="AB177" s="203"/>
      <c r="AC177" s="203"/>
      <c r="AD177" s="203"/>
      <c r="AE177" s="203"/>
      <c r="AF177" s="203"/>
      <c r="AG177" s="203"/>
      <c r="AH177" s="203"/>
      <c r="AI177" s="203"/>
      <c r="AJ177" s="203"/>
      <c r="AK177" s="203"/>
      <c r="AL177" s="203"/>
      <c r="AM177" s="203"/>
      <c r="AN177" s="203"/>
      <c r="AO177" s="203"/>
      <c r="AP177" s="203"/>
      <c r="AQ177" s="203"/>
      <c r="AR177" s="203"/>
      <c r="AS177" s="203"/>
      <c r="AT177" s="203"/>
    </row>
    <row r="178" spans="4:46" s="155" customFormat="1" ht="11.25" x14ac:dyDescent="0.2">
      <c r="D178" s="203"/>
      <c r="E178" s="203"/>
      <c r="F178" s="203"/>
      <c r="G178" s="203"/>
      <c r="H178" s="203"/>
      <c r="I178" s="203"/>
      <c r="J178" s="203"/>
      <c r="K178" s="203"/>
      <c r="L178" s="203"/>
      <c r="M178" s="203"/>
      <c r="N178" s="203"/>
      <c r="O178" s="203"/>
      <c r="P178" s="203"/>
      <c r="Q178" s="203"/>
      <c r="R178" s="203"/>
      <c r="S178" s="203"/>
      <c r="T178" s="203"/>
      <c r="U178" s="203"/>
      <c r="V178" s="203"/>
      <c r="W178" s="203"/>
      <c r="X178" s="203"/>
      <c r="Y178" s="203"/>
      <c r="Z178" s="203"/>
      <c r="AA178" s="203"/>
      <c r="AB178" s="203"/>
      <c r="AC178" s="203"/>
      <c r="AD178" s="203"/>
      <c r="AE178" s="203"/>
      <c r="AF178" s="203"/>
      <c r="AG178" s="203"/>
      <c r="AH178" s="203"/>
      <c r="AI178" s="203"/>
      <c r="AJ178" s="203"/>
      <c r="AK178" s="203"/>
      <c r="AL178" s="203"/>
      <c r="AM178" s="203"/>
      <c r="AN178" s="203"/>
      <c r="AO178" s="203"/>
      <c r="AP178" s="203"/>
      <c r="AQ178" s="203"/>
      <c r="AR178" s="203"/>
      <c r="AS178" s="203"/>
      <c r="AT178" s="203"/>
    </row>
    <row r="179" spans="4:46" s="155" customFormat="1" ht="11.25" x14ac:dyDescent="0.2">
      <c r="D179" s="203"/>
      <c r="E179" s="203"/>
      <c r="F179" s="203"/>
      <c r="G179" s="203"/>
      <c r="H179" s="203"/>
      <c r="I179" s="203"/>
      <c r="J179" s="203"/>
      <c r="K179" s="203"/>
      <c r="L179" s="203"/>
      <c r="M179" s="203"/>
      <c r="N179" s="203"/>
      <c r="O179" s="203"/>
      <c r="P179" s="203"/>
      <c r="Q179" s="203"/>
      <c r="R179" s="203"/>
      <c r="S179" s="203"/>
      <c r="T179" s="203"/>
      <c r="U179" s="203"/>
      <c r="V179" s="203"/>
      <c r="W179" s="203"/>
      <c r="X179" s="203"/>
      <c r="Y179" s="203"/>
      <c r="Z179" s="203"/>
      <c r="AA179" s="203"/>
      <c r="AB179" s="203"/>
      <c r="AC179" s="203"/>
      <c r="AD179" s="203"/>
      <c r="AE179" s="203"/>
      <c r="AF179" s="203"/>
      <c r="AG179" s="203"/>
      <c r="AH179" s="203"/>
      <c r="AI179" s="203"/>
      <c r="AJ179" s="203"/>
      <c r="AK179" s="203"/>
      <c r="AL179" s="203"/>
      <c r="AM179" s="203"/>
      <c r="AN179" s="203"/>
      <c r="AO179" s="203"/>
      <c r="AP179" s="203"/>
      <c r="AQ179" s="203"/>
      <c r="AR179" s="203"/>
      <c r="AS179" s="203"/>
      <c r="AT179" s="203"/>
    </row>
    <row r="180" spans="4:46" s="155" customFormat="1" ht="11.25" x14ac:dyDescent="0.2">
      <c r="D180" s="203"/>
      <c r="E180" s="203"/>
      <c r="F180" s="203"/>
      <c r="G180" s="203"/>
      <c r="H180" s="203"/>
      <c r="I180" s="203"/>
      <c r="J180" s="203"/>
      <c r="K180" s="203"/>
      <c r="L180" s="203"/>
      <c r="M180" s="203"/>
      <c r="N180" s="203"/>
      <c r="O180" s="203"/>
      <c r="P180" s="203"/>
      <c r="Q180" s="203"/>
      <c r="R180" s="203"/>
      <c r="S180" s="203"/>
      <c r="T180" s="203"/>
      <c r="U180" s="203"/>
      <c r="V180" s="203"/>
      <c r="W180" s="203"/>
      <c r="X180" s="203"/>
      <c r="Y180" s="203"/>
      <c r="Z180" s="203"/>
      <c r="AA180" s="203"/>
      <c r="AB180" s="203"/>
      <c r="AC180" s="203"/>
      <c r="AD180" s="203"/>
      <c r="AE180" s="203"/>
      <c r="AF180" s="203"/>
      <c r="AG180" s="203"/>
      <c r="AH180" s="203"/>
      <c r="AI180" s="203"/>
      <c r="AJ180" s="203"/>
      <c r="AK180" s="203"/>
      <c r="AL180" s="203"/>
      <c r="AM180" s="203"/>
      <c r="AN180" s="203"/>
      <c r="AO180" s="203"/>
      <c r="AP180" s="203"/>
      <c r="AQ180" s="203"/>
      <c r="AR180" s="203"/>
      <c r="AS180" s="203"/>
      <c r="AT180" s="203"/>
    </row>
    <row r="181" spans="4:46" s="155" customFormat="1" ht="11.25" x14ac:dyDescent="0.2">
      <c r="D181" s="203"/>
      <c r="E181" s="203"/>
      <c r="F181" s="203"/>
      <c r="G181" s="203"/>
      <c r="H181" s="203"/>
      <c r="I181" s="203"/>
      <c r="J181" s="203"/>
      <c r="K181" s="203"/>
      <c r="L181" s="203"/>
      <c r="M181" s="203"/>
      <c r="N181" s="203"/>
      <c r="O181" s="203"/>
      <c r="P181" s="203"/>
      <c r="Q181" s="203"/>
      <c r="R181" s="203"/>
      <c r="S181" s="203"/>
      <c r="T181" s="203"/>
      <c r="U181" s="203"/>
      <c r="V181" s="203"/>
      <c r="W181" s="203"/>
      <c r="X181" s="203"/>
      <c r="Y181" s="203"/>
      <c r="Z181" s="203"/>
      <c r="AA181" s="203"/>
      <c r="AB181" s="203"/>
      <c r="AC181" s="203"/>
      <c r="AD181" s="203"/>
      <c r="AE181" s="203"/>
      <c r="AF181" s="203"/>
      <c r="AG181" s="203"/>
      <c r="AH181" s="203"/>
      <c r="AI181" s="203"/>
      <c r="AJ181" s="203"/>
      <c r="AK181" s="203"/>
      <c r="AL181" s="203"/>
      <c r="AM181" s="203"/>
      <c r="AN181" s="203"/>
      <c r="AO181" s="203"/>
      <c r="AP181" s="203"/>
      <c r="AQ181" s="203"/>
      <c r="AR181" s="203"/>
      <c r="AS181" s="203"/>
      <c r="AT181" s="203"/>
    </row>
    <row r="182" spans="4:46" s="155" customFormat="1" ht="11.25" x14ac:dyDescent="0.2">
      <c r="D182" s="203"/>
      <c r="E182" s="203"/>
      <c r="F182" s="203"/>
      <c r="G182" s="203"/>
      <c r="H182" s="203"/>
      <c r="I182" s="203"/>
      <c r="J182" s="203"/>
      <c r="K182" s="203"/>
      <c r="L182" s="203"/>
      <c r="M182" s="203"/>
      <c r="N182" s="203"/>
      <c r="O182" s="203"/>
      <c r="P182" s="203"/>
      <c r="Q182" s="203"/>
      <c r="R182" s="203"/>
      <c r="S182" s="203"/>
      <c r="T182" s="203"/>
      <c r="U182" s="203"/>
      <c r="V182" s="203"/>
      <c r="W182" s="203"/>
      <c r="X182" s="203"/>
      <c r="Y182" s="203"/>
      <c r="Z182" s="203"/>
      <c r="AA182" s="203"/>
      <c r="AB182" s="203"/>
      <c r="AC182" s="203"/>
      <c r="AD182" s="203"/>
      <c r="AE182" s="203"/>
      <c r="AF182" s="203"/>
      <c r="AG182" s="203"/>
      <c r="AH182" s="203"/>
      <c r="AI182" s="203"/>
      <c r="AJ182" s="203"/>
      <c r="AK182" s="203"/>
      <c r="AL182" s="203"/>
      <c r="AM182" s="203"/>
      <c r="AN182" s="203"/>
      <c r="AO182" s="203"/>
      <c r="AP182" s="203"/>
      <c r="AQ182" s="203"/>
      <c r="AR182" s="203"/>
      <c r="AS182" s="203"/>
      <c r="AT182" s="203"/>
    </row>
    <row r="183" spans="4:46" s="155" customFormat="1" ht="11.25" x14ac:dyDescent="0.2">
      <c r="D183" s="203"/>
      <c r="E183" s="203"/>
      <c r="F183" s="203"/>
      <c r="G183" s="203"/>
      <c r="H183" s="203"/>
      <c r="I183" s="203"/>
      <c r="J183" s="203"/>
      <c r="K183" s="203"/>
      <c r="L183" s="203"/>
      <c r="M183" s="203"/>
      <c r="N183" s="203"/>
      <c r="O183" s="203"/>
      <c r="P183" s="203"/>
      <c r="Q183" s="203"/>
      <c r="R183" s="203"/>
      <c r="S183" s="203"/>
      <c r="T183" s="203"/>
      <c r="U183" s="203"/>
      <c r="V183" s="203"/>
      <c r="W183" s="203"/>
      <c r="X183" s="203"/>
      <c r="Y183" s="203"/>
      <c r="Z183" s="203"/>
      <c r="AA183" s="203"/>
      <c r="AB183" s="203"/>
      <c r="AC183" s="203"/>
      <c r="AD183" s="203"/>
      <c r="AE183" s="203"/>
      <c r="AF183" s="203"/>
      <c r="AG183" s="203"/>
      <c r="AH183" s="203"/>
      <c r="AI183" s="203"/>
      <c r="AJ183" s="203"/>
      <c r="AK183" s="203"/>
      <c r="AL183" s="203"/>
      <c r="AM183" s="203"/>
      <c r="AN183" s="203"/>
      <c r="AO183" s="203"/>
      <c r="AP183" s="203"/>
      <c r="AQ183" s="203"/>
      <c r="AR183" s="203"/>
      <c r="AS183" s="203"/>
      <c r="AT183" s="203"/>
    </row>
    <row r="184" spans="4:46" s="155" customFormat="1" ht="11.25" x14ac:dyDescent="0.2">
      <c r="D184" s="203"/>
      <c r="E184" s="203"/>
      <c r="F184" s="203"/>
      <c r="G184" s="203"/>
      <c r="H184" s="203"/>
      <c r="I184" s="203"/>
      <c r="J184" s="203"/>
      <c r="K184" s="203"/>
      <c r="L184" s="203"/>
      <c r="M184" s="203"/>
      <c r="N184" s="203"/>
      <c r="O184" s="203"/>
      <c r="P184" s="203"/>
      <c r="Q184" s="203"/>
      <c r="R184" s="203"/>
      <c r="S184" s="203"/>
      <c r="T184" s="203"/>
      <c r="U184" s="203"/>
      <c r="V184" s="203"/>
      <c r="W184" s="203"/>
      <c r="X184" s="203"/>
      <c r="Y184" s="203"/>
      <c r="Z184" s="203"/>
      <c r="AA184" s="203"/>
      <c r="AB184" s="203"/>
      <c r="AC184" s="203"/>
      <c r="AD184" s="203"/>
      <c r="AE184" s="203"/>
      <c r="AF184" s="203"/>
      <c r="AG184" s="203"/>
      <c r="AH184" s="203"/>
      <c r="AI184" s="203"/>
      <c r="AJ184" s="203"/>
      <c r="AK184" s="203"/>
      <c r="AL184" s="203"/>
      <c r="AM184" s="203"/>
      <c r="AN184" s="203"/>
      <c r="AO184" s="203"/>
      <c r="AP184" s="203"/>
      <c r="AQ184" s="203"/>
      <c r="AR184" s="203"/>
      <c r="AS184" s="203"/>
      <c r="AT184" s="203"/>
    </row>
    <row r="185" spans="4:46" s="155" customFormat="1" ht="11.25" x14ac:dyDescent="0.2">
      <c r="D185" s="203"/>
      <c r="E185" s="203"/>
      <c r="F185" s="203"/>
      <c r="G185" s="203"/>
      <c r="H185" s="203"/>
      <c r="I185" s="203"/>
      <c r="J185" s="203"/>
      <c r="K185" s="203"/>
      <c r="L185" s="203"/>
      <c r="M185" s="203"/>
      <c r="N185" s="203"/>
      <c r="O185" s="203"/>
      <c r="P185" s="203"/>
      <c r="Q185" s="203"/>
      <c r="R185" s="203"/>
      <c r="S185" s="203"/>
      <c r="T185" s="203"/>
      <c r="U185" s="203"/>
      <c r="V185" s="203"/>
      <c r="W185" s="203"/>
      <c r="X185" s="203"/>
      <c r="Y185" s="203"/>
      <c r="Z185" s="203"/>
      <c r="AA185" s="203"/>
      <c r="AB185" s="203"/>
      <c r="AC185" s="203"/>
      <c r="AD185" s="203"/>
      <c r="AE185" s="203"/>
      <c r="AF185" s="203"/>
      <c r="AG185" s="203"/>
      <c r="AH185" s="203"/>
      <c r="AI185" s="203"/>
      <c r="AJ185" s="203"/>
      <c r="AK185" s="203"/>
      <c r="AL185" s="203"/>
      <c r="AM185" s="203"/>
      <c r="AN185" s="203"/>
      <c r="AO185" s="203"/>
      <c r="AP185" s="203"/>
      <c r="AQ185" s="203"/>
      <c r="AR185" s="203"/>
      <c r="AS185" s="203"/>
      <c r="AT185" s="203"/>
    </row>
    <row r="186" spans="4:46" s="155" customFormat="1" ht="11.25" x14ac:dyDescent="0.2">
      <c r="D186" s="203"/>
      <c r="E186" s="203"/>
      <c r="F186" s="203"/>
      <c r="G186" s="203"/>
      <c r="H186" s="203"/>
      <c r="I186" s="203"/>
      <c r="J186" s="203"/>
      <c r="K186" s="203"/>
      <c r="L186" s="203"/>
      <c r="M186" s="203"/>
      <c r="N186" s="203"/>
      <c r="O186" s="203"/>
      <c r="P186" s="203"/>
      <c r="Q186" s="203"/>
      <c r="R186" s="203"/>
      <c r="S186" s="203"/>
      <c r="T186" s="203"/>
      <c r="U186" s="203"/>
      <c r="V186" s="203"/>
      <c r="W186" s="203"/>
      <c r="X186" s="203"/>
      <c r="Y186" s="203"/>
      <c r="Z186" s="203"/>
      <c r="AA186" s="203"/>
      <c r="AB186" s="203"/>
      <c r="AC186" s="203"/>
      <c r="AD186" s="203"/>
      <c r="AE186" s="203"/>
      <c r="AF186" s="203"/>
      <c r="AG186" s="203"/>
      <c r="AH186" s="203"/>
      <c r="AI186" s="203"/>
      <c r="AJ186" s="203"/>
      <c r="AK186" s="203"/>
      <c r="AL186" s="203"/>
      <c r="AM186" s="203"/>
      <c r="AN186" s="203"/>
      <c r="AO186" s="203"/>
      <c r="AP186" s="203"/>
      <c r="AQ186" s="203"/>
      <c r="AR186" s="203"/>
      <c r="AS186" s="203"/>
      <c r="AT186" s="203"/>
    </row>
    <row r="187" spans="4:46" s="155" customFormat="1" ht="11.25" x14ac:dyDescent="0.2">
      <c r="D187" s="203"/>
      <c r="E187" s="203"/>
      <c r="F187" s="203"/>
      <c r="G187" s="203"/>
      <c r="H187" s="203"/>
      <c r="I187" s="203"/>
      <c r="J187" s="203"/>
      <c r="K187" s="203"/>
      <c r="L187" s="203"/>
      <c r="M187" s="203"/>
      <c r="N187" s="203"/>
      <c r="O187" s="203"/>
      <c r="P187" s="203"/>
      <c r="Q187" s="203"/>
      <c r="R187" s="203"/>
      <c r="S187" s="203"/>
      <c r="T187" s="203"/>
      <c r="U187" s="203"/>
      <c r="V187" s="203"/>
      <c r="W187" s="203"/>
      <c r="X187" s="203"/>
      <c r="Y187" s="203"/>
      <c r="Z187" s="203"/>
      <c r="AA187" s="203"/>
      <c r="AB187" s="203"/>
      <c r="AC187" s="203"/>
      <c r="AD187" s="203"/>
      <c r="AE187" s="203"/>
      <c r="AF187" s="203"/>
      <c r="AG187" s="203"/>
      <c r="AH187" s="203"/>
      <c r="AI187" s="203"/>
      <c r="AJ187" s="203"/>
      <c r="AK187" s="203"/>
      <c r="AL187" s="203"/>
      <c r="AM187" s="203"/>
      <c r="AN187" s="203"/>
      <c r="AO187" s="203"/>
      <c r="AP187" s="203"/>
      <c r="AQ187" s="203"/>
      <c r="AR187" s="203"/>
      <c r="AS187" s="203"/>
      <c r="AT187" s="203"/>
    </row>
    <row r="188" spans="4:46" s="155" customFormat="1" ht="11.25" x14ac:dyDescent="0.2">
      <c r="D188" s="203"/>
      <c r="E188" s="203"/>
      <c r="F188" s="203"/>
      <c r="G188" s="203"/>
      <c r="H188" s="203"/>
      <c r="I188" s="203"/>
      <c r="J188" s="203"/>
      <c r="K188" s="203"/>
      <c r="L188" s="203"/>
      <c r="M188" s="203"/>
      <c r="N188" s="203"/>
      <c r="O188" s="203"/>
      <c r="P188" s="203"/>
      <c r="Q188" s="203"/>
      <c r="R188" s="203"/>
      <c r="S188" s="203"/>
      <c r="T188" s="203"/>
      <c r="U188" s="203"/>
      <c r="V188" s="203"/>
      <c r="W188" s="203"/>
      <c r="X188" s="203"/>
      <c r="Y188" s="203"/>
      <c r="Z188" s="203"/>
      <c r="AA188" s="203"/>
      <c r="AB188" s="203"/>
      <c r="AC188" s="203"/>
      <c r="AD188" s="203"/>
      <c r="AE188" s="203"/>
      <c r="AF188" s="203"/>
      <c r="AG188" s="203"/>
      <c r="AH188" s="203"/>
      <c r="AI188" s="203"/>
      <c r="AJ188" s="203"/>
      <c r="AK188" s="203"/>
      <c r="AL188" s="203"/>
      <c r="AM188" s="203"/>
      <c r="AN188" s="203"/>
      <c r="AO188" s="203"/>
      <c r="AP188" s="203"/>
      <c r="AQ188" s="203"/>
      <c r="AR188" s="203"/>
      <c r="AS188" s="203"/>
      <c r="AT188" s="203"/>
    </row>
    <row r="189" spans="4:46" s="155" customFormat="1" ht="11.25" x14ac:dyDescent="0.2">
      <c r="D189" s="203"/>
      <c r="E189" s="203"/>
      <c r="F189" s="203"/>
      <c r="G189" s="203"/>
      <c r="H189" s="203"/>
      <c r="I189" s="203"/>
      <c r="J189" s="203"/>
      <c r="K189" s="203"/>
      <c r="L189" s="203"/>
      <c r="M189" s="203"/>
      <c r="N189" s="203"/>
      <c r="O189" s="203"/>
      <c r="P189" s="203"/>
      <c r="Q189" s="203"/>
      <c r="R189" s="203"/>
      <c r="S189" s="203"/>
      <c r="T189" s="203"/>
      <c r="U189" s="203"/>
      <c r="V189" s="203"/>
      <c r="W189" s="203"/>
      <c r="X189" s="203"/>
      <c r="Y189" s="203"/>
      <c r="Z189" s="203"/>
      <c r="AA189" s="203"/>
      <c r="AB189" s="203"/>
      <c r="AC189" s="203"/>
      <c r="AD189" s="203"/>
      <c r="AE189" s="203"/>
      <c r="AF189" s="203"/>
      <c r="AG189" s="203"/>
      <c r="AH189" s="203"/>
      <c r="AI189" s="203"/>
      <c r="AJ189" s="203"/>
      <c r="AK189" s="203"/>
      <c r="AL189" s="203"/>
      <c r="AM189" s="203"/>
      <c r="AN189" s="203"/>
      <c r="AO189" s="203"/>
      <c r="AP189" s="203"/>
      <c r="AQ189" s="203"/>
      <c r="AR189" s="203"/>
      <c r="AS189" s="203"/>
      <c r="AT189" s="203"/>
    </row>
    <row r="190" spans="4:46" s="155" customFormat="1" ht="11.25" x14ac:dyDescent="0.2">
      <c r="D190" s="203"/>
      <c r="E190" s="203"/>
      <c r="F190" s="203"/>
      <c r="G190" s="203"/>
      <c r="H190" s="203"/>
      <c r="I190" s="203"/>
      <c r="J190" s="203"/>
      <c r="K190" s="203"/>
      <c r="L190" s="203"/>
      <c r="M190" s="203"/>
      <c r="N190" s="203"/>
      <c r="O190" s="203"/>
      <c r="P190" s="203"/>
      <c r="Q190" s="203"/>
      <c r="R190" s="203"/>
      <c r="S190" s="203"/>
      <c r="T190" s="203"/>
      <c r="U190" s="203"/>
      <c r="V190" s="203"/>
      <c r="W190" s="203"/>
      <c r="X190" s="203"/>
      <c r="Y190" s="203"/>
      <c r="Z190" s="203"/>
      <c r="AA190" s="203"/>
      <c r="AB190" s="203"/>
      <c r="AC190" s="203"/>
      <c r="AD190" s="203"/>
      <c r="AE190" s="203"/>
      <c r="AF190" s="203"/>
      <c r="AG190" s="203"/>
      <c r="AH190" s="203"/>
      <c r="AI190" s="203"/>
      <c r="AJ190" s="203"/>
      <c r="AK190" s="203"/>
      <c r="AL190" s="203"/>
      <c r="AM190" s="203"/>
      <c r="AN190" s="203"/>
      <c r="AO190" s="203"/>
      <c r="AP190" s="203"/>
      <c r="AQ190" s="203"/>
      <c r="AR190" s="203"/>
      <c r="AS190" s="203"/>
      <c r="AT190" s="203"/>
    </row>
    <row r="191" spans="4:46" s="155" customFormat="1" ht="11.25" x14ac:dyDescent="0.2">
      <c r="D191" s="203"/>
      <c r="E191" s="203"/>
      <c r="F191" s="203"/>
      <c r="G191" s="203"/>
      <c r="H191" s="203"/>
      <c r="I191" s="203"/>
      <c r="J191" s="203"/>
      <c r="K191" s="203"/>
      <c r="L191" s="203"/>
      <c r="M191" s="203"/>
      <c r="N191" s="203"/>
      <c r="O191" s="203"/>
      <c r="P191" s="203"/>
      <c r="Q191" s="203"/>
      <c r="R191" s="203"/>
      <c r="S191" s="203"/>
      <c r="T191" s="203"/>
      <c r="U191" s="203"/>
      <c r="V191" s="203"/>
      <c r="W191" s="203"/>
      <c r="X191" s="203"/>
      <c r="Y191" s="203"/>
      <c r="Z191" s="203"/>
      <c r="AA191" s="203"/>
      <c r="AB191" s="203"/>
      <c r="AC191" s="203"/>
      <c r="AD191" s="203"/>
      <c r="AE191" s="203"/>
      <c r="AF191" s="203"/>
      <c r="AG191" s="203"/>
      <c r="AH191" s="203"/>
      <c r="AI191" s="203"/>
      <c r="AJ191" s="203"/>
      <c r="AK191" s="203"/>
      <c r="AL191" s="203"/>
      <c r="AM191" s="203"/>
      <c r="AN191" s="203"/>
      <c r="AO191" s="203"/>
      <c r="AP191" s="203"/>
      <c r="AQ191" s="203"/>
      <c r="AR191" s="203"/>
      <c r="AS191" s="203"/>
      <c r="AT191" s="203"/>
    </row>
    <row r="192" spans="4:46" s="155" customFormat="1" ht="11.25" x14ac:dyDescent="0.2">
      <c r="D192" s="203"/>
      <c r="E192" s="203"/>
      <c r="F192" s="203"/>
      <c r="G192" s="203"/>
      <c r="H192" s="203"/>
      <c r="I192" s="203"/>
      <c r="J192" s="203"/>
      <c r="K192" s="203"/>
      <c r="L192" s="203"/>
      <c r="M192" s="203"/>
      <c r="N192" s="203"/>
      <c r="O192" s="203"/>
      <c r="P192" s="203"/>
      <c r="Q192" s="203"/>
      <c r="R192" s="203"/>
      <c r="S192" s="203"/>
      <c r="T192" s="203"/>
      <c r="U192" s="203"/>
      <c r="V192" s="203"/>
      <c r="W192" s="203"/>
      <c r="X192" s="203"/>
      <c r="Y192" s="203"/>
      <c r="Z192" s="203"/>
      <c r="AA192" s="203"/>
      <c r="AB192" s="203"/>
      <c r="AC192" s="203"/>
      <c r="AD192" s="203"/>
      <c r="AE192" s="203"/>
      <c r="AF192" s="203"/>
      <c r="AG192" s="203"/>
      <c r="AH192" s="203"/>
      <c r="AI192" s="203"/>
      <c r="AJ192" s="203"/>
      <c r="AK192" s="203"/>
      <c r="AL192" s="203"/>
      <c r="AM192" s="203"/>
      <c r="AN192" s="203"/>
      <c r="AO192" s="203"/>
      <c r="AP192" s="203"/>
      <c r="AQ192" s="203"/>
      <c r="AR192" s="203"/>
      <c r="AS192" s="203"/>
      <c r="AT192" s="203"/>
    </row>
    <row r="193" spans="4:46" s="155" customFormat="1" ht="11.25" x14ac:dyDescent="0.2">
      <c r="D193" s="203"/>
      <c r="E193" s="203"/>
      <c r="F193" s="203"/>
      <c r="G193" s="203"/>
      <c r="H193" s="203"/>
      <c r="I193" s="203"/>
      <c r="J193" s="203"/>
      <c r="K193" s="203"/>
      <c r="L193" s="203"/>
      <c r="M193" s="203"/>
      <c r="N193" s="203"/>
      <c r="O193" s="203"/>
      <c r="P193" s="203"/>
      <c r="Q193" s="203"/>
      <c r="R193" s="203"/>
      <c r="S193" s="203"/>
      <c r="T193" s="203"/>
      <c r="U193" s="203"/>
      <c r="V193" s="203"/>
      <c r="W193" s="203"/>
      <c r="X193" s="203"/>
      <c r="Y193" s="203"/>
      <c r="Z193" s="203"/>
      <c r="AA193" s="203"/>
      <c r="AB193" s="203"/>
      <c r="AC193" s="203"/>
      <c r="AD193" s="203"/>
      <c r="AE193" s="203"/>
      <c r="AF193" s="203"/>
      <c r="AG193" s="203"/>
      <c r="AH193" s="203"/>
      <c r="AI193" s="203"/>
      <c r="AJ193" s="203"/>
      <c r="AK193" s="203"/>
      <c r="AL193" s="203"/>
      <c r="AM193" s="203"/>
      <c r="AN193" s="203"/>
      <c r="AO193" s="203"/>
      <c r="AP193" s="203"/>
      <c r="AQ193" s="203"/>
      <c r="AR193" s="203"/>
      <c r="AS193" s="203"/>
      <c r="AT193" s="203"/>
    </row>
    <row r="194" spans="4:46" s="155" customFormat="1" ht="11.25" x14ac:dyDescent="0.2">
      <c r="D194" s="203"/>
      <c r="E194" s="203"/>
      <c r="F194" s="203"/>
      <c r="G194" s="203"/>
      <c r="H194" s="203"/>
      <c r="I194" s="203"/>
      <c r="J194" s="203"/>
      <c r="K194" s="203"/>
      <c r="L194" s="203"/>
      <c r="M194" s="203"/>
      <c r="N194" s="203"/>
      <c r="O194" s="203"/>
      <c r="P194" s="203"/>
      <c r="Q194" s="203"/>
      <c r="R194" s="203"/>
      <c r="S194" s="203"/>
      <c r="T194" s="203"/>
      <c r="U194" s="203"/>
      <c r="V194" s="203"/>
      <c r="W194" s="203"/>
      <c r="X194" s="203"/>
      <c r="Y194" s="203"/>
      <c r="Z194" s="203"/>
      <c r="AA194" s="203"/>
      <c r="AB194" s="203"/>
      <c r="AC194" s="203"/>
      <c r="AD194" s="203"/>
      <c r="AE194" s="203"/>
      <c r="AF194" s="203"/>
      <c r="AG194" s="203"/>
      <c r="AH194" s="203"/>
      <c r="AI194" s="203"/>
      <c r="AJ194" s="203"/>
      <c r="AK194" s="203"/>
      <c r="AL194" s="203"/>
      <c r="AM194" s="203"/>
      <c r="AN194" s="203"/>
      <c r="AO194" s="203"/>
      <c r="AP194" s="203"/>
      <c r="AQ194" s="203"/>
      <c r="AR194" s="203"/>
      <c r="AS194" s="203"/>
      <c r="AT194" s="203"/>
    </row>
    <row r="195" spans="4:46" s="155" customFormat="1" ht="11.25" x14ac:dyDescent="0.2">
      <c r="D195" s="203"/>
      <c r="E195" s="203"/>
      <c r="F195" s="203"/>
      <c r="G195" s="203"/>
      <c r="H195" s="203"/>
      <c r="I195" s="203"/>
      <c r="J195" s="203"/>
      <c r="K195" s="203"/>
      <c r="L195" s="203"/>
      <c r="M195" s="203"/>
      <c r="N195" s="203"/>
      <c r="O195" s="203"/>
      <c r="P195" s="203"/>
      <c r="Q195" s="203"/>
      <c r="R195" s="203"/>
      <c r="S195" s="203"/>
      <c r="T195" s="203"/>
      <c r="U195" s="203"/>
      <c r="V195" s="203"/>
      <c r="W195" s="203"/>
      <c r="X195" s="203"/>
      <c r="Y195" s="203"/>
      <c r="Z195" s="203"/>
      <c r="AA195" s="203"/>
      <c r="AB195" s="203"/>
      <c r="AC195" s="203"/>
      <c r="AD195" s="203"/>
      <c r="AE195" s="203"/>
      <c r="AF195" s="203"/>
      <c r="AG195" s="203"/>
      <c r="AH195" s="203"/>
      <c r="AI195" s="203"/>
      <c r="AJ195" s="203"/>
      <c r="AK195" s="203"/>
      <c r="AL195" s="203"/>
      <c r="AM195" s="203"/>
      <c r="AN195" s="203"/>
      <c r="AO195" s="203"/>
      <c r="AP195" s="203"/>
      <c r="AQ195" s="203"/>
      <c r="AR195" s="203"/>
      <c r="AS195" s="203"/>
      <c r="AT195" s="203"/>
    </row>
    <row r="196" spans="4:46" s="155" customFormat="1" ht="11.25" x14ac:dyDescent="0.2">
      <c r="D196" s="203"/>
      <c r="E196" s="203"/>
      <c r="F196" s="203"/>
      <c r="G196" s="203"/>
      <c r="H196" s="203"/>
      <c r="I196" s="203"/>
      <c r="J196" s="203"/>
      <c r="K196" s="203"/>
      <c r="L196" s="203"/>
      <c r="M196" s="203"/>
      <c r="N196" s="203"/>
      <c r="O196" s="203"/>
      <c r="P196" s="203"/>
      <c r="Q196" s="203"/>
      <c r="R196" s="203"/>
      <c r="S196" s="203"/>
      <c r="T196" s="203"/>
      <c r="U196" s="203"/>
      <c r="V196" s="203"/>
      <c r="W196" s="203"/>
      <c r="X196" s="203"/>
      <c r="Y196" s="203"/>
      <c r="Z196" s="203"/>
      <c r="AA196" s="203"/>
      <c r="AB196" s="203"/>
      <c r="AC196" s="203"/>
      <c r="AD196" s="203"/>
      <c r="AE196" s="203"/>
      <c r="AF196" s="203"/>
      <c r="AG196" s="203"/>
      <c r="AH196" s="203"/>
      <c r="AI196" s="203"/>
      <c r="AJ196" s="203"/>
      <c r="AK196" s="203"/>
      <c r="AL196" s="203"/>
      <c r="AM196" s="203"/>
      <c r="AN196" s="203"/>
      <c r="AO196" s="203"/>
      <c r="AP196" s="203"/>
      <c r="AQ196" s="203"/>
      <c r="AR196" s="203"/>
      <c r="AS196" s="203"/>
      <c r="AT196" s="203"/>
    </row>
    <row r="197" spans="4:46" s="155" customFormat="1" ht="11.25" x14ac:dyDescent="0.2">
      <c r="D197" s="203"/>
      <c r="E197" s="203"/>
      <c r="F197" s="203"/>
      <c r="G197" s="203"/>
      <c r="H197" s="203"/>
      <c r="I197" s="203"/>
      <c r="J197" s="203"/>
      <c r="K197" s="203"/>
      <c r="L197" s="203"/>
      <c r="M197" s="203"/>
      <c r="N197" s="203"/>
      <c r="O197" s="203"/>
      <c r="P197" s="203"/>
      <c r="Q197" s="203"/>
      <c r="R197" s="203"/>
      <c r="S197" s="203"/>
      <c r="T197" s="203"/>
      <c r="U197" s="203"/>
      <c r="V197" s="203"/>
      <c r="W197" s="203"/>
      <c r="X197" s="203"/>
      <c r="Y197" s="203"/>
      <c r="Z197" s="203"/>
      <c r="AA197" s="203"/>
      <c r="AB197" s="203"/>
      <c r="AC197" s="203"/>
      <c r="AD197" s="203"/>
      <c r="AE197" s="203"/>
      <c r="AF197" s="203"/>
      <c r="AG197" s="203"/>
      <c r="AH197" s="203"/>
      <c r="AI197" s="203"/>
      <c r="AJ197" s="203"/>
      <c r="AK197" s="203"/>
      <c r="AL197" s="203"/>
      <c r="AM197" s="203"/>
      <c r="AN197" s="203"/>
      <c r="AO197" s="203"/>
      <c r="AP197" s="203"/>
      <c r="AQ197" s="203"/>
      <c r="AR197" s="203"/>
      <c r="AS197" s="203"/>
      <c r="AT197" s="203"/>
    </row>
    <row r="198" spans="4:46" s="155" customFormat="1" ht="11.25" x14ac:dyDescent="0.2">
      <c r="D198" s="203"/>
      <c r="E198" s="203"/>
      <c r="F198" s="203"/>
      <c r="G198" s="203"/>
      <c r="H198" s="203"/>
      <c r="I198" s="203"/>
      <c r="J198" s="203"/>
      <c r="K198" s="203"/>
      <c r="L198" s="203"/>
      <c r="M198" s="203"/>
      <c r="N198" s="203"/>
      <c r="O198" s="203"/>
      <c r="P198" s="203"/>
      <c r="Q198" s="203"/>
      <c r="R198" s="203"/>
      <c r="S198" s="203"/>
      <c r="T198" s="203"/>
      <c r="U198" s="203"/>
      <c r="V198" s="203"/>
      <c r="W198" s="203"/>
      <c r="X198" s="203"/>
      <c r="Y198" s="203"/>
      <c r="Z198" s="203"/>
      <c r="AA198" s="203"/>
      <c r="AB198" s="203"/>
      <c r="AC198" s="203"/>
      <c r="AD198" s="203"/>
      <c r="AE198" s="203"/>
      <c r="AF198" s="203"/>
      <c r="AG198" s="203"/>
      <c r="AH198" s="203"/>
      <c r="AI198" s="203"/>
      <c r="AJ198" s="203"/>
      <c r="AK198" s="203"/>
      <c r="AL198" s="203"/>
      <c r="AM198" s="203"/>
      <c r="AN198" s="203"/>
      <c r="AO198" s="203"/>
      <c r="AP198" s="203"/>
      <c r="AQ198" s="203"/>
      <c r="AR198" s="203"/>
      <c r="AS198" s="203"/>
      <c r="AT198" s="203"/>
    </row>
    <row r="199" spans="4:46" s="155" customFormat="1" ht="11.25" x14ac:dyDescent="0.2">
      <c r="D199" s="203"/>
      <c r="E199" s="203"/>
      <c r="F199" s="203"/>
      <c r="G199" s="203"/>
      <c r="H199" s="203"/>
      <c r="I199" s="203"/>
      <c r="J199" s="203"/>
      <c r="K199" s="203"/>
      <c r="L199" s="203"/>
      <c r="M199" s="203"/>
      <c r="N199" s="203"/>
      <c r="O199" s="203"/>
      <c r="P199" s="203"/>
      <c r="Q199" s="203"/>
      <c r="R199" s="203"/>
      <c r="S199" s="203"/>
      <c r="T199" s="203"/>
      <c r="U199" s="203"/>
      <c r="V199" s="203"/>
      <c r="W199" s="203"/>
      <c r="X199" s="203"/>
      <c r="Y199" s="203"/>
      <c r="Z199" s="203"/>
      <c r="AA199" s="203"/>
      <c r="AB199" s="203"/>
      <c r="AC199" s="203"/>
      <c r="AD199" s="203"/>
      <c r="AE199" s="203"/>
      <c r="AF199" s="203"/>
      <c r="AG199" s="203"/>
      <c r="AH199" s="203"/>
      <c r="AI199" s="203"/>
      <c r="AJ199" s="203"/>
      <c r="AK199" s="203"/>
      <c r="AL199" s="203"/>
      <c r="AM199" s="203"/>
      <c r="AN199" s="203"/>
      <c r="AO199" s="203"/>
      <c r="AP199" s="203"/>
      <c r="AQ199" s="203"/>
      <c r="AR199" s="203"/>
      <c r="AS199" s="203"/>
      <c r="AT199" s="203"/>
    </row>
    <row r="200" spans="4:46" s="155" customFormat="1" ht="11.25" x14ac:dyDescent="0.2">
      <c r="D200" s="203"/>
      <c r="E200" s="203"/>
      <c r="F200" s="203"/>
      <c r="G200" s="203"/>
      <c r="H200" s="203"/>
      <c r="I200" s="203"/>
      <c r="J200" s="203"/>
      <c r="K200" s="203"/>
      <c r="L200" s="203"/>
      <c r="M200" s="203"/>
      <c r="N200" s="203"/>
      <c r="O200" s="203"/>
      <c r="P200" s="203"/>
      <c r="Q200" s="203"/>
      <c r="R200" s="203"/>
      <c r="S200" s="203"/>
      <c r="T200" s="203"/>
      <c r="U200" s="203"/>
      <c r="V200" s="203"/>
      <c r="W200" s="203"/>
      <c r="X200" s="203"/>
      <c r="Y200" s="203"/>
      <c r="Z200" s="203"/>
      <c r="AA200" s="203"/>
      <c r="AB200" s="203"/>
      <c r="AC200" s="203"/>
      <c r="AD200" s="203"/>
      <c r="AE200" s="203"/>
      <c r="AF200" s="203"/>
      <c r="AG200" s="203"/>
      <c r="AH200" s="203"/>
      <c r="AI200" s="203"/>
      <c r="AJ200" s="203"/>
      <c r="AK200" s="203"/>
      <c r="AL200" s="203"/>
      <c r="AM200" s="203"/>
      <c r="AN200" s="203"/>
      <c r="AO200" s="203"/>
      <c r="AP200" s="203"/>
      <c r="AQ200" s="203"/>
      <c r="AR200" s="203"/>
      <c r="AS200" s="203"/>
      <c r="AT200" s="203"/>
    </row>
    <row r="201" spans="4:46" s="155" customFormat="1" ht="11.25" x14ac:dyDescent="0.2">
      <c r="D201" s="203"/>
      <c r="E201" s="203"/>
      <c r="F201" s="203"/>
      <c r="G201" s="203"/>
      <c r="H201" s="203"/>
      <c r="I201" s="203"/>
      <c r="J201" s="203"/>
      <c r="K201" s="203"/>
      <c r="L201" s="203"/>
      <c r="M201" s="203"/>
      <c r="N201" s="203"/>
      <c r="O201" s="203"/>
      <c r="P201" s="203"/>
      <c r="Q201" s="203"/>
      <c r="R201" s="203"/>
      <c r="S201" s="203"/>
      <c r="T201" s="203"/>
      <c r="U201" s="203"/>
      <c r="V201" s="203"/>
      <c r="W201" s="203"/>
      <c r="X201" s="203"/>
      <c r="Y201" s="203"/>
      <c r="Z201" s="203"/>
      <c r="AA201" s="203"/>
      <c r="AB201" s="203"/>
      <c r="AC201" s="203"/>
      <c r="AD201" s="203"/>
      <c r="AE201" s="203"/>
      <c r="AF201" s="203"/>
      <c r="AG201" s="203"/>
      <c r="AH201" s="203"/>
      <c r="AI201" s="203"/>
      <c r="AJ201" s="203"/>
      <c r="AK201" s="203"/>
      <c r="AL201" s="203"/>
      <c r="AM201" s="203"/>
      <c r="AN201" s="203"/>
      <c r="AO201" s="203"/>
      <c r="AP201" s="203"/>
      <c r="AQ201" s="203"/>
      <c r="AR201" s="203"/>
      <c r="AS201" s="203"/>
      <c r="AT201" s="203"/>
    </row>
    <row r="202" spans="4:46" s="155" customFormat="1" ht="11.25" x14ac:dyDescent="0.2">
      <c r="D202" s="203"/>
      <c r="E202" s="203"/>
      <c r="F202" s="203"/>
      <c r="G202" s="203"/>
      <c r="H202" s="203"/>
      <c r="I202" s="203"/>
      <c r="J202" s="203"/>
      <c r="K202" s="203"/>
      <c r="L202" s="203"/>
      <c r="M202" s="203"/>
      <c r="N202" s="203"/>
      <c r="O202" s="203"/>
      <c r="P202" s="203"/>
      <c r="Q202" s="203"/>
      <c r="R202" s="203"/>
      <c r="S202" s="203"/>
      <c r="T202" s="203"/>
      <c r="U202" s="203"/>
      <c r="V202" s="203"/>
      <c r="W202" s="203"/>
      <c r="X202" s="203"/>
      <c r="Y202" s="203"/>
      <c r="Z202" s="203"/>
      <c r="AA202" s="203"/>
      <c r="AB202" s="203"/>
      <c r="AC202" s="203"/>
      <c r="AD202" s="203"/>
      <c r="AE202" s="203"/>
      <c r="AF202" s="203"/>
      <c r="AG202" s="203"/>
      <c r="AH202" s="203"/>
      <c r="AI202" s="203"/>
      <c r="AJ202" s="203"/>
      <c r="AK202" s="203"/>
      <c r="AL202" s="203"/>
      <c r="AM202" s="203"/>
      <c r="AN202" s="203"/>
      <c r="AO202" s="203"/>
      <c r="AP202" s="203"/>
      <c r="AQ202" s="203"/>
      <c r="AR202" s="203"/>
      <c r="AS202" s="203"/>
      <c r="AT202" s="203"/>
    </row>
    <row r="203" spans="4:46" s="155" customFormat="1" ht="11.25" x14ac:dyDescent="0.2">
      <c r="D203" s="203"/>
      <c r="E203" s="203"/>
      <c r="F203" s="203"/>
      <c r="G203" s="203"/>
      <c r="H203" s="203"/>
      <c r="I203" s="203"/>
      <c r="J203" s="203"/>
      <c r="K203" s="203"/>
      <c r="L203" s="203"/>
      <c r="M203" s="203"/>
      <c r="N203" s="203"/>
      <c r="O203" s="203"/>
      <c r="P203" s="203"/>
      <c r="Q203" s="203"/>
      <c r="R203" s="203"/>
      <c r="S203" s="203"/>
      <c r="T203" s="203"/>
      <c r="U203" s="203"/>
      <c r="V203" s="203"/>
      <c r="W203" s="203"/>
      <c r="X203" s="203"/>
      <c r="Y203" s="203"/>
      <c r="Z203" s="203"/>
      <c r="AA203" s="203"/>
      <c r="AB203" s="203"/>
      <c r="AC203" s="203"/>
      <c r="AD203" s="203"/>
      <c r="AE203" s="203"/>
      <c r="AF203" s="203"/>
      <c r="AG203" s="203"/>
      <c r="AH203" s="203"/>
      <c r="AI203" s="203"/>
      <c r="AJ203" s="203"/>
      <c r="AK203" s="203"/>
      <c r="AL203" s="203"/>
      <c r="AM203" s="203"/>
      <c r="AN203" s="203"/>
      <c r="AO203" s="203"/>
      <c r="AP203" s="203"/>
      <c r="AQ203" s="203"/>
      <c r="AR203" s="203"/>
      <c r="AS203" s="203"/>
      <c r="AT203" s="203"/>
    </row>
    <row r="204" spans="4:46" s="155" customFormat="1" ht="11.25" x14ac:dyDescent="0.2">
      <c r="D204" s="203"/>
      <c r="E204" s="203"/>
      <c r="F204" s="203"/>
      <c r="G204" s="203"/>
      <c r="H204" s="203"/>
      <c r="I204" s="203"/>
      <c r="J204" s="203"/>
      <c r="K204" s="203"/>
      <c r="L204" s="203"/>
      <c r="M204" s="203"/>
      <c r="N204" s="203"/>
      <c r="O204" s="203"/>
      <c r="P204" s="203"/>
      <c r="Q204" s="203"/>
      <c r="R204" s="203"/>
      <c r="S204" s="203"/>
      <c r="T204" s="203"/>
      <c r="U204" s="203"/>
      <c r="V204" s="203"/>
      <c r="W204" s="203"/>
      <c r="X204" s="203"/>
      <c r="Y204" s="203"/>
      <c r="Z204" s="203"/>
      <c r="AA204" s="203"/>
      <c r="AB204" s="203"/>
      <c r="AC204" s="203"/>
      <c r="AD204" s="203"/>
      <c r="AE204" s="203"/>
      <c r="AF204" s="203"/>
      <c r="AG204" s="203"/>
      <c r="AH204" s="203"/>
      <c r="AI204" s="203"/>
      <c r="AJ204" s="203"/>
      <c r="AK204" s="203"/>
      <c r="AL204" s="203"/>
      <c r="AM204" s="203"/>
      <c r="AN204" s="203"/>
      <c r="AO204" s="203"/>
      <c r="AP204" s="203"/>
      <c r="AQ204" s="203"/>
      <c r="AR204" s="203"/>
      <c r="AS204" s="203"/>
      <c r="AT204" s="203"/>
    </row>
    <row r="205" spans="4:46" s="155" customFormat="1" ht="11.25" x14ac:dyDescent="0.2">
      <c r="D205" s="203"/>
      <c r="E205" s="203"/>
      <c r="F205" s="203"/>
      <c r="G205" s="203"/>
      <c r="H205" s="203"/>
      <c r="I205" s="203"/>
      <c r="J205" s="203"/>
      <c r="K205" s="203"/>
      <c r="L205" s="203"/>
      <c r="M205" s="203"/>
      <c r="N205" s="203"/>
      <c r="O205" s="203"/>
      <c r="P205" s="203"/>
      <c r="Q205" s="203"/>
      <c r="R205" s="203"/>
      <c r="S205" s="203"/>
      <c r="T205" s="203"/>
      <c r="U205" s="203"/>
      <c r="V205" s="203"/>
      <c r="W205" s="203"/>
      <c r="X205" s="203"/>
      <c r="Y205" s="203"/>
      <c r="Z205" s="203"/>
      <c r="AA205" s="203"/>
      <c r="AB205" s="203"/>
      <c r="AC205" s="203"/>
      <c r="AD205" s="203"/>
      <c r="AE205" s="203"/>
      <c r="AF205" s="203"/>
      <c r="AG205" s="203"/>
      <c r="AH205" s="203"/>
      <c r="AI205" s="203"/>
      <c r="AJ205" s="203"/>
      <c r="AK205" s="203"/>
      <c r="AL205" s="203"/>
      <c r="AM205" s="203"/>
      <c r="AN205" s="203"/>
      <c r="AO205" s="203"/>
      <c r="AP205" s="203"/>
      <c r="AQ205" s="203"/>
      <c r="AR205" s="203"/>
      <c r="AS205" s="203"/>
      <c r="AT205" s="203"/>
    </row>
    <row r="206" spans="4:46" s="155" customFormat="1" ht="11.25" x14ac:dyDescent="0.2">
      <c r="D206" s="203"/>
      <c r="E206" s="203"/>
      <c r="F206" s="203"/>
      <c r="G206" s="203"/>
      <c r="H206" s="203"/>
      <c r="I206" s="203"/>
      <c r="J206" s="203"/>
      <c r="K206" s="203"/>
      <c r="L206" s="203"/>
      <c r="M206" s="203"/>
      <c r="N206" s="203"/>
      <c r="O206" s="203"/>
      <c r="P206" s="203"/>
      <c r="Q206" s="203"/>
      <c r="R206" s="203"/>
      <c r="S206" s="203"/>
      <c r="T206" s="203"/>
      <c r="U206" s="203"/>
      <c r="V206" s="203"/>
      <c r="W206" s="203"/>
      <c r="X206" s="203"/>
      <c r="Y206" s="203"/>
      <c r="Z206" s="203"/>
      <c r="AA206" s="203"/>
      <c r="AB206" s="203"/>
      <c r="AC206" s="203"/>
      <c r="AD206" s="203"/>
      <c r="AE206" s="203"/>
      <c r="AF206" s="203"/>
      <c r="AG206" s="203"/>
      <c r="AH206" s="203"/>
      <c r="AI206" s="203"/>
      <c r="AJ206" s="203"/>
      <c r="AK206" s="203"/>
      <c r="AL206" s="203"/>
      <c r="AM206" s="203"/>
      <c r="AN206" s="203"/>
      <c r="AO206" s="203"/>
      <c r="AP206" s="203"/>
      <c r="AQ206" s="203"/>
      <c r="AR206" s="203"/>
      <c r="AS206" s="203"/>
      <c r="AT206" s="203"/>
    </row>
    <row r="207" spans="4:46" s="155" customFormat="1" ht="11.25" x14ac:dyDescent="0.2">
      <c r="D207" s="203"/>
      <c r="E207" s="203"/>
      <c r="F207" s="203"/>
      <c r="G207" s="203"/>
      <c r="H207" s="203"/>
      <c r="I207" s="203"/>
      <c r="J207" s="203"/>
      <c r="K207" s="203"/>
      <c r="L207" s="203"/>
      <c r="M207" s="203"/>
      <c r="N207" s="203"/>
      <c r="O207" s="203"/>
      <c r="P207" s="203"/>
      <c r="Q207" s="203"/>
      <c r="R207" s="203"/>
      <c r="S207" s="203"/>
      <c r="T207" s="203"/>
      <c r="U207" s="203"/>
      <c r="V207" s="203"/>
      <c r="W207" s="203"/>
      <c r="X207" s="203"/>
      <c r="Y207" s="203"/>
      <c r="Z207" s="203"/>
      <c r="AA207" s="203"/>
      <c r="AB207" s="203"/>
      <c r="AC207" s="203"/>
      <c r="AD207" s="203"/>
      <c r="AE207" s="203"/>
      <c r="AF207" s="203"/>
      <c r="AG207" s="203"/>
      <c r="AH207" s="203"/>
      <c r="AI207" s="203"/>
      <c r="AJ207" s="203"/>
      <c r="AK207" s="203"/>
      <c r="AL207" s="203"/>
      <c r="AM207" s="203"/>
      <c r="AN207" s="203"/>
      <c r="AO207" s="203"/>
      <c r="AP207" s="203"/>
      <c r="AQ207" s="203"/>
      <c r="AR207" s="203"/>
      <c r="AS207" s="203"/>
      <c r="AT207" s="203"/>
    </row>
    <row r="208" spans="4:46" s="155" customFormat="1" ht="11.25" x14ac:dyDescent="0.2">
      <c r="D208" s="203"/>
      <c r="E208" s="203"/>
      <c r="F208" s="203"/>
      <c r="G208" s="203"/>
      <c r="H208" s="203"/>
      <c r="I208" s="203"/>
      <c r="J208" s="203"/>
      <c r="K208" s="203"/>
      <c r="L208" s="203"/>
      <c r="M208" s="203"/>
      <c r="N208" s="203"/>
      <c r="O208" s="203"/>
      <c r="P208" s="203"/>
      <c r="Q208" s="203"/>
      <c r="R208" s="203"/>
      <c r="S208" s="203"/>
      <c r="T208" s="203"/>
      <c r="U208" s="203"/>
      <c r="V208" s="203"/>
      <c r="W208" s="203"/>
      <c r="X208" s="203"/>
      <c r="Y208" s="203"/>
      <c r="Z208" s="203"/>
      <c r="AA208" s="203"/>
      <c r="AB208" s="203"/>
      <c r="AC208" s="203"/>
      <c r="AD208" s="203"/>
      <c r="AE208" s="203"/>
      <c r="AF208" s="203"/>
      <c r="AG208" s="203"/>
      <c r="AH208" s="203"/>
      <c r="AI208" s="203"/>
      <c r="AJ208" s="203"/>
      <c r="AK208" s="203"/>
      <c r="AL208" s="203"/>
      <c r="AM208" s="203"/>
      <c r="AN208" s="203"/>
      <c r="AO208" s="203"/>
      <c r="AP208" s="203"/>
      <c r="AQ208" s="203"/>
      <c r="AR208" s="203"/>
      <c r="AS208" s="203"/>
      <c r="AT208" s="203"/>
    </row>
    <row r="209" spans="4:46" s="155" customFormat="1" ht="11.25" x14ac:dyDescent="0.2">
      <c r="D209" s="203"/>
      <c r="E209" s="203"/>
      <c r="F209" s="203"/>
      <c r="G209" s="203"/>
      <c r="H209" s="203"/>
      <c r="I209" s="203"/>
      <c r="J209" s="203"/>
      <c r="K209" s="203"/>
      <c r="L209" s="203"/>
      <c r="M209" s="203"/>
      <c r="N209" s="203"/>
      <c r="O209" s="203"/>
      <c r="P209" s="203"/>
      <c r="Q209" s="203"/>
      <c r="R209" s="203"/>
      <c r="S209" s="203"/>
      <c r="T209" s="203"/>
      <c r="U209" s="203"/>
      <c r="V209" s="203"/>
      <c r="W209" s="203"/>
      <c r="X209" s="203"/>
      <c r="Y209" s="203"/>
      <c r="Z209" s="203"/>
      <c r="AA209" s="203"/>
      <c r="AB209" s="203"/>
      <c r="AC209" s="203"/>
      <c r="AD209" s="203"/>
      <c r="AE209" s="203"/>
      <c r="AF209" s="203"/>
      <c r="AG209" s="203"/>
      <c r="AH209" s="203"/>
      <c r="AI209" s="203"/>
      <c r="AJ209" s="203"/>
      <c r="AK209" s="203"/>
      <c r="AL209" s="203"/>
      <c r="AM209" s="203"/>
      <c r="AN209" s="203"/>
      <c r="AO209" s="203"/>
      <c r="AP209" s="203"/>
      <c r="AQ209" s="203"/>
      <c r="AR209" s="203"/>
      <c r="AS209" s="203"/>
      <c r="AT209" s="203"/>
    </row>
    <row r="210" spans="4:46" s="155" customFormat="1" ht="11.25" x14ac:dyDescent="0.2">
      <c r="D210" s="203"/>
      <c r="E210" s="203"/>
      <c r="F210" s="203"/>
      <c r="G210" s="203"/>
      <c r="H210" s="203"/>
      <c r="I210" s="203"/>
      <c r="J210" s="203"/>
      <c r="K210" s="203"/>
      <c r="L210" s="203"/>
      <c r="M210" s="203"/>
      <c r="N210" s="203"/>
      <c r="O210" s="203"/>
      <c r="P210" s="203"/>
      <c r="Q210" s="203"/>
      <c r="R210" s="203"/>
      <c r="S210" s="203"/>
      <c r="T210" s="203"/>
      <c r="U210" s="203"/>
      <c r="V210" s="203"/>
      <c r="W210" s="203"/>
      <c r="X210" s="203"/>
      <c r="Y210" s="203"/>
      <c r="Z210" s="203"/>
      <c r="AA210" s="203"/>
      <c r="AB210" s="203"/>
      <c r="AC210" s="203"/>
      <c r="AD210" s="203"/>
      <c r="AE210" s="203"/>
      <c r="AF210" s="203"/>
      <c r="AG210" s="203"/>
      <c r="AH210" s="203"/>
      <c r="AI210" s="203"/>
      <c r="AJ210" s="203"/>
      <c r="AK210" s="203"/>
      <c r="AL210" s="203"/>
      <c r="AM210" s="203"/>
      <c r="AN210" s="203"/>
      <c r="AO210" s="203"/>
      <c r="AP210" s="203"/>
      <c r="AQ210" s="203"/>
      <c r="AR210" s="203"/>
      <c r="AS210" s="203"/>
      <c r="AT210" s="203"/>
    </row>
    <row r="211" spans="4:46" s="155" customFormat="1" ht="11.25" x14ac:dyDescent="0.2">
      <c r="D211" s="203"/>
      <c r="E211" s="203"/>
      <c r="F211" s="203"/>
      <c r="G211" s="203"/>
      <c r="H211" s="203"/>
      <c r="I211" s="203"/>
      <c r="J211" s="203"/>
      <c r="K211" s="203"/>
      <c r="L211" s="203"/>
      <c r="M211" s="203"/>
      <c r="N211" s="203"/>
      <c r="O211" s="203"/>
      <c r="P211" s="203"/>
      <c r="Q211" s="203"/>
      <c r="R211" s="203"/>
      <c r="S211" s="203"/>
      <c r="T211" s="203"/>
      <c r="U211" s="203"/>
      <c r="V211" s="203"/>
      <c r="W211" s="203"/>
      <c r="X211" s="203"/>
      <c r="Y211" s="203"/>
      <c r="Z211" s="203"/>
      <c r="AA211" s="203"/>
      <c r="AB211" s="203"/>
      <c r="AC211" s="203"/>
      <c r="AD211" s="203"/>
      <c r="AE211" s="203"/>
      <c r="AF211" s="203"/>
      <c r="AG211" s="203"/>
      <c r="AH211" s="203"/>
      <c r="AI211" s="203"/>
      <c r="AJ211" s="203"/>
      <c r="AK211" s="203"/>
      <c r="AL211" s="203"/>
      <c r="AM211" s="203"/>
      <c r="AN211" s="203"/>
      <c r="AO211" s="203"/>
      <c r="AP211" s="203"/>
      <c r="AQ211" s="203"/>
      <c r="AR211" s="203"/>
      <c r="AS211" s="203"/>
      <c r="AT211" s="203"/>
    </row>
    <row r="212" spans="4:46" s="155" customFormat="1" ht="11.25" x14ac:dyDescent="0.2">
      <c r="D212" s="203"/>
      <c r="E212" s="203"/>
      <c r="F212" s="203"/>
      <c r="G212" s="203"/>
      <c r="H212" s="203"/>
      <c r="I212" s="203"/>
      <c r="J212" s="203"/>
      <c r="K212" s="203"/>
      <c r="L212" s="203"/>
      <c r="M212" s="203"/>
      <c r="N212" s="203"/>
      <c r="O212" s="203"/>
      <c r="P212" s="203"/>
      <c r="Q212" s="203"/>
      <c r="R212" s="203"/>
      <c r="S212" s="203"/>
      <c r="T212" s="203"/>
      <c r="U212" s="203"/>
      <c r="V212" s="203"/>
      <c r="W212" s="203"/>
      <c r="X212" s="203"/>
      <c r="Y212" s="203"/>
      <c r="Z212" s="203"/>
      <c r="AA212" s="203"/>
      <c r="AB212" s="203"/>
      <c r="AC212" s="203"/>
      <c r="AD212" s="203"/>
      <c r="AE212" s="203"/>
      <c r="AF212" s="203"/>
      <c r="AG212" s="203"/>
      <c r="AH212" s="203"/>
      <c r="AI212" s="203"/>
      <c r="AJ212" s="203"/>
      <c r="AK212" s="203"/>
      <c r="AL212" s="203"/>
      <c r="AM212" s="203"/>
      <c r="AN212" s="203"/>
      <c r="AO212" s="203"/>
      <c r="AP212" s="203"/>
      <c r="AQ212" s="203"/>
      <c r="AR212" s="203"/>
      <c r="AS212" s="203"/>
      <c r="AT212" s="203"/>
    </row>
    <row r="213" spans="4:46" s="155" customFormat="1" ht="11.25" x14ac:dyDescent="0.2">
      <c r="D213" s="203"/>
      <c r="E213" s="203"/>
      <c r="F213" s="203"/>
      <c r="G213" s="203"/>
      <c r="H213" s="203"/>
      <c r="I213" s="203"/>
      <c r="J213" s="203"/>
      <c r="K213" s="203"/>
      <c r="L213" s="203"/>
      <c r="M213" s="203"/>
      <c r="N213" s="203"/>
      <c r="O213" s="203"/>
      <c r="P213" s="203"/>
      <c r="Q213" s="203"/>
      <c r="R213" s="203"/>
      <c r="S213" s="203"/>
      <c r="T213" s="203"/>
      <c r="U213" s="203"/>
      <c r="V213" s="203"/>
      <c r="W213" s="203"/>
      <c r="X213" s="203"/>
      <c r="Y213" s="203"/>
      <c r="Z213" s="203"/>
      <c r="AA213" s="203"/>
      <c r="AB213" s="203"/>
      <c r="AC213" s="203"/>
      <c r="AD213" s="203"/>
      <c r="AE213" s="203"/>
      <c r="AF213" s="203"/>
      <c r="AG213" s="203"/>
      <c r="AH213" s="203"/>
      <c r="AI213" s="203"/>
      <c r="AJ213" s="203"/>
      <c r="AK213" s="203"/>
      <c r="AL213" s="203"/>
      <c r="AM213" s="203"/>
      <c r="AN213" s="203"/>
      <c r="AO213" s="203"/>
      <c r="AP213" s="203"/>
      <c r="AQ213" s="203"/>
      <c r="AR213" s="203"/>
      <c r="AS213" s="203"/>
      <c r="AT213" s="203"/>
    </row>
    <row r="214" spans="4:46" s="155" customFormat="1" ht="11.25" x14ac:dyDescent="0.2">
      <c r="D214" s="203"/>
      <c r="E214" s="203"/>
      <c r="F214" s="203"/>
      <c r="G214" s="203"/>
      <c r="H214" s="203"/>
      <c r="I214" s="203"/>
      <c r="J214" s="203"/>
      <c r="K214" s="203"/>
      <c r="L214" s="203"/>
      <c r="M214" s="203"/>
      <c r="N214" s="203"/>
      <c r="O214" s="203"/>
      <c r="P214" s="203"/>
      <c r="Q214" s="203"/>
      <c r="R214" s="203"/>
      <c r="S214" s="203"/>
      <c r="T214" s="203"/>
      <c r="U214" s="203"/>
      <c r="V214" s="203"/>
      <c r="W214" s="203"/>
      <c r="X214" s="203"/>
      <c r="Y214" s="203"/>
      <c r="Z214" s="203"/>
      <c r="AA214" s="203"/>
      <c r="AB214" s="203"/>
      <c r="AC214" s="203"/>
      <c r="AD214" s="203"/>
      <c r="AE214" s="203"/>
      <c r="AF214" s="203"/>
      <c r="AG214" s="203"/>
      <c r="AH214" s="203"/>
      <c r="AI214" s="203"/>
      <c r="AJ214" s="203"/>
      <c r="AK214" s="203"/>
      <c r="AL214" s="203"/>
      <c r="AM214" s="203"/>
      <c r="AN214" s="203"/>
      <c r="AO214" s="203"/>
      <c r="AP214" s="203"/>
      <c r="AQ214" s="203"/>
      <c r="AR214" s="203"/>
      <c r="AS214" s="203"/>
      <c r="AT214" s="203"/>
    </row>
    <row r="215" spans="4:46" s="155" customFormat="1" ht="11.25" x14ac:dyDescent="0.2">
      <c r="D215" s="203"/>
      <c r="E215" s="203"/>
      <c r="F215" s="203"/>
      <c r="G215" s="203"/>
      <c r="H215" s="203"/>
      <c r="I215" s="203"/>
      <c r="J215" s="203"/>
      <c r="K215" s="203"/>
      <c r="L215" s="203"/>
      <c r="M215" s="203"/>
      <c r="N215" s="203"/>
      <c r="O215" s="203"/>
      <c r="P215" s="203"/>
      <c r="Q215" s="203"/>
      <c r="R215" s="203"/>
      <c r="S215" s="203"/>
      <c r="T215" s="203"/>
      <c r="U215" s="203"/>
      <c r="V215" s="203"/>
      <c r="W215" s="203"/>
      <c r="X215" s="203"/>
      <c r="Y215" s="203"/>
      <c r="Z215" s="203"/>
      <c r="AA215" s="203"/>
      <c r="AB215" s="203"/>
      <c r="AC215" s="203"/>
      <c r="AD215" s="203"/>
      <c r="AE215" s="203"/>
      <c r="AF215" s="203"/>
      <c r="AG215" s="203"/>
      <c r="AH215" s="203"/>
      <c r="AI215" s="203"/>
      <c r="AJ215" s="203"/>
      <c r="AK215" s="203"/>
      <c r="AL215" s="203"/>
      <c r="AM215" s="203"/>
      <c r="AN215" s="203"/>
      <c r="AO215" s="203"/>
      <c r="AP215" s="203"/>
      <c r="AQ215" s="203"/>
      <c r="AR215" s="203"/>
      <c r="AS215" s="203"/>
      <c r="AT215" s="203"/>
    </row>
    <row r="216" spans="4:46" s="155" customFormat="1" ht="11.25" x14ac:dyDescent="0.2">
      <c r="D216" s="203"/>
      <c r="E216" s="203"/>
      <c r="F216" s="203"/>
      <c r="G216" s="203"/>
      <c r="H216" s="203"/>
      <c r="I216" s="203"/>
      <c r="J216" s="203"/>
      <c r="K216" s="203"/>
      <c r="L216" s="203"/>
      <c r="M216" s="203"/>
      <c r="N216" s="203"/>
      <c r="O216" s="203"/>
      <c r="P216" s="203"/>
      <c r="Q216" s="203"/>
      <c r="R216" s="203"/>
      <c r="S216" s="203"/>
      <c r="T216" s="203"/>
      <c r="U216" s="203"/>
      <c r="V216" s="203"/>
      <c r="W216" s="203"/>
      <c r="X216" s="203"/>
      <c r="Y216" s="203"/>
      <c r="Z216" s="203"/>
      <c r="AA216" s="203"/>
      <c r="AB216" s="203"/>
      <c r="AC216" s="203"/>
      <c r="AD216" s="203"/>
      <c r="AE216" s="203"/>
      <c r="AF216" s="203"/>
      <c r="AG216" s="203"/>
      <c r="AH216" s="203"/>
      <c r="AI216" s="203"/>
      <c r="AJ216" s="203"/>
      <c r="AK216" s="203"/>
      <c r="AL216" s="203"/>
      <c r="AM216" s="203"/>
      <c r="AN216" s="203"/>
      <c r="AO216" s="203"/>
      <c r="AP216" s="203"/>
      <c r="AQ216" s="203"/>
      <c r="AR216" s="203"/>
      <c r="AS216" s="203"/>
      <c r="AT216" s="203"/>
    </row>
    <row r="217" spans="4:46" s="155" customFormat="1" ht="11.25" x14ac:dyDescent="0.2">
      <c r="D217" s="203"/>
      <c r="E217" s="203"/>
      <c r="F217" s="203"/>
      <c r="G217" s="203"/>
      <c r="H217" s="203"/>
      <c r="I217" s="203"/>
      <c r="J217" s="203"/>
      <c r="K217" s="203"/>
      <c r="L217" s="203"/>
      <c r="M217" s="203"/>
      <c r="N217" s="203"/>
      <c r="O217" s="203"/>
      <c r="P217" s="203"/>
      <c r="Q217" s="203"/>
      <c r="R217" s="203"/>
      <c r="S217" s="203"/>
      <c r="T217" s="203"/>
      <c r="U217" s="203"/>
      <c r="V217" s="203"/>
      <c r="W217" s="203"/>
      <c r="X217" s="203"/>
      <c r="Y217" s="203"/>
      <c r="Z217" s="203"/>
      <c r="AA217" s="203"/>
      <c r="AB217" s="203"/>
      <c r="AC217" s="203"/>
      <c r="AD217" s="203"/>
      <c r="AE217" s="203"/>
      <c r="AF217" s="203"/>
      <c r="AG217" s="203"/>
      <c r="AH217" s="203"/>
      <c r="AI217" s="203"/>
      <c r="AJ217" s="203"/>
      <c r="AK217" s="203"/>
      <c r="AL217" s="203"/>
      <c r="AM217" s="203"/>
      <c r="AN217" s="203"/>
      <c r="AO217" s="203"/>
      <c r="AP217" s="203"/>
      <c r="AQ217" s="203"/>
      <c r="AR217" s="203"/>
      <c r="AS217" s="203"/>
      <c r="AT217" s="203"/>
    </row>
    <row r="218" spans="4:46" s="155" customFormat="1" ht="11.25" x14ac:dyDescent="0.2">
      <c r="D218" s="203"/>
      <c r="E218" s="203"/>
      <c r="F218" s="203"/>
      <c r="G218" s="203"/>
      <c r="H218" s="203"/>
      <c r="I218" s="203"/>
      <c r="J218" s="203"/>
      <c r="K218" s="203"/>
      <c r="L218" s="203"/>
      <c r="M218" s="203"/>
      <c r="N218" s="203"/>
      <c r="O218" s="203"/>
      <c r="P218" s="203"/>
      <c r="Q218" s="203"/>
      <c r="R218" s="203"/>
      <c r="S218" s="203"/>
      <c r="T218" s="203"/>
      <c r="U218" s="203"/>
      <c r="V218" s="203"/>
      <c r="W218" s="203"/>
      <c r="X218" s="203"/>
      <c r="Y218" s="203"/>
      <c r="Z218" s="203"/>
      <c r="AA218" s="203"/>
      <c r="AB218" s="203"/>
      <c r="AC218" s="203"/>
      <c r="AD218" s="203"/>
      <c r="AE218" s="203"/>
      <c r="AF218" s="203"/>
      <c r="AG218" s="203"/>
      <c r="AH218" s="203"/>
      <c r="AI218" s="203"/>
      <c r="AJ218" s="203"/>
      <c r="AK218" s="203"/>
      <c r="AL218" s="203"/>
      <c r="AM218" s="203"/>
      <c r="AN218" s="203"/>
      <c r="AO218" s="203"/>
      <c r="AP218" s="203"/>
      <c r="AQ218" s="203"/>
      <c r="AR218" s="203"/>
      <c r="AS218" s="203"/>
      <c r="AT218" s="203"/>
    </row>
    <row r="219" spans="4:46" s="155" customFormat="1" ht="11.25" x14ac:dyDescent="0.2">
      <c r="D219" s="203"/>
      <c r="E219" s="203"/>
      <c r="F219" s="203"/>
      <c r="G219" s="203"/>
      <c r="H219" s="203"/>
      <c r="I219" s="203"/>
      <c r="J219" s="203"/>
      <c r="K219" s="203"/>
      <c r="L219" s="203"/>
      <c r="M219" s="203"/>
      <c r="N219" s="203"/>
      <c r="O219" s="203"/>
      <c r="P219" s="203"/>
      <c r="Q219" s="203"/>
      <c r="R219" s="203"/>
      <c r="S219" s="203"/>
      <c r="T219" s="203"/>
      <c r="U219" s="203"/>
      <c r="V219" s="203"/>
      <c r="W219" s="203"/>
      <c r="X219" s="203"/>
      <c r="Y219" s="203"/>
      <c r="Z219" s="203"/>
      <c r="AA219" s="203"/>
      <c r="AB219" s="203"/>
      <c r="AC219" s="203"/>
      <c r="AD219" s="203"/>
      <c r="AE219" s="203"/>
      <c r="AF219" s="203"/>
      <c r="AG219" s="203"/>
      <c r="AH219" s="203"/>
      <c r="AI219" s="203"/>
      <c r="AJ219" s="203"/>
      <c r="AK219" s="203"/>
      <c r="AL219" s="203"/>
      <c r="AM219" s="203"/>
      <c r="AN219" s="203"/>
      <c r="AO219" s="203"/>
      <c r="AP219" s="203"/>
      <c r="AQ219" s="203"/>
      <c r="AR219" s="203"/>
      <c r="AS219" s="203"/>
      <c r="AT219" s="203"/>
    </row>
    <row r="220" spans="4:46" s="155" customFormat="1" ht="11.25" x14ac:dyDescent="0.2">
      <c r="D220" s="203"/>
      <c r="E220" s="203"/>
      <c r="F220" s="203"/>
      <c r="G220" s="203"/>
      <c r="H220" s="203"/>
      <c r="I220" s="203"/>
      <c r="J220" s="203"/>
      <c r="K220" s="203"/>
      <c r="L220" s="203"/>
      <c r="M220" s="203"/>
      <c r="N220" s="203"/>
      <c r="O220" s="203"/>
      <c r="P220" s="203"/>
      <c r="Q220" s="203"/>
      <c r="R220" s="203"/>
      <c r="S220" s="203"/>
      <c r="T220" s="203"/>
      <c r="U220" s="203"/>
      <c r="V220" s="203"/>
      <c r="W220" s="203"/>
      <c r="X220" s="203"/>
      <c r="Y220" s="203"/>
      <c r="Z220" s="203"/>
      <c r="AA220" s="203"/>
      <c r="AB220" s="203"/>
      <c r="AC220" s="203"/>
      <c r="AD220" s="203"/>
      <c r="AE220" s="203"/>
      <c r="AF220" s="203"/>
      <c r="AG220" s="203"/>
      <c r="AH220" s="203"/>
      <c r="AI220" s="203"/>
      <c r="AJ220" s="203"/>
      <c r="AK220" s="203"/>
      <c r="AL220" s="203"/>
      <c r="AM220" s="203"/>
      <c r="AN220" s="203"/>
      <c r="AO220" s="203"/>
      <c r="AP220" s="203"/>
      <c r="AQ220" s="203"/>
      <c r="AR220" s="203"/>
      <c r="AS220" s="203"/>
      <c r="AT220" s="203"/>
    </row>
    <row r="221" spans="4:46" s="155" customFormat="1" ht="11.25" x14ac:dyDescent="0.2">
      <c r="D221" s="203"/>
      <c r="E221" s="203"/>
      <c r="F221" s="203"/>
      <c r="G221" s="203"/>
      <c r="H221" s="203"/>
      <c r="I221" s="203"/>
      <c r="J221" s="203"/>
      <c r="K221" s="203"/>
      <c r="L221" s="203"/>
      <c r="M221" s="203"/>
      <c r="N221" s="203"/>
      <c r="O221" s="203"/>
      <c r="P221" s="203"/>
      <c r="Q221" s="203"/>
      <c r="R221" s="203"/>
      <c r="S221" s="203"/>
      <c r="T221" s="203"/>
      <c r="U221" s="203"/>
      <c r="V221" s="203"/>
      <c r="W221" s="203"/>
      <c r="X221" s="203"/>
      <c r="Y221" s="203"/>
      <c r="Z221" s="203"/>
      <c r="AA221" s="203"/>
      <c r="AB221" s="203"/>
      <c r="AC221" s="203"/>
      <c r="AD221" s="203"/>
      <c r="AE221" s="203"/>
      <c r="AF221" s="203"/>
      <c r="AG221" s="203"/>
      <c r="AH221" s="203"/>
      <c r="AI221" s="203"/>
      <c r="AJ221" s="203"/>
      <c r="AK221" s="203"/>
      <c r="AL221" s="203"/>
      <c r="AM221" s="203"/>
      <c r="AN221" s="203"/>
      <c r="AO221" s="203"/>
      <c r="AP221" s="203"/>
      <c r="AQ221" s="203"/>
      <c r="AR221" s="203"/>
      <c r="AS221" s="203"/>
      <c r="AT221" s="203"/>
    </row>
    <row r="222" spans="4:46" s="155" customFormat="1" ht="11.25" x14ac:dyDescent="0.2">
      <c r="D222" s="203"/>
      <c r="E222" s="203"/>
      <c r="F222" s="203"/>
      <c r="G222" s="203"/>
      <c r="H222" s="203"/>
      <c r="I222" s="203"/>
      <c r="J222" s="203"/>
      <c r="K222" s="203"/>
      <c r="L222" s="203"/>
      <c r="M222" s="203"/>
      <c r="N222" s="203"/>
      <c r="O222" s="203"/>
      <c r="P222" s="203"/>
      <c r="Q222" s="203"/>
      <c r="R222" s="203"/>
      <c r="S222" s="203"/>
      <c r="T222" s="203"/>
      <c r="U222" s="203"/>
      <c r="V222" s="203"/>
      <c r="W222" s="203"/>
      <c r="X222" s="203"/>
      <c r="Y222" s="203"/>
      <c r="Z222" s="203"/>
      <c r="AA222" s="203"/>
      <c r="AB222" s="203"/>
      <c r="AC222" s="203"/>
      <c r="AD222" s="203"/>
      <c r="AE222" s="203"/>
      <c r="AF222" s="203"/>
      <c r="AG222" s="203"/>
      <c r="AH222" s="203"/>
      <c r="AI222" s="203"/>
      <c r="AJ222" s="203"/>
      <c r="AK222" s="203"/>
      <c r="AL222" s="203"/>
      <c r="AM222" s="203"/>
      <c r="AN222" s="203"/>
      <c r="AO222" s="203"/>
      <c r="AP222" s="203"/>
      <c r="AQ222" s="203"/>
      <c r="AR222" s="203"/>
      <c r="AS222" s="203"/>
      <c r="AT222" s="203"/>
    </row>
    <row r="223" spans="4:46" s="155" customFormat="1" ht="11.25" x14ac:dyDescent="0.2">
      <c r="D223" s="203"/>
      <c r="E223" s="203"/>
      <c r="F223" s="203"/>
      <c r="G223" s="203"/>
      <c r="H223" s="203"/>
      <c r="I223" s="203"/>
      <c r="J223" s="203"/>
      <c r="K223" s="203"/>
      <c r="L223" s="203"/>
      <c r="M223" s="203"/>
      <c r="N223" s="203"/>
      <c r="O223" s="203"/>
      <c r="P223" s="203"/>
      <c r="Q223" s="203"/>
      <c r="R223" s="203"/>
      <c r="S223" s="203"/>
      <c r="T223" s="203"/>
      <c r="U223" s="203"/>
      <c r="V223" s="203"/>
      <c r="W223" s="203"/>
      <c r="X223" s="203"/>
      <c r="Y223" s="203"/>
      <c r="Z223" s="203"/>
      <c r="AA223" s="203"/>
      <c r="AB223" s="203"/>
      <c r="AC223" s="203"/>
      <c r="AD223" s="203"/>
      <c r="AE223" s="203"/>
      <c r="AF223" s="203"/>
      <c r="AG223" s="203"/>
      <c r="AH223" s="203"/>
      <c r="AI223" s="203"/>
      <c r="AJ223" s="203"/>
      <c r="AK223" s="203"/>
      <c r="AL223" s="203"/>
      <c r="AM223" s="203"/>
      <c r="AN223" s="203"/>
      <c r="AO223" s="203"/>
      <c r="AP223" s="203"/>
      <c r="AQ223" s="203"/>
      <c r="AR223" s="203"/>
      <c r="AS223" s="203"/>
      <c r="AT223" s="203"/>
    </row>
    <row r="224" spans="4:46" s="155" customFormat="1" ht="11.25" x14ac:dyDescent="0.2">
      <c r="D224" s="203"/>
      <c r="E224" s="203"/>
      <c r="F224" s="203"/>
      <c r="G224" s="203"/>
      <c r="H224" s="203"/>
      <c r="I224" s="203"/>
      <c r="J224" s="203"/>
      <c r="K224" s="203"/>
      <c r="L224" s="203"/>
      <c r="M224" s="203"/>
      <c r="N224" s="203"/>
      <c r="O224" s="203"/>
      <c r="P224" s="203"/>
      <c r="Q224" s="203"/>
      <c r="R224" s="203"/>
      <c r="S224" s="203"/>
      <c r="T224" s="203"/>
      <c r="U224" s="203"/>
      <c r="V224" s="203"/>
      <c r="W224" s="203"/>
      <c r="X224" s="203"/>
      <c r="Y224" s="203"/>
      <c r="Z224" s="203"/>
      <c r="AA224" s="203"/>
      <c r="AB224" s="203"/>
      <c r="AC224" s="203"/>
      <c r="AD224" s="203"/>
      <c r="AE224" s="203"/>
      <c r="AF224" s="203"/>
      <c r="AG224" s="203"/>
      <c r="AH224" s="203"/>
      <c r="AI224" s="203"/>
      <c r="AJ224" s="203"/>
      <c r="AK224" s="203"/>
      <c r="AL224" s="203"/>
      <c r="AM224" s="203"/>
      <c r="AN224" s="203"/>
      <c r="AO224" s="203"/>
      <c r="AP224" s="203"/>
      <c r="AQ224" s="203"/>
      <c r="AR224" s="203"/>
      <c r="AS224" s="203"/>
      <c r="AT224" s="203"/>
    </row>
    <row r="225" spans="4:46" s="155" customFormat="1" ht="11.25" x14ac:dyDescent="0.2">
      <c r="D225" s="203"/>
      <c r="E225" s="203"/>
      <c r="F225" s="203"/>
      <c r="G225" s="203"/>
      <c r="H225" s="203"/>
      <c r="I225" s="203"/>
      <c r="J225" s="203"/>
      <c r="K225" s="203"/>
      <c r="L225" s="203"/>
      <c r="M225" s="203"/>
      <c r="N225" s="203"/>
      <c r="O225" s="203"/>
      <c r="P225" s="203"/>
      <c r="Q225" s="203"/>
      <c r="R225" s="203"/>
      <c r="S225" s="203"/>
      <c r="T225" s="203"/>
      <c r="U225" s="203"/>
      <c r="V225" s="203"/>
      <c r="W225" s="203"/>
      <c r="X225" s="203"/>
      <c r="Y225" s="203"/>
      <c r="Z225" s="203"/>
      <c r="AA225" s="203"/>
      <c r="AB225" s="203"/>
      <c r="AC225" s="203"/>
      <c r="AD225" s="203"/>
      <c r="AE225" s="203"/>
      <c r="AF225" s="203"/>
      <c r="AG225" s="203"/>
      <c r="AH225" s="203"/>
      <c r="AI225" s="203"/>
      <c r="AJ225" s="203"/>
      <c r="AK225" s="203"/>
      <c r="AL225" s="203"/>
      <c r="AM225" s="203"/>
      <c r="AN225" s="203"/>
      <c r="AO225" s="203"/>
      <c r="AP225" s="203"/>
      <c r="AQ225" s="203"/>
      <c r="AR225" s="203"/>
      <c r="AS225" s="203"/>
      <c r="AT225" s="203"/>
    </row>
    <row r="226" spans="4:46" s="155" customFormat="1" ht="11.25" x14ac:dyDescent="0.2">
      <c r="D226" s="203"/>
      <c r="E226" s="203"/>
      <c r="F226" s="203"/>
      <c r="G226" s="203"/>
      <c r="H226" s="203"/>
      <c r="I226" s="203"/>
      <c r="J226" s="203"/>
      <c r="K226" s="203"/>
      <c r="L226" s="203"/>
      <c r="M226" s="203"/>
      <c r="N226" s="203"/>
      <c r="O226" s="203"/>
      <c r="P226" s="203"/>
      <c r="Q226" s="203"/>
      <c r="R226" s="203"/>
      <c r="S226" s="203"/>
      <c r="T226" s="203"/>
      <c r="U226" s="203"/>
      <c r="V226" s="203"/>
      <c r="W226" s="203"/>
      <c r="X226" s="203"/>
      <c r="Y226" s="203"/>
      <c r="Z226" s="203"/>
      <c r="AA226" s="203"/>
      <c r="AB226" s="203"/>
      <c r="AC226" s="203"/>
      <c r="AD226" s="203"/>
      <c r="AE226" s="203"/>
      <c r="AF226" s="203"/>
      <c r="AG226" s="203"/>
      <c r="AH226" s="203"/>
      <c r="AI226" s="203"/>
      <c r="AJ226" s="203"/>
      <c r="AK226" s="203"/>
      <c r="AL226" s="203"/>
      <c r="AM226" s="203"/>
      <c r="AN226" s="203"/>
      <c r="AO226" s="203"/>
      <c r="AP226" s="203"/>
      <c r="AQ226" s="203"/>
      <c r="AR226" s="203"/>
      <c r="AS226" s="203"/>
      <c r="AT226" s="203"/>
    </row>
    <row r="227" spans="4:46" s="155" customFormat="1" ht="11.25" x14ac:dyDescent="0.2">
      <c r="D227" s="203"/>
      <c r="E227" s="203"/>
      <c r="F227" s="203"/>
      <c r="G227" s="203"/>
      <c r="H227" s="203"/>
      <c r="I227" s="203"/>
      <c r="J227" s="203"/>
      <c r="K227" s="203"/>
      <c r="L227" s="203"/>
      <c r="M227" s="203"/>
      <c r="N227" s="203"/>
      <c r="O227" s="203"/>
      <c r="P227" s="203"/>
      <c r="Q227" s="203"/>
      <c r="R227" s="203"/>
      <c r="S227" s="203"/>
      <c r="T227" s="203"/>
      <c r="U227" s="203"/>
      <c r="V227" s="203"/>
      <c r="W227" s="203"/>
      <c r="X227" s="203"/>
      <c r="Y227" s="203"/>
      <c r="Z227" s="203"/>
      <c r="AA227" s="203"/>
      <c r="AB227" s="203"/>
      <c r="AC227" s="203"/>
      <c r="AD227" s="203"/>
      <c r="AE227" s="203"/>
      <c r="AF227" s="203"/>
      <c r="AG227" s="203"/>
      <c r="AH227" s="203"/>
      <c r="AI227" s="203"/>
      <c r="AJ227" s="203"/>
      <c r="AK227" s="203"/>
      <c r="AL227" s="203"/>
      <c r="AM227" s="203"/>
      <c r="AN227" s="203"/>
      <c r="AO227" s="203"/>
      <c r="AP227" s="203"/>
      <c r="AQ227" s="203"/>
      <c r="AR227" s="203"/>
      <c r="AS227" s="203"/>
      <c r="AT227" s="203"/>
    </row>
    <row r="228" spans="4:46" s="155" customFormat="1" ht="11.25" x14ac:dyDescent="0.2">
      <c r="D228" s="203"/>
      <c r="E228" s="203"/>
      <c r="F228" s="203"/>
      <c r="G228" s="203"/>
      <c r="H228" s="203"/>
      <c r="I228" s="203"/>
      <c r="J228" s="203"/>
      <c r="K228" s="203"/>
      <c r="L228" s="203"/>
      <c r="M228" s="203"/>
      <c r="N228" s="203"/>
      <c r="O228" s="203"/>
      <c r="P228" s="203"/>
      <c r="Q228" s="203"/>
      <c r="R228" s="203"/>
      <c r="S228" s="203"/>
      <c r="T228" s="203"/>
      <c r="U228" s="203"/>
      <c r="V228" s="203"/>
      <c r="W228" s="203"/>
      <c r="X228" s="203"/>
      <c r="Y228" s="203"/>
      <c r="Z228" s="203"/>
      <c r="AA228" s="203"/>
      <c r="AB228" s="203"/>
      <c r="AC228" s="203"/>
      <c r="AD228" s="203"/>
      <c r="AE228" s="203"/>
      <c r="AF228" s="203"/>
      <c r="AG228" s="203"/>
      <c r="AH228" s="203"/>
      <c r="AI228" s="203"/>
      <c r="AJ228" s="203"/>
      <c r="AK228" s="203"/>
      <c r="AL228" s="203"/>
      <c r="AM228" s="203"/>
      <c r="AN228" s="203"/>
      <c r="AO228" s="203"/>
      <c r="AP228" s="203"/>
      <c r="AQ228" s="203"/>
      <c r="AR228" s="203"/>
      <c r="AS228" s="203"/>
      <c r="AT228" s="203"/>
    </row>
    <row r="229" spans="4:46" s="155" customFormat="1" ht="11.25" x14ac:dyDescent="0.2">
      <c r="D229" s="203"/>
      <c r="E229" s="203"/>
      <c r="F229" s="203"/>
      <c r="G229" s="203"/>
      <c r="H229" s="203"/>
      <c r="I229" s="203"/>
      <c r="J229" s="203"/>
      <c r="K229" s="203"/>
      <c r="L229" s="203"/>
      <c r="M229" s="203"/>
      <c r="N229" s="203"/>
      <c r="O229" s="203"/>
      <c r="P229" s="203"/>
      <c r="Q229" s="203"/>
      <c r="R229" s="203"/>
      <c r="S229" s="203"/>
      <c r="T229" s="203"/>
      <c r="U229" s="203"/>
      <c r="V229" s="203"/>
      <c r="W229" s="203"/>
      <c r="X229" s="203"/>
      <c r="Y229" s="203"/>
      <c r="Z229" s="203"/>
      <c r="AA229" s="203"/>
      <c r="AB229" s="203"/>
      <c r="AC229" s="203"/>
      <c r="AD229" s="203"/>
      <c r="AE229" s="203"/>
      <c r="AF229" s="203"/>
      <c r="AG229" s="203"/>
      <c r="AH229" s="203"/>
      <c r="AI229" s="203"/>
      <c r="AJ229" s="203"/>
      <c r="AK229" s="203"/>
      <c r="AL229" s="203"/>
      <c r="AM229" s="203"/>
      <c r="AN229" s="203"/>
      <c r="AO229" s="203"/>
      <c r="AP229" s="203"/>
      <c r="AQ229" s="203"/>
      <c r="AR229" s="203"/>
      <c r="AS229" s="203"/>
      <c r="AT229" s="203"/>
    </row>
    <row r="230" spans="4:46" s="155" customFormat="1" ht="11.25" x14ac:dyDescent="0.2">
      <c r="D230" s="203"/>
      <c r="E230" s="203"/>
      <c r="F230" s="203"/>
      <c r="G230" s="203"/>
      <c r="H230" s="203"/>
      <c r="I230" s="203"/>
      <c r="J230" s="203"/>
      <c r="K230" s="203"/>
      <c r="L230" s="203"/>
      <c r="M230" s="203"/>
      <c r="N230" s="203"/>
      <c r="O230" s="203"/>
      <c r="P230" s="203"/>
      <c r="Q230" s="203"/>
      <c r="R230" s="203"/>
      <c r="S230" s="203"/>
      <c r="T230" s="203"/>
      <c r="U230" s="203"/>
      <c r="V230" s="203"/>
      <c r="W230" s="203"/>
      <c r="X230" s="203"/>
      <c r="Y230" s="203"/>
      <c r="Z230" s="203"/>
      <c r="AA230" s="203"/>
      <c r="AB230" s="203"/>
      <c r="AC230" s="203"/>
      <c r="AD230" s="203"/>
      <c r="AE230" s="203"/>
      <c r="AF230" s="203"/>
      <c r="AG230" s="203"/>
      <c r="AH230" s="203"/>
      <c r="AI230" s="203"/>
      <c r="AJ230" s="203"/>
      <c r="AK230" s="203"/>
      <c r="AL230" s="203"/>
      <c r="AM230" s="203"/>
      <c r="AN230" s="203"/>
      <c r="AO230" s="203"/>
      <c r="AP230" s="203"/>
      <c r="AQ230" s="203"/>
      <c r="AR230" s="203"/>
      <c r="AS230" s="203"/>
      <c r="AT230" s="203"/>
    </row>
    <row r="231" spans="4:46" s="155" customFormat="1" ht="11.25" x14ac:dyDescent="0.2">
      <c r="D231" s="203"/>
      <c r="E231" s="203"/>
      <c r="F231" s="203"/>
      <c r="G231" s="203"/>
      <c r="H231" s="203"/>
      <c r="I231" s="203"/>
      <c r="J231" s="203"/>
      <c r="K231" s="203"/>
      <c r="L231" s="203"/>
      <c r="M231" s="203"/>
      <c r="N231" s="203"/>
      <c r="O231" s="203"/>
      <c r="P231" s="203"/>
      <c r="Q231" s="203"/>
      <c r="R231" s="203"/>
      <c r="S231" s="203"/>
      <c r="T231" s="203"/>
      <c r="U231" s="203"/>
      <c r="V231" s="203"/>
      <c r="W231" s="203"/>
      <c r="X231" s="203"/>
      <c r="Y231" s="203"/>
      <c r="Z231" s="203"/>
      <c r="AA231" s="203"/>
      <c r="AB231" s="203"/>
      <c r="AC231" s="203"/>
      <c r="AD231" s="203"/>
      <c r="AE231" s="203"/>
      <c r="AF231" s="203"/>
      <c r="AG231" s="203"/>
      <c r="AH231" s="203"/>
      <c r="AI231" s="203"/>
      <c r="AJ231" s="203"/>
      <c r="AK231" s="203"/>
      <c r="AL231" s="203"/>
      <c r="AM231" s="203"/>
      <c r="AN231" s="203"/>
      <c r="AO231" s="203"/>
      <c r="AP231" s="203"/>
      <c r="AQ231" s="203"/>
      <c r="AR231" s="203"/>
      <c r="AS231" s="203"/>
      <c r="AT231" s="203"/>
    </row>
    <row r="232" spans="4:46" s="155" customFormat="1" ht="11.25" x14ac:dyDescent="0.2">
      <c r="D232" s="203"/>
      <c r="E232" s="203"/>
      <c r="F232" s="203"/>
      <c r="G232" s="203"/>
      <c r="H232" s="203"/>
      <c r="I232" s="203"/>
      <c r="J232" s="203"/>
      <c r="K232" s="203"/>
      <c r="L232" s="203"/>
      <c r="M232" s="203"/>
      <c r="N232" s="203"/>
      <c r="O232" s="203"/>
      <c r="P232" s="203"/>
      <c r="Q232" s="203"/>
      <c r="R232" s="203"/>
      <c r="S232" s="203"/>
      <c r="T232" s="203"/>
      <c r="U232" s="203"/>
      <c r="V232" s="203"/>
      <c r="W232" s="203"/>
      <c r="X232" s="203"/>
      <c r="Y232" s="203"/>
      <c r="Z232" s="203"/>
      <c r="AA232" s="203"/>
      <c r="AB232" s="203"/>
      <c r="AC232" s="203"/>
      <c r="AD232" s="203"/>
      <c r="AE232" s="203"/>
      <c r="AF232" s="203"/>
      <c r="AG232" s="203"/>
      <c r="AH232" s="203"/>
      <c r="AI232" s="203"/>
      <c r="AJ232" s="203"/>
      <c r="AK232" s="203"/>
      <c r="AL232" s="203"/>
      <c r="AM232" s="203"/>
      <c r="AN232" s="203"/>
      <c r="AO232" s="203"/>
      <c r="AP232" s="203"/>
      <c r="AQ232" s="203"/>
      <c r="AR232" s="203"/>
      <c r="AS232" s="203"/>
      <c r="AT232" s="203"/>
    </row>
    <row r="233" spans="4:46" s="155" customFormat="1" ht="11.25" x14ac:dyDescent="0.2">
      <c r="D233" s="203"/>
      <c r="E233" s="203"/>
      <c r="F233" s="203"/>
      <c r="G233" s="203"/>
      <c r="H233" s="203"/>
      <c r="I233" s="203"/>
      <c r="J233" s="203"/>
      <c r="K233" s="203"/>
      <c r="L233" s="203"/>
      <c r="M233" s="203"/>
      <c r="N233" s="203"/>
      <c r="O233" s="203"/>
      <c r="P233" s="203"/>
      <c r="Q233" s="203"/>
      <c r="R233" s="203"/>
      <c r="S233" s="203"/>
      <c r="T233" s="203"/>
      <c r="U233" s="203"/>
      <c r="V233" s="203"/>
      <c r="W233" s="203"/>
      <c r="X233" s="203"/>
      <c r="Y233" s="203"/>
      <c r="Z233" s="203"/>
      <c r="AA233" s="203"/>
      <c r="AB233" s="203"/>
      <c r="AC233" s="203"/>
      <c r="AD233" s="203"/>
      <c r="AE233" s="203"/>
      <c r="AF233" s="203"/>
      <c r="AG233" s="203"/>
      <c r="AH233" s="203"/>
      <c r="AI233" s="203"/>
      <c r="AJ233" s="203"/>
      <c r="AK233" s="203"/>
      <c r="AL233" s="203"/>
      <c r="AM233" s="203"/>
      <c r="AN233" s="203"/>
      <c r="AO233" s="203"/>
      <c r="AP233" s="203"/>
      <c r="AQ233" s="203"/>
      <c r="AR233" s="203"/>
      <c r="AS233" s="203"/>
      <c r="AT233" s="203"/>
    </row>
    <row r="234" spans="4:46" s="155" customFormat="1" ht="11.25" x14ac:dyDescent="0.2">
      <c r="D234" s="203"/>
      <c r="E234" s="203"/>
      <c r="F234" s="203"/>
      <c r="G234" s="203"/>
      <c r="H234" s="203"/>
      <c r="I234" s="203"/>
      <c r="J234" s="203"/>
      <c r="K234" s="203"/>
      <c r="L234" s="203"/>
      <c r="M234" s="203"/>
      <c r="N234" s="203"/>
      <c r="O234" s="203"/>
      <c r="P234" s="203"/>
      <c r="Q234" s="203"/>
      <c r="R234" s="203"/>
      <c r="S234" s="203"/>
      <c r="T234" s="203"/>
      <c r="U234" s="203"/>
      <c r="V234" s="203"/>
      <c r="W234" s="203"/>
      <c r="X234" s="203"/>
      <c r="Y234" s="203"/>
      <c r="Z234" s="203"/>
      <c r="AA234" s="203"/>
      <c r="AB234" s="203"/>
      <c r="AC234" s="203"/>
      <c r="AD234" s="203"/>
      <c r="AE234" s="203"/>
      <c r="AF234" s="203"/>
      <c r="AG234" s="203"/>
      <c r="AH234" s="203"/>
      <c r="AI234" s="203"/>
      <c r="AJ234" s="203"/>
      <c r="AK234" s="203"/>
      <c r="AL234" s="203"/>
      <c r="AM234" s="203"/>
      <c r="AN234" s="203"/>
      <c r="AO234" s="203"/>
      <c r="AP234" s="203"/>
      <c r="AQ234" s="203"/>
      <c r="AR234" s="203"/>
      <c r="AS234" s="203"/>
      <c r="AT234" s="203"/>
    </row>
    <row r="235" spans="4:46" s="155" customFormat="1" ht="11.25" x14ac:dyDescent="0.2">
      <c r="D235" s="203"/>
      <c r="E235" s="203"/>
      <c r="F235" s="203"/>
      <c r="G235" s="203"/>
      <c r="H235" s="203"/>
      <c r="I235" s="203"/>
      <c r="J235" s="203"/>
      <c r="K235" s="203"/>
      <c r="L235" s="203"/>
      <c r="M235" s="203"/>
      <c r="N235" s="203"/>
      <c r="O235" s="203"/>
      <c r="P235" s="203"/>
      <c r="Q235" s="203"/>
      <c r="R235" s="203"/>
      <c r="S235" s="203"/>
      <c r="T235" s="203"/>
      <c r="U235" s="203"/>
      <c r="V235" s="203"/>
      <c r="W235" s="203"/>
      <c r="X235" s="203"/>
      <c r="Y235" s="203"/>
      <c r="Z235" s="203"/>
      <c r="AA235" s="203"/>
      <c r="AB235" s="203"/>
      <c r="AC235" s="203"/>
      <c r="AD235" s="203"/>
      <c r="AE235" s="203"/>
      <c r="AF235" s="203"/>
      <c r="AG235" s="203"/>
      <c r="AH235" s="203"/>
      <c r="AI235" s="203"/>
      <c r="AJ235" s="203"/>
      <c r="AK235" s="203"/>
      <c r="AL235" s="203"/>
      <c r="AM235" s="203"/>
      <c r="AN235" s="203"/>
      <c r="AO235" s="203"/>
      <c r="AP235" s="203"/>
      <c r="AQ235" s="203"/>
      <c r="AR235" s="203"/>
      <c r="AS235" s="203"/>
      <c r="AT235" s="203"/>
    </row>
    <row r="236" spans="4:46" s="155" customFormat="1" ht="11.25" x14ac:dyDescent="0.2">
      <c r="D236" s="203"/>
      <c r="E236" s="203"/>
      <c r="F236" s="203"/>
      <c r="G236" s="203"/>
      <c r="H236" s="203"/>
      <c r="I236" s="203"/>
      <c r="J236" s="203"/>
      <c r="K236" s="203"/>
      <c r="L236" s="203"/>
      <c r="M236" s="203"/>
      <c r="N236" s="203"/>
      <c r="O236" s="203"/>
      <c r="P236" s="203"/>
      <c r="Q236" s="203"/>
      <c r="R236" s="203"/>
      <c r="S236" s="203"/>
      <c r="T236" s="203"/>
      <c r="U236" s="203"/>
      <c r="V236" s="203"/>
      <c r="W236" s="203"/>
      <c r="X236" s="203"/>
      <c r="Y236" s="203"/>
      <c r="Z236" s="203"/>
      <c r="AA236" s="203"/>
      <c r="AB236" s="203"/>
      <c r="AC236" s="203"/>
      <c r="AD236" s="203"/>
      <c r="AE236" s="203"/>
      <c r="AF236" s="203"/>
      <c r="AG236" s="203"/>
      <c r="AH236" s="203"/>
      <c r="AI236" s="203"/>
      <c r="AJ236" s="203"/>
      <c r="AK236" s="203"/>
      <c r="AL236" s="203"/>
      <c r="AM236" s="203"/>
      <c r="AN236" s="203"/>
      <c r="AO236" s="203"/>
      <c r="AP236" s="203"/>
      <c r="AQ236" s="203"/>
      <c r="AR236" s="203"/>
      <c r="AS236" s="203"/>
      <c r="AT236" s="203"/>
    </row>
    <row r="237" spans="4:46" s="155" customFormat="1" ht="11.25" x14ac:dyDescent="0.2">
      <c r="D237" s="203"/>
      <c r="E237" s="203"/>
      <c r="F237" s="203"/>
      <c r="G237" s="203"/>
      <c r="H237" s="203"/>
      <c r="I237" s="203"/>
      <c r="J237" s="203"/>
      <c r="K237" s="203"/>
      <c r="L237" s="203"/>
      <c r="M237" s="203"/>
      <c r="N237" s="203"/>
      <c r="O237" s="203"/>
      <c r="P237" s="203"/>
      <c r="Q237" s="203"/>
      <c r="R237" s="203"/>
      <c r="S237" s="203"/>
      <c r="T237" s="203"/>
      <c r="U237" s="203"/>
      <c r="V237" s="203"/>
      <c r="W237" s="203"/>
      <c r="X237" s="203"/>
      <c r="Y237" s="203"/>
      <c r="Z237" s="203"/>
      <c r="AA237" s="203"/>
      <c r="AB237" s="203"/>
      <c r="AC237" s="203"/>
      <c r="AD237" s="203"/>
      <c r="AE237" s="203"/>
      <c r="AF237" s="203"/>
      <c r="AG237" s="203"/>
      <c r="AH237" s="203"/>
      <c r="AI237" s="203"/>
      <c r="AJ237" s="203"/>
      <c r="AK237" s="203"/>
      <c r="AL237" s="203"/>
      <c r="AM237" s="203"/>
      <c r="AN237" s="203"/>
      <c r="AO237" s="203"/>
      <c r="AP237" s="203"/>
      <c r="AQ237" s="203"/>
      <c r="AR237" s="203"/>
      <c r="AS237" s="203"/>
      <c r="AT237" s="203"/>
    </row>
    <row r="238" spans="4:46" s="155" customFormat="1" ht="11.25" x14ac:dyDescent="0.2">
      <c r="D238" s="203"/>
      <c r="E238" s="203"/>
      <c r="F238" s="203"/>
      <c r="G238" s="203"/>
      <c r="H238" s="203"/>
      <c r="I238" s="203"/>
      <c r="J238" s="203"/>
      <c r="K238" s="203"/>
      <c r="L238" s="203"/>
      <c r="M238" s="203"/>
      <c r="N238" s="203"/>
      <c r="O238" s="203"/>
      <c r="P238" s="203"/>
      <c r="Q238" s="203"/>
      <c r="R238" s="203"/>
      <c r="S238" s="203"/>
      <c r="T238" s="203"/>
      <c r="U238" s="203"/>
      <c r="V238" s="203"/>
      <c r="W238" s="203"/>
      <c r="X238" s="203"/>
      <c r="Y238" s="203"/>
      <c r="Z238" s="203"/>
      <c r="AA238" s="203"/>
      <c r="AB238" s="203"/>
      <c r="AC238" s="203"/>
      <c r="AD238" s="203"/>
      <c r="AE238" s="203"/>
      <c r="AF238" s="203"/>
      <c r="AG238" s="203"/>
      <c r="AH238" s="203"/>
      <c r="AI238" s="203"/>
      <c r="AJ238" s="203"/>
      <c r="AK238" s="203"/>
      <c r="AL238" s="203"/>
      <c r="AM238" s="203"/>
      <c r="AN238" s="203"/>
      <c r="AO238" s="203"/>
      <c r="AP238" s="203"/>
      <c r="AQ238" s="203"/>
      <c r="AR238" s="203"/>
      <c r="AS238" s="203"/>
      <c r="AT238" s="203"/>
    </row>
    <row r="239" spans="4:46" s="155" customFormat="1" ht="11.25" x14ac:dyDescent="0.2">
      <c r="D239" s="203"/>
      <c r="E239" s="203"/>
      <c r="F239" s="203"/>
      <c r="G239" s="203"/>
      <c r="H239" s="203"/>
      <c r="I239" s="203"/>
      <c r="J239" s="203"/>
      <c r="K239" s="203"/>
      <c r="L239" s="203"/>
      <c r="M239" s="203"/>
      <c r="N239" s="203"/>
      <c r="O239" s="203"/>
      <c r="P239" s="203"/>
      <c r="Q239" s="203"/>
      <c r="R239" s="203"/>
      <c r="S239" s="203"/>
      <c r="T239" s="203"/>
      <c r="U239" s="203"/>
      <c r="V239" s="203"/>
      <c r="W239" s="203"/>
      <c r="X239" s="203"/>
      <c r="Y239" s="203"/>
      <c r="Z239" s="203"/>
      <c r="AA239" s="203"/>
      <c r="AB239" s="203"/>
      <c r="AC239" s="203"/>
      <c r="AD239" s="203"/>
      <c r="AE239" s="203"/>
      <c r="AF239" s="203"/>
      <c r="AG239" s="203"/>
      <c r="AH239" s="203"/>
      <c r="AI239" s="203"/>
      <c r="AJ239" s="203"/>
      <c r="AK239" s="203"/>
      <c r="AL239" s="203"/>
      <c r="AM239" s="203"/>
      <c r="AN239" s="203"/>
      <c r="AO239" s="203"/>
      <c r="AP239" s="203"/>
      <c r="AQ239" s="203"/>
      <c r="AR239" s="203"/>
      <c r="AS239" s="203"/>
      <c r="AT239" s="203"/>
    </row>
    <row r="240" spans="4:46" s="155" customFormat="1" ht="11.25" x14ac:dyDescent="0.2">
      <c r="D240" s="203"/>
      <c r="E240" s="203"/>
      <c r="F240" s="203"/>
      <c r="G240" s="203"/>
      <c r="H240" s="203"/>
      <c r="I240" s="203"/>
      <c r="J240" s="203"/>
      <c r="K240" s="203"/>
      <c r="L240" s="203"/>
      <c r="M240" s="203"/>
      <c r="N240" s="203"/>
      <c r="O240" s="203"/>
      <c r="P240" s="203"/>
      <c r="Q240" s="203"/>
      <c r="R240" s="203"/>
      <c r="S240" s="203"/>
      <c r="T240" s="203"/>
      <c r="U240" s="203"/>
      <c r="V240" s="203"/>
      <c r="W240" s="203"/>
      <c r="X240" s="203"/>
      <c r="Y240" s="203"/>
      <c r="Z240" s="203"/>
      <c r="AA240" s="203"/>
      <c r="AB240" s="203"/>
      <c r="AC240" s="203"/>
      <c r="AD240" s="203"/>
      <c r="AE240" s="203"/>
      <c r="AF240" s="203"/>
      <c r="AG240" s="203"/>
      <c r="AH240" s="203"/>
      <c r="AI240" s="203"/>
      <c r="AJ240" s="203"/>
      <c r="AK240" s="203"/>
      <c r="AL240" s="203"/>
      <c r="AM240" s="203"/>
      <c r="AN240" s="203"/>
      <c r="AO240" s="203"/>
      <c r="AP240" s="203"/>
      <c r="AQ240" s="203"/>
      <c r="AR240" s="203"/>
      <c r="AS240" s="203"/>
      <c r="AT240" s="203"/>
    </row>
    <row r="241" spans="4:46" s="155" customFormat="1" ht="11.25" x14ac:dyDescent="0.2">
      <c r="D241" s="203"/>
      <c r="E241" s="203"/>
      <c r="F241" s="203"/>
      <c r="G241" s="203"/>
      <c r="H241" s="203"/>
      <c r="I241" s="203"/>
      <c r="J241" s="203"/>
      <c r="K241" s="203"/>
      <c r="L241" s="203"/>
      <c r="M241" s="203"/>
      <c r="N241" s="203"/>
      <c r="O241" s="203"/>
      <c r="P241" s="203"/>
      <c r="Q241" s="203"/>
      <c r="R241" s="203"/>
      <c r="S241" s="203"/>
      <c r="T241" s="203"/>
      <c r="U241" s="203"/>
      <c r="V241" s="203"/>
      <c r="W241" s="203"/>
      <c r="X241" s="203"/>
      <c r="Y241" s="203"/>
      <c r="Z241" s="203"/>
      <c r="AA241" s="203"/>
      <c r="AB241" s="203"/>
      <c r="AC241" s="203"/>
      <c r="AD241" s="203"/>
      <c r="AE241" s="203"/>
      <c r="AF241" s="203"/>
      <c r="AG241" s="203"/>
      <c r="AH241" s="203"/>
      <c r="AI241" s="203"/>
      <c r="AJ241" s="203"/>
      <c r="AK241" s="203"/>
      <c r="AL241" s="203"/>
      <c r="AM241" s="203"/>
      <c r="AN241" s="203"/>
      <c r="AO241" s="203"/>
      <c r="AP241" s="203"/>
      <c r="AQ241" s="203"/>
      <c r="AR241" s="203"/>
      <c r="AS241" s="203"/>
      <c r="AT241" s="203"/>
    </row>
    <row r="242" spans="4:46" s="155" customFormat="1" ht="11.25" x14ac:dyDescent="0.2">
      <c r="D242" s="203"/>
      <c r="E242" s="203"/>
      <c r="F242" s="203"/>
      <c r="G242" s="203"/>
      <c r="H242" s="203"/>
      <c r="I242" s="203"/>
      <c r="J242" s="203"/>
      <c r="K242" s="203"/>
      <c r="L242" s="203"/>
      <c r="M242" s="203"/>
      <c r="N242" s="203"/>
      <c r="O242" s="203"/>
      <c r="P242" s="203"/>
      <c r="Q242" s="203"/>
      <c r="R242" s="203"/>
      <c r="S242" s="203"/>
      <c r="T242" s="203"/>
      <c r="U242" s="203"/>
      <c r="V242" s="203"/>
      <c r="W242" s="203"/>
      <c r="X242" s="203"/>
      <c r="Y242" s="203"/>
      <c r="Z242" s="203"/>
      <c r="AA242" s="203"/>
      <c r="AB242" s="203"/>
      <c r="AC242" s="203"/>
      <c r="AD242" s="203"/>
      <c r="AE242" s="203"/>
      <c r="AF242" s="203"/>
      <c r="AG242" s="203"/>
      <c r="AH242" s="203"/>
      <c r="AI242" s="203"/>
      <c r="AJ242" s="203"/>
      <c r="AK242" s="203"/>
      <c r="AL242" s="203"/>
      <c r="AM242" s="203"/>
      <c r="AN242" s="203"/>
      <c r="AO242" s="203"/>
      <c r="AP242" s="203"/>
      <c r="AQ242" s="203"/>
      <c r="AR242" s="203"/>
      <c r="AS242" s="203"/>
      <c r="AT242" s="203"/>
    </row>
    <row r="243" spans="4:46" s="155" customFormat="1" ht="11.25" x14ac:dyDescent="0.2">
      <c r="D243" s="203"/>
      <c r="E243" s="203"/>
      <c r="F243" s="203"/>
      <c r="G243" s="203"/>
      <c r="H243" s="203"/>
      <c r="I243" s="203"/>
      <c r="J243" s="203"/>
      <c r="K243" s="203"/>
      <c r="L243" s="203"/>
      <c r="M243" s="203"/>
      <c r="N243" s="203"/>
      <c r="O243" s="203"/>
      <c r="P243" s="203"/>
      <c r="Q243" s="203"/>
      <c r="R243" s="203"/>
      <c r="S243" s="203"/>
      <c r="T243" s="203"/>
      <c r="U243" s="203"/>
      <c r="V243" s="203"/>
      <c r="W243" s="203"/>
      <c r="X243" s="203"/>
      <c r="Y243" s="203"/>
      <c r="Z243" s="203"/>
      <c r="AA243" s="203"/>
      <c r="AB243" s="203"/>
      <c r="AC243" s="203"/>
      <c r="AD243" s="203"/>
      <c r="AE243" s="203"/>
      <c r="AF243" s="203"/>
      <c r="AG243" s="203"/>
      <c r="AH243" s="203"/>
      <c r="AI243" s="203"/>
      <c r="AJ243" s="203"/>
      <c r="AK243" s="203"/>
      <c r="AL243" s="203"/>
      <c r="AM243" s="203"/>
      <c r="AN243" s="203"/>
      <c r="AO243" s="203"/>
      <c r="AP243" s="203"/>
      <c r="AQ243" s="203"/>
      <c r="AR243" s="203"/>
      <c r="AS243" s="203"/>
      <c r="AT243" s="203"/>
    </row>
    <row r="244" spans="4:46" s="155" customFormat="1" ht="11.25" x14ac:dyDescent="0.2">
      <c r="D244" s="203"/>
      <c r="E244" s="203"/>
      <c r="F244" s="203"/>
      <c r="G244" s="203"/>
      <c r="H244" s="203"/>
      <c r="I244" s="203"/>
      <c r="J244" s="203"/>
      <c r="K244" s="203"/>
      <c r="L244" s="203"/>
      <c r="M244" s="203"/>
      <c r="N244" s="203"/>
      <c r="O244" s="203"/>
      <c r="P244" s="203"/>
      <c r="Q244" s="203"/>
      <c r="R244" s="203"/>
      <c r="S244" s="203"/>
      <c r="T244" s="203"/>
      <c r="U244" s="203"/>
      <c r="V244" s="203"/>
      <c r="W244" s="203"/>
      <c r="X244" s="203"/>
      <c r="Y244" s="203"/>
      <c r="Z244" s="203"/>
      <c r="AA244" s="203"/>
      <c r="AB244" s="203"/>
      <c r="AC244" s="203"/>
      <c r="AD244" s="203"/>
      <c r="AE244" s="203"/>
      <c r="AF244" s="203"/>
      <c r="AG244" s="203"/>
      <c r="AH244" s="203"/>
      <c r="AI244" s="203"/>
      <c r="AJ244" s="203"/>
      <c r="AK244" s="203"/>
      <c r="AL244" s="203"/>
      <c r="AM244" s="203"/>
      <c r="AN244" s="203"/>
      <c r="AO244" s="203"/>
      <c r="AP244" s="203"/>
      <c r="AQ244" s="203"/>
      <c r="AR244" s="203"/>
      <c r="AS244" s="203"/>
      <c r="AT244" s="203"/>
    </row>
    <row r="245" spans="4:46" s="155" customFormat="1" ht="11.25" x14ac:dyDescent="0.2">
      <c r="D245" s="203"/>
      <c r="E245" s="203"/>
      <c r="F245" s="203"/>
      <c r="G245" s="203"/>
      <c r="H245" s="203"/>
      <c r="I245" s="203"/>
      <c r="J245" s="203"/>
      <c r="K245" s="203"/>
      <c r="L245" s="203"/>
      <c r="M245" s="203"/>
      <c r="N245" s="203"/>
      <c r="O245" s="203"/>
      <c r="P245" s="203"/>
      <c r="Q245" s="203"/>
      <c r="R245" s="203"/>
      <c r="S245" s="203"/>
      <c r="T245" s="203"/>
      <c r="U245" s="203"/>
      <c r="V245" s="203"/>
      <c r="W245" s="203"/>
      <c r="X245" s="203"/>
      <c r="Y245" s="203"/>
      <c r="Z245" s="203"/>
      <c r="AA245" s="203"/>
      <c r="AB245" s="203"/>
      <c r="AC245" s="203"/>
      <c r="AD245" s="203"/>
      <c r="AE245" s="203"/>
      <c r="AF245" s="203"/>
      <c r="AG245" s="203"/>
      <c r="AH245" s="203"/>
      <c r="AI245" s="203"/>
      <c r="AJ245" s="203"/>
      <c r="AK245" s="203"/>
      <c r="AL245" s="203"/>
      <c r="AM245" s="203"/>
      <c r="AN245" s="203"/>
      <c r="AO245" s="203"/>
      <c r="AP245" s="203"/>
      <c r="AQ245" s="203"/>
      <c r="AR245" s="203"/>
      <c r="AS245" s="203"/>
      <c r="AT245" s="203"/>
    </row>
    <row r="246" spans="4:46" s="155" customFormat="1" ht="11.25" x14ac:dyDescent="0.2">
      <c r="D246" s="203"/>
      <c r="E246" s="203"/>
      <c r="F246" s="203"/>
      <c r="G246" s="203"/>
      <c r="H246" s="203"/>
      <c r="I246" s="203"/>
      <c r="J246" s="203"/>
      <c r="K246" s="203"/>
      <c r="L246" s="203"/>
      <c r="M246" s="203"/>
      <c r="N246" s="203"/>
      <c r="O246" s="203"/>
      <c r="P246" s="203"/>
      <c r="Q246" s="203"/>
      <c r="R246" s="203"/>
      <c r="S246" s="203"/>
      <c r="T246" s="203"/>
      <c r="U246" s="203"/>
      <c r="V246" s="203"/>
      <c r="W246" s="203"/>
      <c r="X246" s="203"/>
      <c r="Y246" s="203"/>
      <c r="Z246" s="203"/>
      <c r="AA246" s="203"/>
      <c r="AB246" s="203"/>
      <c r="AC246" s="203"/>
      <c r="AD246" s="203"/>
      <c r="AE246" s="203"/>
      <c r="AF246" s="203"/>
      <c r="AG246" s="203"/>
      <c r="AH246" s="203"/>
      <c r="AI246" s="203"/>
      <c r="AJ246" s="203"/>
      <c r="AK246" s="203"/>
      <c r="AL246" s="203"/>
      <c r="AM246" s="203"/>
      <c r="AN246" s="203"/>
      <c r="AO246" s="203"/>
      <c r="AP246" s="203"/>
      <c r="AQ246" s="203"/>
      <c r="AR246" s="203"/>
      <c r="AS246" s="203"/>
      <c r="AT246" s="203"/>
    </row>
    <row r="247" spans="4:46" s="155" customFormat="1" ht="11.25" x14ac:dyDescent="0.2">
      <c r="D247" s="203"/>
      <c r="E247" s="203"/>
      <c r="F247" s="203"/>
      <c r="G247" s="203"/>
      <c r="H247" s="203"/>
      <c r="I247" s="203"/>
      <c r="J247" s="203"/>
      <c r="K247" s="203"/>
      <c r="L247" s="203"/>
      <c r="M247" s="203"/>
      <c r="N247" s="203"/>
      <c r="O247" s="203"/>
      <c r="P247" s="203"/>
      <c r="Q247" s="203"/>
      <c r="R247" s="203"/>
      <c r="S247" s="203"/>
      <c r="T247" s="203"/>
      <c r="U247" s="203"/>
      <c r="V247" s="203"/>
      <c r="W247" s="203"/>
      <c r="X247" s="203"/>
      <c r="Y247" s="203"/>
      <c r="Z247" s="203"/>
      <c r="AA247" s="203"/>
      <c r="AB247" s="203"/>
      <c r="AC247" s="203"/>
      <c r="AD247" s="203"/>
      <c r="AE247" s="203"/>
      <c r="AF247" s="203"/>
      <c r="AG247" s="203"/>
      <c r="AH247" s="203"/>
      <c r="AI247" s="203"/>
      <c r="AJ247" s="203"/>
      <c r="AK247" s="203"/>
      <c r="AL247" s="203"/>
      <c r="AM247" s="203"/>
      <c r="AN247" s="203"/>
      <c r="AO247" s="203"/>
      <c r="AP247" s="203"/>
      <c r="AQ247" s="203"/>
      <c r="AR247" s="203"/>
      <c r="AS247" s="203"/>
      <c r="AT247" s="203"/>
    </row>
    <row r="248" spans="4:46" s="155" customFormat="1" ht="11.25" x14ac:dyDescent="0.2">
      <c r="D248" s="203"/>
      <c r="E248" s="203"/>
      <c r="F248" s="203"/>
      <c r="G248" s="203"/>
      <c r="H248" s="203"/>
      <c r="I248" s="203"/>
      <c r="J248" s="203"/>
      <c r="K248" s="203"/>
      <c r="L248" s="203"/>
      <c r="M248" s="203"/>
      <c r="N248" s="203"/>
      <c r="O248" s="203"/>
      <c r="P248" s="203"/>
      <c r="Q248" s="203"/>
      <c r="R248" s="203"/>
      <c r="S248" s="203"/>
      <c r="T248" s="203"/>
      <c r="U248" s="203"/>
      <c r="V248" s="203"/>
      <c r="W248" s="203"/>
      <c r="X248" s="203"/>
      <c r="Y248" s="203"/>
      <c r="Z248" s="203"/>
      <c r="AA248" s="203"/>
      <c r="AB248" s="203"/>
      <c r="AC248" s="203"/>
      <c r="AD248" s="203"/>
      <c r="AE248" s="203"/>
      <c r="AF248" s="203"/>
      <c r="AG248" s="203"/>
      <c r="AH248" s="203"/>
      <c r="AI248" s="203"/>
      <c r="AJ248" s="203"/>
      <c r="AK248" s="203"/>
      <c r="AL248" s="203"/>
      <c r="AM248" s="203"/>
      <c r="AN248" s="203"/>
      <c r="AO248" s="203"/>
      <c r="AP248" s="203"/>
      <c r="AQ248" s="203"/>
      <c r="AR248" s="203"/>
      <c r="AS248" s="203"/>
      <c r="AT248" s="203"/>
    </row>
    <row r="249" spans="4:46" s="155" customFormat="1" ht="11.25" x14ac:dyDescent="0.2">
      <c r="D249" s="203"/>
      <c r="E249" s="203"/>
      <c r="F249" s="203"/>
      <c r="G249" s="203"/>
      <c r="H249" s="203"/>
      <c r="I249" s="203"/>
      <c r="J249" s="203"/>
      <c r="K249" s="203"/>
      <c r="L249" s="203"/>
      <c r="M249" s="203"/>
      <c r="N249" s="203"/>
      <c r="O249" s="203"/>
      <c r="P249" s="203"/>
      <c r="Q249" s="203"/>
      <c r="R249" s="203"/>
      <c r="S249" s="203"/>
      <c r="T249" s="203"/>
      <c r="U249" s="203"/>
      <c r="V249" s="203"/>
      <c r="W249" s="203"/>
      <c r="X249" s="203"/>
      <c r="Y249" s="203"/>
      <c r="Z249" s="203"/>
      <c r="AA249" s="203"/>
      <c r="AB249" s="203"/>
      <c r="AC249" s="203"/>
      <c r="AD249" s="203"/>
      <c r="AE249" s="203"/>
      <c r="AF249" s="203"/>
      <c r="AG249" s="203"/>
      <c r="AH249" s="203"/>
      <c r="AI249" s="203"/>
      <c r="AJ249" s="203"/>
      <c r="AK249" s="203"/>
      <c r="AL249" s="203"/>
      <c r="AM249" s="203"/>
      <c r="AN249" s="203"/>
      <c r="AO249" s="203"/>
      <c r="AP249" s="203"/>
      <c r="AQ249" s="203"/>
      <c r="AR249" s="203"/>
      <c r="AS249" s="203"/>
      <c r="AT249" s="203"/>
    </row>
    <row r="250" spans="4:46" s="155" customFormat="1" ht="11.25" x14ac:dyDescent="0.2">
      <c r="D250" s="203"/>
      <c r="E250" s="203"/>
      <c r="F250" s="203"/>
      <c r="G250" s="203"/>
      <c r="H250" s="203"/>
      <c r="I250" s="203"/>
      <c r="J250" s="203"/>
      <c r="K250" s="203"/>
      <c r="L250" s="203"/>
      <c r="M250" s="203"/>
      <c r="N250" s="203"/>
      <c r="O250" s="203"/>
      <c r="P250" s="203"/>
      <c r="Q250" s="203"/>
      <c r="R250" s="203"/>
      <c r="S250" s="203"/>
      <c r="T250" s="203"/>
      <c r="U250" s="203"/>
      <c r="V250" s="203"/>
      <c r="W250" s="203"/>
      <c r="X250" s="203"/>
      <c r="Y250" s="203"/>
      <c r="Z250" s="203"/>
      <c r="AA250" s="203"/>
      <c r="AB250" s="203"/>
      <c r="AC250" s="203"/>
      <c r="AD250" s="203"/>
      <c r="AE250" s="203"/>
      <c r="AF250" s="203"/>
      <c r="AG250" s="203"/>
      <c r="AH250" s="203"/>
      <c r="AI250" s="203"/>
      <c r="AJ250" s="203"/>
      <c r="AK250" s="203"/>
      <c r="AL250" s="203"/>
      <c r="AM250" s="203"/>
      <c r="AN250" s="203"/>
      <c r="AO250" s="203"/>
      <c r="AP250" s="203"/>
      <c r="AQ250" s="203"/>
      <c r="AR250" s="203"/>
      <c r="AS250" s="203"/>
      <c r="AT250" s="203"/>
    </row>
    <row r="251" spans="4:46" s="155" customFormat="1" ht="11.25" x14ac:dyDescent="0.2">
      <c r="D251" s="203"/>
      <c r="E251" s="203"/>
      <c r="F251" s="203"/>
      <c r="G251" s="203"/>
      <c r="H251" s="203"/>
      <c r="I251" s="203"/>
      <c r="J251" s="203"/>
      <c r="K251" s="203"/>
      <c r="L251" s="203"/>
      <c r="M251" s="203"/>
      <c r="N251" s="203"/>
      <c r="O251" s="203"/>
      <c r="P251" s="203"/>
      <c r="Q251" s="203"/>
      <c r="R251" s="203"/>
      <c r="S251" s="203"/>
      <c r="T251" s="203"/>
      <c r="U251" s="203"/>
      <c r="V251" s="203"/>
      <c r="W251" s="203"/>
      <c r="X251" s="203"/>
      <c r="Y251" s="203"/>
      <c r="Z251" s="203"/>
      <c r="AA251" s="203"/>
      <c r="AB251" s="203"/>
      <c r="AC251" s="203"/>
      <c r="AD251" s="203"/>
      <c r="AE251" s="203"/>
      <c r="AF251" s="203"/>
      <c r="AG251" s="203"/>
      <c r="AH251" s="203"/>
      <c r="AI251" s="203"/>
      <c r="AJ251" s="203"/>
      <c r="AK251" s="203"/>
      <c r="AL251" s="203"/>
      <c r="AM251" s="203"/>
      <c r="AN251" s="203"/>
      <c r="AO251" s="203"/>
      <c r="AP251" s="203"/>
      <c r="AQ251" s="203"/>
      <c r="AR251" s="203"/>
      <c r="AS251" s="203"/>
      <c r="AT251" s="203"/>
    </row>
    <row r="252" spans="4:46" s="155" customFormat="1" ht="11.25" x14ac:dyDescent="0.2">
      <c r="D252" s="203"/>
      <c r="E252" s="203"/>
      <c r="F252" s="203"/>
      <c r="G252" s="203"/>
      <c r="H252" s="203"/>
      <c r="I252" s="203"/>
      <c r="J252" s="203"/>
      <c r="K252" s="203"/>
      <c r="L252" s="203"/>
      <c r="M252" s="203"/>
      <c r="N252" s="203"/>
      <c r="O252" s="203"/>
      <c r="P252" s="203"/>
      <c r="Q252" s="203"/>
      <c r="R252" s="203"/>
      <c r="S252" s="203"/>
      <c r="T252" s="203"/>
      <c r="U252" s="203"/>
      <c r="V252" s="203"/>
      <c r="W252" s="203"/>
      <c r="X252" s="203"/>
      <c r="Y252" s="203"/>
      <c r="Z252" s="203"/>
      <c r="AA252" s="203"/>
      <c r="AB252" s="203"/>
      <c r="AC252" s="203"/>
      <c r="AD252" s="203"/>
      <c r="AE252" s="203"/>
      <c r="AF252" s="203"/>
      <c r="AG252" s="203"/>
      <c r="AH252" s="203"/>
      <c r="AI252" s="203"/>
      <c r="AJ252" s="203"/>
      <c r="AK252" s="203"/>
      <c r="AL252" s="203"/>
      <c r="AM252" s="203"/>
      <c r="AN252" s="203"/>
      <c r="AO252" s="203"/>
      <c r="AP252" s="203"/>
      <c r="AQ252" s="203"/>
      <c r="AR252" s="203"/>
      <c r="AS252" s="203"/>
      <c r="AT252" s="203"/>
    </row>
    <row r="253" spans="4:46" s="155" customFormat="1" ht="11.25" x14ac:dyDescent="0.2">
      <c r="D253" s="203"/>
      <c r="E253" s="203"/>
      <c r="F253" s="203"/>
      <c r="G253" s="203"/>
      <c r="H253" s="203"/>
      <c r="I253" s="203"/>
      <c r="J253" s="203"/>
      <c r="K253" s="203"/>
      <c r="L253" s="203"/>
      <c r="M253" s="203"/>
      <c r="N253" s="203"/>
      <c r="O253" s="203"/>
      <c r="P253" s="203"/>
      <c r="Q253" s="203"/>
      <c r="R253" s="203"/>
      <c r="S253" s="203"/>
      <c r="T253" s="203"/>
      <c r="U253" s="203"/>
      <c r="V253" s="203"/>
      <c r="W253" s="203"/>
      <c r="X253" s="203"/>
      <c r="Y253" s="203"/>
      <c r="Z253" s="203"/>
      <c r="AA253" s="203"/>
      <c r="AB253" s="203"/>
      <c r="AC253" s="203"/>
      <c r="AD253" s="203"/>
      <c r="AE253" s="203"/>
      <c r="AF253" s="203"/>
      <c r="AG253" s="203"/>
      <c r="AH253" s="203"/>
      <c r="AI253" s="203"/>
      <c r="AJ253" s="203"/>
      <c r="AK253" s="203"/>
      <c r="AL253" s="203"/>
      <c r="AM253" s="203"/>
      <c r="AN253" s="203"/>
      <c r="AO253" s="203"/>
      <c r="AP253" s="203"/>
      <c r="AQ253" s="203"/>
      <c r="AR253" s="203"/>
      <c r="AS253" s="203"/>
      <c r="AT253" s="203"/>
    </row>
    <row r="254" spans="4:46" s="155" customFormat="1" ht="11.25" x14ac:dyDescent="0.2">
      <c r="D254" s="203"/>
      <c r="E254" s="203"/>
      <c r="F254" s="203"/>
      <c r="G254" s="203"/>
      <c r="H254" s="203"/>
      <c r="I254" s="203"/>
      <c r="J254" s="203"/>
      <c r="K254" s="203"/>
      <c r="L254" s="203"/>
      <c r="M254" s="203"/>
      <c r="N254" s="203"/>
      <c r="O254" s="203"/>
      <c r="P254" s="203"/>
      <c r="Q254" s="203"/>
      <c r="R254" s="203"/>
      <c r="S254" s="203"/>
      <c r="T254" s="203"/>
      <c r="U254" s="203"/>
      <c r="V254" s="203"/>
      <c r="W254" s="203"/>
      <c r="X254" s="203"/>
      <c r="Y254" s="203"/>
      <c r="Z254" s="203"/>
      <c r="AA254" s="203"/>
      <c r="AB254" s="203"/>
      <c r="AC254" s="203"/>
      <c r="AD254" s="203"/>
      <c r="AE254" s="203"/>
      <c r="AF254" s="203"/>
      <c r="AG254" s="203"/>
      <c r="AH254" s="203"/>
      <c r="AI254" s="203"/>
      <c r="AJ254" s="203"/>
      <c r="AK254" s="203"/>
      <c r="AL254" s="203"/>
      <c r="AM254" s="203"/>
      <c r="AN254" s="203"/>
      <c r="AO254" s="203"/>
      <c r="AP254" s="203"/>
      <c r="AQ254" s="203"/>
      <c r="AR254" s="203"/>
      <c r="AS254" s="203"/>
      <c r="AT254" s="203"/>
    </row>
    <row r="255" spans="4:46" s="155" customFormat="1" ht="11.25" x14ac:dyDescent="0.2">
      <c r="D255" s="203"/>
      <c r="E255" s="203"/>
      <c r="F255" s="203"/>
      <c r="G255" s="203"/>
      <c r="H255" s="203"/>
      <c r="I255" s="203"/>
      <c r="J255" s="203"/>
      <c r="K255" s="203"/>
      <c r="L255" s="203"/>
      <c r="M255" s="203"/>
      <c r="N255" s="203"/>
      <c r="O255" s="203"/>
      <c r="P255" s="203"/>
      <c r="Q255" s="203"/>
      <c r="R255" s="203"/>
      <c r="S255" s="203"/>
      <c r="T255" s="203"/>
      <c r="U255" s="203"/>
      <c r="V255" s="203"/>
      <c r="W255" s="203"/>
      <c r="X255" s="203"/>
      <c r="Y255" s="203"/>
      <c r="Z255" s="203"/>
      <c r="AA255" s="203"/>
      <c r="AB255" s="203"/>
      <c r="AC255" s="203"/>
      <c r="AD255" s="203"/>
      <c r="AE255" s="203"/>
      <c r="AF255" s="203"/>
      <c r="AG255" s="203"/>
      <c r="AH255" s="203"/>
      <c r="AI255" s="203"/>
      <c r="AJ255" s="203"/>
      <c r="AK255" s="203"/>
      <c r="AL255" s="203"/>
      <c r="AM255" s="203"/>
      <c r="AN255" s="203"/>
      <c r="AO255" s="203"/>
      <c r="AP255" s="203"/>
      <c r="AQ255" s="203"/>
      <c r="AR255" s="203"/>
      <c r="AS255" s="203"/>
      <c r="AT255" s="203"/>
    </row>
    <row r="256" spans="4:46" s="155" customFormat="1" ht="11.25" x14ac:dyDescent="0.2">
      <c r="D256" s="203"/>
      <c r="E256" s="203"/>
      <c r="F256" s="203"/>
      <c r="G256" s="203"/>
      <c r="H256" s="203"/>
      <c r="I256" s="203"/>
      <c r="J256" s="203"/>
      <c r="K256" s="203"/>
      <c r="L256" s="203"/>
      <c r="M256" s="203"/>
      <c r="N256" s="203"/>
      <c r="O256" s="203"/>
      <c r="P256" s="203"/>
      <c r="Q256" s="203"/>
      <c r="R256" s="203"/>
      <c r="S256" s="203"/>
      <c r="T256" s="203"/>
      <c r="U256" s="203"/>
      <c r="V256" s="203"/>
      <c r="W256" s="203"/>
      <c r="X256" s="203"/>
      <c r="Y256" s="203"/>
      <c r="Z256" s="203"/>
      <c r="AA256" s="203"/>
      <c r="AB256" s="203"/>
      <c r="AC256" s="203"/>
      <c r="AD256" s="203"/>
      <c r="AE256" s="203"/>
      <c r="AF256" s="203"/>
      <c r="AG256" s="203"/>
      <c r="AH256" s="203"/>
      <c r="AI256" s="203"/>
      <c r="AJ256" s="203"/>
      <c r="AK256" s="203"/>
      <c r="AL256" s="203"/>
      <c r="AM256" s="203"/>
      <c r="AN256" s="203"/>
      <c r="AO256" s="203"/>
      <c r="AP256" s="203"/>
      <c r="AQ256" s="203"/>
      <c r="AR256" s="203"/>
      <c r="AS256" s="203"/>
      <c r="AT256" s="203"/>
    </row>
    <row r="257" spans="4:46" s="155" customFormat="1" ht="11.25" x14ac:dyDescent="0.2">
      <c r="D257" s="203"/>
      <c r="E257" s="203"/>
      <c r="F257" s="203"/>
      <c r="G257" s="203"/>
      <c r="H257" s="203"/>
      <c r="I257" s="203"/>
      <c r="J257" s="203"/>
      <c r="K257" s="203"/>
      <c r="L257" s="203"/>
      <c r="M257" s="203"/>
      <c r="N257" s="203"/>
      <c r="O257" s="203"/>
      <c r="P257" s="203"/>
      <c r="Q257" s="203"/>
      <c r="R257" s="203"/>
      <c r="S257" s="203"/>
      <c r="T257" s="203"/>
      <c r="U257" s="203"/>
      <c r="V257" s="203"/>
      <c r="W257" s="203"/>
      <c r="X257" s="203"/>
      <c r="Y257" s="203"/>
      <c r="Z257" s="203"/>
      <c r="AA257" s="203"/>
      <c r="AB257" s="203"/>
      <c r="AC257" s="203"/>
      <c r="AD257" s="203"/>
      <c r="AE257" s="203"/>
      <c r="AF257" s="203"/>
      <c r="AG257" s="203"/>
      <c r="AH257" s="203"/>
      <c r="AI257" s="203"/>
      <c r="AJ257" s="203"/>
      <c r="AK257" s="203"/>
      <c r="AL257" s="203"/>
      <c r="AM257" s="203"/>
      <c r="AN257" s="203"/>
      <c r="AO257" s="203"/>
      <c r="AP257" s="203"/>
      <c r="AQ257" s="203"/>
      <c r="AR257" s="203"/>
      <c r="AS257" s="203"/>
      <c r="AT257" s="203"/>
    </row>
    <row r="258" spans="4:46" s="155" customFormat="1" ht="11.25" x14ac:dyDescent="0.2">
      <c r="D258" s="203"/>
      <c r="E258" s="203"/>
      <c r="F258" s="203"/>
      <c r="G258" s="203"/>
      <c r="H258" s="203"/>
      <c r="I258" s="203"/>
      <c r="J258" s="203"/>
      <c r="K258" s="203"/>
      <c r="L258" s="203"/>
      <c r="M258" s="203"/>
      <c r="N258" s="203"/>
      <c r="O258" s="203"/>
      <c r="P258" s="203"/>
      <c r="Q258" s="203"/>
      <c r="R258" s="203"/>
      <c r="S258" s="203"/>
      <c r="T258" s="203"/>
      <c r="U258" s="203"/>
      <c r="V258" s="203"/>
      <c r="W258" s="203"/>
      <c r="X258" s="203"/>
      <c r="Y258" s="203"/>
      <c r="Z258" s="203"/>
      <c r="AA258" s="203"/>
      <c r="AB258" s="203"/>
      <c r="AC258" s="203"/>
      <c r="AD258" s="203"/>
      <c r="AE258" s="203"/>
      <c r="AF258" s="203"/>
      <c r="AG258" s="203"/>
      <c r="AH258" s="203"/>
      <c r="AI258" s="203"/>
      <c r="AJ258" s="203"/>
      <c r="AK258" s="203"/>
      <c r="AL258" s="203"/>
      <c r="AM258" s="203"/>
      <c r="AN258" s="203"/>
      <c r="AO258" s="203"/>
      <c r="AP258" s="203"/>
      <c r="AQ258" s="203"/>
      <c r="AR258" s="203"/>
      <c r="AS258" s="203"/>
      <c r="AT258" s="203"/>
    </row>
    <row r="259" spans="4:46" s="155" customFormat="1" ht="11.25" x14ac:dyDescent="0.2">
      <c r="D259" s="203"/>
      <c r="E259" s="203"/>
      <c r="F259" s="203"/>
      <c r="G259" s="203"/>
      <c r="H259" s="203"/>
      <c r="I259" s="203"/>
      <c r="J259" s="203"/>
      <c r="K259" s="203"/>
      <c r="L259" s="203"/>
      <c r="M259" s="203"/>
      <c r="N259" s="203"/>
      <c r="O259" s="203"/>
      <c r="P259" s="203"/>
      <c r="Q259" s="203"/>
      <c r="R259" s="203"/>
      <c r="S259" s="203"/>
      <c r="T259" s="203"/>
      <c r="U259" s="203"/>
      <c r="V259" s="203"/>
      <c r="W259" s="203"/>
      <c r="X259" s="203"/>
      <c r="Y259" s="203"/>
      <c r="Z259" s="203"/>
      <c r="AA259" s="203"/>
      <c r="AB259" s="203"/>
      <c r="AC259" s="203"/>
      <c r="AD259" s="203"/>
      <c r="AE259" s="203"/>
      <c r="AF259" s="203"/>
      <c r="AG259" s="203"/>
      <c r="AH259" s="203"/>
      <c r="AI259" s="203"/>
      <c r="AJ259" s="203"/>
      <c r="AK259" s="203"/>
      <c r="AL259" s="203"/>
      <c r="AM259" s="203"/>
      <c r="AN259" s="203"/>
      <c r="AO259" s="203"/>
      <c r="AP259" s="203"/>
      <c r="AQ259" s="203"/>
      <c r="AR259" s="203"/>
      <c r="AS259" s="203"/>
      <c r="AT259" s="203"/>
    </row>
    <row r="260" spans="4:46" s="155" customFormat="1" ht="11.25" x14ac:dyDescent="0.2">
      <c r="D260" s="203"/>
      <c r="E260" s="203"/>
      <c r="F260" s="203"/>
      <c r="G260" s="203"/>
      <c r="H260" s="203"/>
      <c r="I260" s="203"/>
      <c r="J260" s="203"/>
      <c r="K260" s="203"/>
      <c r="L260" s="203"/>
      <c r="M260" s="203"/>
      <c r="N260" s="203"/>
      <c r="O260" s="203"/>
      <c r="P260" s="203"/>
      <c r="Q260" s="203"/>
      <c r="R260" s="203"/>
      <c r="S260" s="203"/>
      <c r="T260" s="203"/>
      <c r="U260" s="203"/>
      <c r="V260" s="203"/>
      <c r="W260" s="203"/>
      <c r="X260" s="203"/>
      <c r="Y260" s="203"/>
      <c r="Z260" s="203"/>
      <c r="AA260" s="203"/>
      <c r="AB260" s="203"/>
      <c r="AC260" s="203"/>
      <c r="AD260" s="203"/>
      <c r="AE260" s="203"/>
      <c r="AF260" s="203"/>
      <c r="AG260" s="203"/>
      <c r="AH260" s="203"/>
      <c r="AI260" s="203"/>
      <c r="AJ260" s="203"/>
      <c r="AK260" s="203"/>
      <c r="AL260" s="203"/>
      <c r="AM260" s="203"/>
      <c r="AN260" s="203"/>
      <c r="AO260" s="203"/>
      <c r="AP260" s="203"/>
      <c r="AQ260" s="203"/>
      <c r="AR260" s="203"/>
      <c r="AS260" s="203"/>
      <c r="AT260" s="203"/>
    </row>
    <row r="261" spans="4:46" s="155" customFormat="1" ht="11.25" x14ac:dyDescent="0.2">
      <c r="D261" s="203"/>
      <c r="E261" s="203"/>
      <c r="F261" s="203"/>
      <c r="G261" s="203"/>
      <c r="H261" s="203"/>
      <c r="I261" s="203"/>
      <c r="J261" s="203"/>
      <c r="K261" s="203"/>
      <c r="L261" s="203"/>
      <c r="M261" s="203"/>
      <c r="N261" s="203"/>
      <c r="O261" s="203"/>
      <c r="P261" s="203"/>
      <c r="Q261" s="203"/>
      <c r="R261" s="203"/>
      <c r="S261" s="203"/>
      <c r="T261" s="203"/>
      <c r="U261" s="203"/>
      <c r="V261" s="203"/>
      <c r="W261" s="203"/>
      <c r="X261" s="203"/>
      <c r="Y261" s="203"/>
      <c r="Z261" s="203"/>
      <c r="AA261" s="203"/>
      <c r="AB261" s="203"/>
      <c r="AC261" s="203"/>
      <c r="AD261" s="203"/>
      <c r="AE261" s="203"/>
      <c r="AF261" s="203"/>
      <c r="AG261" s="203"/>
      <c r="AH261" s="203"/>
      <c r="AI261" s="203"/>
      <c r="AJ261" s="203"/>
      <c r="AK261" s="203"/>
      <c r="AL261" s="203"/>
      <c r="AM261" s="203"/>
      <c r="AN261" s="203"/>
      <c r="AO261" s="203"/>
      <c r="AP261" s="203"/>
      <c r="AQ261" s="203"/>
      <c r="AR261" s="203"/>
      <c r="AS261" s="203"/>
      <c r="AT261" s="203"/>
    </row>
    <row r="262" spans="4:46" s="155" customFormat="1" ht="11.25" x14ac:dyDescent="0.2">
      <c r="D262" s="203"/>
      <c r="E262" s="203"/>
      <c r="F262" s="203"/>
      <c r="G262" s="203"/>
      <c r="H262" s="203"/>
      <c r="I262" s="203"/>
      <c r="J262" s="203"/>
      <c r="K262" s="203"/>
      <c r="L262" s="203"/>
      <c r="M262" s="203"/>
      <c r="N262" s="203"/>
      <c r="O262" s="203"/>
      <c r="P262" s="203"/>
      <c r="Q262" s="203"/>
      <c r="R262" s="203"/>
      <c r="S262" s="203"/>
      <c r="T262" s="203"/>
      <c r="U262" s="203"/>
      <c r="V262" s="203"/>
      <c r="W262" s="203"/>
      <c r="X262" s="203"/>
      <c r="Y262" s="203"/>
      <c r="Z262" s="203"/>
      <c r="AA262" s="203"/>
      <c r="AB262" s="203"/>
      <c r="AC262" s="203"/>
      <c r="AD262" s="203"/>
      <c r="AE262" s="203"/>
      <c r="AF262" s="203"/>
      <c r="AG262" s="203"/>
      <c r="AH262" s="203"/>
      <c r="AI262" s="203"/>
      <c r="AJ262" s="203"/>
      <c r="AK262" s="203"/>
      <c r="AL262" s="203"/>
      <c r="AM262" s="203"/>
      <c r="AN262" s="203"/>
      <c r="AO262" s="203"/>
      <c r="AP262" s="203"/>
      <c r="AQ262" s="203"/>
      <c r="AR262" s="203"/>
      <c r="AS262" s="203"/>
      <c r="AT262" s="203"/>
    </row>
    <row r="263" spans="4:46" s="155" customFormat="1" ht="11.25" x14ac:dyDescent="0.2">
      <c r="D263" s="203"/>
      <c r="E263" s="203"/>
      <c r="F263" s="203"/>
      <c r="G263" s="203"/>
      <c r="H263" s="203"/>
      <c r="I263" s="203"/>
      <c r="J263" s="203"/>
      <c r="K263" s="203"/>
      <c r="L263" s="203"/>
      <c r="M263" s="203"/>
      <c r="N263" s="203"/>
      <c r="O263" s="203"/>
      <c r="P263" s="203"/>
      <c r="Q263" s="203"/>
      <c r="R263" s="203"/>
      <c r="S263" s="203"/>
      <c r="T263" s="203"/>
      <c r="U263" s="203"/>
      <c r="V263" s="203"/>
      <c r="W263" s="203"/>
      <c r="X263" s="203"/>
      <c r="Y263" s="203"/>
      <c r="Z263" s="203"/>
      <c r="AA263" s="203"/>
      <c r="AB263" s="203"/>
      <c r="AC263" s="203"/>
      <c r="AD263" s="203"/>
      <c r="AE263" s="203"/>
      <c r="AF263" s="203"/>
      <c r="AG263" s="203"/>
      <c r="AH263" s="203"/>
      <c r="AI263" s="203"/>
      <c r="AJ263" s="203"/>
      <c r="AK263" s="203"/>
      <c r="AL263" s="203"/>
      <c r="AM263" s="203"/>
      <c r="AN263" s="203"/>
      <c r="AO263" s="203"/>
      <c r="AP263" s="203"/>
      <c r="AQ263" s="203"/>
      <c r="AR263" s="203"/>
      <c r="AS263" s="203"/>
      <c r="AT263" s="203"/>
    </row>
    <row r="264" spans="4:46" s="155" customFormat="1" ht="11.25" x14ac:dyDescent="0.2">
      <c r="D264" s="203"/>
      <c r="E264" s="203"/>
      <c r="F264" s="203"/>
      <c r="G264" s="203"/>
      <c r="H264" s="203"/>
      <c r="I264" s="203"/>
      <c r="J264" s="203"/>
      <c r="K264" s="203"/>
      <c r="L264" s="203"/>
      <c r="M264" s="203"/>
      <c r="N264" s="203"/>
      <c r="O264" s="203"/>
      <c r="P264" s="203"/>
      <c r="Q264" s="203"/>
      <c r="R264" s="203"/>
      <c r="S264" s="203"/>
      <c r="T264" s="203"/>
      <c r="U264" s="203"/>
      <c r="V264" s="203"/>
      <c r="W264" s="203"/>
      <c r="X264" s="203"/>
      <c r="Y264" s="203"/>
      <c r="Z264" s="203"/>
      <c r="AA264" s="203"/>
      <c r="AB264" s="203"/>
      <c r="AC264" s="203"/>
      <c r="AD264" s="203"/>
      <c r="AE264" s="203"/>
      <c r="AF264" s="203"/>
      <c r="AG264" s="203"/>
      <c r="AH264" s="203"/>
      <c r="AI264" s="203"/>
      <c r="AJ264" s="203"/>
      <c r="AK264" s="203"/>
      <c r="AL264" s="203"/>
      <c r="AM264" s="203"/>
      <c r="AN264" s="203"/>
      <c r="AO264" s="203"/>
      <c r="AP264" s="203"/>
      <c r="AQ264" s="203"/>
      <c r="AR264" s="203"/>
      <c r="AS264" s="203"/>
      <c r="AT264" s="203"/>
    </row>
    <row r="265" spans="4:46" s="155" customFormat="1" ht="11.25" x14ac:dyDescent="0.2">
      <c r="D265" s="203"/>
      <c r="E265" s="203"/>
      <c r="F265" s="203"/>
      <c r="G265" s="203"/>
      <c r="H265" s="203"/>
      <c r="I265" s="203"/>
      <c r="J265" s="203"/>
      <c r="K265" s="203"/>
      <c r="L265" s="203"/>
      <c r="M265" s="203"/>
      <c r="N265" s="203"/>
      <c r="O265" s="203"/>
      <c r="P265" s="203"/>
      <c r="Q265" s="203"/>
      <c r="R265" s="203"/>
      <c r="S265" s="203"/>
      <c r="T265" s="203"/>
      <c r="U265" s="203"/>
      <c r="V265" s="203"/>
      <c r="W265" s="203"/>
      <c r="X265" s="203"/>
      <c r="Y265" s="203"/>
      <c r="Z265" s="203"/>
      <c r="AA265" s="203"/>
      <c r="AB265" s="203"/>
      <c r="AC265" s="203"/>
      <c r="AD265" s="203"/>
      <c r="AE265" s="203"/>
      <c r="AF265" s="203"/>
      <c r="AG265" s="203"/>
      <c r="AH265" s="203"/>
      <c r="AI265" s="203"/>
      <c r="AJ265" s="203"/>
      <c r="AK265" s="203"/>
      <c r="AL265" s="203"/>
      <c r="AM265" s="203"/>
      <c r="AN265" s="203"/>
      <c r="AO265" s="203"/>
      <c r="AP265" s="203"/>
      <c r="AQ265" s="203"/>
      <c r="AR265" s="203"/>
      <c r="AS265" s="203"/>
      <c r="AT265" s="203"/>
    </row>
    <row r="266" spans="4:46" s="155" customFormat="1" ht="11.25" x14ac:dyDescent="0.2">
      <c r="D266" s="203"/>
      <c r="E266" s="203"/>
      <c r="F266" s="203"/>
      <c r="G266" s="203"/>
      <c r="H266" s="203"/>
      <c r="I266" s="203"/>
      <c r="J266" s="203"/>
      <c r="K266" s="203"/>
      <c r="L266" s="203"/>
      <c r="M266" s="203"/>
      <c r="N266" s="203"/>
      <c r="O266" s="203"/>
      <c r="P266" s="203"/>
      <c r="Q266" s="203"/>
      <c r="R266" s="203"/>
      <c r="S266" s="203"/>
      <c r="T266" s="203"/>
      <c r="U266" s="203"/>
      <c r="V266" s="203"/>
      <c r="W266" s="203"/>
      <c r="X266" s="203"/>
      <c r="Y266" s="203"/>
      <c r="Z266" s="203"/>
      <c r="AA266" s="203"/>
      <c r="AB266" s="203"/>
      <c r="AC266" s="203"/>
      <c r="AD266" s="203"/>
      <c r="AE266" s="203"/>
      <c r="AF266" s="203"/>
      <c r="AG266" s="203"/>
      <c r="AH266" s="203"/>
      <c r="AI266" s="203"/>
      <c r="AJ266" s="203"/>
      <c r="AK266" s="203"/>
      <c r="AL266" s="203"/>
      <c r="AM266" s="203"/>
      <c r="AN266" s="203"/>
      <c r="AO266" s="203"/>
      <c r="AP266" s="203"/>
      <c r="AQ266" s="203"/>
      <c r="AR266" s="203"/>
      <c r="AS266" s="203"/>
      <c r="AT266" s="203"/>
    </row>
    <row r="267" spans="4:46" s="155" customFormat="1" ht="11.25" x14ac:dyDescent="0.2">
      <c r="D267" s="203"/>
      <c r="E267" s="203"/>
      <c r="F267" s="203"/>
      <c r="G267" s="203"/>
      <c r="H267" s="203"/>
      <c r="I267" s="203"/>
      <c r="J267" s="203"/>
      <c r="K267" s="203"/>
      <c r="L267" s="203"/>
      <c r="M267" s="203"/>
      <c r="N267" s="203"/>
      <c r="O267" s="203"/>
      <c r="P267" s="203"/>
      <c r="Q267" s="203"/>
      <c r="R267" s="203"/>
      <c r="S267" s="203"/>
      <c r="T267" s="203"/>
      <c r="U267" s="203"/>
      <c r="V267" s="203"/>
      <c r="W267" s="203"/>
      <c r="X267" s="203"/>
      <c r="Y267" s="203"/>
      <c r="Z267" s="203"/>
      <c r="AA267" s="203"/>
      <c r="AB267" s="203"/>
      <c r="AC267" s="203"/>
      <c r="AD267" s="203"/>
      <c r="AE267" s="203"/>
      <c r="AF267" s="203"/>
      <c r="AG267" s="203"/>
      <c r="AH267" s="203"/>
      <c r="AI267" s="203"/>
      <c r="AJ267" s="203"/>
      <c r="AK267" s="203"/>
      <c r="AL267" s="203"/>
      <c r="AM267" s="203"/>
      <c r="AN267" s="203"/>
      <c r="AO267" s="203"/>
      <c r="AP267" s="203"/>
      <c r="AQ267" s="203"/>
      <c r="AR267" s="203"/>
      <c r="AS267" s="203"/>
      <c r="AT267" s="203"/>
    </row>
    <row r="268" spans="4:46" s="155" customFormat="1" ht="11.25" x14ac:dyDescent="0.2">
      <c r="D268" s="203"/>
      <c r="E268" s="203"/>
      <c r="F268" s="203"/>
      <c r="G268" s="203"/>
      <c r="H268" s="203"/>
      <c r="I268" s="203"/>
      <c r="J268" s="203"/>
      <c r="K268" s="203"/>
      <c r="L268" s="203"/>
      <c r="M268" s="203"/>
      <c r="N268" s="203"/>
      <c r="O268" s="203"/>
      <c r="P268" s="203"/>
      <c r="Q268" s="203"/>
      <c r="R268" s="203"/>
      <c r="S268" s="203"/>
      <c r="T268" s="203"/>
      <c r="U268" s="203"/>
      <c r="V268" s="203"/>
      <c r="W268" s="203"/>
      <c r="X268" s="203"/>
      <c r="Y268" s="203"/>
      <c r="Z268" s="203"/>
      <c r="AA268" s="203"/>
      <c r="AB268" s="203"/>
      <c r="AC268" s="203"/>
      <c r="AD268" s="203"/>
      <c r="AE268" s="203"/>
      <c r="AF268" s="203"/>
      <c r="AG268" s="203"/>
      <c r="AH268" s="203"/>
      <c r="AI268" s="203"/>
      <c r="AJ268" s="203"/>
      <c r="AK268" s="203"/>
      <c r="AL268" s="203"/>
      <c r="AM268" s="203"/>
      <c r="AN268" s="203"/>
      <c r="AO268" s="203"/>
      <c r="AP268" s="203"/>
      <c r="AQ268" s="203"/>
      <c r="AR268" s="203"/>
      <c r="AS268" s="203"/>
      <c r="AT268" s="203"/>
    </row>
    <row r="269" spans="4:46" s="155" customFormat="1" ht="11.25" x14ac:dyDescent="0.2">
      <c r="D269" s="203"/>
      <c r="E269" s="203"/>
      <c r="F269" s="203"/>
      <c r="G269" s="203"/>
      <c r="H269" s="203"/>
      <c r="I269" s="203"/>
      <c r="J269" s="203"/>
      <c r="K269" s="203"/>
      <c r="L269" s="203"/>
      <c r="M269" s="203"/>
      <c r="N269" s="203"/>
      <c r="O269" s="203"/>
      <c r="P269" s="203"/>
      <c r="Q269" s="203"/>
      <c r="R269" s="203"/>
      <c r="S269" s="203"/>
      <c r="T269" s="203"/>
      <c r="U269" s="203"/>
      <c r="V269" s="203"/>
      <c r="W269" s="203"/>
      <c r="X269" s="203"/>
      <c r="Y269" s="203"/>
      <c r="Z269" s="203"/>
      <c r="AA269" s="203"/>
      <c r="AB269" s="203"/>
      <c r="AC269" s="203"/>
      <c r="AD269" s="203"/>
      <c r="AE269" s="203"/>
      <c r="AF269" s="203"/>
      <c r="AG269" s="203"/>
      <c r="AH269" s="203"/>
      <c r="AI269" s="203"/>
      <c r="AJ269" s="203"/>
      <c r="AK269" s="203"/>
      <c r="AL269" s="203"/>
      <c r="AM269" s="203"/>
      <c r="AN269" s="203"/>
      <c r="AO269" s="203"/>
      <c r="AP269" s="203"/>
      <c r="AQ269" s="203"/>
      <c r="AR269" s="203"/>
      <c r="AS269" s="203"/>
      <c r="AT269" s="203"/>
    </row>
    <row r="270" spans="4:46" s="155" customFormat="1" ht="11.25" x14ac:dyDescent="0.2">
      <c r="D270" s="203"/>
      <c r="E270" s="203"/>
      <c r="F270" s="203"/>
      <c r="G270" s="203"/>
      <c r="H270" s="203"/>
      <c r="I270" s="203"/>
      <c r="J270" s="203"/>
      <c r="K270" s="203"/>
      <c r="L270" s="203"/>
      <c r="M270" s="203"/>
      <c r="N270" s="203"/>
      <c r="O270" s="203"/>
      <c r="P270" s="203"/>
      <c r="Q270" s="203"/>
      <c r="R270" s="203"/>
      <c r="S270" s="203"/>
      <c r="T270" s="203"/>
      <c r="U270" s="203"/>
      <c r="V270" s="203"/>
      <c r="W270" s="203"/>
      <c r="X270" s="203"/>
      <c r="Y270" s="203"/>
      <c r="Z270" s="203"/>
      <c r="AA270" s="203"/>
      <c r="AB270" s="203"/>
      <c r="AC270" s="203"/>
      <c r="AD270" s="203"/>
      <c r="AE270" s="203"/>
      <c r="AF270" s="203"/>
      <c r="AG270" s="203"/>
      <c r="AH270" s="203"/>
      <c r="AI270" s="203"/>
      <c r="AJ270" s="203"/>
      <c r="AK270" s="203"/>
      <c r="AL270" s="203"/>
      <c r="AM270" s="203"/>
      <c r="AN270" s="203"/>
      <c r="AO270" s="203"/>
      <c r="AP270" s="203"/>
      <c r="AQ270" s="203"/>
      <c r="AR270" s="203"/>
      <c r="AS270" s="203"/>
      <c r="AT270" s="203"/>
    </row>
    <row r="271" spans="4:46" s="155" customFormat="1" ht="11.25" x14ac:dyDescent="0.2">
      <c r="D271" s="203"/>
      <c r="E271" s="203"/>
      <c r="F271" s="203"/>
      <c r="G271" s="203"/>
      <c r="H271" s="203"/>
      <c r="I271" s="203"/>
      <c r="J271" s="203"/>
      <c r="K271" s="203"/>
      <c r="L271" s="203"/>
      <c r="M271" s="203"/>
      <c r="N271" s="203"/>
      <c r="O271" s="203"/>
      <c r="P271" s="203"/>
      <c r="Q271" s="203"/>
      <c r="R271" s="203"/>
      <c r="S271" s="203"/>
      <c r="T271" s="203"/>
      <c r="U271" s="203"/>
      <c r="V271" s="203"/>
      <c r="W271" s="203"/>
      <c r="X271" s="203"/>
      <c r="Y271" s="203"/>
      <c r="Z271" s="203"/>
      <c r="AA271" s="203"/>
      <c r="AB271" s="203"/>
      <c r="AC271" s="203"/>
      <c r="AD271" s="203"/>
      <c r="AE271" s="203"/>
      <c r="AF271" s="203"/>
      <c r="AG271" s="203"/>
      <c r="AH271" s="203"/>
      <c r="AI271" s="203"/>
      <c r="AJ271" s="203"/>
      <c r="AK271" s="203"/>
      <c r="AL271" s="203"/>
      <c r="AM271" s="203"/>
      <c r="AN271" s="203"/>
      <c r="AO271" s="203"/>
      <c r="AP271" s="203"/>
      <c r="AQ271" s="203"/>
      <c r="AR271" s="203"/>
      <c r="AS271" s="203"/>
      <c r="AT271" s="203"/>
    </row>
    <row r="272" spans="4:46" s="155" customFormat="1" ht="11.25" x14ac:dyDescent="0.2">
      <c r="D272" s="203"/>
      <c r="E272" s="203"/>
      <c r="F272" s="203"/>
      <c r="G272" s="203"/>
      <c r="H272" s="203"/>
      <c r="I272" s="203"/>
      <c r="J272" s="203"/>
      <c r="K272" s="203"/>
      <c r="L272" s="203"/>
      <c r="M272" s="203"/>
      <c r="N272" s="203"/>
      <c r="O272" s="203"/>
      <c r="P272" s="203"/>
      <c r="Q272" s="203"/>
      <c r="R272" s="203"/>
      <c r="S272" s="203"/>
      <c r="T272" s="203"/>
      <c r="U272" s="203"/>
      <c r="V272" s="203"/>
      <c r="W272" s="203"/>
      <c r="X272" s="203"/>
      <c r="Y272" s="203"/>
      <c r="Z272" s="203"/>
      <c r="AA272" s="203"/>
      <c r="AB272" s="203"/>
      <c r="AC272" s="203"/>
      <c r="AD272" s="203"/>
      <c r="AE272" s="203"/>
      <c r="AF272" s="203"/>
      <c r="AG272" s="203"/>
      <c r="AH272" s="203"/>
      <c r="AI272" s="203"/>
      <c r="AJ272" s="203"/>
      <c r="AK272" s="203"/>
      <c r="AL272" s="203"/>
      <c r="AM272" s="203"/>
      <c r="AN272" s="203"/>
      <c r="AO272" s="203"/>
      <c r="AP272" s="203"/>
      <c r="AQ272" s="203"/>
      <c r="AR272" s="203"/>
      <c r="AS272" s="203"/>
      <c r="AT272" s="203"/>
    </row>
    <row r="273" spans="4:46" s="155" customFormat="1" ht="11.25" x14ac:dyDescent="0.2">
      <c r="D273" s="203"/>
      <c r="E273" s="203"/>
      <c r="F273" s="203"/>
      <c r="G273" s="203"/>
      <c r="H273" s="203"/>
      <c r="I273" s="203"/>
      <c r="J273" s="203"/>
      <c r="K273" s="203"/>
      <c r="L273" s="203"/>
      <c r="M273" s="203"/>
      <c r="N273" s="203"/>
      <c r="O273" s="203"/>
      <c r="P273" s="203"/>
      <c r="Q273" s="203"/>
      <c r="R273" s="203"/>
      <c r="S273" s="203"/>
      <c r="T273" s="203"/>
      <c r="U273" s="203"/>
      <c r="V273" s="203"/>
      <c r="W273" s="203"/>
      <c r="X273" s="203"/>
      <c r="Y273" s="203"/>
      <c r="Z273" s="203"/>
      <c r="AA273" s="203"/>
      <c r="AB273" s="203"/>
      <c r="AC273" s="203"/>
      <c r="AD273" s="203"/>
      <c r="AE273" s="203"/>
      <c r="AF273" s="203"/>
      <c r="AG273" s="203"/>
      <c r="AH273" s="203"/>
      <c r="AI273" s="203"/>
      <c r="AJ273" s="203"/>
      <c r="AK273" s="203"/>
      <c r="AL273" s="203"/>
      <c r="AM273" s="203"/>
      <c r="AN273" s="203"/>
      <c r="AO273" s="203"/>
      <c r="AP273" s="203"/>
      <c r="AQ273" s="203"/>
      <c r="AR273" s="203"/>
      <c r="AS273" s="203"/>
      <c r="AT273" s="203"/>
    </row>
    <row r="274" spans="4:46" s="155" customFormat="1" ht="11.25" x14ac:dyDescent="0.2">
      <c r="D274" s="203"/>
      <c r="E274" s="203"/>
      <c r="F274" s="203"/>
      <c r="G274" s="203"/>
      <c r="H274" s="203"/>
      <c r="I274" s="203"/>
      <c r="J274" s="203"/>
      <c r="K274" s="203"/>
      <c r="L274" s="203"/>
      <c r="M274" s="203"/>
      <c r="N274" s="203"/>
      <c r="O274" s="203"/>
      <c r="P274" s="203"/>
      <c r="Q274" s="203"/>
      <c r="R274" s="203"/>
      <c r="S274" s="203"/>
      <c r="T274" s="203"/>
      <c r="U274" s="203"/>
      <c r="V274" s="203"/>
      <c r="W274" s="203"/>
      <c r="X274" s="203"/>
      <c r="Y274" s="203"/>
      <c r="Z274" s="203"/>
      <c r="AA274" s="203"/>
      <c r="AB274" s="203"/>
      <c r="AC274" s="203"/>
      <c r="AD274" s="203"/>
      <c r="AE274" s="203"/>
      <c r="AF274" s="203"/>
      <c r="AG274" s="203"/>
      <c r="AH274" s="203"/>
      <c r="AI274" s="203"/>
      <c r="AJ274" s="203"/>
      <c r="AK274" s="203"/>
      <c r="AL274" s="203"/>
      <c r="AM274" s="203"/>
      <c r="AN274" s="203"/>
      <c r="AO274" s="203"/>
      <c r="AP274" s="203"/>
      <c r="AQ274" s="203"/>
      <c r="AR274" s="203"/>
      <c r="AS274" s="203"/>
      <c r="AT274" s="203"/>
    </row>
    <row r="275" spans="4:46" s="155" customFormat="1" ht="11.25" x14ac:dyDescent="0.2">
      <c r="D275" s="203"/>
      <c r="E275" s="203"/>
      <c r="F275" s="203"/>
      <c r="G275" s="203"/>
      <c r="H275" s="203"/>
      <c r="I275" s="203"/>
      <c r="J275" s="203"/>
      <c r="K275" s="203"/>
      <c r="L275" s="203"/>
      <c r="M275" s="203"/>
      <c r="N275" s="203"/>
      <c r="O275" s="203"/>
      <c r="P275" s="203"/>
      <c r="Q275" s="203"/>
      <c r="R275" s="203"/>
      <c r="S275" s="203"/>
      <c r="T275" s="203"/>
      <c r="U275" s="203"/>
      <c r="V275" s="203"/>
      <c r="W275" s="203"/>
      <c r="X275" s="203"/>
      <c r="Y275" s="203"/>
      <c r="Z275" s="203"/>
      <c r="AA275" s="203"/>
      <c r="AB275" s="203"/>
      <c r="AC275" s="203"/>
      <c r="AD275" s="203"/>
      <c r="AE275" s="203"/>
      <c r="AF275" s="203"/>
      <c r="AG275" s="203"/>
      <c r="AH275" s="203"/>
      <c r="AI275" s="203"/>
      <c r="AJ275" s="203"/>
      <c r="AK275" s="203"/>
      <c r="AL275" s="203"/>
      <c r="AM275" s="203"/>
      <c r="AN275" s="203"/>
      <c r="AO275" s="203"/>
      <c r="AP275" s="203"/>
      <c r="AQ275" s="203"/>
      <c r="AR275" s="203"/>
      <c r="AS275" s="203"/>
      <c r="AT275" s="203"/>
    </row>
    <row r="276" spans="4:46" s="155" customFormat="1" ht="11.25" x14ac:dyDescent="0.2">
      <c r="D276" s="203"/>
      <c r="E276" s="203"/>
      <c r="F276" s="203"/>
      <c r="G276" s="203"/>
      <c r="H276" s="203"/>
      <c r="I276" s="203"/>
      <c r="J276" s="203"/>
      <c r="K276" s="203"/>
      <c r="L276" s="203"/>
      <c r="M276" s="203"/>
      <c r="N276" s="203"/>
      <c r="O276" s="203"/>
      <c r="P276" s="203"/>
      <c r="Q276" s="203"/>
      <c r="R276" s="203"/>
      <c r="S276" s="203"/>
      <c r="T276" s="203"/>
      <c r="U276" s="203"/>
      <c r="V276" s="203"/>
      <c r="W276" s="203"/>
      <c r="X276" s="203"/>
      <c r="Y276" s="203"/>
      <c r="Z276" s="203"/>
      <c r="AA276" s="203"/>
      <c r="AB276" s="203"/>
      <c r="AC276" s="203"/>
      <c r="AD276" s="203"/>
      <c r="AE276" s="203"/>
      <c r="AF276" s="203"/>
      <c r="AG276" s="203"/>
      <c r="AH276" s="203"/>
      <c r="AI276" s="203"/>
      <c r="AJ276" s="203"/>
      <c r="AK276" s="203"/>
      <c r="AL276" s="203"/>
      <c r="AM276" s="203"/>
      <c r="AN276" s="203"/>
      <c r="AO276" s="203"/>
      <c r="AP276" s="203"/>
      <c r="AQ276" s="203"/>
      <c r="AR276" s="203"/>
      <c r="AS276" s="203"/>
      <c r="AT276" s="203"/>
    </row>
    <row r="277" spans="4:46" s="155" customFormat="1" ht="11.25" x14ac:dyDescent="0.2">
      <c r="D277" s="203"/>
      <c r="E277" s="203"/>
      <c r="F277" s="203"/>
      <c r="G277" s="203"/>
      <c r="H277" s="203"/>
      <c r="I277" s="203"/>
      <c r="J277" s="203"/>
      <c r="K277" s="203"/>
      <c r="L277" s="203"/>
      <c r="M277" s="203"/>
      <c r="N277" s="203"/>
      <c r="O277" s="203"/>
      <c r="P277" s="203"/>
      <c r="Q277" s="203"/>
      <c r="R277" s="203"/>
      <c r="S277" s="203"/>
      <c r="T277" s="203"/>
      <c r="U277" s="203"/>
      <c r="V277" s="203"/>
      <c r="W277" s="203"/>
      <c r="X277" s="203"/>
      <c r="Y277" s="203"/>
      <c r="Z277" s="203"/>
      <c r="AA277" s="203"/>
      <c r="AB277" s="203"/>
      <c r="AC277" s="203"/>
      <c r="AD277" s="203"/>
      <c r="AE277" s="203"/>
      <c r="AF277" s="203"/>
      <c r="AG277" s="203"/>
      <c r="AH277" s="203"/>
      <c r="AI277" s="203"/>
      <c r="AJ277" s="203"/>
      <c r="AK277" s="203"/>
      <c r="AL277" s="203"/>
      <c r="AM277" s="203"/>
      <c r="AN277" s="203"/>
      <c r="AO277" s="203"/>
      <c r="AP277" s="203"/>
      <c r="AQ277" s="203"/>
      <c r="AR277" s="203"/>
      <c r="AS277" s="203"/>
      <c r="AT277" s="203"/>
    </row>
    <row r="278" spans="4:46" s="155" customFormat="1" ht="11.25" x14ac:dyDescent="0.2">
      <c r="D278" s="203"/>
      <c r="E278" s="203"/>
      <c r="F278" s="203"/>
      <c r="G278" s="203"/>
      <c r="H278" s="203"/>
      <c r="I278" s="203"/>
      <c r="J278" s="203"/>
      <c r="K278" s="203"/>
      <c r="L278" s="203"/>
      <c r="M278" s="203"/>
      <c r="N278" s="203"/>
      <c r="O278" s="203"/>
      <c r="P278" s="203"/>
      <c r="Q278" s="203"/>
      <c r="R278" s="203"/>
      <c r="S278" s="203"/>
      <c r="T278" s="203"/>
      <c r="U278" s="203"/>
      <c r="V278" s="203"/>
      <c r="W278" s="203"/>
      <c r="X278" s="203"/>
      <c r="Y278" s="203"/>
      <c r="Z278" s="203"/>
      <c r="AA278" s="203"/>
      <c r="AB278" s="203"/>
      <c r="AC278" s="203"/>
      <c r="AD278" s="203"/>
      <c r="AE278" s="203"/>
      <c r="AF278" s="203"/>
      <c r="AG278" s="203"/>
      <c r="AH278" s="203"/>
      <c r="AI278" s="203"/>
      <c r="AJ278" s="203"/>
      <c r="AK278" s="203"/>
      <c r="AL278" s="203"/>
      <c r="AM278" s="203"/>
      <c r="AN278" s="203"/>
      <c r="AO278" s="203"/>
      <c r="AP278" s="203"/>
      <c r="AQ278" s="203"/>
      <c r="AR278" s="203"/>
      <c r="AS278" s="203"/>
      <c r="AT278" s="203"/>
    </row>
    <row r="279" spans="4:46" s="155" customFormat="1" ht="11.25" x14ac:dyDescent="0.2">
      <c r="D279" s="203"/>
      <c r="E279" s="203"/>
      <c r="F279" s="203"/>
      <c r="G279" s="203"/>
      <c r="H279" s="203"/>
      <c r="I279" s="203"/>
      <c r="J279" s="203"/>
      <c r="K279" s="203"/>
      <c r="L279" s="203"/>
      <c r="M279" s="203"/>
      <c r="N279" s="203"/>
      <c r="O279" s="203"/>
      <c r="P279" s="203"/>
      <c r="Q279" s="203"/>
      <c r="R279" s="203"/>
      <c r="S279" s="203"/>
      <c r="T279" s="203"/>
      <c r="U279" s="203"/>
      <c r="V279" s="203"/>
      <c r="W279" s="203"/>
      <c r="X279" s="203"/>
      <c r="Y279" s="203"/>
      <c r="Z279" s="203"/>
      <c r="AA279" s="203"/>
      <c r="AB279" s="203"/>
      <c r="AC279" s="203"/>
      <c r="AD279" s="203"/>
      <c r="AE279" s="203"/>
      <c r="AF279" s="203"/>
      <c r="AG279" s="203"/>
      <c r="AH279" s="203"/>
      <c r="AI279" s="203"/>
      <c r="AJ279" s="203"/>
      <c r="AK279" s="203"/>
      <c r="AL279" s="203"/>
      <c r="AM279" s="203"/>
      <c r="AN279" s="203"/>
      <c r="AO279" s="203"/>
      <c r="AP279" s="203"/>
      <c r="AQ279" s="203"/>
      <c r="AR279" s="203"/>
      <c r="AS279" s="203"/>
      <c r="AT279" s="203"/>
    </row>
    <row r="280" spans="4:46" s="155" customFormat="1" ht="11.25" x14ac:dyDescent="0.2">
      <c r="D280" s="203"/>
      <c r="E280" s="203"/>
      <c r="F280" s="203"/>
      <c r="G280" s="203"/>
      <c r="H280" s="203"/>
      <c r="I280" s="203"/>
      <c r="J280" s="203"/>
      <c r="K280" s="203"/>
      <c r="L280" s="203"/>
      <c r="M280" s="203"/>
      <c r="N280" s="203"/>
      <c r="O280" s="203"/>
      <c r="P280" s="203"/>
      <c r="Q280" s="203"/>
      <c r="R280" s="203"/>
      <c r="S280" s="203"/>
      <c r="T280" s="203"/>
      <c r="U280" s="203"/>
      <c r="V280" s="203"/>
      <c r="W280" s="203"/>
      <c r="X280" s="203"/>
      <c r="Y280" s="203"/>
      <c r="Z280" s="203"/>
      <c r="AA280" s="203"/>
      <c r="AB280" s="203"/>
      <c r="AC280" s="203"/>
      <c r="AD280" s="203"/>
      <c r="AE280" s="203"/>
      <c r="AF280" s="203"/>
      <c r="AG280" s="203"/>
      <c r="AH280" s="203"/>
      <c r="AI280" s="203"/>
      <c r="AJ280" s="203"/>
      <c r="AK280" s="203"/>
      <c r="AL280" s="203"/>
      <c r="AM280" s="203"/>
      <c r="AN280" s="203"/>
      <c r="AO280" s="203"/>
      <c r="AP280" s="203"/>
      <c r="AQ280" s="203"/>
      <c r="AR280" s="203"/>
      <c r="AS280" s="203"/>
      <c r="AT280" s="203"/>
    </row>
    <row r="281" spans="4:46" s="155" customFormat="1" ht="11.25" x14ac:dyDescent="0.2">
      <c r="D281" s="203"/>
      <c r="E281" s="203"/>
      <c r="F281" s="203"/>
      <c r="G281" s="203"/>
      <c r="H281" s="203"/>
      <c r="I281" s="203"/>
      <c r="J281" s="203"/>
      <c r="K281" s="203"/>
      <c r="L281" s="203"/>
      <c r="M281" s="203"/>
      <c r="N281" s="203"/>
      <c r="O281" s="203"/>
      <c r="P281" s="203"/>
      <c r="Q281" s="203"/>
      <c r="R281" s="203"/>
      <c r="S281" s="203"/>
      <c r="T281" s="203"/>
      <c r="U281" s="203"/>
      <c r="V281" s="203"/>
      <c r="W281" s="203"/>
      <c r="X281" s="203"/>
      <c r="Y281" s="203"/>
      <c r="Z281" s="203"/>
      <c r="AA281" s="203"/>
      <c r="AB281" s="203"/>
      <c r="AC281" s="203"/>
      <c r="AD281" s="203"/>
      <c r="AE281" s="203"/>
      <c r="AF281" s="203"/>
      <c r="AG281" s="203"/>
      <c r="AH281" s="203"/>
      <c r="AI281" s="203"/>
      <c r="AJ281" s="203"/>
      <c r="AK281" s="203"/>
      <c r="AL281" s="203"/>
      <c r="AM281" s="203"/>
      <c r="AN281" s="203"/>
      <c r="AO281" s="203"/>
      <c r="AP281" s="203"/>
      <c r="AQ281" s="203"/>
      <c r="AR281" s="203"/>
      <c r="AS281" s="203"/>
      <c r="AT281" s="203"/>
    </row>
    <row r="282" spans="4:46" s="155" customFormat="1" ht="11.25" x14ac:dyDescent="0.2">
      <c r="D282" s="203"/>
      <c r="E282" s="203"/>
      <c r="F282" s="203"/>
      <c r="G282" s="203"/>
      <c r="H282" s="203"/>
      <c r="I282" s="203"/>
      <c r="J282" s="203"/>
      <c r="K282" s="203"/>
      <c r="L282" s="203"/>
      <c r="M282" s="203"/>
      <c r="N282" s="203"/>
      <c r="O282" s="203"/>
      <c r="P282" s="203"/>
      <c r="Q282" s="203"/>
      <c r="R282" s="203"/>
      <c r="S282" s="203"/>
      <c r="T282" s="203"/>
      <c r="U282" s="203"/>
      <c r="V282" s="203"/>
      <c r="W282" s="203"/>
      <c r="X282" s="203"/>
      <c r="Y282" s="203"/>
      <c r="Z282" s="203"/>
      <c r="AA282" s="203"/>
      <c r="AB282" s="203"/>
      <c r="AC282" s="203"/>
      <c r="AD282" s="203"/>
      <c r="AE282" s="203"/>
      <c r="AF282" s="203"/>
      <c r="AG282" s="203"/>
      <c r="AH282" s="203"/>
      <c r="AI282" s="203"/>
      <c r="AJ282" s="203"/>
      <c r="AK282" s="203"/>
      <c r="AL282" s="203"/>
      <c r="AM282" s="203"/>
      <c r="AN282" s="203"/>
      <c r="AO282" s="203"/>
      <c r="AP282" s="203"/>
      <c r="AQ282" s="203"/>
      <c r="AR282" s="203"/>
      <c r="AS282" s="203"/>
      <c r="AT282" s="203"/>
    </row>
    <row r="283" spans="4:46" s="155" customFormat="1" ht="11.25" x14ac:dyDescent="0.2">
      <c r="D283" s="203"/>
      <c r="E283" s="203"/>
      <c r="F283" s="203"/>
      <c r="G283" s="203"/>
      <c r="H283" s="203"/>
      <c r="I283" s="203"/>
      <c r="J283" s="203"/>
      <c r="K283" s="203"/>
      <c r="L283" s="203"/>
      <c r="M283" s="203"/>
      <c r="N283" s="203"/>
      <c r="O283" s="203"/>
      <c r="P283" s="203"/>
      <c r="Q283" s="203"/>
      <c r="R283" s="203"/>
      <c r="S283" s="203"/>
      <c r="T283" s="203"/>
      <c r="U283" s="203"/>
      <c r="V283" s="203"/>
      <c r="W283" s="203"/>
      <c r="X283" s="203"/>
      <c r="Y283" s="203"/>
      <c r="Z283" s="203"/>
      <c r="AA283" s="203"/>
      <c r="AB283" s="203"/>
      <c r="AC283" s="203"/>
      <c r="AD283" s="203"/>
      <c r="AE283" s="203"/>
      <c r="AF283" s="203"/>
      <c r="AG283" s="203"/>
      <c r="AH283" s="203"/>
      <c r="AI283" s="203"/>
      <c r="AJ283" s="203"/>
      <c r="AK283" s="203"/>
      <c r="AL283" s="203"/>
      <c r="AM283" s="203"/>
      <c r="AN283" s="203"/>
      <c r="AO283" s="203"/>
      <c r="AP283" s="203"/>
      <c r="AQ283" s="203"/>
      <c r="AR283" s="203"/>
      <c r="AS283" s="203"/>
      <c r="AT283" s="203"/>
    </row>
    <row r="284" spans="4:46" s="155" customFormat="1" ht="11.25" x14ac:dyDescent="0.2">
      <c r="D284" s="203"/>
      <c r="E284" s="203"/>
      <c r="F284" s="203"/>
      <c r="G284" s="203"/>
      <c r="H284" s="203"/>
      <c r="I284" s="203"/>
      <c r="J284" s="203"/>
      <c r="K284" s="203"/>
      <c r="L284" s="203"/>
      <c r="M284" s="203"/>
      <c r="N284" s="203"/>
      <c r="O284" s="203"/>
      <c r="P284" s="203"/>
      <c r="Q284" s="203"/>
      <c r="R284" s="203"/>
      <c r="S284" s="203"/>
      <c r="T284" s="203"/>
      <c r="U284" s="203"/>
      <c r="V284" s="203"/>
      <c r="W284" s="203"/>
      <c r="X284" s="203"/>
      <c r="Y284" s="203"/>
      <c r="Z284" s="203"/>
      <c r="AA284" s="203"/>
      <c r="AB284" s="203"/>
      <c r="AC284" s="203"/>
      <c r="AD284" s="203"/>
      <c r="AE284" s="203"/>
      <c r="AF284" s="203"/>
      <c r="AG284" s="203"/>
      <c r="AH284" s="203"/>
      <c r="AI284" s="203"/>
      <c r="AJ284" s="203"/>
      <c r="AK284" s="203"/>
      <c r="AL284" s="203"/>
      <c r="AM284" s="203"/>
      <c r="AN284" s="203"/>
      <c r="AO284" s="203"/>
      <c r="AP284" s="203"/>
      <c r="AQ284" s="203"/>
      <c r="AR284" s="203"/>
      <c r="AS284" s="203"/>
      <c r="AT284" s="203"/>
    </row>
    <row r="285" spans="4:46" s="155" customFormat="1" ht="11.25" x14ac:dyDescent="0.2">
      <c r="D285" s="203"/>
      <c r="E285" s="203"/>
      <c r="F285" s="203"/>
      <c r="G285" s="203"/>
      <c r="H285" s="203"/>
      <c r="I285" s="203"/>
      <c r="J285" s="203"/>
      <c r="K285" s="203"/>
      <c r="L285" s="203"/>
      <c r="M285" s="203"/>
      <c r="N285" s="203"/>
      <c r="O285" s="203"/>
      <c r="P285" s="203"/>
      <c r="Q285" s="203"/>
      <c r="R285" s="203"/>
      <c r="S285" s="203"/>
      <c r="T285" s="203"/>
      <c r="U285" s="203"/>
      <c r="V285" s="203"/>
      <c r="W285" s="203"/>
      <c r="X285" s="203"/>
      <c r="Y285" s="203"/>
      <c r="Z285" s="203"/>
      <c r="AA285" s="203"/>
      <c r="AB285" s="203"/>
      <c r="AC285" s="203"/>
      <c r="AD285" s="203"/>
      <c r="AE285" s="203"/>
      <c r="AF285" s="203"/>
      <c r="AG285" s="203"/>
      <c r="AH285" s="203"/>
      <c r="AI285" s="203"/>
      <c r="AJ285" s="203"/>
      <c r="AK285" s="203"/>
      <c r="AL285" s="203"/>
      <c r="AM285" s="203"/>
      <c r="AN285" s="203"/>
      <c r="AO285" s="203"/>
      <c r="AP285" s="203"/>
      <c r="AQ285" s="203"/>
      <c r="AR285" s="203"/>
      <c r="AS285" s="203"/>
      <c r="AT285" s="203"/>
    </row>
    <row r="286" spans="4:46" s="155" customFormat="1" ht="11.25" x14ac:dyDescent="0.2">
      <c r="D286" s="203"/>
      <c r="E286" s="203"/>
      <c r="F286" s="203"/>
      <c r="G286" s="203"/>
      <c r="H286" s="203"/>
      <c r="I286" s="203"/>
      <c r="J286" s="203"/>
      <c r="K286" s="203"/>
      <c r="L286" s="203"/>
      <c r="M286" s="203"/>
      <c r="N286" s="203"/>
      <c r="O286" s="203"/>
      <c r="P286" s="203"/>
      <c r="Q286" s="203"/>
      <c r="R286" s="203"/>
      <c r="S286" s="203"/>
      <c r="T286" s="203"/>
      <c r="U286" s="203"/>
      <c r="V286" s="203"/>
      <c r="W286" s="203"/>
      <c r="X286" s="203"/>
      <c r="Y286" s="203"/>
      <c r="Z286" s="203"/>
      <c r="AA286" s="203"/>
      <c r="AB286" s="203"/>
      <c r="AC286" s="203"/>
      <c r="AD286" s="203"/>
      <c r="AE286" s="203"/>
      <c r="AF286" s="203"/>
      <c r="AG286" s="203"/>
      <c r="AH286" s="203"/>
      <c r="AI286" s="203"/>
      <c r="AJ286" s="203"/>
      <c r="AK286" s="203"/>
      <c r="AL286" s="203"/>
      <c r="AM286" s="203"/>
      <c r="AN286" s="203"/>
      <c r="AO286" s="203"/>
      <c r="AP286" s="203"/>
      <c r="AQ286" s="203"/>
      <c r="AR286" s="203"/>
      <c r="AS286" s="203"/>
      <c r="AT286" s="203"/>
    </row>
    <row r="287" spans="4:46" s="155" customFormat="1" ht="11.25" x14ac:dyDescent="0.2">
      <c r="D287" s="203"/>
      <c r="E287" s="203"/>
      <c r="F287" s="203"/>
      <c r="G287" s="203"/>
      <c r="H287" s="203"/>
      <c r="I287" s="203"/>
      <c r="J287" s="203"/>
      <c r="K287" s="203"/>
      <c r="L287" s="203"/>
      <c r="M287" s="203"/>
      <c r="N287" s="203"/>
      <c r="O287" s="203"/>
      <c r="P287" s="203"/>
      <c r="Q287" s="203"/>
      <c r="R287" s="203"/>
      <c r="S287" s="203"/>
      <c r="T287" s="203"/>
      <c r="U287" s="203"/>
      <c r="V287" s="203"/>
      <c r="W287" s="203"/>
      <c r="X287" s="203"/>
      <c r="Y287" s="203"/>
      <c r="Z287" s="203"/>
      <c r="AA287" s="203"/>
      <c r="AB287" s="203"/>
      <c r="AC287" s="203"/>
      <c r="AD287" s="203"/>
      <c r="AE287" s="203"/>
      <c r="AF287" s="203"/>
      <c r="AG287" s="203"/>
      <c r="AH287" s="203"/>
      <c r="AI287" s="203"/>
      <c r="AJ287" s="203"/>
      <c r="AK287" s="203"/>
      <c r="AL287" s="203"/>
      <c r="AM287" s="203"/>
      <c r="AN287" s="203"/>
      <c r="AO287" s="203"/>
      <c r="AP287" s="203"/>
      <c r="AQ287" s="203"/>
      <c r="AR287" s="203"/>
      <c r="AS287" s="203"/>
      <c r="AT287" s="203"/>
    </row>
    <row r="288" spans="4:46" s="155" customFormat="1" ht="11.25" x14ac:dyDescent="0.2">
      <c r="D288" s="203"/>
      <c r="E288" s="203"/>
      <c r="F288" s="203"/>
      <c r="G288" s="203"/>
      <c r="H288" s="203"/>
      <c r="I288" s="203"/>
      <c r="J288" s="203"/>
      <c r="K288" s="203"/>
      <c r="L288" s="203"/>
      <c r="M288" s="203"/>
      <c r="N288" s="203"/>
      <c r="O288" s="203"/>
      <c r="P288" s="203"/>
      <c r="Q288" s="203"/>
      <c r="R288" s="203"/>
      <c r="S288" s="203"/>
      <c r="T288" s="203"/>
      <c r="U288" s="203"/>
      <c r="V288" s="203"/>
      <c r="W288" s="203"/>
      <c r="X288" s="203"/>
      <c r="Y288" s="203"/>
      <c r="Z288" s="203"/>
      <c r="AA288" s="203"/>
      <c r="AB288" s="203"/>
      <c r="AC288" s="203"/>
      <c r="AD288" s="203"/>
      <c r="AE288" s="203"/>
      <c r="AF288" s="203"/>
      <c r="AG288" s="203"/>
      <c r="AH288" s="203"/>
      <c r="AI288" s="203"/>
      <c r="AJ288" s="203"/>
      <c r="AK288" s="203"/>
      <c r="AL288" s="203"/>
      <c r="AM288" s="203"/>
      <c r="AN288" s="203"/>
      <c r="AO288" s="203"/>
      <c r="AP288" s="203"/>
      <c r="AQ288" s="203"/>
      <c r="AR288" s="203"/>
      <c r="AS288" s="203"/>
      <c r="AT288" s="203"/>
    </row>
    <row r="289" spans="4:46" s="155" customFormat="1" ht="11.25" x14ac:dyDescent="0.2">
      <c r="D289" s="203"/>
      <c r="E289" s="203"/>
      <c r="F289" s="203"/>
      <c r="G289" s="203"/>
      <c r="H289" s="203"/>
      <c r="I289" s="203"/>
      <c r="J289" s="203"/>
      <c r="K289" s="203"/>
      <c r="L289" s="203"/>
      <c r="M289" s="203"/>
      <c r="N289" s="203"/>
      <c r="O289" s="203"/>
      <c r="P289" s="203"/>
      <c r="Q289" s="203"/>
      <c r="R289" s="203"/>
      <c r="S289" s="203"/>
      <c r="T289" s="203"/>
      <c r="U289" s="203"/>
      <c r="V289" s="203"/>
      <c r="W289" s="203"/>
      <c r="X289" s="203"/>
      <c r="Y289" s="203"/>
      <c r="Z289" s="203"/>
      <c r="AA289" s="203"/>
      <c r="AB289" s="203"/>
      <c r="AC289" s="203"/>
      <c r="AD289" s="203"/>
      <c r="AE289" s="203"/>
      <c r="AF289" s="203"/>
      <c r="AG289" s="203"/>
      <c r="AH289" s="203"/>
      <c r="AI289" s="203"/>
      <c r="AJ289" s="203"/>
      <c r="AK289" s="203"/>
      <c r="AL289" s="203"/>
      <c r="AM289" s="203"/>
      <c r="AN289" s="203"/>
      <c r="AO289" s="203"/>
      <c r="AP289" s="203"/>
      <c r="AQ289" s="203"/>
      <c r="AR289" s="203"/>
      <c r="AS289" s="203"/>
      <c r="AT289" s="203"/>
    </row>
    <row r="290" spans="4:46" s="155" customFormat="1" ht="11.25" x14ac:dyDescent="0.2">
      <c r="D290" s="203"/>
      <c r="E290" s="203"/>
      <c r="F290" s="203"/>
      <c r="G290" s="203"/>
      <c r="H290" s="203"/>
      <c r="I290" s="203"/>
      <c r="J290" s="203"/>
      <c r="K290" s="203"/>
      <c r="L290" s="203"/>
      <c r="M290" s="203"/>
      <c r="N290" s="203"/>
      <c r="O290" s="203"/>
      <c r="P290" s="203"/>
      <c r="Q290" s="203"/>
      <c r="R290" s="203"/>
      <c r="S290" s="203"/>
      <c r="T290" s="203"/>
      <c r="U290" s="203"/>
      <c r="V290" s="203"/>
      <c r="W290" s="203"/>
      <c r="X290" s="203"/>
      <c r="Y290" s="203"/>
      <c r="Z290" s="203"/>
      <c r="AA290" s="203"/>
      <c r="AB290" s="203"/>
      <c r="AC290" s="203"/>
      <c r="AD290" s="203"/>
      <c r="AE290" s="203"/>
      <c r="AF290" s="203"/>
      <c r="AG290" s="203"/>
      <c r="AH290" s="203"/>
      <c r="AI290" s="203"/>
      <c r="AJ290" s="203"/>
      <c r="AK290" s="203"/>
      <c r="AL290" s="203"/>
      <c r="AM290" s="203"/>
      <c r="AN290" s="203"/>
      <c r="AO290" s="203"/>
      <c r="AP290" s="203"/>
      <c r="AQ290" s="203"/>
      <c r="AR290" s="203"/>
      <c r="AS290" s="203"/>
      <c r="AT290" s="203"/>
    </row>
    <row r="291" spans="4:46" s="155" customFormat="1" ht="11.25" x14ac:dyDescent="0.2">
      <c r="D291" s="203"/>
      <c r="E291" s="203"/>
      <c r="F291" s="203"/>
      <c r="G291" s="203"/>
      <c r="H291" s="203"/>
      <c r="I291" s="203"/>
      <c r="J291" s="203"/>
      <c r="K291" s="203"/>
      <c r="L291" s="203"/>
      <c r="M291" s="203"/>
      <c r="N291" s="203"/>
      <c r="O291" s="203"/>
      <c r="P291" s="203"/>
      <c r="Q291" s="203"/>
      <c r="R291" s="203"/>
      <c r="S291" s="203"/>
      <c r="T291" s="203"/>
      <c r="U291" s="203"/>
      <c r="V291" s="203"/>
      <c r="W291" s="203"/>
      <c r="X291" s="203"/>
      <c r="Y291" s="203"/>
      <c r="Z291" s="203"/>
      <c r="AA291" s="203"/>
      <c r="AB291" s="203"/>
      <c r="AC291" s="203"/>
      <c r="AD291" s="203"/>
      <c r="AE291" s="203"/>
      <c r="AF291" s="203"/>
      <c r="AG291" s="203"/>
      <c r="AH291" s="203"/>
      <c r="AI291" s="203"/>
      <c r="AJ291" s="203"/>
      <c r="AK291" s="203"/>
      <c r="AL291" s="203"/>
      <c r="AM291" s="203"/>
      <c r="AN291" s="203"/>
      <c r="AO291" s="203"/>
      <c r="AP291" s="203"/>
      <c r="AQ291" s="203"/>
      <c r="AR291" s="203"/>
      <c r="AS291" s="203"/>
      <c r="AT291" s="203"/>
    </row>
    <row r="292" spans="4:46" s="155" customFormat="1" ht="11.25" x14ac:dyDescent="0.2">
      <c r="D292" s="203"/>
      <c r="E292" s="203"/>
      <c r="F292" s="203"/>
      <c r="G292" s="203"/>
      <c r="H292" s="203"/>
      <c r="I292" s="203"/>
      <c r="J292" s="203"/>
      <c r="K292" s="203"/>
      <c r="L292" s="203"/>
      <c r="M292" s="203"/>
      <c r="N292" s="203"/>
      <c r="O292" s="203"/>
      <c r="P292" s="203"/>
      <c r="Q292" s="203"/>
      <c r="R292" s="203"/>
      <c r="S292" s="203"/>
      <c r="T292" s="203"/>
      <c r="U292" s="203"/>
      <c r="V292" s="203"/>
      <c r="W292" s="203"/>
      <c r="X292" s="203"/>
      <c r="Y292" s="203"/>
      <c r="Z292" s="203"/>
      <c r="AA292" s="203"/>
      <c r="AB292" s="203"/>
      <c r="AC292" s="203"/>
      <c r="AD292" s="203"/>
      <c r="AE292" s="203"/>
      <c r="AF292" s="203"/>
      <c r="AG292" s="203"/>
      <c r="AH292" s="203"/>
      <c r="AI292" s="203"/>
      <c r="AJ292" s="203"/>
      <c r="AK292" s="203"/>
      <c r="AL292" s="203"/>
      <c r="AM292" s="203"/>
      <c r="AN292" s="203"/>
      <c r="AO292" s="203"/>
      <c r="AP292" s="203"/>
      <c r="AQ292" s="203"/>
      <c r="AR292" s="203"/>
      <c r="AS292" s="203"/>
      <c r="AT292" s="203"/>
    </row>
    <row r="293" spans="4:46" s="155" customFormat="1" ht="11.25" x14ac:dyDescent="0.2">
      <c r="D293" s="203"/>
      <c r="E293" s="203"/>
      <c r="F293" s="203"/>
      <c r="G293" s="203"/>
      <c r="H293" s="203"/>
      <c r="I293" s="203"/>
      <c r="J293" s="203"/>
      <c r="K293" s="203"/>
      <c r="L293" s="203"/>
      <c r="M293" s="203"/>
      <c r="N293" s="203"/>
      <c r="O293" s="203"/>
      <c r="P293" s="203"/>
      <c r="Q293" s="203"/>
      <c r="R293" s="203"/>
      <c r="S293" s="203"/>
      <c r="T293" s="203"/>
      <c r="U293" s="203"/>
      <c r="V293" s="203"/>
      <c r="W293" s="203"/>
      <c r="X293" s="203"/>
      <c r="Y293" s="203"/>
      <c r="Z293" s="203"/>
      <c r="AA293" s="203"/>
      <c r="AB293" s="203"/>
      <c r="AC293" s="203"/>
      <c r="AD293" s="203"/>
      <c r="AE293" s="203"/>
      <c r="AF293" s="203"/>
      <c r="AG293" s="203"/>
      <c r="AH293" s="203"/>
      <c r="AI293" s="203"/>
      <c r="AJ293" s="203"/>
      <c r="AK293" s="203"/>
      <c r="AL293" s="203"/>
      <c r="AM293" s="203"/>
      <c r="AN293" s="203"/>
      <c r="AO293" s="203"/>
      <c r="AP293" s="203"/>
      <c r="AQ293" s="203"/>
      <c r="AR293" s="203"/>
      <c r="AS293" s="203"/>
      <c r="AT293" s="203"/>
    </row>
    <row r="294" spans="4:46" s="155" customFormat="1" ht="11.25" x14ac:dyDescent="0.2">
      <c r="D294" s="203"/>
      <c r="E294" s="203"/>
      <c r="F294" s="203"/>
      <c r="G294" s="203"/>
      <c r="H294" s="203"/>
      <c r="I294" s="203"/>
      <c r="J294" s="203"/>
      <c r="K294" s="203"/>
      <c r="L294" s="203"/>
      <c r="M294" s="203"/>
      <c r="N294" s="203"/>
      <c r="O294" s="203"/>
      <c r="P294" s="203"/>
      <c r="Q294" s="203"/>
      <c r="R294" s="203"/>
      <c r="S294" s="203"/>
      <c r="T294" s="203"/>
      <c r="U294" s="203"/>
      <c r="V294" s="203"/>
      <c r="W294" s="203"/>
      <c r="X294" s="203"/>
      <c r="Y294" s="203"/>
      <c r="Z294" s="203"/>
      <c r="AA294" s="203"/>
      <c r="AB294" s="203"/>
      <c r="AC294" s="203"/>
      <c r="AD294" s="203"/>
      <c r="AE294" s="203"/>
      <c r="AF294" s="203"/>
      <c r="AG294" s="203"/>
      <c r="AH294" s="203"/>
      <c r="AI294" s="203"/>
      <c r="AJ294" s="203"/>
      <c r="AK294" s="203"/>
      <c r="AL294" s="203"/>
      <c r="AM294" s="203"/>
      <c r="AN294" s="203"/>
      <c r="AO294" s="203"/>
      <c r="AP294" s="203"/>
      <c r="AQ294" s="203"/>
      <c r="AR294" s="203"/>
      <c r="AS294" s="203"/>
      <c r="AT294" s="203"/>
    </row>
    <row r="295" spans="4:46" s="155" customFormat="1" ht="11.25" x14ac:dyDescent="0.2">
      <c r="D295" s="203"/>
      <c r="E295" s="203"/>
      <c r="F295" s="203"/>
      <c r="G295" s="203"/>
      <c r="H295" s="203"/>
      <c r="I295" s="203"/>
      <c r="J295" s="203"/>
      <c r="K295" s="203"/>
      <c r="L295" s="203"/>
      <c r="M295" s="203"/>
      <c r="N295" s="203"/>
      <c r="O295" s="203"/>
      <c r="P295" s="203"/>
      <c r="Q295" s="203"/>
      <c r="R295" s="203"/>
      <c r="S295" s="203"/>
      <c r="T295" s="203"/>
      <c r="U295" s="203"/>
      <c r="V295" s="203"/>
      <c r="W295" s="203"/>
      <c r="X295" s="203"/>
      <c r="Y295" s="203"/>
      <c r="Z295" s="203"/>
      <c r="AA295" s="203"/>
      <c r="AB295" s="203"/>
      <c r="AC295" s="203"/>
      <c r="AD295" s="203"/>
      <c r="AE295" s="203"/>
      <c r="AF295" s="203"/>
      <c r="AG295" s="203"/>
      <c r="AH295" s="203"/>
      <c r="AI295" s="203"/>
      <c r="AJ295" s="203"/>
      <c r="AK295" s="203"/>
      <c r="AL295" s="203"/>
      <c r="AM295" s="203"/>
      <c r="AN295" s="203"/>
      <c r="AO295" s="203"/>
      <c r="AP295" s="203"/>
      <c r="AQ295" s="203"/>
      <c r="AR295" s="203"/>
      <c r="AS295" s="203"/>
      <c r="AT295" s="203"/>
    </row>
    <row r="296" spans="4:46" s="155" customFormat="1" ht="11.25" x14ac:dyDescent="0.2">
      <c r="D296" s="203"/>
      <c r="E296" s="203"/>
      <c r="F296" s="203"/>
      <c r="G296" s="203"/>
      <c r="H296" s="203"/>
      <c r="I296" s="203"/>
      <c r="J296" s="203"/>
      <c r="K296" s="203"/>
      <c r="L296" s="203"/>
      <c r="M296" s="203"/>
      <c r="N296" s="203"/>
      <c r="O296" s="203"/>
      <c r="P296" s="203"/>
      <c r="Q296" s="203"/>
      <c r="R296" s="203"/>
      <c r="S296" s="203"/>
      <c r="T296" s="203"/>
      <c r="U296" s="203"/>
      <c r="V296" s="203"/>
      <c r="W296" s="203"/>
      <c r="X296" s="203"/>
      <c r="Y296" s="203"/>
      <c r="Z296" s="203"/>
      <c r="AA296" s="203"/>
      <c r="AB296" s="203"/>
      <c r="AC296" s="203"/>
      <c r="AD296" s="203"/>
      <c r="AE296" s="203"/>
      <c r="AF296" s="203"/>
      <c r="AG296" s="203"/>
      <c r="AH296" s="203"/>
      <c r="AI296" s="203"/>
      <c r="AJ296" s="203"/>
      <c r="AK296" s="203"/>
      <c r="AL296" s="203"/>
      <c r="AM296" s="203"/>
      <c r="AN296" s="203"/>
      <c r="AO296" s="203"/>
      <c r="AP296" s="203"/>
      <c r="AQ296" s="203"/>
      <c r="AR296" s="203"/>
      <c r="AS296" s="203"/>
      <c r="AT296" s="203"/>
    </row>
    <row r="297" spans="4:46" s="155" customFormat="1" ht="11.25" x14ac:dyDescent="0.2">
      <c r="D297" s="203"/>
      <c r="E297" s="203"/>
      <c r="F297" s="203"/>
      <c r="G297" s="203"/>
      <c r="H297" s="203"/>
      <c r="I297" s="203"/>
      <c r="J297" s="203"/>
      <c r="K297" s="203"/>
      <c r="L297" s="203"/>
      <c r="M297" s="203"/>
      <c r="N297" s="203"/>
      <c r="O297" s="203"/>
      <c r="P297" s="203"/>
      <c r="Q297" s="203"/>
      <c r="R297" s="203"/>
      <c r="S297" s="203"/>
      <c r="T297" s="203"/>
      <c r="U297" s="203"/>
      <c r="V297" s="203"/>
      <c r="W297" s="203"/>
      <c r="X297" s="203"/>
      <c r="Y297" s="203"/>
      <c r="Z297" s="203"/>
      <c r="AA297" s="203"/>
      <c r="AB297" s="203"/>
      <c r="AC297" s="203"/>
      <c r="AD297" s="203"/>
      <c r="AE297" s="203"/>
      <c r="AF297" s="203"/>
      <c r="AG297" s="203"/>
      <c r="AH297" s="203"/>
      <c r="AI297" s="203"/>
      <c r="AJ297" s="203"/>
      <c r="AK297" s="203"/>
      <c r="AL297" s="203"/>
      <c r="AM297" s="203"/>
      <c r="AN297" s="203"/>
      <c r="AO297" s="203"/>
      <c r="AP297" s="203"/>
      <c r="AQ297" s="203"/>
      <c r="AR297" s="203"/>
      <c r="AS297" s="203"/>
      <c r="AT297" s="203"/>
    </row>
    <row r="298" spans="4:46" s="155" customFormat="1" ht="11.25" x14ac:dyDescent="0.2">
      <c r="D298" s="203"/>
      <c r="E298" s="203"/>
      <c r="F298" s="203"/>
      <c r="G298" s="203"/>
      <c r="H298" s="203"/>
      <c r="I298" s="203"/>
      <c r="J298" s="203"/>
      <c r="K298" s="203"/>
      <c r="L298" s="203"/>
      <c r="M298" s="203"/>
      <c r="N298" s="203"/>
      <c r="O298" s="203"/>
      <c r="P298" s="203"/>
      <c r="Q298" s="203"/>
      <c r="R298" s="203"/>
      <c r="S298" s="203"/>
      <c r="T298" s="203"/>
      <c r="U298" s="203"/>
      <c r="V298" s="203"/>
      <c r="W298" s="203"/>
      <c r="X298" s="203"/>
      <c r="Y298" s="203"/>
      <c r="Z298" s="203"/>
      <c r="AA298" s="203"/>
      <c r="AB298" s="203"/>
      <c r="AC298" s="203"/>
      <c r="AD298" s="203"/>
      <c r="AE298" s="203"/>
      <c r="AF298" s="203"/>
      <c r="AG298" s="203"/>
      <c r="AH298" s="203"/>
      <c r="AI298" s="203"/>
      <c r="AJ298" s="203"/>
      <c r="AK298" s="203"/>
      <c r="AL298" s="203"/>
      <c r="AM298" s="203"/>
      <c r="AN298" s="203"/>
      <c r="AO298" s="203"/>
      <c r="AP298" s="203"/>
      <c r="AQ298" s="203"/>
      <c r="AR298" s="203"/>
      <c r="AS298" s="203"/>
      <c r="AT298" s="203"/>
    </row>
    <row r="299" spans="4:46" s="155" customFormat="1" ht="11.25" x14ac:dyDescent="0.2">
      <c r="D299" s="203"/>
      <c r="E299" s="203"/>
      <c r="F299" s="203"/>
      <c r="G299" s="203"/>
      <c r="H299" s="203"/>
      <c r="I299" s="203"/>
      <c r="J299" s="203"/>
      <c r="K299" s="203"/>
      <c r="L299" s="203"/>
      <c r="M299" s="203"/>
      <c r="N299" s="203"/>
      <c r="O299" s="203"/>
      <c r="P299" s="203"/>
      <c r="Q299" s="203"/>
      <c r="R299" s="203"/>
      <c r="S299" s="203"/>
      <c r="T299" s="203"/>
      <c r="U299" s="203"/>
      <c r="V299" s="203"/>
      <c r="W299" s="203"/>
      <c r="X299" s="203"/>
      <c r="Y299" s="203"/>
      <c r="Z299" s="203"/>
      <c r="AA299" s="203"/>
      <c r="AB299" s="203"/>
      <c r="AC299" s="203"/>
      <c r="AD299" s="203"/>
      <c r="AE299" s="203"/>
      <c r="AF299" s="203"/>
      <c r="AG299" s="203"/>
      <c r="AH299" s="203"/>
      <c r="AI299" s="203"/>
      <c r="AJ299" s="203"/>
      <c r="AK299" s="203"/>
      <c r="AL299" s="203"/>
      <c r="AM299" s="203"/>
      <c r="AN299" s="203"/>
      <c r="AO299" s="203"/>
      <c r="AP299" s="203"/>
      <c r="AQ299" s="203"/>
      <c r="AR299" s="203"/>
      <c r="AS299" s="203"/>
      <c r="AT299" s="203"/>
    </row>
    <row r="300" spans="4:46" s="155" customFormat="1" ht="11.25" x14ac:dyDescent="0.2">
      <c r="D300" s="203"/>
      <c r="E300" s="203"/>
      <c r="F300" s="203"/>
      <c r="G300" s="203"/>
      <c r="H300" s="203"/>
      <c r="I300" s="203"/>
      <c r="J300" s="203"/>
      <c r="K300" s="203"/>
      <c r="L300" s="203"/>
      <c r="M300" s="203"/>
      <c r="N300" s="203"/>
      <c r="O300" s="203"/>
      <c r="P300" s="203"/>
      <c r="Q300" s="203"/>
      <c r="R300" s="203"/>
      <c r="S300" s="203"/>
      <c r="T300" s="203"/>
      <c r="U300" s="203"/>
      <c r="V300" s="203"/>
      <c r="W300" s="203"/>
      <c r="X300" s="203"/>
      <c r="Y300" s="203"/>
      <c r="Z300" s="203"/>
      <c r="AA300" s="203"/>
      <c r="AB300" s="203"/>
      <c r="AC300" s="203"/>
      <c r="AD300" s="203"/>
      <c r="AE300" s="203"/>
      <c r="AF300" s="203"/>
      <c r="AG300" s="203"/>
      <c r="AH300" s="203"/>
      <c r="AI300" s="203"/>
      <c r="AJ300" s="203"/>
      <c r="AK300" s="203"/>
      <c r="AL300" s="203"/>
      <c r="AM300" s="203"/>
      <c r="AN300" s="203"/>
      <c r="AO300" s="203"/>
      <c r="AP300" s="203"/>
      <c r="AQ300" s="203"/>
      <c r="AR300" s="203"/>
      <c r="AS300" s="203"/>
      <c r="AT300" s="203"/>
    </row>
    <row r="301" spans="4:46" s="155" customFormat="1" ht="11.25" x14ac:dyDescent="0.2">
      <c r="D301" s="203"/>
      <c r="E301" s="203"/>
      <c r="F301" s="203"/>
      <c r="G301" s="203"/>
      <c r="H301" s="203"/>
      <c r="I301" s="203"/>
      <c r="J301" s="203"/>
      <c r="K301" s="203"/>
      <c r="L301" s="203"/>
      <c r="M301" s="203"/>
      <c r="N301" s="203"/>
      <c r="O301" s="203"/>
      <c r="P301" s="203"/>
      <c r="Q301" s="203"/>
      <c r="R301" s="203"/>
      <c r="S301" s="203"/>
      <c r="T301" s="203"/>
      <c r="U301" s="203"/>
      <c r="V301" s="203"/>
      <c r="W301" s="203"/>
      <c r="X301" s="203"/>
      <c r="Y301" s="203"/>
      <c r="Z301" s="203"/>
      <c r="AA301" s="203"/>
      <c r="AB301" s="203"/>
      <c r="AC301" s="203"/>
      <c r="AD301" s="203"/>
      <c r="AE301" s="203"/>
      <c r="AF301" s="203"/>
      <c r="AG301" s="203"/>
      <c r="AH301" s="203"/>
      <c r="AI301" s="203"/>
      <c r="AJ301" s="203"/>
      <c r="AK301" s="203"/>
      <c r="AL301" s="203"/>
      <c r="AM301" s="203"/>
      <c r="AN301" s="203"/>
      <c r="AO301" s="203"/>
      <c r="AP301" s="203"/>
      <c r="AQ301" s="203"/>
      <c r="AR301" s="203"/>
      <c r="AS301" s="203"/>
      <c r="AT301" s="203"/>
    </row>
    <row r="302" spans="4:46" s="155" customFormat="1" ht="11.25" x14ac:dyDescent="0.2">
      <c r="D302" s="203"/>
      <c r="E302" s="203"/>
      <c r="F302" s="203"/>
      <c r="G302" s="203"/>
      <c r="H302" s="203"/>
      <c r="I302" s="203"/>
      <c r="J302" s="203"/>
      <c r="K302" s="203"/>
      <c r="L302" s="203"/>
      <c r="M302" s="203"/>
      <c r="N302" s="203"/>
      <c r="O302" s="203"/>
      <c r="P302" s="203"/>
      <c r="Q302" s="203"/>
      <c r="R302" s="203"/>
      <c r="S302" s="203"/>
      <c r="T302" s="203"/>
      <c r="U302" s="203"/>
      <c r="V302" s="203"/>
      <c r="W302" s="203"/>
      <c r="X302" s="203"/>
      <c r="Y302" s="203"/>
      <c r="Z302" s="203"/>
      <c r="AA302" s="203"/>
      <c r="AB302" s="203"/>
      <c r="AC302" s="203"/>
      <c r="AD302" s="203"/>
      <c r="AE302" s="203"/>
      <c r="AF302" s="203"/>
      <c r="AG302" s="203"/>
      <c r="AH302" s="203"/>
      <c r="AI302" s="203"/>
      <c r="AJ302" s="203"/>
      <c r="AK302" s="203"/>
      <c r="AL302" s="203"/>
      <c r="AM302" s="203"/>
      <c r="AN302" s="203"/>
      <c r="AO302" s="203"/>
      <c r="AP302" s="203"/>
      <c r="AQ302" s="203"/>
      <c r="AR302" s="203"/>
      <c r="AS302" s="203"/>
      <c r="AT302" s="203"/>
    </row>
    <row r="303" spans="4:46" s="155" customFormat="1" ht="11.25" x14ac:dyDescent="0.2">
      <c r="D303" s="203"/>
      <c r="E303" s="203"/>
      <c r="F303" s="203"/>
      <c r="G303" s="203"/>
      <c r="H303" s="203"/>
      <c r="I303" s="203"/>
      <c r="J303" s="203"/>
      <c r="K303" s="203"/>
      <c r="L303" s="203"/>
      <c r="M303" s="203"/>
      <c r="N303" s="203"/>
      <c r="O303" s="203"/>
      <c r="P303" s="203"/>
      <c r="Q303" s="203"/>
      <c r="R303" s="203"/>
      <c r="S303" s="203"/>
      <c r="T303" s="203"/>
      <c r="U303" s="203"/>
      <c r="V303" s="203"/>
      <c r="W303" s="203"/>
      <c r="X303" s="203"/>
      <c r="Y303" s="203"/>
      <c r="Z303" s="203"/>
      <c r="AA303" s="203"/>
      <c r="AB303" s="203"/>
      <c r="AC303" s="203"/>
      <c r="AD303" s="203"/>
      <c r="AE303" s="203"/>
      <c r="AF303" s="203"/>
      <c r="AG303" s="203"/>
      <c r="AH303" s="203"/>
      <c r="AI303" s="203"/>
      <c r="AJ303" s="203"/>
      <c r="AK303" s="203"/>
      <c r="AL303" s="203"/>
      <c r="AM303" s="203"/>
      <c r="AN303" s="203"/>
      <c r="AO303" s="203"/>
      <c r="AP303" s="203"/>
      <c r="AQ303" s="203"/>
      <c r="AR303" s="203"/>
      <c r="AS303" s="203"/>
      <c r="AT303" s="203"/>
    </row>
    <row r="304" spans="4:46" s="155" customFormat="1" ht="11.25" x14ac:dyDescent="0.2">
      <c r="D304" s="203"/>
      <c r="E304" s="203"/>
      <c r="F304" s="203"/>
      <c r="G304" s="203"/>
      <c r="H304" s="203"/>
      <c r="I304" s="203"/>
      <c r="J304" s="203"/>
      <c r="K304" s="203"/>
      <c r="L304" s="203"/>
      <c r="M304" s="203"/>
      <c r="N304" s="203"/>
      <c r="O304" s="203"/>
      <c r="P304" s="203"/>
      <c r="Q304" s="203"/>
      <c r="R304" s="203"/>
      <c r="S304" s="203"/>
      <c r="T304" s="203"/>
      <c r="U304" s="203"/>
      <c r="V304" s="203"/>
      <c r="W304" s="203"/>
      <c r="X304" s="203"/>
      <c r="Y304" s="203"/>
      <c r="Z304" s="203"/>
      <c r="AA304" s="203"/>
      <c r="AB304" s="203"/>
      <c r="AC304" s="203"/>
      <c r="AD304" s="203"/>
      <c r="AE304" s="203"/>
      <c r="AF304" s="203"/>
      <c r="AG304" s="203"/>
      <c r="AH304" s="203"/>
      <c r="AI304" s="203"/>
      <c r="AJ304" s="203"/>
      <c r="AK304" s="203"/>
      <c r="AL304" s="203"/>
      <c r="AM304" s="203"/>
      <c r="AN304" s="203"/>
      <c r="AO304" s="203"/>
      <c r="AP304" s="203"/>
      <c r="AQ304" s="203"/>
      <c r="AR304" s="203"/>
      <c r="AS304" s="203"/>
      <c r="AT304" s="203"/>
    </row>
    <row r="305" spans="4:46" s="155" customFormat="1" ht="11.25" x14ac:dyDescent="0.2">
      <c r="D305" s="203"/>
      <c r="E305" s="203"/>
      <c r="F305" s="203"/>
      <c r="G305" s="203"/>
      <c r="H305" s="203"/>
      <c r="I305" s="203"/>
      <c r="J305" s="203"/>
      <c r="K305" s="203"/>
      <c r="L305" s="203"/>
      <c r="M305" s="203"/>
      <c r="N305" s="203"/>
      <c r="O305" s="203"/>
      <c r="P305" s="203"/>
      <c r="Q305" s="203"/>
      <c r="R305" s="203"/>
      <c r="S305" s="203"/>
      <c r="T305" s="203"/>
      <c r="U305" s="203"/>
      <c r="V305" s="203"/>
      <c r="W305" s="203"/>
      <c r="X305" s="203"/>
      <c r="Y305" s="203"/>
      <c r="Z305" s="203"/>
      <c r="AA305" s="203"/>
      <c r="AB305" s="203"/>
      <c r="AC305" s="203"/>
      <c r="AD305" s="203"/>
      <c r="AE305" s="203"/>
      <c r="AF305" s="203"/>
      <c r="AG305" s="203"/>
      <c r="AH305" s="203"/>
      <c r="AI305" s="203"/>
      <c r="AJ305" s="203"/>
      <c r="AK305" s="203"/>
      <c r="AL305" s="203"/>
      <c r="AM305" s="203"/>
      <c r="AN305" s="203"/>
      <c r="AO305" s="203"/>
      <c r="AP305" s="203"/>
      <c r="AQ305" s="203"/>
      <c r="AR305" s="203"/>
      <c r="AS305" s="203"/>
      <c r="AT305" s="203"/>
    </row>
    <row r="306" spans="4:46" s="155" customFormat="1" ht="11.25" x14ac:dyDescent="0.2">
      <c r="D306" s="203"/>
      <c r="E306" s="203"/>
      <c r="F306" s="203"/>
      <c r="G306" s="203"/>
      <c r="H306" s="203"/>
      <c r="I306" s="203"/>
      <c r="J306" s="203"/>
      <c r="K306" s="203"/>
      <c r="L306" s="203"/>
      <c r="M306" s="203"/>
      <c r="N306" s="203"/>
      <c r="O306" s="203"/>
      <c r="P306" s="203"/>
      <c r="Q306" s="203"/>
      <c r="R306" s="203"/>
      <c r="S306" s="203"/>
      <c r="T306" s="203"/>
      <c r="U306" s="203"/>
      <c r="V306" s="203"/>
      <c r="W306" s="203"/>
      <c r="X306" s="203"/>
      <c r="Y306" s="203"/>
      <c r="Z306" s="203"/>
      <c r="AA306" s="203"/>
      <c r="AB306" s="203"/>
      <c r="AC306" s="203"/>
      <c r="AD306" s="203"/>
      <c r="AE306" s="203"/>
      <c r="AF306" s="203"/>
      <c r="AG306" s="203"/>
      <c r="AH306" s="203"/>
      <c r="AI306" s="203"/>
      <c r="AJ306" s="203"/>
      <c r="AK306" s="203"/>
      <c r="AL306" s="203"/>
      <c r="AM306" s="203"/>
      <c r="AN306" s="203"/>
      <c r="AO306" s="203"/>
      <c r="AP306" s="203"/>
      <c r="AQ306" s="203"/>
      <c r="AR306" s="203"/>
      <c r="AS306" s="203"/>
      <c r="AT306" s="203"/>
    </row>
    <row r="307" spans="4:46" s="155" customFormat="1" ht="11.25" x14ac:dyDescent="0.2">
      <c r="D307" s="203"/>
      <c r="E307" s="203"/>
      <c r="F307" s="203"/>
      <c r="G307" s="203"/>
      <c r="H307" s="203"/>
      <c r="I307" s="203"/>
      <c r="J307" s="203"/>
      <c r="K307" s="203"/>
      <c r="L307" s="203"/>
      <c r="M307" s="203"/>
      <c r="N307" s="203"/>
      <c r="O307" s="203"/>
      <c r="P307" s="203"/>
      <c r="Q307" s="203"/>
      <c r="R307" s="203"/>
      <c r="S307" s="203"/>
      <c r="T307" s="203"/>
      <c r="U307" s="203"/>
      <c r="V307" s="203"/>
      <c r="W307" s="203"/>
      <c r="X307" s="203"/>
      <c r="Y307" s="203"/>
      <c r="Z307" s="203"/>
      <c r="AA307" s="203"/>
      <c r="AB307" s="203"/>
      <c r="AC307" s="203"/>
      <c r="AD307" s="203"/>
      <c r="AE307" s="203"/>
      <c r="AF307" s="203"/>
      <c r="AG307" s="203"/>
      <c r="AH307" s="203"/>
      <c r="AI307" s="203"/>
      <c r="AJ307" s="203"/>
      <c r="AK307" s="203"/>
      <c r="AL307" s="203"/>
      <c r="AM307" s="203"/>
      <c r="AN307" s="203"/>
      <c r="AO307" s="203"/>
      <c r="AP307" s="203"/>
      <c r="AQ307" s="203"/>
      <c r="AR307" s="203"/>
      <c r="AS307" s="203"/>
      <c r="AT307" s="203"/>
    </row>
    <row r="308" spans="4:46" s="155" customFormat="1" ht="11.25" x14ac:dyDescent="0.2">
      <c r="D308" s="203"/>
      <c r="E308" s="203"/>
      <c r="F308" s="203"/>
      <c r="G308" s="203"/>
      <c r="H308" s="203"/>
      <c r="I308" s="203"/>
      <c r="J308" s="203"/>
      <c r="K308" s="203"/>
      <c r="L308" s="203"/>
      <c r="M308" s="203"/>
      <c r="N308" s="203"/>
      <c r="O308" s="203"/>
      <c r="P308" s="203"/>
      <c r="Q308" s="203"/>
      <c r="R308" s="203"/>
      <c r="S308" s="203"/>
      <c r="T308" s="203"/>
      <c r="U308" s="203"/>
      <c r="V308" s="203"/>
      <c r="W308" s="203"/>
      <c r="X308" s="203"/>
      <c r="Y308" s="203"/>
      <c r="Z308" s="203"/>
      <c r="AA308" s="203"/>
      <c r="AB308" s="203"/>
      <c r="AC308" s="203"/>
      <c r="AD308" s="203"/>
      <c r="AE308" s="203"/>
      <c r="AF308" s="203"/>
      <c r="AG308" s="203"/>
      <c r="AH308" s="203"/>
      <c r="AI308" s="203"/>
      <c r="AJ308" s="203"/>
      <c r="AK308" s="203"/>
      <c r="AL308" s="203"/>
      <c r="AM308" s="203"/>
      <c r="AN308" s="203"/>
      <c r="AO308" s="203"/>
      <c r="AP308" s="203"/>
      <c r="AQ308" s="203"/>
      <c r="AR308" s="203"/>
      <c r="AS308" s="203"/>
      <c r="AT308" s="203"/>
    </row>
    <row r="309" spans="4:46" s="155" customFormat="1" ht="11.25" x14ac:dyDescent="0.2">
      <c r="D309" s="203"/>
      <c r="E309" s="203"/>
      <c r="F309" s="203"/>
      <c r="G309" s="203"/>
      <c r="H309" s="203"/>
      <c r="I309" s="203"/>
      <c r="J309" s="203"/>
      <c r="K309" s="203"/>
      <c r="L309" s="203"/>
      <c r="M309" s="203"/>
      <c r="N309" s="203"/>
      <c r="O309" s="203"/>
      <c r="P309" s="203"/>
      <c r="Q309" s="203"/>
      <c r="R309" s="203"/>
      <c r="S309" s="203"/>
      <c r="T309" s="203"/>
      <c r="U309" s="203"/>
      <c r="V309" s="203"/>
      <c r="W309" s="203"/>
      <c r="X309" s="203"/>
      <c r="Y309" s="203"/>
      <c r="Z309" s="203"/>
      <c r="AA309" s="203"/>
      <c r="AB309" s="203"/>
      <c r="AC309" s="203"/>
      <c r="AD309" s="203"/>
      <c r="AE309" s="203"/>
      <c r="AF309" s="203"/>
      <c r="AG309" s="203"/>
      <c r="AH309" s="203"/>
      <c r="AI309" s="203"/>
      <c r="AJ309" s="203"/>
      <c r="AK309" s="203"/>
      <c r="AL309" s="203"/>
      <c r="AM309" s="203"/>
      <c r="AN309" s="203"/>
      <c r="AO309" s="203"/>
      <c r="AP309" s="203"/>
      <c r="AQ309" s="203"/>
      <c r="AR309" s="203"/>
      <c r="AS309" s="203"/>
      <c r="AT309" s="203"/>
    </row>
    <row r="310" spans="4:46" s="155" customFormat="1" ht="11.25" x14ac:dyDescent="0.2">
      <c r="D310" s="203"/>
      <c r="E310" s="203"/>
      <c r="F310" s="203"/>
      <c r="G310" s="203"/>
      <c r="H310" s="203"/>
      <c r="I310" s="203"/>
      <c r="J310" s="203"/>
      <c r="K310" s="203"/>
      <c r="L310" s="203"/>
      <c r="M310" s="203"/>
      <c r="N310" s="203"/>
      <c r="O310" s="203"/>
      <c r="P310" s="203"/>
      <c r="Q310" s="203"/>
      <c r="R310" s="203"/>
      <c r="S310" s="203"/>
      <c r="T310" s="203"/>
      <c r="U310" s="203"/>
      <c r="V310" s="203"/>
      <c r="W310" s="203"/>
      <c r="X310" s="203"/>
      <c r="Y310" s="203"/>
      <c r="Z310" s="203"/>
      <c r="AA310" s="203"/>
      <c r="AB310" s="203"/>
      <c r="AC310" s="203"/>
      <c r="AD310" s="203"/>
      <c r="AE310" s="203"/>
      <c r="AF310" s="203"/>
      <c r="AG310" s="203"/>
      <c r="AH310" s="203"/>
      <c r="AI310" s="203"/>
      <c r="AJ310" s="203"/>
      <c r="AK310" s="203"/>
      <c r="AL310" s="203"/>
      <c r="AM310" s="203"/>
      <c r="AN310" s="203"/>
      <c r="AO310" s="203"/>
      <c r="AP310" s="203"/>
      <c r="AQ310" s="203"/>
      <c r="AR310" s="203"/>
      <c r="AS310" s="203"/>
      <c r="AT310" s="203"/>
    </row>
    <row r="311" spans="4:46" s="155" customFormat="1" ht="11.25" x14ac:dyDescent="0.2">
      <c r="D311" s="203"/>
      <c r="E311" s="203"/>
      <c r="F311" s="203"/>
      <c r="G311" s="203"/>
      <c r="H311" s="203"/>
      <c r="I311" s="203"/>
      <c r="J311" s="203"/>
      <c r="K311" s="203"/>
      <c r="L311" s="203"/>
      <c r="M311" s="203"/>
      <c r="N311" s="203"/>
      <c r="O311" s="203"/>
      <c r="P311" s="203"/>
      <c r="Q311" s="203"/>
      <c r="R311" s="203"/>
      <c r="S311" s="203"/>
      <c r="T311" s="203"/>
      <c r="U311" s="203"/>
      <c r="V311" s="203"/>
      <c r="W311" s="203"/>
      <c r="X311" s="203"/>
      <c r="Y311" s="203"/>
      <c r="Z311" s="203"/>
      <c r="AA311" s="203"/>
      <c r="AB311" s="203"/>
      <c r="AC311" s="203"/>
      <c r="AD311" s="203"/>
      <c r="AE311" s="203"/>
      <c r="AF311" s="203"/>
      <c r="AG311" s="203"/>
      <c r="AH311" s="203"/>
      <c r="AI311" s="203"/>
      <c r="AJ311" s="203"/>
      <c r="AK311" s="203"/>
      <c r="AL311" s="203"/>
      <c r="AM311" s="203"/>
      <c r="AN311" s="203"/>
      <c r="AO311" s="203"/>
      <c r="AP311" s="203"/>
      <c r="AQ311" s="203"/>
      <c r="AR311" s="203"/>
      <c r="AS311" s="203"/>
      <c r="AT311" s="203"/>
    </row>
    <row r="312" spans="4:46" s="155" customFormat="1" ht="11.25" x14ac:dyDescent="0.2">
      <c r="D312" s="203"/>
      <c r="E312" s="203"/>
      <c r="F312" s="203"/>
      <c r="G312" s="203"/>
      <c r="H312" s="203"/>
      <c r="I312" s="203"/>
      <c r="J312" s="203"/>
      <c r="K312" s="203"/>
      <c r="L312" s="203"/>
      <c r="M312" s="203"/>
      <c r="N312" s="203"/>
      <c r="O312" s="203"/>
      <c r="P312" s="203"/>
      <c r="Q312" s="203"/>
      <c r="R312" s="203"/>
      <c r="S312" s="203"/>
      <c r="T312" s="203"/>
      <c r="U312" s="203"/>
      <c r="V312" s="203"/>
      <c r="W312" s="203"/>
      <c r="X312" s="203"/>
      <c r="Y312" s="203"/>
      <c r="Z312" s="203"/>
      <c r="AA312" s="203"/>
      <c r="AB312" s="203"/>
      <c r="AC312" s="203"/>
      <c r="AD312" s="203"/>
      <c r="AE312" s="203"/>
      <c r="AF312" s="203"/>
      <c r="AG312" s="203"/>
      <c r="AH312" s="203"/>
      <c r="AI312" s="203"/>
      <c r="AJ312" s="203"/>
      <c r="AK312" s="203"/>
      <c r="AL312" s="203"/>
      <c r="AM312" s="203"/>
      <c r="AN312" s="203"/>
      <c r="AO312" s="203"/>
      <c r="AP312" s="203"/>
      <c r="AQ312" s="203"/>
      <c r="AR312" s="203"/>
      <c r="AS312" s="203"/>
      <c r="AT312" s="203"/>
    </row>
    <row r="313" spans="4:46" s="155" customFormat="1" ht="11.25" x14ac:dyDescent="0.2">
      <c r="D313" s="203"/>
      <c r="E313" s="203"/>
      <c r="F313" s="203"/>
      <c r="G313" s="203"/>
      <c r="H313" s="203"/>
      <c r="I313" s="203"/>
      <c r="J313" s="203"/>
      <c r="K313" s="203"/>
      <c r="L313" s="203"/>
      <c r="M313" s="203"/>
      <c r="N313" s="203"/>
      <c r="O313" s="203"/>
      <c r="P313" s="203"/>
      <c r="Q313" s="203"/>
      <c r="R313" s="203"/>
      <c r="S313" s="203"/>
      <c r="T313" s="203"/>
      <c r="U313" s="203"/>
      <c r="V313" s="203"/>
      <c r="W313" s="203"/>
      <c r="X313" s="203"/>
      <c r="Y313" s="203"/>
      <c r="Z313" s="203"/>
      <c r="AA313" s="203"/>
      <c r="AB313" s="203"/>
      <c r="AC313" s="203"/>
      <c r="AD313" s="203"/>
      <c r="AE313" s="203"/>
      <c r="AF313" s="203"/>
      <c r="AG313" s="203"/>
      <c r="AH313" s="203"/>
      <c r="AI313" s="203"/>
      <c r="AJ313" s="203"/>
      <c r="AK313" s="203"/>
      <c r="AL313" s="203"/>
      <c r="AM313" s="203"/>
      <c r="AN313" s="203"/>
      <c r="AO313" s="203"/>
      <c r="AP313" s="203"/>
      <c r="AQ313" s="203"/>
      <c r="AR313" s="203"/>
      <c r="AS313" s="203"/>
      <c r="AT313" s="203"/>
    </row>
    <row r="314" spans="4:46" s="155" customFormat="1" ht="11.25" x14ac:dyDescent="0.2">
      <c r="D314" s="203"/>
      <c r="E314" s="203"/>
      <c r="F314" s="203"/>
      <c r="G314" s="203"/>
      <c r="H314" s="203"/>
      <c r="I314" s="203"/>
      <c r="J314" s="203"/>
      <c r="K314" s="203"/>
      <c r="L314" s="203"/>
      <c r="M314" s="203"/>
      <c r="N314" s="203"/>
      <c r="O314" s="203"/>
      <c r="P314" s="203"/>
      <c r="Q314" s="203"/>
      <c r="R314" s="203"/>
      <c r="S314" s="203"/>
      <c r="T314" s="203"/>
      <c r="U314" s="203"/>
      <c r="V314" s="203"/>
      <c r="W314" s="203"/>
      <c r="X314" s="203"/>
      <c r="Y314" s="203"/>
      <c r="Z314" s="203"/>
      <c r="AA314" s="203"/>
      <c r="AB314" s="203"/>
      <c r="AC314" s="203"/>
      <c r="AD314" s="203"/>
      <c r="AE314" s="203"/>
      <c r="AF314" s="203"/>
      <c r="AG314" s="203"/>
      <c r="AH314" s="203"/>
      <c r="AI314" s="203"/>
      <c r="AJ314" s="203"/>
      <c r="AK314" s="203"/>
      <c r="AL314" s="203"/>
      <c r="AM314" s="203"/>
      <c r="AN314" s="203"/>
      <c r="AO314" s="203"/>
      <c r="AP314" s="203"/>
      <c r="AQ314" s="203"/>
      <c r="AR314" s="203"/>
      <c r="AS314" s="203"/>
      <c r="AT314" s="203"/>
    </row>
    <row r="315" spans="4:46" s="155" customFormat="1" ht="11.25" x14ac:dyDescent="0.2">
      <c r="D315" s="203"/>
      <c r="E315" s="203"/>
      <c r="F315" s="203"/>
      <c r="G315" s="203"/>
      <c r="H315" s="203"/>
      <c r="I315" s="203"/>
      <c r="J315" s="203"/>
      <c r="K315" s="203"/>
      <c r="L315" s="203"/>
      <c r="M315" s="203"/>
      <c r="N315" s="203"/>
      <c r="O315" s="203"/>
      <c r="P315" s="203"/>
      <c r="Q315" s="203"/>
      <c r="R315" s="203"/>
      <c r="S315" s="203"/>
      <c r="T315" s="203"/>
      <c r="U315" s="203"/>
      <c r="V315" s="203"/>
      <c r="W315" s="203"/>
      <c r="X315" s="203"/>
      <c r="Y315" s="203"/>
      <c r="Z315" s="203"/>
      <c r="AA315" s="203"/>
      <c r="AB315" s="203"/>
      <c r="AC315" s="203"/>
      <c r="AD315" s="203"/>
      <c r="AE315" s="203"/>
      <c r="AF315" s="203"/>
      <c r="AG315" s="203"/>
      <c r="AH315" s="203"/>
      <c r="AI315" s="203"/>
      <c r="AJ315" s="203"/>
      <c r="AK315" s="203"/>
      <c r="AL315" s="203"/>
      <c r="AM315" s="203"/>
      <c r="AN315" s="203"/>
      <c r="AO315" s="203"/>
      <c r="AP315" s="203"/>
      <c r="AQ315" s="203"/>
      <c r="AR315" s="203"/>
      <c r="AS315" s="203"/>
      <c r="AT315" s="203"/>
    </row>
    <row r="316" spans="4:46" x14ac:dyDescent="0.2">
      <c r="D316" s="90"/>
      <c r="E316" s="90"/>
      <c r="F316" s="90"/>
      <c r="G316" s="90"/>
      <c r="H316" s="90"/>
      <c r="I316" s="90"/>
      <c r="J316" s="90"/>
      <c r="K316" s="90"/>
      <c r="L316" s="90"/>
      <c r="M316" s="90"/>
      <c r="N316" s="90"/>
      <c r="O316" s="90"/>
      <c r="P316" s="90"/>
      <c r="Q316" s="90"/>
      <c r="R316" s="90"/>
      <c r="S316" s="90"/>
      <c r="T316" s="90"/>
      <c r="U316" s="90"/>
      <c r="V316" s="90"/>
      <c r="W316" s="90"/>
      <c r="X316" s="90"/>
      <c r="Y316" s="90"/>
      <c r="Z316" s="90"/>
      <c r="AA316" s="90"/>
      <c r="AB316" s="90"/>
      <c r="AC316" s="90"/>
      <c r="AD316" s="90"/>
      <c r="AE316" s="90"/>
      <c r="AF316" s="90"/>
      <c r="AG316" s="90"/>
      <c r="AH316" s="90"/>
      <c r="AI316" s="90"/>
      <c r="AJ316" s="90"/>
      <c r="AK316" s="90"/>
      <c r="AL316" s="90"/>
      <c r="AM316" s="90"/>
      <c r="AN316" s="90"/>
      <c r="AO316" s="90"/>
      <c r="AP316" s="90"/>
      <c r="AQ316" s="90"/>
      <c r="AR316" s="90"/>
      <c r="AS316" s="90"/>
      <c r="AT316" s="90"/>
    </row>
    <row r="317" spans="4:46" x14ac:dyDescent="0.2">
      <c r="D317" s="90"/>
      <c r="E317" s="90"/>
      <c r="F317" s="90"/>
      <c r="G317" s="90"/>
      <c r="H317" s="90"/>
      <c r="I317" s="90"/>
      <c r="J317" s="90"/>
      <c r="K317" s="90"/>
      <c r="L317" s="90"/>
      <c r="M317" s="90"/>
      <c r="N317" s="90"/>
      <c r="O317" s="90"/>
      <c r="P317" s="90"/>
      <c r="Q317" s="90"/>
      <c r="R317" s="90"/>
      <c r="S317" s="90"/>
      <c r="T317" s="90"/>
      <c r="U317" s="90"/>
      <c r="V317" s="90"/>
      <c r="W317" s="90"/>
      <c r="X317" s="90"/>
      <c r="Y317" s="90"/>
      <c r="Z317" s="90"/>
      <c r="AA317" s="90"/>
      <c r="AB317" s="90"/>
      <c r="AC317" s="90"/>
      <c r="AD317" s="90"/>
      <c r="AE317" s="90"/>
      <c r="AF317" s="90"/>
      <c r="AG317" s="90"/>
      <c r="AH317" s="90"/>
      <c r="AI317" s="90"/>
      <c r="AJ317" s="90"/>
      <c r="AK317" s="90"/>
      <c r="AL317" s="90"/>
      <c r="AM317" s="90"/>
      <c r="AN317" s="90"/>
      <c r="AO317" s="90"/>
      <c r="AP317" s="90"/>
      <c r="AQ317" s="90"/>
      <c r="AR317" s="90"/>
      <c r="AS317" s="90"/>
      <c r="AT317" s="90"/>
    </row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E64" sqref="E64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966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1533580376</v>
      </c>
      <c r="E14" s="432">
        <f>SUM(E15,E16,E33,E54)</f>
        <v>1007598873</v>
      </c>
      <c r="F14" s="432">
        <f t="shared" ref="F14:O14" si="0">SUM(F15,F16,F33,F54)</f>
        <v>465030478</v>
      </c>
      <c r="G14" s="432">
        <f t="shared" si="0"/>
        <v>162321975</v>
      </c>
      <c r="H14" s="432">
        <f t="shared" si="0"/>
        <v>29877076</v>
      </c>
      <c r="I14" s="432">
        <f t="shared" si="0"/>
        <v>164248738</v>
      </c>
      <c r="J14" s="432">
        <f t="shared" si="0"/>
        <v>14886000</v>
      </c>
      <c r="K14" s="432">
        <f t="shared" si="0"/>
        <v>18814270</v>
      </c>
      <c r="L14" s="432">
        <f t="shared" si="0"/>
        <v>0</v>
      </c>
      <c r="M14" s="432">
        <f t="shared" si="0"/>
        <v>126258188</v>
      </c>
      <c r="N14" s="432">
        <f t="shared" si="0"/>
        <v>122789023</v>
      </c>
      <c r="O14" s="432">
        <f t="shared" si="0"/>
        <v>49108208</v>
      </c>
      <c r="P14" s="432">
        <f>IF(SUM(Q14:AB14)=SUM(AC14:AM14),SUM(Q14:AB14),"  EROARE ART/CAP")</f>
        <v>1481288808</v>
      </c>
      <c r="Q14" s="432">
        <f t="shared" ref="Q14:AM14" si="1">Q15+Q16+Q33+Q54</f>
        <v>218544866</v>
      </c>
      <c r="R14" s="432">
        <f t="shared" si="1"/>
        <v>401835562</v>
      </c>
      <c r="S14" s="432">
        <f t="shared" si="1"/>
        <v>30378160</v>
      </c>
      <c r="T14" s="432">
        <f t="shared" si="1"/>
        <v>2139787</v>
      </c>
      <c r="U14" s="432">
        <f t="shared" si="1"/>
        <v>60647092</v>
      </c>
      <c r="V14" s="432">
        <f t="shared" si="1"/>
        <v>56322185</v>
      </c>
      <c r="W14" s="432">
        <f t="shared" si="1"/>
        <v>297030914</v>
      </c>
      <c r="X14" s="432">
        <f t="shared" si="1"/>
        <v>56443527</v>
      </c>
      <c r="Y14" s="432">
        <f t="shared" si="1"/>
        <v>22079464</v>
      </c>
      <c r="Z14" s="432">
        <f t="shared" si="1"/>
        <v>304795774</v>
      </c>
      <c r="AA14" s="432">
        <f t="shared" si="1"/>
        <v>32707419</v>
      </c>
      <c r="AB14" s="432">
        <f t="shared" si="1"/>
        <v>-1635942</v>
      </c>
      <c r="AC14" s="432">
        <f t="shared" si="1"/>
        <v>276924844</v>
      </c>
      <c r="AD14" s="432">
        <f t="shared" si="1"/>
        <v>17110176</v>
      </c>
      <c r="AE14" s="432">
        <f t="shared" si="1"/>
        <v>261122165</v>
      </c>
      <c r="AF14" s="432">
        <f t="shared" si="1"/>
        <v>88944818</v>
      </c>
      <c r="AG14" s="432">
        <f t="shared" si="1"/>
        <v>138321117</v>
      </c>
      <c r="AH14" s="432">
        <f t="shared" si="1"/>
        <v>132353913</v>
      </c>
      <c r="AI14" s="432">
        <f t="shared" si="1"/>
        <v>187106763</v>
      </c>
      <c r="AJ14" s="432">
        <f t="shared" si="1"/>
        <v>99020310</v>
      </c>
      <c r="AK14" s="432">
        <f t="shared" si="1"/>
        <v>4485994</v>
      </c>
      <c r="AL14" s="432">
        <f t="shared" si="1"/>
        <v>269746396</v>
      </c>
      <c r="AM14" s="432">
        <f t="shared" si="1"/>
        <v>6152312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251999857</v>
      </c>
      <c r="E15" s="626">
        <v>140143814</v>
      </c>
      <c r="F15" s="626">
        <v>98709292</v>
      </c>
      <c r="G15" s="626">
        <v>39097978</v>
      </c>
      <c r="H15" s="626">
        <v>29877076</v>
      </c>
      <c r="I15" s="626"/>
      <c r="J15" s="626">
        <v>2004000</v>
      </c>
      <c r="K15" s="626">
        <v>2924000</v>
      </c>
      <c r="L15" s="626"/>
      <c r="M15" s="626">
        <v>44261244</v>
      </c>
      <c r="N15" s="626">
        <v>32789723</v>
      </c>
      <c r="O15" s="626"/>
      <c r="P15" s="627">
        <f>IF(SUM(Q15:AB15)=SUM(AC15:AM15),SUM(Q15:AB15),"  EROARE ART/CAP")</f>
        <v>278639310</v>
      </c>
      <c r="Q15" s="628">
        <v>26021529</v>
      </c>
      <c r="R15" s="626">
        <v>23347235</v>
      </c>
      <c r="S15" s="626">
        <v>2091652</v>
      </c>
      <c r="T15" s="626"/>
      <c r="U15" s="626">
        <v>27035996</v>
      </c>
      <c r="V15" s="626">
        <v>38401793</v>
      </c>
      <c r="W15" s="626">
        <v>85541720</v>
      </c>
      <c r="X15" s="629">
        <v>41146438</v>
      </c>
      <c r="Y15" s="626">
        <v>2997672</v>
      </c>
      <c r="Z15" s="630">
        <v>28469661</v>
      </c>
      <c r="AA15" s="630">
        <v>3600000</v>
      </c>
      <c r="AB15" s="630">
        <v>-14386</v>
      </c>
      <c r="AC15" s="631">
        <v>97061853</v>
      </c>
      <c r="AD15" s="632">
        <v>893065</v>
      </c>
      <c r="AE15" s="633">
        <v>10995147</v>
      </c>
      <c r="AF15" s="633">
        <v>84962589</v>
      </c>
      <c r="AG15" s="633">
        <v>3553194</v>
      </c>
      <c r="AH15" s="633">
        <v>63344165</v>
      </c>
      <c r="AI15" s="633"/>
      <c r="AJ15" s="633"/>
      <c r="AK15" s="633"/>
      <c r="AL15" s="633">
        <v>15548040</v>
      </c>
      <c r="AM15" s="633">
        <v>2281257</v>
      </c>
    </row>
    <row r="16" spans="1:39" s="155" customFormat="1" ht="12" x14ac:dyDescent="0.2">
      <c r="A16" s="156" t="s">
        <v>72</v>
      </c>
      <c r="B16" s="157"/>
      <c r="C16" s="159"/>
      <c r="D16" s="432">
        <f>E16+SUM(H16:O16)</f>
        <v>0</v>
      </c>
      <c r="E16" s="433">
        <f>SUM(E18:E32)</f>
        <v>0</v>
      </c>
      <c r="F16" s="433">
        <f t="shared" ref="F16:O16" si="2">SUM(F18:F32)</f>
        <v>0</v>
      </c>
      <c r="G16" s="433">
        <f t="shared" si="2"/>
        <v>0</v>
      </c>
      <c r="H16" s="433">
        <f t="shared" si="2"/>
        <v>0</v>
      </c>
      <c r="I16" s="433">
        <f t="shared" si="2"/>
        <v>0</v>
      </c>
      <c r="J16" s="433">
        <f t="shared" si="2"/>
        <v>0</v>
      </c>
      <c r="K16" s="433">
        <f t="shared" si="2"/>
        <v>0</v>
      </c>
      <c r="L16" s="433">
        <f t="shared" si="2"/>
        <v>0</v>
      </c>
      <c r="M16" s="433">
        <f t="shared" si="2"/>
        <v>0</v>
      </c>
      <c r="N16" s="433">
        <f t="shared" si="2"/>
        <v>0</v>
      </c>
      <c r="O16" s="433">
        <f t="shared" si="2"/>
        <v>0</v>
      </c>
      <c r="P16" s="432">
        <f t="shared" ref="P16:P54" si="3">IF(SUM(Q16:AB16)=SUM(AC16:AM16),SUM(Q16:AB16),"  EROARE ART/CAP")</f>
        <v>0</v>
      </c>
      <c r="Q16" s="432">
        <f>SUM(Q18:Q32)</f>
        <v>0</v>
      </c>
      <c r="R16" s="432">
        <f t="shared" ref="R16:AM16" si="4">SUM(R18:R32)</f>
        <v>0</v>
      </c>
      <c r="S16" s="432">
        <f t="shared" si="4"/>
        <v>0</v>
      </c>
      <c r="T16" s="432">
        <f t="shared" si="4"/>
        <v>0</v>
      </c>
      <c r="U16" s="432">
        <f t="shared" si="4"/>
        <v>0</v>
      </c>
      <c r="V16" s="432">
        <f t="shared" si="4"/>
        <v>0</v>
      </c>
      <c r="W16" s="432">
        <f t="shared" si="4"/>
        <v>0</v>
      </c>
      <c r="X16" s="432">
        <f t="shared" si="4"/>
        <v>0</v>
      </c>
      <c r="Y16" s="432">
        <f t="shared" si="4"/>
        <v>0</v>
      </c>
      <c r="Z16" s="432">
        <f t="shared" si="4"/>
        <v>0</v>
      </c>
      <c r="AA16" s="432">
        <f t="shared" si="4"/>
        <v>0</v>
      </c>
      <c r="AB16" s="432">
        <f t="shared" si="4"/>
        <v>0</v>
      </c>
      <c r="AC16" s="432">
        <f t="shared" si="4"/>
        <v>0</v>
      </c>
      <c r="AD16" s="432">
        <f t="shared" si="4"/>
        <v>0</v>
      </c>
      <c r="AE16" s="432">
        <f t="shared" si="4"/>
        <v>0</v>
      </c>
      <c r="AF16" s="432">
        <f t="shared" si="4"/>
        <v>0</v>
      </c>
      <c r="AG16" s="432">
        <f t="shared" si="4"/>
        <v>0</v>
      </c>
      <c r="AH16" s="432">
        <f t="shared" si="4"/>
        <v>0</v>
      </c>
      <c r="AI16" s="432">
        <f t="shared" si="4"/>
        <v>0</v>
      </c>
      <c r="AJ16" s="432">
        <f t="shared" si="4"/>
        <v>0</v>
      </c>
      <c r="AK16" s="432">
        <f t="shared" si="4"/>
        <v>0</v>
      </c>
      <c r="AL16" s="432">
        <f t="shared" si="4"/>
        <v>0</v>
      </c>
      <c r="AM16" s="432">
        <f t="shared" si="4"/>
        <v>0</v>
      </c>
    </row>
    <row r="17" spans="1:39" s="155" customFormat="1" ht="22.5" hidden="1" x14ac:dyDescent="0.2">
      <c r="A17" s="277" t="s">
        <v>2306</v>
      </c>
      <c r="B17" s="279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hidden="1" x14ac:dyDescent="0.2">
      <c r="A18" s="146">
        <v>1</v>
      </c>
      <c r="B18" s="146"/>
      <c r="C18" s="173"/>
      <c r="D18" s="432">
        <f t="shared" ref="D18:D33" si="5">E18+SUM(H18:O18)</f>
        <v>0</v>
      </c>
      <c r="E18" s="434"/>
      <c r="F18" s="434"/>
      <c r="G18" s="434"/>
      <c r="H18" s="434"/>
      <c r="I18" s="434"/>
      <c r="J18" s="434"/>
      <c r="K18" s="434"/>
      <c r="L18" s="434"/>
      <c r="M18" s="434"/>
      <c r="N18" s="434"/>
      <c r="O18" s="434"/>
      <c r="P18" s="432">
        <f t="shared" si="3"/>
        <v>0</v>
      </c>
      <c r="Q18" s="435"/>
      <c r="R18" s="435"/>
      <c r="S18" s="435"/>
      <c r="T18" s="435"/>
      <c r="U18" s="435"/>
      <c r="V18" s="431"/>
      <c r="W18" s="431"/>
      <c r="X18" s="431"/>
      <c r="Y18" s="431"/>
      <c r="Z18" s="431"/>
      <c r="AA18" s="431"/>
      <c r="AB18" s="431"/>
      <c r="AC18" s="434"/>
      <c r="AD18" s="434"/>
      <c r="AE18" s="434"/>
      <c r="AF18" s="434"/>
      <c r="AG18" s="434"/>
      <c r="AH18" s="434"/>
      <c r="AI18" s="434"/>
      <c r="AJ18" s="434"/>
      <c r="AK18" s="434"/>
      <c r="AL18" s="434"/>
      <c r="AM18" s="434"/>
    </row>
    <row r="19" spans="1:39" s="155" customFormat="1" ht="12" hidden="1" x14ac:dyDescent="0.2">
      <c r="A19" s="146">
        <v>2</v>
      </c>
      <c r="B19" s="146"/>
      <c r="C19" s="244"/>
      <c r="D19" s="432">
        <f t="shared" si="5"/>
        <v>0</v>
      </c>
      <c r="E19" s="434"/>
      <c r="F19" s="434"/>
      <c r="G19" s="434"/>
      <c r="H19" s="434"/>
      <c r="I19" s="434"/>
      <c r="J19" s="434"/>
      <c r="K19" s="434"/>
      <c r="L19" s="434"/>
      <c r="M19" s="434"/>
      <c r="N19" s="434"/>
      <c r="O19" s="434"/>
      <c r="P19" s="432">
        <f t="shared" si="3"/>
        <v>0</v>
      </c>
      <c r="Q19" s="435"/>
      <c r="R19" s="435"/>
      <c r="S19" s="435"/>
      <c r="T19" s="435"/>
      <c r="U19" s="435"/>
      <c r="V19" s="431"/>
      <c r="W19" s="431"/>
      <c r="X19" s="431"/>
      <c r="Y19" s="431"/>
      <c r="Z19" s="431"/>
      <c r="AA19" s="431"/>
      <c r="AB19" s="431"/>
      <c r="AC19" s="434"/>
      <c r="AD19" s="434"/>
      <c r="AE19" s="434"/>
      <c r="AF19" s="434"/>
      <c r="AG19" s="434"/>
      <c r="AH19" s="434"/>
      <c r="AI19" s="434"/>
      <c r="AJ19" s="434"/>
      <c r="AK19" s="434"/>
      <c r="AL19" s="434"/>
      <c r="AM19" s="434"/>
    </row>
    <row r="20" spans="1:39" s="155" customFormat="1" ht="12" hidden="1" x14ac:dyDescent="0.2">
      <c r="A20" s="146">
        <v>3</v>
      </c>
      <c r="B20" s="146"/>
      <c r="C20" s="206"/>
      <c r="D20" s="432">
        <f t="shared" si="5"/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2">
        <f t="shared" si="3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</row>
    <row r="21" spans="1:39" s="155" customFormat="1" ht="12" hidden="1" x14ac:dyDescent="0.2">
      <c r="A21" s="146">
        <v>4</v>
      </c>
      <c r="B21" s="146"/>
      <c r="C21" s="206"/>
      <c r="D21" s="432">
        <f t="shared" si="5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3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146">
        <v>5</v>
      </c>
      <c r="B22" s="146"/>
      <c r="C22" s="206"/>
      <c r="D22" s="432">
        <f t="shared" si="5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3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146"/>
      <c r="C23" s="206"/>
      <c r="D23" s="432">
        <f t="shared" si="5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3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46"/>
      <c r="C24" s="206"/>
      <c r="D24" s="432">
        <f t="shared" si="5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3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46"/>
      <c r="C25" s="206"/>
      <c r="D25" s="432">
        <f t="shared" si="5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3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46"/>
      <c r="C26" s="206"/>
      <c r="D26" s="432">
        <f t="shared" si="5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3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46"/>
      <c r="C27" s="206"/>
      <c r="D27" s="432">
        <f t="shared" si="5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3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46"/>
      <c r="C28" s="206"/>
      <c r="D28" s="432">
        <f t="shared" si="5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3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46"/>
      <c r="C29" s="206"/>
      <c r="D29" s="432">
        <f t="shared" si="5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3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46"/>
      <c r="C30" s="206"/>
      <c r="D30" s="432">
        <f t="shared" si="5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3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46"/>
      <c r="C31" s="206"/>
      <c r="D31" s="432">
        <f t="shared" si="5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3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46"/>
      <c r="C32" s="207"/>
      <c r="D32" s="432">
        <f t="shared" si="5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3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4"/>
      <c r="C33" s="208"/>
      <c r="D33" s="432">
        <f t="shared" si="5"/>
        <v>694700750</v>
      </c>
      <c r="E33" s="432">
        <f>SUM(E34:E53)</f>
        <v>509421652</v>
      </c>
      <c r="F33" s="432">
        <f t="shared" ref="F33:O33" si="6">SUM(F34:F53)</f>
        <v>229899629</v>
      </c>
      <c r="G33" s="432">
        <f t="shared" si="6"/>
        <v>40442285</v>
      </c>
      <c r="H33" s="432">
        <f t="shared" si="6"/>
        <v>0</v>
      </c>
      <c r="I33" s="432">
        <f t="shared" si="6"/>
        <v>64733533</v>
      </c>
      <c r="J33" s="432">
        <f t="shared" si="6"/>
        <v>0</v>
      </c>
      <c r="K33" s="432">
        <f t="shared" si="6"/>
        <v>2836150</v>
      </c>
      <c r="L33" s="432">
        <f t="shared" si="6"/>
        <v>0</v>
      </c>
      <c r="M33" s="432">
        <f t="shared" si="6"/>
        <v>41152935</v>
      </c>
      <c r="N33" s="432">
        <f t="shared" si="6"/>
        <v>59046407</v>
      </c>
      <c r="O33" s="432">
        <f t="shared" si="6"/>
        <v>17510073</v>
      </c>
      <c r="P33" s="432">
        <f t="shared" si="3"/>
        <v>672155950</v>
      </c>
      <c r="Q33" s="432">
        <f>SUM(Q34:Q53)</f>
        <v>78019488</v>
      </c>
      <c r="R33" s="432">
        <f t="shared" ref="R33:AM33" si="7">SUM(R34:R53)</f>
        <v>188128155</v>
      </c>
      <c r="S33" s="432">
        <f t="shared" si="7"/>
        <v>21854546</v>
      </c>
      <c r="T33" s="432">
        <f t="shared" si="7"/>
        <v>1726467</v>
      </c>
      <c r="U33" s="432">
        <f t="shared" si="7"/>
        <v>32317696</v>
      </c>
      <c r="V33" s="432">
        <f t="shared" si="7"/>
        <v>12756106</v>
      </c>
      <c r="W33" s="432">
        <f t="shared" si="7"/>
        <v>163483429</v>
      </c>
      <c r="X33" s="432">
        <f t="shared" si="7"/>
        <v>6048622</v>
      </c>
      <c r="Y33" s="432">
        <f t="shared" si="7"/>
        <v>3821397</v>
      </c>
      <c r="Z33" s="432">
        <f t="shared" si="7"/>
        <v>146807840</v>
      </c>
      <c r="AA33" s="432">
        <f t="shared" si="7"/>
        <v>17558702</v>
      </c>
      <c r="AB33" s="432">
        <f t="shared" si="7"/>
        <v>-366498</v>
      </c>
      <c r="AC33" s="432">
        <f t="shared" si="7"/>
        <v>88185747</v>
      </c>
      <c r="AD33" s="432">
        <f t="shared" si="7"/>
        <v>9236630</v>
      </c>
      <c r="AE33" s="432">
        <f t="shared" si="7"/>
        <v>101584220</v>
      </c>
      <c r="AF33" s="432">
        <f t="shared" si="7"/>
        <v>979944</v>
      </c>
      <c r="AG33" s="432">
        <f t="shared" si="7"/>
        <v>78231553</v>
      </c>
      <c r="AH33" s="432">
        <f t="shared" si="7"/>
        <v>36016147</v>
      </c>
      <c r="AI33" s="432">
        <f t="shared" si="7"/>
        <v>131520669</v>
      </c>
      <c r="AJ33" s="432">
        <f t="shared" si="7"/>
        <v>58708178</v>
      </c>
      <c r="AK33" s="432">
        <f t="shared" si="7"/>
        <v>4485994</v>
      </c>
      <c r="AL33" s="432">
        <f t="shared" si="7"/>
        <v>161083521</v>
      </c>
      <c r="AM33" s="432">
        <f t="shared" si="7"/>
        <v>2123347</v>
      </c>
    </row>
    <row r="34" spans="1:39" s="155" customFormat="1" ht="12" x14ac:dyDescent="0.2">
      <c r="A34" s="146">
        <v>1</v>
      </c>
      <c r="B34" s="619">
        <v>179221</v>
      </c>
      <c r="C34" s="620" t="s">
        <v>3309</v>
      </c>
      <c r="D34" s="634">
        <f t="shared" ref="D34:D41" si="8">E34+SUM(H34:O34)</f>
        <v>61045577</v>
      </c>
      <c r="E34" s="635">
        <v>29363385</v>
      </c>
      <c r="F34" s="635">
        <v>7985227</v>
      </c>
      <c r="G34" s="635">
        <v>4334506</v>
      </c>
      <c r="H34" s="635"/>
      <c r="I34" s="635">
        <v>3377470</v>
      </c>
      <c r="J34" s="635"/>
      <c r="K34" s="635">
        <v>469000</v>
      </c>
      <c r="L34" s="635"/>
      <c r="M34" s="635">
        <v>7194286</v>
      </c>
      <c r="N34" s="635">
        <v>13702304</v>
      </c>
      <c r="O34" s="635">
        <v>6939132</v>
      </c>
      <c r="P34" s="636">
        <f t="shared" ref="P34:P41" si="9">IF(SUM(Q34:AB34)=SUM(AC34:AM34),SUM(Q34:AB34),"  EROARE ART/CAP")</f>
        <v>61650635</v>
      </c>
      <c r="Q34" s="635">
        <v>5439634</v>
      </c>
      <c r="R34" s="635">
        <v>22302579</v>
      </c>
      <c r="S34" s="635"/>
      <c r="T34" s="635"/>
      <c r="U34" s="635"/>
      <c r="V34" s="630"/>
      <c r="W34" s="630">
        <v>28535968</v>
      </c>
      <c r="X34" s="630">
        <v>986005</v>
      </c>
      <c r="Y34" s="630">
        <v>5000</v>
      </c>
      <c r="Z34" s="630">
        <v>4381449</v>
      </c>
      <c r="AA34" s="630"/>
      <c r="AB34" s="630"/>
      <c r="AC34" s="631">
        <v>6918401</v>
      </c>
      <c r="AD34" s="632">
        <v>1699513</v>
      </c>
      <c r="AE34" s="637">
        <v>4386141</v>
      </c>
      <c r="AF34" s="637">
        <v>3019</v>
      </c>
      <c r="AG34" s="637">
        <v>3407247</v>
      </c>
      <c r="AH34" s="637">
        <v>1807638</v>
      </c>
      <c r="AI34" s="637">
        <v>10742264</v>
      </c>
      <c r="AJ34" s="637">
        <v>3066311</v>
      </c>
      <c r="AK34" s="637"/>
      <c r="AL34" s="637">
        <v>29079264</v>
      </c>
      <c r="AM34" s="637">
        <v>540837</v>
      </c>
    </row>
    <row r="35" spans="1:39" s="155" customFormat="1" ht="12" x14ac:dyDescent="0.2">
      <c r="A35" s="146">
        <v>2</v>
      </c>
      <c r="B35" s="621">
        <v>100576</v>
      </c>
      <c r="C35" s="620" t="s">
        <v>3310</v>
      </c>
      <c r="D35" s="634">
        <f t="shared" si="8"/>
        <v>101949335</v>
      </c>
      <c r="E35" s="635">
        <v>75173129</v>
      </c>
      <c r="F35" s="635">
        <v>11774881</v>
      </c>
      <c r="G35" s="635">
        <v>5760306</v>
      </c>
      <c r="H35" s="635"/>
      <c r="I35" s="635">
        <v>14737848</v>
      </c>
      <c r="J35" s="635"/>
      <c r="K35" s="635">
        <v>369000</v>
      </c>
      <c r="L35" s="635"/>
      <c r="M35" s="635">
        <v>2327860</v>
      </c>
      <c r="N35" s="635">
        <v>167148</v>
      </c>
      <c r="O35" s="635">
        <v>9174350</v>
      </c>
      <c r="P35" s="636">
        <f t="shared" si="9"/>
        <v>106062172</v>
      </c>
      <c r="Q35" s="635">
        <v>17284103</v>
      </c>
      <c r="R35" s="635">
        <v>18018698</v>
      </c>
      <c r="S35" s="635"/>
      <c r="T35" s="635">
        <v>1726467</v>
      </c>
      <c r="U35" s="635"/>
      <c r="V35" s="630">
        <v>27464</v>
      </c>
      <c r="W35" s="630">
        <v>54939755</v>
      </c>
      <c r="X35" s="630">
        <v>158448</v>
      </c>
      <c r="Y35" s="630">
        <v>1372904</v>
      </c>
      <c r="Z35" s="630">
        <v>12538717</v>
      </c>
      <c r="AA35" s="630"/>
      <c r="AB35" s="630">
        <v>-4384</v>
      </c>
      <c r="AC35" s="631">
        <v>4817832</v>
      </c>
      <c r="AD35" s="637">
        <v>1136249</v>
      </c>
      <c r="AE35" s="637">
        <v>19070756</v>
      </c>
      <c r="AF35" s="637">
        <v>186903</v>
      </c>
      <c r="AG35" s="637">
        <v>7283265</v>
      </c>
      <c r="AH35" s="637">
        <v>3254423</v>
      </c>
      <c r="AI35" s="637">
        <v>60420045</v>
      </c>
      <c r="AJ35" s="637">
        <v>6394581</v>
      </c>
      <c r="AK35" s="637"/>
      <c r="AL35" s="637">
        <v>3468725</v>
      </c>
      <c r="AM35" s="637">
        <v>29393</v>
      </c>
    </row>
    <row r="36" spans="1:39" s="155" customFormat="1" ht="12" x14ac:dyDescent="0.2">
      <c r="A36" s="146">
        <v>3</v>
      </c>
      <c r="B36" s="621">
        <v>179285</v>
      </c>
      <c r="C36" s="620" t="s">
        <v>3311</v>
      </c>
      <c r="D36" s="634">
        <f t="shared" si="8"/>
        <v>41899042</v>
      </c>
      <c r="E36" s="635">
        <v>26007398</v>
      </c>
      <c r="F36" s="635">
        <v>8089728</v>
      </c>
      <c r="G36" s="635">
        <v>5509594</v>
      </c>
      <c r="H36" s="635"/>
      <c r="I36" s="635">
        <v>5645197</v>
      </c>
      <c r="J36" s="635"/>
      <c r="K36" s="635">
        <v>628100</v>
      </c>
      <c r="L36" s="635"/>
      <c r="M36" s="635">
        <v>2901783</v>
      </c>
      <c r="N36" s="635">
        <v>5716564</v>
      </c>
      <c r="O36" s="635">
        <v>1000000</v>
      </c>
      <c r="P36" s="636">
        <f t="shared" si="9"/>
        <v>41308614</v>
      </c>
      <c r="Q36" s="635">
        <v>6698075</v>
      </c>
      <c r="R36" s="635">
        <v>14235278</v>
      </c>
      <c r="S36" s="635">
        <v>151620</v>
      </c>
      <c r="T36" s="635"/>
      <c r="U36" s="635"/>
      <c r="V36" s="630"/>
      <c r="W36" s="630">
        <v>14732434</v>
      </c>
      <c r="X36" s="630">
        <v>767227</v>
      </c>
      <c r="Y36" s="630">
        <v>125278</v>
      </c>
      <c r="Z36" s="630">
        <v>3710106</v>
      </c>
      <c r="AA36" s="630">
        <v>900000</v>
      </c>
      <c r="AB36" s="630">
        <v>-11404</v>
      </c>
      <c r="AC36" s="631">
        <v>9426518</v>
      </c>
      <c r="AD36" s="637">
        <v>768987</v>
      </c>
      <c r="AE36" s="637">
        <v>5572536</v>
      </c>
      <c r="AF36" s="637">
        <v>88756</v>
      </c>
      <c r="AG36" s="637">
        <v>2439844</v>
      </c>
      <c r="AH36" s="637">
        <v>1200827</v>
      </c>
      <c r="AI36" s="637">
        <v>2622879</v>
      </c>
      <c r="AJ36" s="637">
        <v>4872003</v>
      </c>
      <c r="AK36" s="637"/>
      <c r="AL36" s="637">
        <v>14313980</v>
      </c>
      <c r="AM36" s="637">
        <v>2284</v>
      </c>
    </row>
    <row r="37" spans="1:39" s="155" customFormat="1" ht="12" x14ac:dyDescent="0.2">
      <c r="A37" s="146">
        <v>4</v>
      </c>
      <c r="B37" s="621">
        <v>179409</v>
      </c>
      <c r="C37" s="620" t="s">
        <v>3312</v>
      </c>
      <c r="D37" s="634">
        <f t="shared" si="8"/>
        <v>31639018</v>
      </c>
      <c r="E37" s="635">
        <v>23502420</v>
      </c>
      <c r="F37" s="635">
        <v>13620142</v>
      </c>
      <c r="G37" s="635">
        <v>2162360</v>
      </c>
      <c r="H37" s="635"/>
      <c r="I37" s="635">
        <v>6436870</v>
      </c>
      <c r="J37" s="635"/>
      <c r="K37" s="635">
        <v>59000</v>
      </c>
      <c r="L37" s="635"/>
      <c r="M37" s="635">
        <v>1255847</v>
      </c>
      <c r="N37" s="635"/>
      <c r="O37" s="635">
        <v>384881</v>
      </c>
      <c r="P37" s="636">
        <f t="shared" si="9"/>
        <v>24752961</v>
      </c>
      <c r="Q37" s="635">
        <v>7003072</v>
      </c>
      <c r="R37" s="635">
        <v>8205161</v>
      </c>
      <c r="S37" s="635"/>
      <c r="T37" s="635"/>
      <c r="U37" s="635"/>
      <c r="V37" s="630">
        <v>50000</v>
      </c>
      <c r="W37" s="630"/>
      <c r="X37" s="630">
        <v>518796</v>
      </c>
      <c r="Y37" s="630">
        <v>534009</v>
      </c>
      <c r="Z37" s="630">
        <v>8445386</v>
      </c>
      <c r="AA37" s="630"/>
      <c r="AB37" s="630">
        <v>-3463</v>
      </c>
      <c r="AC37" s="631">
        <v>2776203</v>
      </c>
      <c r="AD37" s="637"/>
      <c r="AE37" s="637">
        <v>7420569</v>
      </c>
      <c r="AF37" s="637">
        <v>52255</v>
      </c>
      <c r="AG37" s="637">
        <v>895445</v>
      </c>
      <c r="AH37" s="637">
        <v>1529271</v>
      </c>
      <c r="AI37" s="637">
        <v>7927240</v>
      </c>
      <c r="AJ37" s="637">
        <v>2002494</v>
      </c>
      <c r="AK37" s="637"/>
      <c r="AL37" s="637">
        <v>2149484</v>
      </c>
      <c r="AM37" s="637"/>
    </row>
    <row r="38" spans="1:39" s="155" customFormat="1" ht="12" x14ac:dyDescent="0.2">
      <c r="A38" s="146">
        <v>5</v>
      </c>
      <c r="B38" s="621">
        <v>179481</v>
      </c>
      <c r="C38" s="622" t="s">
        <v>3313</v>
      </c>
      <c r="D38" s="634">
        <f t="shared" si="8"/>
        <v>115180496</v>
      </c>
      <c r="E38" s="635">
        <v>108162806</v>
      </c>
      <c r="F38" s="635">
        <v>63065888</v>
      </c>
      <c r="G38" s="635">
        <v>4597645</v>
      </c>
      <c r="H38" s="635"/>
      <c r="I38" s="635">
        <v>6808278</v>
      </c>
      <c r="J38" s="635"/>
      <c r="K38" s="635">
        <v>125000</v>
      </c>
      <c r="L38" s="635"/>
      <c r="M38" s="635">
        <v>72912</v>
      </c>
      <c r="N38" s="635"/>
      <c r="O38" s="635">
        <v>11500</v>
      </c>
      <c r="P38" s="636">
        <f t="shared" si="9"/>
        <v>109686399</v>
      </c>
      <c r="Q38" s="635">
        <v>7929837</v>
      </c>
      <c r="R38" s="635">
        <v>57926824</v>
      </c>
      <c r="S38" s="635">
        <v>6116780</v>
      </c>
      <c r="T38" s="635"/>
      <c r="U38" s="635"/>
      <c r="V38" s="630">
        <v>4534114</v>
      </c>
      <c r="W38" s="630">
        <v>192685</v>
      </c>
      <c r="X38" s="630">
        <v>1330391</v>
      </c>
      <c r="Y38" s="630">
        <v>59275</v>
      </c>
      <c r="Z38" s="635">
        <v>24062457</v>
      </c>
      <c r="AA38" s="630">
        <v>7843220</v>
      </c>
      <c r="AB38" s="630">
        <v>-309184</v>
      </c>
      <c r="AC38" s="631">
        <v>20660957</v>
      </c>
      <c r="AD38" s="637">
        <v>139938</v>
      </c>
      <c r="AE38" s="637">
        <v>11526697</v>
      </c>
      <c r="AF38" s="637">
        <v>322962</v>
      </c>
      <c r="AG38" s="637">
        <v>18941268</v>
      </c>
      <c r="AH38" s="637">
        <v>5388719</v>
      </c>
      <c r="AI38" s="637">
        <v>10688822</v>
      </c>
      <c r="AJ38" s="637">
        <v>16343754</v>
      </c>
      <c r="AK38" s="637">
        <v>4485994</v>
      </c>
      <c r="AL38" s="637">
        <v>21187288</v>
      </c>
      <c r="AM38" s="637"/>
    </row>
    <row r="39" spans="1:39" s="155" customFormat="1" ht="12" x14ac:dyDescent="0.2">
      <c r="A39" s="146">
        <v>6</v>
      </c>
      <c r="B39" s="621">
        <v>179515</v>
      </c>
      <c r="C39" s="620" t="s">
        <v>3314</v>
      </c>
      <c r="D39" s="634">
        <f t="shared" si="8"/>
        <v>66476899</v>
      </c>
      <c r="E39" s="635">
        <v>41010627</v>
      </c>
      <c r="F39" s="635">
        <v>16964740</v>
      </c>
      <c r="G39" s="635">
        <v>6516482</v>
      </c>
      <c r="H39" s="635"/>
      <c r="I39" s="635">
        <v>7313540</v>
      </c>
      <c r="J39" s="635"/>
      <c r="K39" s="635">
        <v>483050</v>
      </c>
      <c r="L39" s="635"/>
      <c r="M39" s="635">
        <v>7347246</v>
      </c>
      <c r="N39" s="635">
        <v>10322436</v>
      </c>
      <c r="O39" s="635"/>
      <c r="P39" s="636">
        <f t="shared" si="9"/>
        <v>69419981</v>
      </c>
      <c r="Q39" s="635">
        <v>9041236</v>
      </c>
      <c r="R39" s="635">
        <v>21331926</v>
      </c>
      <c r="S39" s="635">
        <v>522423</v>
      </c>
      <c r="T39" s="635"/>
      <c r="U39" s="635"/>
      <c r="V39" s="630">
        <v>945000</v>
      </c>
      <c r="W39" s="630">
        <v>20331945</v>
      </c>
      <c r="X39" s="630">
        <v>1681654</v>
      </c>
      <c r="Y39" s="630">
        <v>620567</v>
      </c>
      <c r="Z39" s="635">
        <v>14699047</v>
      </c>
      <c r="AA39" s="630">
        <v>282163</v>
      </c>
      <c r="AB39" s="630">
        <v>-35980</v>
      </c>
      <c r="AC39" s="631">
        <v>6763155</v>
      </c>
      <c r="AD39" s="637">
        <v>1629960</v>
      </c>
      <c r="AE39" s="637">
        <v>17547390</v>
      </c>
      <c r="AF39" s="637">
        <v>296662</v>
      </c>
      <c r="AG39" s="637">
        <v>3148789</v>
      </c>
      <c r="AH39" s="637">
        <v>2915424</v>
      </c>
      <c r="AI39" s="637">
        <v>10141061</v>
      </c>
      <c r="AJ39" s="637">
        <v>4489967</v>
      </c>
      <c r="AK39" s="637"/>
      <c r="AL39" s="637">
        <v>22487573</v>
      </c>
      <c r="AM39" s="637"/>
    </row>
    <row r="40" spans="1:39" s="155" customFormat="1" ht="12" x14ac:dyDescent="0.2">
      <c r="A40" s="146">
        <v>7</v>
      </c>
      <c r="B40" s="621">
        <v>179533</v>
      </c>
      <c r="C40" s="623" t="s">
        <v>3315</v>
      </c>
      <c r="D40" s="634">
        <f t="shared" si="8"/>
        <v>62090798</v>
      </c>
      <c r="E40" s="635">
        <v>55710070</v>
      </c>
      <c r="F40" s="635">
        <v>20681596</v>
      </c>
      <c r="G40" s="635">
        <v>5431198</v>
      </c>
      <c r="H40" s="635"/>
      <c r="I40" s="635">
        <v>5842040</v>
      </c>
      <c r="J40" s="635"/>
      <c r="K40" s="635">
        <v>536000</v>
      </c>
      <c r="L40" s="635"/>
      <c r="M40" s="635">
        <v>2688</v>
      </c>
      <c r="N40" s="635"/>
      <c r="O40" s="635"/>
      <c r="P40" s="636">
        <f t="shared" si="9"/>
        <v>46096540</v>
      </c>
      <c r="Q40" s="635">
        <v>7531333</v>
      </c>
      <c r="R40" s="635">
        <v>11878851</v>
      </c>
      <c r="S40" s="635">
        <v>444723</v>
      </c>
      <c r="T40" s="635"/>
      <c r="U40" s="635"/>
      <c r="V40" s="630"/>
      <c r="W40" s="630"/>
      <c r="X40" s="630">
        <v>606101</v>
      </c>
      <c r="Y40" s="630">
        <v>1020189</v>
      </c>
      <c r="Z40" s="635">
        <v>23284107</v>
      </c>
      <c r="AA40" s="630">
        <v>1333319</v>
      </c>
      <c r="AB40" s="630">
        <v>-2083</v>
      </c>
      <c r="AC40" s="631">
        <v>5051048</v>
      </c>
      <c r="AD40" s="637">
        <v>428307</v>
      </c>
      <c r="AE40" s="637">
        <v>6771630</v>
      </c>
      <c r="AF40" s="637">
        <v>29387</v>
      </c>
      <c r="AG40" s="637">
        <v>3846318</v>
      </c>
      <c r="AH40" s="637">
        <v>1737630</v>
      </c>
      <c r="AI40" s="637">
        <v>8664363</v>
      </c>
      <c r="AJ40" s="637">
        <v>6848497</v>
      </c>
      <c r="AK40" s="637"/>
      <c r="AL40" s="637">
        <v>12237843</v>
      </c>
      <c r="AM40" s="637">
        <v>481517</v>
      </c>
    </row>
    <row r="41" spans="1:39" s="155" customFormat="1" ht="12" x14ac:dyDescent="0.2">
      <c r="A41" s="146">
        <v>8</v>
      </c>
      <c r="B41" s="621">
        <v>179551</v>
      </c>
      <c r="C41" s="624" t="s">
        <v>3316</v>
      </c>
      <c r="D41" s="634">
        <f t="shared" si="8"/>
        <v>214419585</v>
      </c>
      <c r="E41" s="635">
        <v>150491817</v>
      </c>
      <c r="F41" s="635">
        <v>87717427</v>
      </c>
      <c r="G41" s="635">
        <v>6130194</v>
      </c>
      <c r="H41" s="635"/>
      <c r="I41" s="635">
        <v>14572290</v>
      </c>
      <c r="J41" s="635"/>
      <c r="K41" s="635">
        <v>167000</v>
      </c>
      <c r="L41" s="635"/>
      <c r="M41" s="635">
        <v>20050313</v>
      </c>
      <c r="N41" s="635">
        <v>29137955</v>
      </c>
      <c r="O41" s="635">
        <v>210</v>
      </c>
      <c r="P41" s="636">
        <f t="shared" si="9"/>
        <v>213178648</v>
      </c>
      <c r="Q41" s="635">
        <v>17092198</v>
      </c>
      <c r="R41" s="635">
        <v>34228838</v>
      </c>
      <c r="S41" s="635">
        <v>14619000</v>
      </c>
      <c r="T41" s="635"/>
      <c r="U41" s="635">
        <v>32317696</v>
      </c>
      <c r="V41" s="630">
        <v>7199528</v>
      </c>
      <c r="W41" s="630">
        <v>44750642</v>
      </c>
      <c r="X41" s="630"/>
      <c r="Y41" s="630">
        <v>84175</v>
      </c>
      <c r="Z41" s="638">
        <v>55686571</v>
      </c>
      <c r="AA41" s="630">
        <v>7200000</v>
      </c>
      <c r="AB41" s="630"/>
      <c r="AC41" s="631">
        <v>31771633</v>
      </c>
      <c r="AD41" s="637">
        <v>3433676</v>
      </c>
      <c r="AE41" s="637">
        <v>29288501</v>
      </c>
      <c r="AF41" s="637"/>
      <c r="AG41" s="637">
        <v>38269377</v>
      </c>
      <c r="AH41" s="637">
        <v>18182215</v>
      </c>
      <c r="AI41" s="637">
        <v>20313995</v>
      </c>
      <c r="AJ41" s="637">
        <v>14690571</v>
      </c>
      <c r="AK41" s="637"/>
      <c r="AL41" s="637">
        <v>56159364</v>
      </c>
      <c r="AM41" s="637">
        <v>1069316</v>
      </c>
    </row>
    <row r="42" spans="1:39" s="155" customFormat="1" ht="12" hidden="1" x14ac:dyDescent="0.2">
      <c r="A42" s="146">
        <v>9</v>
      </c>
      <c r="B42" s="146"/>
      <c r="C42" s="206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3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146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3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46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3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46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3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46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3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46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3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46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3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46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3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46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3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46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3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46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3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46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3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4"/>
      <c r="C54" s="208"/>
      <c r="D54" s="432">
        <f t="shared" ref="D54:D117" si="10">E54+SUM(H54:O54)</f>
        <v>586879769</v>
      </c>
      <c r="E54" s="432">
        <f>SUM(E55:E143)</f>
        <v>358033407</v>
      </c>
      <c r="F54" s="432">
        <f t="shared" ref="F54:O54" si="11">SUM(F55:F143)</f>
        <v>136421557</v>
      </c>
      <c r="G54" s="432">
        <f t="shared" si="11"/>
        <v>82781712</v>
      </c>
      <c r="H54" s="432">
        <f t="shared" si="11"/>
        <v>0</v>
      </c>
      <c r="I54" s="432">
        <f t="shared" si="11"/>
        <v>99515205</v>
      </c>
      <c r="J54" s="432">
        <f t="shared" si="11"/>
        <v>12882000</v>
      </c>
      <c r="K54" s="432">
        <f t="shared" si="11"/>
        <v>13054120</v>
      </c>
      <c r="L54" s="432">
        <f t="shared" si="11"/>
        <v>0</v>
      </c>
      <c r="M54" s="432">
        <f t="shared" si="11"/>
        <v>40844009</v>
      </c>
      <c r="N54" s="432">
        <f t="shared" si="11"/>
        <v>30952893</v>
      </c>
      <c r="O54" s="432">
        <f t="shared" si="11"/>
        <v>31598135</v>
      </c>
      <c r="P54" s="432">
        <f t="shared" si="3"/>
        <v>530493548</v>
      </c>
      <c r="Q54" s="432">
        <f>SUM(Q55:Q143)</f>
        <v>114503849</v>
      </c>
      <c r="R54" s="432">
        <f t="shared" ref="R54:AM54" si="12">SUM(R55:R143)</f>
        <v>190360172</v>
      </c>
      <c r="S54" s="432">
        <f t="shared" si="12"/>
        <v>6431962</v>
      </c>
      <c r="T54" s="432">
        <f t="shared" si="12"/>
        <v>413320</v>
      </c>
      <c r="U54" s="432">
        <f t="shared" si="12"/>
        <v>1293400</v>
      </c>
      <c r="V54" s="432">
        <f t="shared" si="12"/>
        <v>5164286</v>
      </c>
      <c r="W54" s="432">
        <f t="shared" si="12"/>
        <v>48005765</v>
      </c>
      <c r="X54" s="432">
        <f t="shared" si="12"/>
        <v>9248467</v>
      </c>
      <c r="Y54" s="432">
        <f t="shared" si="12"/>
        <v>15260395</v>
      </c>
      <c r="Z54" s="432">
        <f t="shared" si="12"/>
        <v>129518273</v>
      </c>
      <c r="AA54" s="432">
        <f t="shared" si="12"/>
        <v>11548717</v>
      </c>
      <c r="AB54" s="432">
        <f t="shared" si="12"/>
        <v>-1255058</v>
      </c>
      <c r="AC54" s="432">
        <f t="shared" si="12"/>
        <v>91677244</v>
      </c>
      <c r="AD54" s="432">
        <f t="shared" si="12"/>
        <v>6980481</v>
      </c>
      <c r="AE54" s="432">
        <f t="shared" si="12"/>
        <v>148542798</v>
      </c>
      <c r="AF54" s="432">
        <f t="shared" si="12"/>
        <v>3002285</v>
      </c>
      <c r="AG54" s="432">
        <f t="shared" si="12"/>
        <v>56536370</v>
      </c>
      <c r="AH54" s="432">
        <f t="shared" si="12"/>
        <v>32993601</v>
      </c>
      <c r="AI54" s="432">
        <f t="shared" si="12"/>
        <v>55586094</v>
      </c>
      <c r="AJ54" s="432">
        <f t="shared" si="12"/>
        <v>40312132</v>
      </c>
      <c r="AK54" s="432">
        <f t="shared" si="12"/>
        <v>0</v>
      </c>
      <c r="AL54" s="432">
        <f>SUM(AL55:AL143)</f>
        <v>93114835</v>
      </c>
      <c r="AM54" s="432">
        <f t="shared" si="12"/>
        <v>1747708</v>
      </c>
    </row>
    <row r="55" spans="1:39" s="155" customFormat="1" ht="12" x14ac:dyDescent="0.2">
      <c r="A55" s="168">
        <v>1</v>
      </c>
      <c r="B55" s="625">
        <v>102543</v>
      </c>
      <c r="C55" s="559" t="s">
        <v>3317</v>
      </c>
      <c r="D55" s="453">
        <f t="shared" ref="D55:D86" si="13">E55+SUM(H55:O55)</f>
        <v>19511797</v>
      </c>
      <c r="E55" s="639">
        <v>4863038</v>
      </c>
      <c r="F55" s="639">
        <v>1344503</v>
      </c>
      <c r="G55" s="639">
        <v>1580842</v>
      </c>
      <c r="H55" s="639"/>
      <c r="I55" s="639">
        <v>3028335</v>
      </c>
      <c r="J55" s="639"/>
      <c r="K55" s="639">
        <v>4349870</v>
      </c>
      <c r="L55" s="639"/>
      <c r="M55" s="639">
        <v>7265554</v>
      </c>
      <c r="N55" s="639"/>
      <c r="O55" s="639">
        <v>5000</v>
      </c>
      <c r="P55" s="453">
        <f t="shared" ref="P55:P86" si="14">IF(SUM(Q55:AB55)=SUM(AC55:AM55),SUM(Q55:AB55),"  EROARE ART/CAP")</f>
        <v>16151165</v>
      </c>
      <c r="Q55" s="640">
        <v>2969966</v>
      </c>
      <c r="R55" s="640">
        <v>4346597</v>
      </c>
      <c r="S55" s="640">
        <v>26924</v>
      </c>
      <c r="T55" s="640"/>
      <c r="U55" s="640">
        <v>2600</v>
      </c>
      <c r="V55" s="641"/>
      <c r="W55" s="641"/>
      <c r="X55" s="640">
        <v>350485</v>
      </c>
      <c r="Y55" s="431">
        <v>25500</v>
      </c>
      <c r="Z55" s="640">
        <v>8388342</v>
      </c>
      <c r="AA55" s="431">
        <v>58750</v>
      </c>
      <c r="AB55" s="431">
        <v>-17999</v>
      </c>
      <c r="AC55" s="642">
        <v>1822667</v>
      </c>
      <c r="AD55" s="643"/>
      <c r="AE55" s="643">
        <v>3960470</v>
      </c>
      <c r="AF55" s="643"/>
      <c r="AG55" s="643">
        <v>481513</v>
      </c>
      <c r="AH55" s="643">
        <v>690298</v>
      </c>
      <c r="AI55" s="642">
        <v>1851954</v>
      </c>
      <c r="AJ55" s="642">
        <v>288664</v>
      </c>
      <c r="AK55" s="643"/>
      <c r="AL55" s="643">
        <v>6981817</v>
      </c>
      <c r="AM55" s="643">
        <v>73782</v>
      </c>
    </row>
    <row r="56" spans="1:39" s="155" customFormat="1" ht="12" x14ac:dyDescent="0.2">
      <c r="A56" s="168">
        <v>2</v>
      </c>
      <c r="B56" s="625">
        <v>100834</v>
      </c>
      <c r="C56" s="559" t="s">
        <v>3318</v>
      </c>
      <c r="D56" s="453">
        <f t="shared" si="13"/>
        <v>24212792</v>
      </c>
      <c r="E56" s="639">
        <v>19451454</v>
      </c>
      <c r="F56" s="639">
        <v>7332257</v>
      </c>
      <c r="G56" s="639">
        <v>2164043</v>
      </c>
      <c r="H56" s="639"/>
      <c r="I56" s="639">
        <v>2481787</v>
      </c>
      <c r="J56" s="639">
        <v>1000000</v>
      </c>
      <c r="K56" s="639">
        <v>1047470</v>
      </c>
      <c r="L56" s="639"/>
      <c r="M56" s="639">
        <v>45032</v>
      </c>
      <c r="N56" s="639">
        <v>125044</v>
      </c>
      <c r="O56" s="639">
        <v>62005</v>
      </c>
      <c r="P56" s="453">
        <f t="shared" si="14"/>
        <v>24198327</v>
      </c>
      <c r="Q56" s="640">
        <v>3076405</v>
      </c>
      <c r="R56" s="640">
        <v>10910621</v>
      </c>
      <c r="S56" s="640">
        <v>1083132</v>
      </c>
      <c r="T56" s="640"/>
      <c r="U56" s="640"/>
      <c r="V56" s="641">
        <v>2171344</v>
      </c>
      <c r="W56" s="641">
        <v>397759</v>
      </c>
      <c r="X56" s="640">
        <v>754180</v>
      </c>
      <c r="Y56" s="431">
        <v>672624</v>
      </c>
      <c r="Z56" s="644">
        <v>3755172</v>
      </c>
      <c r="AA56" s="431">
        <v>1414000</v>
      </c>
      <c r="AB56" s="431">
        <v>-36910</v>
      </c>
      <c r="AC56" s="642">
        <v>3440305</v>
      </c>
      <c r="AD56" s="643">
        <v>245598</v>
      </c>
      <c r="AE56" s="643">
        <v>4886000</v>
      </c>
      <c r="AF56" s="643">
        <v>28553</v>
      </c>
      <c r="AG56" s="643">
        <v>5532836</v>
      </c>
      <c r="AH56" s="643">
        <v>1510888</v>
      </c>
      <c r="AI56" s="642">
        <v>1301301</v>
      </c>
      <c r="AJ56" s="642">
        <v>2033575</v>
      </c>
      <c r="AK56" s="643"/>
      <c r="AL56" s="643">
        <v>5219271</v>
      </c>
      <c r="AM56" s="643"/>
    </row>
    <row r="57" spans="1:39" s="155" customFormat="1" ht="12" x14ac:dyDescent="0.2">
      <c r="A57" s="168">
        <v>3</v>
      </c>
      <c r="B57" s="625">
        <v>100969</v>
      </c>
      <c r="C57" s="237" t="s">
        <v>3319</v>
      </c>
      <c r="D57" s="453">
        <f t="shared" si="13"/>
        <v>24172625</v>
      </c>
      <c r="E57" s="639">
        <v>17041900</v>
      </c>
      <c r="F57" s="639">
        <v>6903940</v>
      </c>
      <c r="G57" s="639">
        <v>2539480</v>
      </c>
      <c r="H57" s="639"/>
      <c r="I57" s="639">
        <v>3316950</v>
      </c>
      <c r="J57" s="639">
        <v>500000</v>
      </c>
      <c r="K57" s="639">
        <v>297430</v>
      </c>
      <c r="L57" s="639"/>
      <c r="M57" s="639">
        <v>2135980</v>
      </c>
      <c r="N57" s="639">
        <v>197078</v>
      </c>
      <c r="O57" s="639">
        <v>683287</v>
      </c>
      <c r="P57" s="453">
        <f t="shared" si="14"/>
        <v>24161930</v>
      </c>
      <c r="Q57" s="640">
        <v>3784141</v>
      </c>
      <c r="R57" s="640">
        <v>8012043</v>
      </c>
      <c r="S57" s="640">
        <v>136266</v>
      </c>
      <c r="T57" s="640"/>
      <c r="U57" s="640">
        <v>1290800</v>
      </c>
      <c r="V57" s="641"/>
      <c r="W57" s="641">
        <v>256200</v>
      </c>
      <c r="X57" s="640">
        <v>305851</v>
      </c>
      <c r="Y57" s="431">
        <v>85595</v>
      </c>
      <c r="Z57" s="640">
        <v>10291142</v>
      </c>
      <c r="AA57" s="431"/>
      <c r="AB57" s="431">
        <v>-108</v>
      </c>
      <c r="AC57" s="645">
        <v>5404799</v>
      </c>
      <c r="AD57" s="145">
        <v>332534</v>
      </c>
      <c r="AE57" s="145">
        <v>3199038</v>
      </c>
      <c r="AF57" s="145">
        <v>66038</v>
      </c>
      <c r="AG57" s="145">
        <v>1658496</v>
      </c>
      <c r="AH57" s="145">
        <v>745487</v>
      </c>
      <c r="AI57" s="645">
        <v>4969271</v>
      </c>
      <c r="AJ57" s="645">
        <v>4609323</v>
      </c>
      <c r="AK57" s="145"/>
      <c r="AL57" s="145">
        <v>3176944</v>
      </c>
      <c r="AM57" s="145"/>
    </row>
    <row r="58" spans="1:39" s="155" customFormat="1" ht="12" x14ac:dyDescent="0.2">
      <c r="A58" s="168">
        <v>4</v>
      </c>
      <c r="B58" s="625">
        <v>101145</v>
      </c>
      <c r="C58" s="559" t="s">
        <v>3320</v>
      </c>
      <c r="D58" s="453">
        <f t="shared" si="13"/>
        <v>13652522</v>
      </c>
      <c r="E58" s="639">
        <v>6655648</v>
      </c>
      <c r="F58" s="639">
        <v>760085</v>
      </c>
      <c r="G58" s="639">
        <v>2889148</v>
      </c>
      <c r="H58" s="639"/>
      <c r="I58" s="639">
        <v>2232685</v>
      </c>
      <c r="J58" s="639">
        <v>282000</v>
      </c>
      <c r="K58" s="639">
        <v>127000</v>
      </c>
      <c r="L58" s="639"/>
      <c r="M58" s="639">
        <v>1460108</v>
      </c>
      <c r="N58" s="639">
        <v>895081</v>
      </c>
      <c r="O58" s="639">
        <v>2000000</v>
      </c>
      <c r="P58" s="453">
        <f t="shared" si="14"/>
        <v>9899609</v>
      </c>
      <c r="Q58" s="640">
        <v>2672643</v>
      </c>
      <c r="R58" s="640">
        <v>3364970</v>
      </c>
      <c r="S58" s="640"/>
      <c r="T58" s="640"/>
      <c r="U58" s="640"/>
      <c r="V58" s="641">
        <v>21000</v>
      </c>
      <c r="W58" s="641">
        <v>998199</v>
      </c>
      <c r="X58" s="640">
        <v>247097</v>
      </c>
      <c r="Y58" s="431">
        <v>1100000</v>
      </c>
      <c r="Z58" s="644">
        <v>1495700</v>
      </c>
      <c r="AA58" s="431"/>
      <c r="AB58" s="431"/>
      <c r="AC58" s="642">
        <v>1999254</v>
      </c>
      <c r="AD58" s="643"/>
      <c r="AE58" s="643">
        <v>2259960</v>
      </c>
      <c r="AF58" s="643"/>
      <c r="AG58" s="643">
        <v>1777280</v>
      </c>
      <c r="AH58" s="643">
        <v>738426</v>
      </c>
      <c r="AI58" s="642">
        <v>1202637</v>
      </c>
      <c r="AJ58" s="642"/>
      <c r="AK58" s="643"/>
      <c r="AL58" s="643">
        <v>1922052</v>
      </c>
      <c r="AM58" s="643"/>
    </row>
    <row r="59" spans="1:39" s="155" customFormat="1" ht="12" x14ac:dyDescent="0.2">
      <c r="A59" s="168">
        <v>5</v>
      </c>
      <c r="B59" s="625">
        <v>101298</v>
      </c>
      <c r="C59" s="559" t="s">
        <v>2133</v>
      </c>
      <c r="D59" s="453">
        <f t="shared" si="13"/>
        <v>25514726</v>
      </c>
      <c r="E59" s="639">
        <v>11813729</v>
      </c>
      <c r="F59" s="639">
        <v>3264718</v>
      </c>
      <c r="G59" s="639">
        <v>2989093</v>
      </c>
      <c r="H59" s="639"/>
      <c r="I59" s="639">
        <v>8811595</v>
      </c>
      <c r="J59" s="639">
        <v>500000</v>
      </c>
      <c r="K59" s="639">
        <v>344000</v>
      </c>
      <c r="L59" s="639"/>
      <c r="M59" s="639">
        <v>414696</v>
      </c>
      <c r="N59" s="639">
        <v>630706</v>
      </c>
      <c r="O59" s="639">
        <v>3000000</v>
      </c>
      <c r="P59" s="453">
        <f t="shared" si="14"/>
        <v>22464990</v>
      </c>
      <c r="Q59" s="640">
        <v>8868382</v>
      </c>
      <c r="R59" s="640">
        <v>9957628</v>
      </c>
      <c r="S59" s="640"/>
      <c r="T59" s="640"/>
      <c r="U59" s="640"/>
      <c r="V59" s="641"/>
      <c r="W59" s="641">
        <v>741413</v>
      </c>
      <c r="X59" s="640">
        <v>417618</v>
      </c>
      <c r="Y59" s="431">
        <v>104500</v>
      </c>
      <c r="Z59" s="644">
        <v>2687889</v>
      </c>
      <c r="AA59" s="431"/>
      <c r="AB59" s="431">
        <v>-312440</v>
      </c>
      <c r="AC59" s="642">
        <v>2806632</v>
      </c>
      <c r="AD59" s="643">
        <v>366092</v>
      </c>
      <c r="AE59" s="643">
        <v>9534330</v>
      </c>
      <c r="AF59" s="643">
        <v>22469</v>
      </c>
      <c r="AG59" s="643">
        <v>2156297</v>
      </c>
      <c r="AH59" s="643">
        <v>968678</v>
      </c>
      <c r="AI59" s="642">
        <v>1155730</v>
      </c>
      <c r="AJ59" s="642">
        <v>1169935</v>
      </c>
      <c r="AK59" s="643"/>
      <c r="AL59" s="643">
        <v>4036385</v>
      </c>
      <c r="AM59" s="643">
        <v>248442</v>
      </c>
    </row>
    <row r="60" spans="1:39" s="155" customFormat="1" ht="12" x14ac:dyDescent="0.2">
      <c r="A60" s="168">
        <v>6</v>
      </c>
      <c r="B60" s="625">
        <v>101742</v>
      </c>
      <c r="C60" s="559" t="s">
        <v>3321</v>
      </c>
      <c r="D60" s="453">
        <f t="shared" si="13"/>
        <v>17628329</v>
      </c>
      <c r="E60" s="639">
        <v>8599663</v>
      </c>
      <c r="F60" s="639">
        <v>2994274</v>
      </c>
      <c r="G60" s="639">
        <v>2620031</v>
      </c>
      <c r="H60" s="639"/>
      <c r="I60" s="639">
        <v>4384697</v>
      </c>
      <c r="J60" s="639">
        <v>600000</v>
      </c>
      <c r="K60" s="639">
        <v>264000</v>
      </c>
      <c r="L60" s="639"/>
      <c r="M60" s="646">
        <v>835976</v>
      </c>
      <c r="N60" s="646">
        <v>1943993</v>
      </c>
      <c r="O60" s="639">
        <v>1000000</v>
      </c>
      <c r="P60" s="453">
        <f t="shared" si="14"/>
        <v>16752832</v>
      </c>
      <c r="Q60" s="640">
        <v>4487906</v>
      </c>
      <c r="R60" s="640">
        <v>6666125</v>
      </c>
      <c r="S60" s="640">
        <v>247345</v>
      </c>
      <c r="T60" s="640"/>
      <c r="U60" s="640"/>
      <c r="V60" s="641"/>
      <c r="W60" s="641">
        <v>1961604</v>
      </c>
      <c r="X60" s="640">
        <v>576706</v>
      </c>
      <c r="Y60" s="431">
        <v>100000</v>
      </c>
      <c r="Z60" s="644">
        <v>2019902</v>
      </c>
      <c r="AA60" s="431">
        <v>693244</v>
      </c>
      <c r="AB60" s="431"/>
      <c r="AC60" s="642">
        <v>2175866</v>
      </c>
      <c r="AD60" s="643">
        <v>16938</v>
      </c>
      <c r="AE60" s="643">
        <v>7006511</v>
      </c>
      <c r="AF60" s="643">
        <v>92704</v>
      </c>
      <c r="AG60" s="643">
        <v>896959</v>
      </c>
      <c r="AH60" s="643">
        <v>1844212</v>
      </c>
      <c r="AI60" s="642">
        <v>2329339</v>
      </c>
      <c r="AJ60" s="642">
        <v>688200</v>
      </c>
      <c r="AK60" s="643"/>
      <c r="AL60" s="643">
        <v>1702103</v>
      </c>
      <c r="AM60" s="643"/>
    </row>
    <row r="61" spans="1:39" s="155" customFormat="1" ht="12" x14ac:dyDescent="0.2">
      <c r="A61" s="168">
        <v>7</v>
      </c>
      <c r="B61" s="625">
        <v>179249</v>
      </c>
      <c r="C61" s="559" t="s">
        <v>3322</v>
      </c>
      <c r="D61" s="453">
        <f t="shared" si="13"/>
        <v>55147888</v>
      </c>
      <c r="E61" s="639">
        <v>48149407</v>
      </c>
      <c r="F61" s="639">
        <v>20878241</v>
      </c>
      <c r="G61" s="639">
        <v>4373715</v>
      </c>
      <c r="H61" s="639"/>
      <c r="I61" s="639">
        <v>4064376</v>
      </c>
      <c r="J61" s="639">
        <v>230000</v>
      </c>
      <c r="K61" s="639">
        <v>119000</v>
      </c>
      <c r="L61" s="639"/>
      <c r="M61" s="639">
        <v>5105</v>
      </c>
      <c r="N61" s="639"/>
      <c r="O61" s="639">
        <v>2580000</v>
      </c>
      <c r="P61" s="453">
        <f t="shared" si="14"/>
        <v>42462196</v>
      </c>
      <c r="Q61" s="640">
        <v>4667884</v>
      </c>
      <c r="R61" s="640">
        <v>16206991</v>
      </c>
      <c r="S61" s="640">
        <v>2200000</v>
      </c>
      <c r="T61" s="640"/>
      <c r="U61" s="640"/>
      <c r="V61" s="641"/>
      <c r="W61" s="641"/>
      <c r="X61" s="640">
        <v>180231</v>
      </c>
      <c r="Y61" s="431">
        <v>6500000</v>
      </c>
      <c r="Z61" s="644">
        <v>9809902</v>
      </c>
      <c r="AA61" s="431">
        <v>3000000</v>
      </c>
      <c r="AB61" s="431">
        <v>-102812</v>
      </c>
      <c r="AC61" s="642">
        <v>5497576</v>
      </c>
      <c r="AD61" s="643">
        <v>359391</v>
      </c>
      <c r="AE61" s="643">
        <v>3974743</v>
      </c>
      <c r="AF61" s="643"/>
      <c r="AG61" s="643">
        <v>13464284</v>
      </c>
      <c r="AH61" s="643">
        <v>815809</v>
      </c>
      <c r="AI61" s="642">
        <v>3535009</v>
      </c>
      <c r="AJ61" s="642">
        <v>430119</v>
      </c>
      <c r="AK61" s="643"/>
      <c r="AL61" s="643">
        <v>14385265</v>
      </c>
      <c r="AM61" s="643"/>
    </row>
    <row r="62" spans="1:39" s="155" customFormat="1" ht="12" x14ac:dyDescent="0.2">
      <c r="A62" s="168">
        <v>8</v>
      </c>
      <c r="B62" s="625">
        <v>101902</v>
      </c>
      <c r="C62" s="559" t="s">
        <v>3323</v>
      </c>
      <c r="D62" s="453">
        <f t="shared" si="13"/>
        <v>11534487</v>
      </c>
      <c r="E62" s="639">
        <v>6614459</v>
      </c>
      <c r="F62" s="639">
        <v>1679490</v>
      </c>
      <c r="G62" s="639">
        <v>2748452</v>
      </c>
      <c r="H62" s="639"/>
      <c r="I62" s="639">
        <v>2231690</v>
      </c>
      <c r="J62" s="639"/>
      <c r="K62" s="639">
        <v>538000</v>
      </c>
      <c r="L62" s="639"/>
      <c r="M62" s="639">
        <v>103857</v>
      </c>
      <c r="N62" s="639">
        <v>1614263</v>
      </c>
      <c r="O62" s="639">
        <v>432218</v>
      </c>
      <c r="P62" s="453">
        <f t="shared" si="14"/>
        <v>9431044</v>
      </c>
      <c r="Q62" s="640">
        <v>3718918</v>
      </c>
      <c r="R62" s="640">
        <v>4908827</v>
      </c>
      <c r="S62" s="640"/>
      <c r="T62" s="640"/>
      <c r="U62" s="640"/>
      <c r="V62" s="641"/>
      <c r="W62" s="641"/>
      <c r="X62" s="640">
        <v>253299</v>
      </c>
      <c r="Y62" s="431"/>
      <c r="Z62" s="644">
        <v>550000</v>
      </c>
      <c r="AA62" s="431"/>
      <c r="AB62" s="431"/>
      <c r="AC62" s="642">
        <v>3014159</v>
      </c>
      <c r="AD62" s="643"/>
      <c r="AE62" s="643">
        <v>2917547</v>
      </c>
      <c r="AF62" s="643"/>
      <c r="AG62" s="643">
        <v>107167</v>
      </c>
      <c r="AH62" s="643">
        <v>930509</v>
      </c>
      <c r="AI62" s="642">
        <v>2205368</v>
      </c>
      <c r="AJ62" s="642"/>
      <c r="AK62" s="643"/>
      <c r="AL62" s="643">
        <v>256294</v>
      </c>
      <c r="AM62" s="643"/>
    </row>
    <row r="63" spans="1:39" s="155" customFormat="1" ht="12" x14ac:dyDescent="0.2">
      <c r="A63" s="168">
        <v>9</v>
      </c>
      <c r="B63" s="625">
        <v>101957</v>
      </c>
      <c r="C63" s="559" t="s">
        <v>3324</v>
      </c>
      <c r="D63" s="453">
        <f t="shared" si="13"/>
        <v>17552153</v>
      </c>
      <c r="E63" s="639">
        <v>8899377</v>
      </c>
      <c r="F63" s="639">
        <v>3495414</v>
      </c>
      <c r="G63" s="639">
        <v>2865485</v>
      </c>
      <c r="H63" s="639"/>
      <c r="I63" s="639">
        <v>6674099</v>
      </c>
      <c r="J63" s="639">
        <v>400000</v>
      </c>
      <c r="K63" s="639">
        <v>339000</v>
      </c>
      <c r="L63" s="639"/>
      <c r="M63" s="639">
        <v>542583</v>
      </c>
      <c r="N63" s="639">
        <v>694094</v>
      </c>
      <c r="O63" s="639">
        <v>3000</v>
      </c>
      <c r="P63" s="453">
        <f t="shared" si="14"/>
        <v>17344785</v>
      </c>
      <c r="Q63" s="640">
        <v>6645166</v>
      </c>
      <c r="R63" s="640">
        <v>4213099</v>
      </c>
      <c r="S63" s="640"/>
      <c r="T63" s="640"/>
      <c r="U63" s="640"/>
      <c r="V63" s="641"/>
      <c r="W63" s="641">
        <v>933453</v>
      </c>
      <c r="X63" s="640">
        <v>202017</v>
      </c>
      <c r="Y63" s="431">
        <v>190000</v>
      </c>
      <c r="Z63" s="644">
        <v>5161050</v>
      </c>
      <c r="AA63" s="431"/>
      <c r="AB63" s="431"/>
      <c r="AC63" s="642">
        <v>1627554</v>
      </c>
      <c r="AD63" s="643">
        <v>26629</v>
      </c>
      <c r="AE63" s="643">
        <v>7635097</v>
      </c>
      <c r="AF63" s="643">
        <v>118712</v>
      </c>
      <c r="AG63" s="643">
        <v>1091046</v>
      </c>
      <c r="AH63" s="643">
        <v>1555696</v>
      </c>
      <c r="AI63" s="642">
        <v>909348</v>
      </c>
      <c r="AJ63" s="642">
        <v>197582</v>
      </c>
      <c r="AK63" s="643"/>
      <c r="AL63" s="643">
        <v>4151939</v>
      </c>
      <c r="AM63" s="643">
        <v>31182</v>
      </c>
    </row>
    <row r="64" spans="1:39" s="155" customFormat="1" ht="12" x14ac:dyDescent="0.2">
      <c r="A64" s="168">
        <v>10</v>
      </c>
      <c r="B64" s="625">
        <v>102035</v>
      </c>
      <c r="C64" s="559" t="s">
        <v>3325</v>
      </c>
      <c r="D64" s="453">
        <f t="shared" si="13"/>
        <v>21737505</v>
      </c>
      <c r="E64" s="639">
        <v>12545956</v>
      </c>
      <c r="F64" s="639">
        <v>4899340</v>
      </c>
      <c r="G64" s="639">
        <v>3341016</v>
      </c>
      <c r="H64" s="639"/>
      <c r="I64" s="639">
        <v>3316099</v>
      </c>
      <c r="J64" s="639">
        <v>500000</v>
      </c>
      <c r="K64" s="639">
        <v>153000</v>
      </c>
      <c r="L64" s="639"/>
      <c r="M64" s="639">
        <v>3222450</v>
      </c>
      <c r="N64" s="639"/>
      <c r="O64" s="639">
        <v>2000000</v>
      </c>
      <c r="P64" s="453">
        <f t="shared" si="14"/>
        <v>21737312</v>
      </c>
      <c r="Q64" s="640">
        <v>3957490</v>
      </c>
      <c r="R64" s="640">
        <v>6914690</v>
      </c>
      <c r="S64" s="640">
        <v>64078</v>
      </c>
      <c r="T64" s="640"/>
      <c r="U64" s="640"/>
      <c r="V64" s="641">
        <v>139265</v>
      </c>
      <c r="W64" s="641">
        <v>448641</v>
      </c>
      <c r="X64" s="640">
        <v>309673</v>
      </c>
      <c r="Y64" s="431">
        <v>1256442</v>
      </c>
      <c r="Z64" s="644">
        <v>8516373</v>
      </c>
      <c r="AA64" s="431">
        <v>131600</v>
      </c>
      <c r="AB64" s="431">
        <v>-940</v>
      </c>
      <c r="AC64" s="642">
        <v>2207844</v>
      </c>
      <c r="AD64" s="643">
        <v>732570</v>
      </c>
      <c r="AE64" s="643">
        <v>3771457</v>
      </c>
      <c r="AF64" s="643">
        <v>872995</v>
      </c>
      <c r="AG64" s="643">
        <v>3905452</v>
      </c>
      <c r="AH64" s="643">
        <v>3815335</v>
      </c>
      <c r="AI64" s="642">
        <v>1661080</v>
      </c>
      <c r="AJ64" s="642">
        <v>1192584</v>
      </c>
      <c r="AK64" s="643"/>
      <c r="AL64" s="643">
        <v>3447298</v>
      </c>
      <c r="AM64" s="643">
        <v>130697</v>
      </c>
    </row>
    <row r="65" spans="1:39" s="155" customFormat="1" ht="12" x14ac:dyDescent="0.2">
      <c r="A65" s="168">
        <v>11</v>
      </c>
      <c r="B65" s="625">
        <v>179588</v>
      </c>
      <c r="C65" s="559" t="s">
        <v>826</v>
      </c>
      <c r="D65" s="453">
        <f t="shared" si="13"/>
        <v>8134643</v>
      </c>
      <c r="E65" s="639">
        <v>3987023</v>
      </c>
      <c r="F65" s="639">
        <v>482497</v>
      </c>
      <c r="G65" s="639">
        <v>2767187</v>
      </c>
      <c r="H65" s="639"/>
      <c r="I65" s="639">
        <v>1114514</v>
      </c>
      <c r="J65" s="639">
        <v>470000</v>
      </c>
      <c r="K65" s="639">
        <v>208000</v>
      </c>
      <c r="L65" s="639"/>
      <c r="M65" s="639">
        <v>906</v>
      </c>
      <c r="N65" s="639"/>
      <c r="O65" s="639">
        <v>2354200</v>
      </c>
      <c r="P65" s="453">
        <f t="shared" si="14"/>
        <v>6686572</v>
      </c>
      <c r="Q65" s="640">
        <v>1281808</v>
      </c>
      <c r="R65" s="640">
        <v>3411197</v>
      </c>
      <c r="S65" s="640"/>
      <c r="T65" s="640"/>
      <c r="U65" s="640"/>
      <c r="V65" s="641"/>
      <c r="W65" s="641"/>
      <c r="X65" s="640">
        <v>146386</v>
      </c>
      <c r="Y65" s="431"/>
      <c r="Z65" s="644">
        <v>1847181</v>
      </c>
      <c r="AA65" s="431"/>
      <c r="AB65" s="431"/>
      <c r="AC65" s="642">
        <v>2557325</v>
      </c>
      <c r="AD65" s="643"/>
      <c r="AE65" s="643">
        <v>1071067</v>
      </c>
      <c r="AF65" s="643"/>
      <c r="AG65" s="643">
        <v>178940</v>
      </c>
      <c r="AH65" s="643">
        <v>211106</v>
      </c>
      <c r="AI65" s="642">
        <v>878836</v>
      </c>
      <c r="AJ65" s="642">
        <v>228802</v>
      </c>
      <c r="AK65" s="643"/>
      <c r="AL65" s="643">
        <v>1560496</v>
      </c>
      <c r="AM65" s="643"/>
    </row>
    <row r="66" spans="1:39" s="155" customFormat="1" ht="12" x14ac:dyDescent="0.2">
      <c r="A66" s="168">
        <v>12</v>
      </c>
      <c r="B66" s="625">
        <v>102160</v>
      </c>
      <c r="C66" s="559" t="s">
        <v>3326</v>
      </c>
      <c r="D66" s="453">
        <f t="shared" si="13"/>
        <v>18108922</v>
      </c>
      <c r="E66" s="639">
        <v>12829741</v>
      </c>
      <c r="F66" s="639">
        <v>4583006</v>
      </c>
      <c r="G66" s="639">
        <v>1381590</v>
      </c>
      <c r="H66" s="639"/>
      <c r="I66" s="639">
        <v>2271725</v>
      </c>
      <c r="J66" s="639">
        <v>900000</v>
      </c>
      <c r="K66" s="639">
        <v>69000</v>
      </c>
      <c r="L66" s="639"/>
      <c r="M66" s="639">
        <v>1698592</v>
      </c>
      <c r="N66" s="639"/>
      <c r="O66" s="639">
        <v>339864</v>
      </c>
      <c r="P66" s="453">
        <f t="shared" si="14"/>
        <v>18076524</v>
      </c>
      <c r="Q66" s="640">
        <v>2544610</v>
      </c>
      <c r="R66" s="640">
        <v>6117866</v>
      </c>
      <c r="S66" s="640"/>
      <c r="T66" s="640"/>
      <c r="U66" s="640"/>
      <c r="V66" s="641">
        <v>794811</v>
      </c>
      <c r="W66" s="641"/>
      <c r="X66" s="640">
        <v>434556</v>
      </c>
      <c r="Y66" s="431">
        <v>590121</v>
      </c>
      <c r="Z66" s="644">
        <v>6666730</v>
      </c>
      <c r="AA66" s="431">
        <v>927830</v>
      </c>
      <c r="AB66" s="431"/>
      <c r="AC66" s="642">
        <v>3609575</v>
      </c>
      <c r="AD66" s="643">
        <v>382814</v>
      </c>
      <c r="AE66" s="643">
        <v>2975636</v>
      </c>
      <c r="AF66" s="643">
        <v>14894</v>
      </c>
      <c r="AG66" s="643">
        <v>2136998</v>
      </c>
      <c r="AH66" s="643">
        <v>881169</v>
      </c>
      <c r="AI66" s="642">
        <v>1615046</v>
      </c>
      <c r="AJ66" s="642">
        <v>730752</v>
      </c>
      <c r="AK66" s="643"/>
      <c r="AL66" s="643">
        <v>4971972</v>
      </c>
      <c r="AM66" s="643">
        <v>757668</v>
      </c>
    </row>
    <row r="67" spans="1:39" s="155" customFormat="1" ht="12" x14ac:dyDescent="0.2">
      <c r="A67" s="168">
        <v>13</v>
      </c>
      <c r="B67" s="625">
        <v>102213</v>
      </c>
      <c r="C67" s="559" t="s">
        <v>3327</v>
      </c>
      <c r="D67" s="453">
        <f t="shared" si="13"/>
        <v>11384508</v>
      </c>
      <c r="E67" s="639">
        <v>5347161</v>
      </c>
      <c r="F67" s="639">
        <v>938922</v>
      </c>
      <c r="G67" s="639">
        <v>1810838</v>
      </c>
      <c r="H67" s="639"/>
      <c r="I67" s="639">
        <v>2614460</v>
      </c>
      <c r="J67" s="639">
        <v>290000</v>
      </c>
      <c r="K67" s="639">
        <v>340000</v>
      </c>
      <c r="L67" s="639"/>
      <c r="M67" s="639">
        <v>245488</v>
      </c>
      <c r="N67" s="639">
        <v>1547399</v>
      </c>
      <c r="O67" s="639">
        <v>1000000</v>
      </c>
      <c r="P67" s="453">
        <f t="shared" si="14"/>
        <v>12703653</v>
      </c>
      <c r="Q67" s="640">
        <v>2956310</v>
      </c>
      <c r="R67" s="644">
        <v>2483639</v>
      </c>
      <c r="S67" s="640">
        <v>240832</v>
      </c>
      <c r="T67" s="640"/>
      <c r="U67" s="640"/>
      <c r="V67" s="641">
        <v>124800</v>
      </c>
      <c r="W67" s="641">
        <v>4482181</v>
      </c>
      <c r="X67" s="640">
        <v>450555</v>
      </c>
      <c r="Y67" s="431">
        <v>341900</v>
      </c>
      <c r="Z67" s="644">
        <v>1181990</v>
      </c>
      <c r="AA67" s="431">
        <v>446406</v>
      </c>
      <c r="AB67" s="431">
        <v>-4960</v>
      </c>
      <c r="AC67" s="642">
        <v>1852808</v>
      </c>
      <c r="AD67" s="643"/>
      <c r="AE67" s="643">
        <v>6582679</v>
      </c>
      <c r="AF67" s="643">
        <v>15023</v>
      </c>
      <c r="AG67" s="643">
        <v>1039474</v>
      </c>
      <c r="AH67" s="643">
        <v>848492</v>
      </c>
      <c r="AI67" s="642">
        <v>1118524</v>
      </c>
      <c r="AJ67" s="642">
        <v>87566</v>
      </c>
      <c r="AK67" s="643"/>
      <c r="AL67" s="643">
        <v>1090873</v>
      </c>
      <c r="AM67" s="643">
        <v>68214</v>
      </c>
    </row>
    <row r="68" spans="1:39" s="155" customFormat="1" ht="12" x14ac:dyDescent="0.2">
      <c r="A68" s="168">
        <v>14</v>
      </c>
      <c r="B68" s="625">
        <v>102525</v>
      </c>
      <c r="C68" s="237" t="s">
        <v>3328</v>
      </c>
      <c r="D68" s="453">
        <f t="shared" si="13"/>
        <v>4836690</v>
      </c>
      <c r="E68" s="639">
        <v>2356465</v>
      </c>
      <c r="F68" s="639">
        <v>469753</v>
      </c>
      <c r="G68" s="639">
        <v>1358551</v>
      </c>
      <c r="H68" s="639"/>
      <c r="I68" s="639">
        <v>1792441</v>
      </c>
      <c r="J68" s="639"/>
      <c r="K68" s="639">
        <v>281000</v>
      </c>
      <c r="L68" s="639"/>
      <c r="M68" s="639">
        <v>6784</v>
      </c>
      <c r="N68" s="639"/>
      <c r="O68" s="639">
        <v>400000</v>
      </c>
      <c r="P68" s="453">
        <f t="shared" si="14"/>
        <v>4708363</v>
      </c>
      <c r="Q68" s="640">
        <v>2347593</v>
      </c>
      <c r="R68" s="644">
        <v>963937</v>
      </c>
      <c r="S68" s="640"/>
      <c r="T68" s="640"/>
      <c r="U68" s="640"/>
      <c r="V68" s="641">
        <v>45896</v>
      </c>
      <c r="W68" s="641"/>
      <c r="X68" s="640">
        <v>72367</v>
      </c>
      <c r="Y68" s="431">
        <v>70000</v>
      </c>
      <c r="Z68" s="644">
        <v>1251278</v>
      </c>
      <c r="AA68" s="431"/>
      <c r="AB68" s="431">
        <v>-42708</v>
      </c>
      <c r="AC68" s="642">
        <v>819305</v>
      </c>
      <c r="AD68" s="643"/>
      <c r="AE68" s="643">
        <v>1811892</v>
      </c>
      <c r="AF68" s="643"/>
      <c r="AG68" s="643">
        <v>133278</v>
      </c>
      <c r="AH68" s="643">
        <v>1144731</v>
      </c>
      <c r="AI68" s="642">
        <v>714691</v>
      </c>
      <c r="AJ68" s="642">
        <v>-20494</v>
      </c>
      <c r="AK68" s="643"/>
      <c r="AL68" s="643">
        <v>104960</v>
      </c>
      <c r="AM68" s="643"/>
    </row>
    <row r="69" spans="1:39" s="155" customFormat="1" ht="12" x14ac:dyDescent="0.2">
      <c r="A69" s="168">
        <v>15</v>
      </c>
      <c r="B69" s="625">
        <v>102473</v>
      </c>
      <c r="C69" s="559" t="s">
        <v>3329</v>
      </c>
      <c r="D69" s="453">
        <f t="shared" si="13"/>
        <v>12584988</v>
      </c>
      <c r="E69" s="639">
        <v>10029560</v>
      </c>
      <c r="F69" s="639">
        <v>4158072</v>
      </c>
      <c r="G69" s="639">
        <v>4921553</v>
      </c>
      <c r="H69" s="639"/>
      <c r="I69" s="639">
        <v>1481333</v>
      </c>
      <c r="J69" s="639">
        <v>900000</v>
      </c>
      <c r="K69" s="639">
        <v>162000</v>
      </c>
      <c r="L69" s="639"/>
      <c r="M69" s="639">
        <v>12095</v>
      </c>
      <c r="N69" s="639"/>
      <c r="O69" s="639"/>
      <c r="P69" s="453">
        <f t="shared" si="14"/>
        <v>8944667</v>
      </c>
      <c r="Q69" s="640">
        <v>1884143</v>
      </c>
      <c r="R69" s="640">
        <v>2474627</v>
      </c>
      <c r="S69" s="640"/>
      <c r="T69" s="640"/>
      <c r="U69" s="640"/>
      <c r="V69" s="641">
        <v>12000</v>
      </c>
      <c r="W69" s="641">
        <v>68236</v>
      </c>
      <c r="X69" s="640">
        <v>81659</v>
      </c>
      <c r="Y69" s="431"/>
      <c r="Z69" s="644">
        <v>4424002</v>
      </c>
      <c r="AA69" s="431"/>
      <c r="AB69" s="431"/>
      <c r="AC69" s="642">
        <v>1932830</v>
      </c>
      <c r="AD69" s="643">
        <v>128075</v>
      </c>
      <c r="AE69" s="643">
        <v>1897305</v>
      </c>
      <c r="AF69" s="643"/>
      <c r="AG69" s="643">
        <v>674326</v>
      </c>
      <c r="AH69" s="643">
        <v>374410</v>
      </c>
      <c r="AI69" s="642">
        <v>618639</v>
      </c>
      <c r="AJ69" s="642">
        <v>75162</v>
      </c>
      <c r="AK69" s="643"/>
      <c r="AL69" s="643">
        <v>3243920</v>
      </c>
      <c r="AM69" s="643"/>
    </row>
    <row r="70" spans="1:39" s="155" customFormat="1" ht="12" x14ac:dyDescent="0.2">
      <c r="A70" s="168">
        <v>16</v>
      </c>
      <c r="B70" s="625">
        <v>179310</v>
      </c>
      <c r="C70" s="559" t="s">
        <v>3330</v>
      </c>
      <c r="D70" s="453">
        <f t="shared" si="13"/>
        <v>21186574</v>
      </c>
      <c r="E70" s="639">
        <v>16971913</v>
      </c>
      <c r="F70" s="639">
        <v>7022863</v>
      </c>
      <c r="G70" s="639">
        <v>2678994</v>
      </c>
      <c r="H70" s="639"/>
      <c r="I70" s="639">
        <v>2873897</v>
      </c>
      <c r="J70" s="639"/>
      <c r="K70" s="639">
        <v>319000</v>
      </c>
      <c r="L70" s="639"/>
      <c r="M70" s="639">
        <v>21764</v>
      </c>
      <c r="N70" s="639"/>
      <c r="O70" s="639">
        <v>1000000</v>
      </c>
      <c r="P70" s="453">
        <f t="shared" si="14"/>
        <v>11942134</v>
      </c>
      <c r="Q70" s="640">
        <v>3026648</v>
      </c>
      <c r="R70" s="640">
        <v>4181154</v>
      </c>
      <c r="S70" s="640">
        <v>26682</v>
      </c>
      <c r="T70" s="640">
        <v>49818</v>
      </c>
      <c r="U70" s="640"/>
      <c r="V70" s="641"/>
      <c r="W70" s="641"/>
      <c r="X70" s="640">
        <v>567567</v>
      </c>
      <c r="Y70" s="431">
        <v>393165</v>
      </c>
      <c r="Z70" s="644">
        <v>3178459</v>
      </c>
      <c r="AA70" s="431">
        <v>542748</v>
      </c>
      <c r="AB70" s="431">
        <v>-24107</v>
      </c>
      <c r="AC70" s="642">
        <v>2481535</v>
      </c>
      <c r="AD70" s="643">
        <v>372778</v>
      </c>
      <c r="AE70" s="643">
        <v>4402924</v>
      </c>
      <c r="AF70" s="643">
        <v>106199</v>
      </c>
      <c r="AG70" s="643">
        <v>1010019</v>
      </c>
      <c r="AH70" s="643">
        <v>1237006</v>
      </c>
      <c r="AI70" s="642">
        <v>838066</v>
      </c>
      <c r="AJ70" s="642">
        <v>374053</v>
      </c>
      <c r="AK70" s="643"/>
      <c r="AL70" s="643">
        <v>1119554</v>
      </c>
      <c r="AM70" s="643"/>
    </row>
    <row r="71" spans="1:39" s="155" customFormat="1" ht="12" x14ac:dyDescent="0.2">
      <c r="A71" s="168">
        <v>17</v>
      </c>
      <c r="B71" s="625">
        <v>102570</v>
      </c>
      <c r="C71" s="559" t="s">
        <v>3331</v>
      </c>
      <c r="D71" s="453">
        <f t="shared" si="13"/>
        <v>15894473</v>
      </c>
      <c r="E71" s="639">
        <v>11580835</v>
      </c>
      <c r="F71" s="639">
        <v>4215865</v>
      </c>
      <c r="G71" s="639">
        <v>2073463</v>
      </c>
      <c r="H71" s="639"/>
      <c r="I71" s="639">
        <v>2592738</v>
      </c>
      <c r="J71" s="639">
        <v>500000</v>
      </c>
      <c r="K71" s="639">
        <v>214000</v>
      </c>
      <c r="L71" s="639"/>
      <c r="M71" s="639">
        <v>1900</v>
      </c>
      <c r="N71" s="639"/>
      <c r="O71" s="639">
        <v>1005000</v>
      </c>
      <c r="P71" s="453">
        <f t="shared" si="14"/>
        <v>13080690</v>
      </c>
      <c r="Q71" s="640">
        <v>3009179</v>
      </c>
      <c r="R71" s="640">
        <v>6225046</v>
      </c>
      <c r="S71" s="640"/>
      <c r="T71" s="640"/>
      <c r="U71" s="640"/>
      <c r="V71" s="641"/>
      <c r="W71" s="641"/>
      <c r="X71" s="640">
        <v>409946</v>
      </c>
      <c r="Y71" s="431">
        <v>635070</v>
      </c>
      <c r="Z71" s="644">
        <v>2917838</v>
      </c>
      <c r="AA71" s="431"/>
      <c r="AB71" s="431">
        <v>-116389</v>
      </c>
      <c r="AC71" s="642">
        <v>2803506</v>
      </c>
      <c r="AD71" s="643">
        <v>30519</v>
      </c>
      <c r="AE71" s="643">
        <v>2532482</v>
      </c>
      <c r="AF71" s="643"/>
      <c r="AG71" s="643">
        <v>948682</v>
      </c>
      <c r="AH71" s="643">
        <v>1040936</v>
      </c>
      <c r="AI71" s="642">
        <v>598996</v>
      </c>
      <c r="AJ71" s="642">
        <v>50000</v>
      </c>
      <c r="AK71" s="643"/>
      <c r="AL71" s="643">
        <v>5075569</v>
      </c>
      <c r="AM71" s="643"/>
    </row>
    <row r="72" spans="1:39" s="155" customFormat="1" ht="12" x14ac:dyDescent="0.2">
      <c r="A72" s="168">
        <v>18</v>
      </c>
      <c r="B72" s="625">
        <v>102605</v>
      </c>
      <c r="C72" s="559" t="s">
        <v>3332</v>
      </c>
      <c r="D72" s="453">
        <f t="shared" si="13"/>
        <v>49298707</v>
      </c>
      <c r="E72" s="639">
        <v>22291514</v>
      </c>
      <c r="F72" s="639">
        <v>10002356</v>
      </c>
      <c r="G72" s="639">
        <v>3121080</v>
      </c>
      <c r="H72" s="639"/>
      <c r="I72" s="639">
        <v>4707608</v>
      </c>
      <c r="J72" s="639">
        <v>1150000</v>
      </c>
      <c r="K72" s="639">
        <v>362360</v>
      </c>
      <c r="L72" s="639"/>
      <c r="M72" s="639">
        <v>8096523</v>
      </c>
      <c r="N72" s="639">
        <v>11590702</v>
      </c>
      <c r="O72" s="639">
        <v>1100000</v>
      </c>
      <c r="P72" s="453">
        <f t="shared" si="14"/>
        <v>48512635</v>
      </c>
      <c r="Q72" s="640">
        <v>4845842</v>
      </c>
      <c r="R72" s="640">
        <v>7890104</v>
      </c>
      <c r="S72" s="640"/>
      <c r="T72" s="640"/>
      <c r="U72" s="640"/>
      <c r="V72" s="641"/>
      <c r="W72" s="641">
        <v>20632196</v>
      </c>
      <c r="X72" s="640">
        <v>135401</v>
      </c>
      <c r="Y72" s="431">
        <v>86300</v>
      </c>
      <c r="Z72" s="644">
        <v>14922792</v>
      </c>
      <c r="AA72" s="431"/>
      <c r="AB72" s="431"/>
      <c r="AC72" s="642">
        <v>3889095</v>
      </c>
      <c r="AD72" s="643"/>
      <c r="AE72" s="643">
        <v>29926269</v>
      </c>
      <c r="AF72" s="643"/>
      <c r="AG72" s="643">
        <v>919596</v>
      </c>
      <c r="AH72" s="643">
        <v>635104</v>
      </c>
      <c r="AI72" s="642">
        <v>2773500</v>
      </c>
      <c r="AJ72" s="642">
        <v>6989647</v>
      </c>
      <c r="AK72" s="643"/>
      <c r="AL72" s="643">
        <v>3379424</v>
      </c>
      <c r="AM72" s="643"/>
    </row>
    <row r="73" spans="1:39" s="155" customFormat="1" ht="12" x14ac:dyDescent="0.2">
      <c r="A73" s="168">
        <v>19</v>
      </c>
      <c r="B73" s="625">
        <v>103130</v>
      </c>
      <c r="C73" s="559" t="s">
        <v>3333</v>
      </c>
      <c r="D73" s="453">
        <f t="shared" si="13"/>
        <v>7803189</v>
      </c>
      <c r="E73" s="639">
        <v>4986589</v>
      </c>
      <c r="F73" s="639">
        <v>1338930</v>
      </c>
      <c r="G73" s="639">
        <v>1843525</v>
      </c>
      <c r="H73" s="639"/>
      <c r="I73" s="639">
        <v>2420780</v>
      </c>
      <c r="J73" s="639">
        <v>113000</v>
      </c>
      <c r="K73" s="639">
        <v>274000</v>
      </c>
      <c r="L73" s="639"/>
      <c r="M73" s="639">
        <v>8820</v>
      </c>
      <c r="N73" s="639"/>
      <c r="O73" s="639"/>
      <c r="P73" s="453">
        <f t="shared" si="14"/>
        <v>8468866</v>
      </c>
      <c r="Q73" s="640">
        <v>3197191</v>
      </c>
      <c r="R73" s="640">
        <v>4050911</v>
      </c>
      <c r="S73" s="640"/>
      <c r="T73" s="640"/>
      <c r="U73" s="640"/>
      <c r="V73" s="641"/>
      <c r="W73" s="641"/>
      <c r="X73" s="640">
        <v>96010</v>
      </c>
      <c r="Y73" s="431">
        <v>100000</v>
      </c>
      <c r="Z73" s="644">
        <v>1040154</v>
      </c>
      <c r="AA73" s="431"/>
      <c r="AB73" s="431">
        <v>-15400</v>
      </c>
      <c r="AC73" s="642">
        <v>2492170</v>
      </c>
      <c r="AD73" s="643">
        <v>165943</v>
      </c>
      <c r="AE73" s="643">
        <v>2510451</v>
      </c>
      <c r="AF73" s="643">
        <v>31607</v>
      </c>
      <c r="AG73" s="643">
        <v>399445</v>
      </c>
      <c r="AH73" s="643">
        <v>972471</v>
      </c>
      <c r="AI73" s="642">
        <v>780028</v>
      </c>
      <c r="AJ73" s="642">
        <v>194634</v>
      </c>
      <c r="AK73" s="643"/>
      <c r="AL73" s="643">
        <v>793308</v>
      </c>
      <c r="AM73" s="643">
        <v>128809</v>
      </c>
    </row>
    <row r="74" spans="1:39" s="155" customFormat="1" ht="12" x14ac:dyDescent="0.2">
      <c r="A74" s="168">
        <v>20</v>
      </c>
      <c r="B74" s="625">
        <v>179347</v>
      </c>
      <c r="C74" s="559" t="s">
        <v>3334</v>
      </c>
      <c r="D74" s="453">
        <f t="shared" si="13"/>
        <v>12167577</v>
      </c>
      <c r="E74" s="639">
        <v>8598890</v>
      </c>
      <c r="F74" s="639">
        <v>3045321</v>
      </c>
      <c r="G74" s="639">
        <v>1954010</v>
      </c>
      <c r="H74" s="639"/>
      <c r="I74" s="639">
        <v>3369603</v>
      </c>
      <c r="J74" s="639"/>
      <c r="K74" s="639">
        <v>171000</v>
      </c>
      <c r="L74" s="639"/>
      <c r="M74" s="639">
        <v>28084</v>
      </c>
      <c r="N74" s="639"/>
      <c r="O74" s="639"/>
      <c r="P74" s="453">
        <f t="shared" si="14"/>
        <v>7920185</v>
      </c>
      <c r="Q74" s="640">
        <v>3445142</v>
      </c>
      <c r="R74" s="640">
        <v>2314833</v>
      </c>
      <c r="S74" s="640"/>
      <c r="T74" s="640"/>
      <c r="U74" s="640"/>
      <c r="V74" s="641">
        <v>150000</v>
      </c>
      <c r="W74" s="641"/>
      <c r="X74" s="640">
        <v>315345</v>
      </c>
      <c r="Y74" s="431">
        <v>495285</v>
      </c>
      <c r="Z74" s="644">
        <v>1199580</v>
      </c>
      <c r="AA74" s="431"/>
      <c r="AB74" s="431"/>
      <c r="AC74" s="642">
        <v>1592424</v>
      </c>
      <c r="AD74" s="643">
        <v>4600</v>
      </c>
      <c r="AE74" s="643">
        <v>3568083</v>
      </c>
      <c r="AF74" s="643">
        <v>49131</v>
      </c>
      <c r="AG74" s="643">
        <v>686663</v>
      </c>
      <c r="AH74" s="643">
        <v>967776</v>
      </c>
      <c r="AI74" s="642">
        <v>284912</v>
      </c>
      <c r="AJ74" s="642">
        <v>245798</v>
      </c>
      <c r="AK74" s="643"/>
      <c r="AL74" s="643">
        <v>443566</v>
      </c>
      <c r="AM74" s="643">
        <v>77232</v>
      </c>
    </row>
    <row r="75" spans="1:39" s="155" customFormat="1" ht="12" x14ac:dyDescent="0.2">
      <c r="A75" s="168">
        <v>21</v>
      </c>
      <c r="B75" s="625">
        <v>103443</v>
      </c>
      <c r="C75" s="559" t="s">
        <v>840</v>
      </c>
      <c r="D75" s="453">
        <f t="shared" si="13"/>
        <v>7769278</v>
      </c>
      <c r="E75" s="639">
        <v>4247879</v>
      </c>
      <c r="F75" s="639">
        <v>281813</v>
      </c>
      <c r="G75" s="639">
        <v>3543957</v>
      </c>
      <c r="H75" s="639"/>
      <c r="I75" s="639">
        <v>1738181</v>
      </c>
      <c r="J75" s="639"/>
      <c r="K75" s="639">
        <v>99000</v>
      </c>
      <c r="L75" s="639"/>
      <c r="M75" s="639">
        <v>1516218</v>
      </c>
      <c r="N75" s="639"/>
      <c r="O75" s="639">
        <v>168000</v>
      </c>
      <c r="P75" s="453">
        <f t="shared" si="14"/>
        <v>7296965</v>
      </c>
      <c r="Q75" s="640">
        <v>2187970</v>
      </c>
      <c r="R75" s="640">
        <v>1644492</v>
      </c>
      <c r="S75" s="640"/>
      <c r="T75" s="640"/>
      <c r="U75" s="640"/>
      <c r="V75" s="641"/>
      <c r="W75" s="641"/>
      <c r="X75" s="640">
        <v>23078</v>
      </c>
      <c r="Y75" s="431">
        <v>10140</v>
      </c>
      <c r="Z75" s="644">
        <v>3431285</v>
      </c>
      <c r="AA75" s="431"/>
      <c r="AB75" s="431"/>
      <c r="AC75" s="642">
        <v>1182825</v>
      </c>
      <c r="AD75" s="643">
        <v>20494</v>
      </c>
      <c r="AE75" s="643">
        <v>2328978</v>
      </c>
      <c r="AF75" s="643"/>
      <c r="AG75" s="643">
        <v>903099</v>
      </c>
      <c r="AH75" s="643">
        <v>872872</v>
      </c>
      <c r="AI75" s="642">
        <v>1855047</v>
      </c>
      <c r="AJ75" s="642"/>
      <c r="AK75" s="643"/>
      <c r="AL75" s="643">
        <v>133650</v>
      </c>
      <c r="AM75" s="643"/>
    </row>
    <row r="76" spans="1:39" s="155" customFormat="1" ht="12" x14ac:dyDescent="0.2">
      <c r="A76" s="168">
        <v>22</v>
      </c>
      <c r="B76" s="625">
        <v>103513</v>
      </c>
      <c r="C76" s="559" t="s">
        <v>3335</v>
      </c>
      <c r="D76" s="453">
        <f t="shared" si="13"/>
        <v>14813820</v>
      </c>
      <c r="E76" s="639">
        <v>7408091</v>
      </c>
      <c r="F76" s="639">
        <v>866192</v>
      </c>
      <c r="G76" s="639">
        <v>4618027</v>
      </c>
      <c r="H76" s="639"/>
      <c r="I76" s="639">
        <v>3265760</v>
      </c>
      <c r="J76" s="639">
        <v>900000</v>
      </c>
      <c r="K76" s="639">
        <v>506000</v>
      </c>
      <c r="L76" s="639"/>
      <c r="M76" s="639">
        <v>2133969</v>
      </c>
      <c r="N76" s="639"/>
      <c r="O76" s="639">
        <v>600000</v>
      </c>
      <c r="P76" s="453">
        <f t="shared" si="14"/>
        <v>13517739</v>
      </c>
      <c r="Q76" s="640">
        <v>4144128</v>
      </c>
      <c r="R76" s="640">
        <v>6468762</v>
      </c>
      <c r="S76" s="640">
        <v>40000</v>
      </c>
      <c r="T76" s="640"/>
      <c r="U76" s="640"/>
      <c r="V76" s="641"/>
      <c r="W76" s="641"/>
      <c r="X76" s="640">
        <v>267789</v>
      </c>
      <c r="Y76" s="431"/>
      <c r="Z76" s="644">
        <v>2397060</v>
      </c>
      <c r="AA76" s="431">
        <v>200000</v>
      </c>
      <c r="AB76" s="431"/>
      <c r="AC76" s="642">
        <v>1811610</v>
      </c>
      <c r="AD76" s="643"/>
      <c r="AE76" s="643">
        <v>4295936</v>
      </c>
      <c r="AF76" s="643">
        <v>280049</v>
      </c>
      <c r="AG76" s="643">
        <v>663777</v>
      </c>
      <c r="AH76" s="643">
        <v>1015160</v>
      </c>
      <c r="AI76" s="642">
        <v>2470290</v>
      </c>
      <c r="AJ76" s="642">
        <v>159477</v>
      </c>
      <c r="AK76" s="643"/>
      <c r="AL76" s="643">
        <v>2821440</v>
      </c>
      <c r="AM76" s="643"/>
    </row>
    <row r="77" spans="1:39" s="155" customFormat="1" ht="12" x14ac:dyDescent="0.2">
      <c r="A77" s="168">
        <v>23</v>
      </c>
      <c r="B77" s="625">
        <v>179383</v>
      </c>
      <c r="C77" s="559" t="s">
        <v>3336</v>
      </c>
      <c r="D77" s="453">
        <f t="shared" si="13"/>
        <v>19706834</v>
      </c>
      <c r="E77" s="639">
        <v>15210071</v>
      </c>
      <c r="F77" s="639">
        <v>8949090</v>
      </c>
      <c r="G77" s="639">
        <v>1656509</v>
      </c>
      <c r="H77" s="639"/>
      <c r="I77" s="639">
        <v>3505320</v>
      </c>
      <c r="J77" s="639">
        <v>500000</v>
      </c>
      <c r="K77" s="639">
        <v>121000</v>
      </c>
      <c r="L77" s="639"/>
      <c r="M77" s="639">
        <v>19443</v>
      </c>
      <c r="N77" s="639"/>
      <c r="O77" s="639">
        <v>351000</v>
      </c>
      <c r="P77" s="453">
        <f t="shared" si="14"/>
        <v>20529217</v>
      </c>
      <c r="Q77" s="640">
        <v>4123802</v>
      </c>
      <c r="R77" s="640">
        <v>8413437</v>
      </c>
      <c r="S77" s="640">
        <v>1381084</v>
      </c>
      <c r="T77" s="640"/>
      <c r="U77" s="640"/>
      <c r="V77" s="641"/>
      <c r="W77" s="641"/>
      <c r="X77" s="640">
        <v>403173</v>
      </c>
      <c r="Y77" s="431">
        <v>85100</v>
      </c>
      <c r="Z77" s="644">
        <v>5282621</v>
      </c>
      <c r="AA77" s="431">
        <v>840000</v>
      </c>
      <c r="AB77" s="431"/>
      <c r="AC77" s="642">
        <v>8311633</v>
      </c>
      <c r="AD77" s="643"/>
      <c r="AE77" s="643">
        <v>3326921</v>
      </c>
      <c r="AF77" s="643">
        <v>1193595</v>
      </c>
      <c r="AG77" s="643">
        <v>1311345</v>
      </c>
      <c r="AH77" s="643">
        <v>1465151</v>
      </c>
      <c r="AI77" s="642">
        <v>1135171</v>
      </c>
      <c r="AJ77" s="642">
        <v>738510</v>
      </c>
      <c r="AK77" s="643"/>
      <c r="AL77" s="643">
        <v>2878818</v>
      </c>
      <c r="AM77" s="643">
        <v>168073</v>
      </c>
    </row>
    <row r="78" spans="1:39" s="155" customFormat="1" ht="12" x14ac:dyDescent="0.2">
      <c r="A78" s="168">
        <v>24</v>
      </c>
      <c r="B78" s="625">
        <v>104243</v>
      </c>
      <c r="C78" s="559" t="s">
        <v>3337</v>
      </c>
      <c r="D78" s="453">
        <f t="shared" si="13"/>
        <v>14777626</v>
      </c>
      <c r="E78" s="639">
        <v>6893230</v>
      </c>
      <c r="F78" s="639">
        <v>1521639</v>
      </c>
      <c r="G78" s="639">
        <v>3736622</v>
      </c>
      <c r="H78" s="639"/>
      <c r="I78" s="639">
        <v>2938116</v>
      </c>
      <c r="J78" s="639">
        <v>850000</v>
      </c>
      <c r="K78" s="639">
        <v>637000</v>
      </c>
      <c r="L78" s="639"/>
      <c r="M78" s="639">
        <v>92814</v>
      </c>
      <c r="N78" s="639"/>
      <c r="O78" s="639">
        <v>3366466</v>
      </c>
      <c r="P78" s="453">
        <f t="shared" si="14"/>
        <v>12554820</v>
      </c>
      <c r="Q78" s="640">
        <v>3150391</v>
      </c>
      <c r="R78" s="640">
        <v>3957686</v>
      </c>
      <c r="S78" s="640"/>
      <c r="T78" s="640">
        <v>350000</v>
      </c>
      <c r="U78" s="640"/>
      <c r="V78" s="641"/>
      <c r="W78" s="641"/>
      <c r="X78" s="640">
        <v>345742</v>
      </c>
      <c r="Y78" s="431">
        <v>45000</v>
      </c>
      <c r="Z78" s="644">
        <v>4706001</v>
      </c>
      <c r="AA78" s="431"/>
      <c r="AB78" s="431"/>
      <c r="AC78" s="642">
        <v>3370038</v>
      </c>
      <c r="AD78" s="643"/>
      <c r="AE78" s="643">
        <v>3405887</v>
      </c>
      <c r="AF78" s="643"/>
      <c r="AG78" s="643">
        <v>1069999</v>
      </c>
      <c r="AH78" s="643">
        <v>839477</v>
      </c>
      <c r="AI78" s="642">
        <v>1455845</v>
      </c>
      <c r="AJ78" s="642">
        <v>1616290</v>
      </c>
      <c r="AK78" s="643"/>
      <c r="AL78" s="643">
        <v>797284</v>
      </c>
      <c r="AM78" s="643"/>
    </row>
    <row r="79" spans="1:39" s="155" customFormat="1" ht="12" x14ac:dyDescent="0.2">
      <c r="A79" s="168">
        <v>25</v>
      </c>
      <c r="B79" s="625">
        <v>179463</v>
      </c>
      <c r="C79" s="559" t="s">
        <v>3338</v>
      </c>
      <c r="D79" s="453">
        <f t="shared" si="13"/>
        <v>27929934</v>
      </c>
      <c r="E79" s="639">
        <v>21875288</v>
      </c>
      <c r="F79" s="639">
        <v>14502245</v>
      </c>
      <c r="G79" s="639">
        <v>1234639</v>
      </c>
      <c r="H79" s="639"/>
      <c r="I79" s="639">
        <v>1788644</v>
      </c>
      <c r="J79" s="639"/>
      <c r="K79" s="639">
        <v>34000</v>
      </c>
      <c r="L79" s="639"/>
      <c r="M79" s="639">
        <v>2211120</v>
      </c>
      <c r="N79" s="639"/>
      <c r="O79" s="639">
        <v>2020882</v>
      </c>
      <c r="P79" s="453">
        <f t="shared" si="14"/>
        <v>25711958</v>
      </c>
      <c r="Q79" s="640">
        <v>3200026</v>
      </c>
      <c r="R79" s="640">
        <v>18403249</v>
      </c>
      <c r="S79" s="640">
        <v>330000</v>
      </c>
      <c r="T79" s="640"/>
      <c r="U79" s="640"/>
      <c r="V79" s="641"/>
      <c r="W79" s="641">
        <v>191621</v>
      </c>
      <c r="X79" s="640">
        <v>299106</v>
      </c>
      <c r="Y79" s="431">
        <v>31550</v>
      </c>
      <c r="Z79" s="644">
        <v>2513089</v>
      </c>
      <c r="AA79" s="431">
        <v>1317000</v>
      </c>
      <c r="AB79" s="431">
        <v>-573683</v>
      </c>
      <c r="AC79" s="642">
        <v>4845691</v>
      </c>
      <c r="AD79" s="643">
        <v>3103966</v>
      </c>
      <c r="AE79" s="643">
        <v>1572601</v>
      </c>
      <c r="AF79" s="643">
        <v>26830</v>
      </c>
      <c r="AG79" s="643">
        <v>3298989</v>
      </c>
      <c r="AH79" s="643">
        <v>938975</v>
      </c>
      <c r="AI79" s="642">
        <v>3796307</v>
      </c>
      <c r="AJ79" s="642">
        <v>3669559</v>
      </c>
      <c r="AK79" s="643"/>
      <c r="AL79" s="643">
        <v>4459040</v>
      </c>
      <c r="AM79" s="643"/>
    </row>
    <row r="80" spans="1:39" s="155" customFormat="1" ht="12" x14ac:dyDescent="0.2">
      <c r="A80" s="168">
        <v>26</v>
      </c>
      <c r="B80" s="625">
        <v>104421</v>
      </c>
      <c r="C80" s="559" t="s">
        <v>3339</v>
      </c>
      <c r="D80" s="453">
        <f t="shared" si="13"/>
        <v>6227620</v>
      </c>
      <c r="E80" s="639">
        <v>2745006</v>
      </c>
      <c r="F80" s="639">
        <v>296269</v>
      </c>
      <c r="G80" s="639">
        <v>1953425</v>
      </c>
      <c r="H80" s="639"/>
      <c r="I80" s="639">
        <v>1450897</v>
      </c>
      <c r="J80" s="639">
        <v>500000</v>
      </c>
      <c r="K80" s="639">
        <v>181000</v>
      </c>
      <c r="L80" s="639"/>
      <c r="M80" s="639">
        <v>151652</v>
      </c>
      <c r="N80" s="639">
        <v>1199065</v>
      </c>
      <c r="O80" s="639"/>
      <c r="P80" s="453">
        <f t="shared" si="14"/>
        <v>4690896</v>
      </c>
      <c r="Q80" s="640">
        <v>1705018</v>
      </c>
      <c r="R80" s="640">
        <v>2577604</v>
      </c>
      <c r="S80" s="640"/>
      <c r="T80" s="640"/>
      <c r="U80" s="640"/>
      <c r="V80" s="641"/>
      <c r="W80" s="641"/>
      <c r="X80" s="640">
        <v>269835</v>
      </c>
      <c r="Y80" s="431"/>
      <c r="Z80" s="644">
        <v>138439</v>
      </c>
      <c r="AA80" s="431"/>
      <c r="AB80" s="431"/>
      <c r="AC80" s="642">
        <v>1387987</v>
      </c>
      <c r="AD80" s="643">
        <v>130572</v>
      </c>
      <c r="AE80" s="643">
        <v>1265864</v>
      </c>
      <c r="AF80" s="643">
        <v>30078</v>
      </c>
      <c r="AG80" s="643"/>
      <c r="AH80" s="643">
        <v>654500</v>
      </c>
      <c r="AI80" s="642">
        <v>532422</v>
      </c>
      <c r="AJ80" s="642"/>
      <c r="AK80" s="643"/>
      <c r="AL80" s="643">
        <v>689473</v>
      </c>
      <c r="AM80" s="643"/>
    </row>
    <row r="81" spans="1:39" s="155" customFormat="1" ht="12" x14ac:dyDescent="0.2">
      <c r="A81" s="168">
        <v>27</v>
      </c>
      <c r="B81" s="625">
        <v>104546</v>
      </c>
      <c r="C81" s="559" t="s">
        <v>3340</v>
      </c>
      <c r="D81" s="453">
        <f t="shared" si="13"/>
        <v>19768660</v>
      </c>
      <c r="E81" s="639">
        <v>6487010</v>
      </c>
      <c r="F81" s="639">
        <v>829458</v>
      </c>
      <c r="G81" s="639">
        <v>3959896</v>
      </c>
      <c r="H81" s="639"/>
      <c r="I81" s="639">
        <v>4577066</v>
      </c>
      <c r="J81" s="639"/>
      <c r="K81" s="639">
        <v>540000</v>
      </c>
      <c r="L81" s="639"/>
      <c r="M81" s="639">
        <v>3206959</v>
      </c>
      <c r="N81" s="639">
        <v>410022</v>
      </c>
      <c r="O81" s="639">
        <v>4547603</v>
      </c>
      <c r="P81" s="453">
        <f t="shared" si="14"/>
        <v>19051278</v>
      </c>
      <c r="Q81" s="640">
        <v>4986198</v>
      </c>
      <c r="R81" s="640">
        <v>3499568</v>
      </c>
      <c r="S81" s="640">
        <v>221000</v>
      </c>
      <c r="T81" s="640"/>
      <c r="U81" s="640"/>
      <c r="V81" s="641"/>
      <c r="W81" s="641">
        <v>529968</v>
      </c>
      <c r="X81" s="640">
        <v>55732</v>
      </c>
      <c r="Y81" s="431">
        <v>29897</v>
      </c>
      <c r="Z81" s="644">
        <v>8796071</v>
      </c>
      <c r="AA81" s="431">
        <v>932844</v>
      </c>
      <c r="AB81" s="431"/>
      <c r="AC81" s="642">
        <v>2151686</v>
      </c>
      <c r="AD81" s="643"/>
      <c r="AE81" s="643">
        <v>5130695</v>
      </c>
      <c r="AF81" s="643"/>
      <c r="AG81" s="643">
        <v>1090289</v>
      </c>
      <c r="AH81" s="643">
        <v>869480</v>
      </c>
      <c r="AI81" s="642">
        <v>517753</v>
      </c>
      <c r="AJ81" s="642">
        <v>3990542</v>
      </c>
      <c r="AK81" s="643"/>
      <c r="AL81" s="643">
        <v>5300833</v>
      </c>
      <c r="AM81" s="643"/>
    </row>
    <row r="82" spans="1:39" s="155" customFormat="1" ht="12" x14ac:dyDescent="0.2">
      <c r="A82" s="168">
        <v>28</v>
      </c>
      <c r="B82" s="625">
        <v>104582</v>
      </c>
      <c r="C82" s="559" t="s">
        <v>3341</v>
      </c>
      <c r="D82" s="453">
        <f t="shared" si="13"/>
        <v>7272261</v>
      </c>
      <c r="E82" s="639">
        <v>3856265</v>
      </c>
      <c r="F82" s="639">
        <v>532255</v>
      </c>
      <c r="G82" s="639">
        <v>2312600</v>
      </c>
      <c r="H82" s="639"/>
      <c r="I82" s="639">
        <v>1503170</v>
      </c>
      <c r="J82" s="639">
        <v>847000</v>
      </c>
      <c r="K82" s="639">
        <v>353000</v>
      </c>
      <c r="L82" s="639"/>
      <c r="M82" s="639">
        <v>33438</v>
      </c>
      <c r="N82" s="639"/>
      <c r="O82" s="639">
        <v>679388</v>
      </c>
      <c r="P82" s="453">
        <f t="shared" si="14"/>
        <v>7315478</v>
      </c>
      <c r="Q82" s="640">
        <v>1825308</v>
      </c>
      <c r="R82" s="640">
        <v>4022712</v>
      </c>
      <c r="S82" s="640"/>
      <c r="T82" s="640"/>
      <c r="U82" s="640"/>
      <c r="V82" s="641"/>
      <c r="W82" s="641"/>
      <c r="X82" s="640">
        <v>182864</v>
      </c>
      <c r="Y82" s="431">
        <v>189839</v>
      </c>
      <c r="Z82" s="644">
        <v>1094755</v>
      </c>
      <c r="AA82" s="431"/>
      <c r="AB82" s="431"/>
      <c r="AC82" s="642">
        <v>1966221</v>
      </c>
      <c r="AD82" s="643"/>
      <c r="AE82" s="643">
        <v>2213694</v>
      </c>
      <c r="AF82" s="643"/>
      <c r="AG82" s="643">
        <v>974761</v>
      </c>
      <c r="AH82" s="643">
        <v>620189</v>
      </c>
      <c r="AI82" s="642">
        <v>358311</v>
      </c>
      <c r="AJ82" s="642">
        <v>165603</v>
      </c>
      <c r="AK82" s="643"/>
      <c r="AL82" s="643">
        <v>1016699</v>
      </c>
      <c r="AM82" s="643"/>
    </row>
    <row r="83" spans="1:39" s="155" customFormat="1" ht="12" x14ac:dyDescent="0.2">
      <c r="A83" s="168">
        <v>29</v>
      </c>
      <c r="B83" s="625">
        <v>105160</v>
      </c>
      <c r="C83" s="559" t="s">
        <v>3342</v>
      </c>
      <c r="D83" s="453">
        <f t="shared" si="13"/>
        <v>19085126</v>
      </c>
      <c r="E83" s="639">
        <v>11683242</v>
      </c>
      <c r="F83" s="639">
        <v>2612650</v>
      </c>
      <c r="G83" s="639">
        <v>2823722</v>
      </c>
      <c r="H83" s="639"/>
      <c r="I83" s="639">
        <v>5001469</v>
      </c>
      <c r="J83" s="639"/>
      <c r="K83" s="639">
        <v>416990</v>
      </c>
      <c r="L83" s="639"/>
      <c r="M83" s="639">
        <v>955886</v>
      </c>
      <c r="N83" s="639">
        <v>1006239</v>
      </c>
      <c r="O83" s="639">
        <v>21300</v>
      </c>
      <c r="P83" s="453">
        <f t="shared" si="14"/>
        <v>19234251</v>
      </c>
      <c r="Q83" s="640">
        <v>5615556</v>
      </c>
      <c r="R83" s="640">
        <v>6665595</v>
      </c>
      <c r="S83" s="640">
        <v>354735</v>
      </c>
      <c r="T83" s="640">
        <v>13502</v>
      </c>
      <c r="U83" s="640"/>
      <c r="V83" s="641"/>
      <c r="W83" s="641">
        <v>2697267</v>
      </c>
      <c r="X83" s="640">
        <v>233548</v>
      </c>
      <c r="Y83" s="431">
        <v>499400</v>
      </c>
      <c r="Z83" s="644">
        <v>2317355</v>
      </c>
      <c r="AA83" s="431">
        <v>843895</v>
      </c>
      <c r="AB83" s="431">
        <v>-6602</v>
      </c>
      <c r="AC83" s="642">
        <v>3587162</v>
      </c>
      <c r="AD83" s="643">
        <v>338734</v>
      </c>
      <c r="AE83" s="643">
        <v>8032343</v>
      </c>
      <c r="AF83" s="643">
        <v>14468</v>
      </c>
      <c r="AG83" s="643">
        <v>1774831</v>
      </c>
      <c r="AH83" s="643">
        <v>762899</v>
      </c>
      <c r="AI83" s="642">
        <v>2459018</v>
      </c>
      <c r="AJ83" s="642">
        <v>228685</v>
      </c>
      <c r="AK83" s="643"/>
      <c r="AL83" s="643">
        <v>2004961</v>
      </c>
      <c r="AM83" s="643">
        <v>31150</v>
      </c>
    </row>
    <row r="84" spans="1:39" s="155" customFormat="1" ht="12" x14ac:dyDescent="0.2">
      <c r="A84" s="168">
        <v>30</v>
      </c>
      <c r="B84" s="625">
        <v>105419</v>
      </c>
      <c r="C84" s="559" t="s">
        <v>883</v>
      </c>
      <c r="D84" s="453">
        <f t="shared" si="13"/>
        <v>19822502</v>
      </c>
      <c r="E84" s="639">
        <v>15543980</v>
      </c>
      <c r="F84" s="639">
        <v>8114917</v>
      </c>
      <c r="G84" s="639">
        <v>1367594</v>
      </c>
      <c r="H84" s="639"/>
      <c r="I84" s="639">
        <v>1956450</v>
      </c>
      <c r="J84" s="639"/>
      <c r="K84" s="639">
        <v>37000</v>
      </c>
      <c r="L84" s="639"/>
      <c r="M84" s="639">
        <v>2275072</v>
      </c>
      <c r="N84" s="639"/>
      <c r="O84" s="639">
        <v>10000</v>
      </c>
      <c r="P84" s="453">
        <f t="shared" si="14"/>
        <v>14811317</v>
      </c>
      <c r="Q84" s="640">
        <v>2858868</v>
      </c>
      <c r="R84" s="640">
        <v>5720258</v>
      </c>
      <c r="S84" s="640"/>
      <c r="T84" s="640"/>
      <c r="U84" s="640"/>
      <c r="V84" s="641"/>
      <c r="W84" s="641"/>
      <c r="X84" s="640">
        <v>438048</v>
      </c>
      <c r="Y84" s="431">
        <v>1281246</v>
      </c>
      <c r="Z84" s="644">
        <v>4512897</v>
      </c>
      <c r="AA84" s="431"/>
      <c r="AB84" s="431"/>
      <c r="AC84" s="642">
        <v>3221728</v>
      </c>
      <c r="AD84" s="643">
        <v>222234</v>
      </c>
      <c r="AE84" s="643">
        <v>2059102</v>
      </c>
      <c r="AF84" s="643">
        <v>15393</v>
      </c>
      <c r="AG84" s="643">
        <v>2402226</v>
      </c>
      <c r="AH84" s="643">
        <v>837746</v>
      </c>
      <c r="AI84" s="642">
        <v>1707426</v>
      </c>
      <c r="AJ84" s="642">
        <v>1262248</v>
      </c>
      <c r="AK84" s="643"/>
      <c r="AL84" s="643">
        <v>3055715</v>
      </c>
      <c r="AM84" s="643">
        <v>27499</v>
      </c>
    </row>
    <row r="85" spans="1:39" s="155" customFormat="1" ht="12" x14ac:dyDescent="0.2">
      <c r="A85" s="168">
        <v>31</v>
      </c>
      <c r="B85" s="625">
        <v>105570</v>
      </c>
      <c r="C85" s="559" t="s">
        <v>3343</v>
      </c>
      <c r="D85" s="453">
        <f t="shared" si="13"/>
        <v>27019769</v>
      </c>
      <c r="E85" s="639">
        <v>12203335</v>
      </c>
      <c r="F85" s="639">
        <v>6231058</v>
      </c>
      <c r="G85" s="639">
        <v>1232639</v>
      </c>
      <c r="H85" s="639"/>
      <c r="I85" s="639">
        <v>1735150</v>
      </c>
      <c r="J85" s="639">
        <v>950000</v>
      </c>
      <c r="K85" s="639">
        <v>34000</v>
      </c>
      <c r="L85" s="639"/>
      <c r="M85" s="639">
        <v>2057756</v>
      </c>
      <c r="N85" s="639">
        <v>9414528</v>
      </c>
      <c r="O85" s="639">
        <v>625000</v>
      </c>
      <c r="P85" s="453">
        <f t="shared" si="14"/>
        <v>30093435</v>
      </c>
      <c r="Q85" s="640">
        <v>2360164</v>
      </c>
      <c r="R85" s="640">
        <v>9198638</v>
      </c>
      <c r="S85" s="640"/>
      <c r="T85" s="640"/>
      <c r="U85" s="640"/>
      <c r="V85" s="641">
        <v>1705170</v>
      </c>
      <c r="W85" s="641">
        <v>13667027</v>
      </c>
      <c r="X85" s="640">
        <v>249749</v>
      </c>
      <c r="Y85" s="431">
        <v>292560</v>
      </c>
      <c r="Z85" s="644">
        <v>2620127</v>
      </c>
      <c r="AA85" s="431"/>
      <c r="AB85" s="431"/>
      <c r="AC85" s="642">
        <v>3150566</v>
      </c>
      <c r="AD85" s="643"/>
      <c r="AE85" s="643">
        <v>3886640</v>
      </c>
      <c r="AF85" s="643"/>
      <c r="AG85" s="643">
        <v>3789148</v>
      </c>
      <c r="AH85" s="643">
        <v>866719</v>
      </c>
      <c r="AI85" s="642">
        <v>7269029</v>
      </c>
      <c r="AJ85" s="642">
        <v>8673479</v>
      </c>
      <c r="AK85" s="643"/>
      <c r="AL85" s="643">
        <v>2452894</v>
      </c>
      <c r="AM85" s="643">
        <v>4960</v>
      </c>
    </row>
    <row r="86" spans="1:39" s="155" customFormat="1" ht="12" x14ac:dyDescent="0.2">
      <c r="A86" s="168">
        <v>32</v>
      </c>
      <c r="B86" s="625">
        <v>105936</v>
      </c>
      <c r="C86" s="559" t="s">
        <v>3344</v>
      </c>
      <c r="D86" s="453">
        <f t="shared" si="13"/>
        <v>10621244</v>
      </c>
      <c r="E86" s="639">
        <v>6265688</v>
      </c>
      <c r="F86" s="639">
        <v>1874124</v>
      </c>
      <c r="G86" s="639">
        <v>2319986</v>
      </c>
      <c r="H86" s="639"/>
      <c r="I86" s="639">
        <v>4273570</v>
      </c>
      <c r="J86" s="639"/>
      <c r="K86" s="639">
        <v>116000</v>
      </c>
      <c r="L86" s="639"/>
      <c r="M86" s="639">
        <v>37385</v>
      </c>
      <c r="N86" s="639">
        <v>-315321</v>
      </c>
      <c r="O86" s="639">
        <v>243922</v>
      </c>
      <c r="P86" s="453">
        <f t="shared" si="14"/>
        <v>10037715</v>
      </c>
      <c r="Q86" s="640">
        <v>4959053</v>
      </c>
      <c r="R86" s="640">
        <v>4173266</v>
      </c>
      <c r="S86" s="640">
        <v>79884</v>
      </c>
      <c r="T86" s="640"/>
      <c r="U86" s="640"/>
      <c r="V86" s="641"/>
      <c r="W86" s="641"/>
      <c r="X86" s="640">
        <v>172854</v>
      </c>
      <c r="Y86" s="431">
        <v>49161</v>
      </c>
      <c r="Z86" s="644">
        <v>403097</v>
      </c>
      <c r="AA86" s="431">
        <v>200400</v>
      </c>
      <c r="AB86" s="431"/>
      <c r="AC86" s="642">
        <v>2662868</v>
      </c>
      <c r="AD86" s="643"/>
      <c r="AE86" s="643">
        <v>4600196</v>
      </c>
      <c r="AF86" s="643">
        <v>23547</v>
      </c>
      <c r="AG86" s="643">
        <v>59155</v>
      </c>
      <c r="AH86" s="643">
        <v>1321894</v>
      </c>
      <c r="AI86" s="642">
        <v>687200</v>
      </c>
      <c r="AJ86" s="642">
        <v>241837</v>
      </c>
      <c r="AK86" s="643"/>
      <c r="AL86" s="643">
        <v>441018</v>
      </c>
      <c r="AM86" s="643"/>
    </row>
    <row r="87" spans="1:39" s="155" customFormat="1" ht="12" hidden="1" x14ac:dyDescent="0.2">
      <c r="A87" s="168">
        <v>33</v>
      </c>
      <c r="B87" s="168"/>
      <c r="C87" s="172"/>
      <c r="D87" s="432">
        <f t="shared" si="10"/>
        <v>0</v>
      </c>
      <c r="E87" s="434"/>
      <c r="F87" s="434"/>
      <c r="G87" s="434"/>
      <c r="H87" s="434"/>
      <c r="I87" s="434"/>
      <c r="J87" s="434"/>
      <c r="K87" s="434"/>
      <c r="L87" s="434"/>
      <c r="M87" s="434"/>
      <c r="N87" s="434"/>
      <c r="O87" s="434"/>
      <c r="P87" s="432">
        <f t="shared" ref="P87:P142" si="15">IF(SUM(Q87:AB87)=SUM(AC87:AM87),SUM(Q87:AB87),"  EROARE ART/CAP")</f>
        <v>0</v>
      </c>
      <c r="Q87" s="431"/>
      <c r="R87" s="431"/>
      <c r="S87" s="431"/>
      <c r="T87" s="431"/>
      <c r="U87" s="431"/>
      <c r="V87" s="431"/>
      <c r="W87" s="431"/>
      <c r="X87" s="431"/>
      <c r="Y87" s="431"/>
      <c r="Z87" s="468"/>
      <c r="AA87" s="431"/>
      <c r="AB87" s="431"/>
      <c r="AC87" s="469"/>
      <c r="AD87" s="434"/>
      <c r="AE87" s="434"/>
      <c r="AF87" s="434"/>
      <c r="AG87" s="434"/>
      <c r="AH87" s="434"/>
      <c r="AI87" s="469"/>
      <c r="AJ87" s="469"/>
      <c r="AK87" s="434"/>
      <c r="AL87" s="434"/>
      <c r="AM87" s="434"/>
    </row>
    <row r="88" spans="1:39" s="155" customFormat="1" ht="12" hidden="1" x14ac:dyDescent="0.2">
      <c r="A88" s="168">
        <v>34</v>
      </c>
      <c r="B88" s="168"/>
      <c r="C88" s="172"/>
      <c r="D88" s="432">
        <f t="shared" si="10"/>
        <v>0</v>
      </c>
      <c r="E88" s="434"/>
      <c r="F88" s="434"/>
      <c r="G88" s="434"/>
      <c r="H88" s="434"/>
      <c r="I88" s="434"/>
      <c r="J88" s="434"/>
      <c r="K88" s="434"/>
      <c r="L88" s="434"/>
      <c r="M88" s="434"/>
      <c r="N88" s="434"/>
      <c r="O88" s="434"/>
      <c r="P88" s="432">
        <f t="shared" si="15"/>
        <v>0</v>
      </c>
      <c r="Q88" s="431"/>
      <c r="R88" s="431"/>
      <c r="S88" s="431"/>
      <c r="T88" s="431"/>
      <c r="U88" s="431"/>
      <c r="V88" s="431"/>
      <c r="W88" s="431"/>
      <c r="X88" s="431"/>
      <c r="Y88" s="431"/>
      <c r="Z88" s="468"/>
      <c r="AA88" s="431"/>
      <c r="AB88" s="431"/>
      <c r="AC88" s="469"/>
      <c r="AD88" s="434"/>
      <c r="AE88" s="434"/>
      <c r="AF88" s="434"/>
      <c r="AG88" s="434"/>
      <c r="AH88" s="434"/>
      <c r="AI88" s="469"/>
      <c r="AJ88" s="469"/>
      <c r="AK88" s="434"/>
      <c r="AL88" s="434"/>
      <c r="AM88" s="434"/>
    </row>
    <row r="89" spans="1:39" s="155" customFormat="1" ht="12" hidden="1" x14ac:dyDescent="0.2">
      <c r="A89" s="168">
        <v>35</v>
      </c>
      <c r="B89" s="168"/>
      <c r="C89" s="172"/>
      <c r="D89" s="432">
        <f t="shared" si="10"/>
        <v>0</v>
      </c>
      <c r="E89" s="434"/>
      <c r="F89" s="434"/>
      <c r="G89" s="434"/>
      <c r="H89" s="434"/>
      <c r="I89" s="434"/>
      <c r="J89" s="434"/>
      <c r="K89" s="434"/>
      <c r="L89" s="434"/>
      <c r="M89" s="434"/>
      <c r="N89" s="434"/>
      <c r="O89" s="434"/>
      <c r="P89" s="432">
        <f t="shared" si="15"/>
        <v>0</v>
      </c>
      <c r="Q89" s="431"/>
      <c r="R89" s="431"/>
      <c r="S89" s="431"/>
      <c r="T89" s="431"/>
      <c r="U89" s="431"/>
      <c r="V89" s="431"/>
      <c r="W89" s="431"/>
      <c r="X89" s="431"/>
      <c r="Y89" s="431"/>
      <c r="Z89" s="468"/>
      <c r="AA89" s="431"/>
      <c r="AB89" s="431"/>
      <c r="AC89" s="469"/>
      <c r="AD89" s="434"/>
      <c r="AE89" s="434"/>
      <c r="AF89" s="434"/>
      <c r="AG89" s="434"/>
      <c r="AH89" s="434"/>
      <c r="AI89" s="469"/>
      <c r="AJ89" s="469"/>
      <c r="AK89" s="434"/>
      <c r="AL89" s="434"/>
      <c r="AM89" s="434"/>
    </row>
    <row r="90" spans="1:39" s="155" customFormat="1" ht="12" hidden="1" x14ac:dyDescent="0.2">
      <c r="A90" s="168">
        <v>36</v>
      </c>
      <c r="B90" s="168"/>
      <c r="C90" s="172"/>
      <c r="D90" s="432">
        <f t="shared" si="10"/>
        <v>0</v>
      </c>
      <c r="E90" s="434"/>
      <c r="F90" s="434"/>
      <c r="G90" s="434"/>
      <c r="H90" s="434"/>
      <c r="I90" s="434"/>
      <c r="J90" s="434"/>
      <c r="K90" s="434"/>
      <c r="L90" s="434"/>
      <c r="M90" s="434"/>
      <c r="N90" s="434"/>
      <c r="O90" s="434"/>
      <c r="P90" s="432">
        <f t="shared" si="15"/>
        <v>0</v>
      </c>
      <c r="Q90" s="431"/>
      <c r="R90" s="431"/>
      <c r="S90" s="431"/>
      <c r="T90" s="431"/>
      <c r="U90" s="431"/>
      <c r="V90" s="431"/>
      <c r="W90" s="431"/>
      <c r="X90" s="431"/>
      <c r="Y90" s="431"/>
      <c r="Z90" s="468"/>
      <c r="AA90" s="431"/>
      <c r="AB90" s="431"/>
      <c r="AC90" s="469"/>
      <c r="AD90" s="434"/>
      <c r="AE90" s="434"/>
      <c r="AF90" s="434"/>
      <c r="AG90" s="434"/>
      <c r="AH90" s="434"/>
      <c r="AI90" s="469"/>
      <c r="AJ90" s="469"/>
      <c r="AK90" s="434"/>
      <c r="AL90" s="434"/>
      <c r="AM90" s="434"/>
    </row>
    <row r="91" spans="1:39" s="155" customFormat="1" ht="12" hidden="1" x14ac:dyDescent="0.2">
      <c r="A91" s="168">
        <v>37</v>
      </c>
      <c r="B91" s="168"/>
      <c r="C91" s="172"/>
      <c r="D91" s="432">
        <f t="shared" si="10"/>
        <v>0</v>
      </c>
      <c r="E91" s="434"/>
      <c r="F91" s="434"/>
      <c r="G91" s="434"/>
      <c r="H91" s="434"/>
      <c r="I91" s="434"/>
      <c r="J91" s="434"/>
      <c r="K91" s="434"/>
      <c r="L91" s="434"/>
      <c r="M91" s="434"/>
      <c r="N91" s="434"/>
      <c r="O91" s="434"/>
      <c r="P91" s="432">
        <f t="shared" si="15"/>
        <v>0</v>
      </c>
      <c r="Q91" s="431"/>
      <c r="R91" s="431"/>
      <c r="S91" s="431"/>
      <c r="T91" s="431"/>
      <c r="U91" s="431"/>
      <c r="V91" s="431"/>
      <c r="W91" s="431"/>
      <c r="X91" s="431"/>
      <c r="Y91" s="431"/>
      <c r="Z91" s="468"/>
      <c r="AA91" s="431"/>
      <c r="AB91" s="431"/>
      <c r="AC91" s="469"/>
      <c r="AD91" s="434"/>
      <c r="AE91" s="434"/>
      <c r="AF91" s="434"/>
      <c r="AG91" s="434"/>
      <c r="AH91" s="434"/>
      <c r="AI91" s="469"/>
      <c r="AJ91" s="469"/>
      <c r="AK91" s="434"/>
      <c r="AL91" s="434"/>
      <c r="AM91" s="434"/>
    </row>
    <row r="92" spans="1:39" s="155" customFormat="1" ht="12" hidden="1" x14ac:dyDescent="0.2">
      <c r="A92" s="168">
        <v>38</v>
      </c>
      <c r="B92" s="168"/>
      <c r="C92" s="172"/>
      <c r="D92" s="432">
        <f t="shared" si="10"/>
        <v>0</v>
      </c>
      <c r="E92" s="434"/>
      <c r="F92" s="434"/>
      <c r="G92" s="434"/>
      <c r="H92" s="434"/>
      <c r="I92" s="434"/>
      <c r="J92" s="434"/>
      <c r="K92" s="434"/>
      <c r="L92" s="434"/>
      <c r="M92" s="434"/>
      <c r="N92" s="434"/>
      <c r="O92" s="434"/>
      <c r="P92" s="432">
        <f t="shared" si="15"/>
        <v>0</v>
      </c>
      <c r="Q92" s="431"/>
      <c r="R92" s="431"/>
      <c r="S92" s="431"/>
      <c r="T92" s="431"/>
      <c r="U92" s="431"/>
      <c r="V92" s="431"/>
      <c r="W92" s="431"/>
      <c r="X92" s="431"/>
      <c r="Y92" s="431"/>
      <c r="Z92" s="468"/>
      <c r="AA92" s="431"/>
      <c r="AB92" s="431"/>
      <c r="AC92" s="469"/>
      <c r="AD92" s="434"/>
      <c r="AE92" s="434"/>
      <c r="AF92" s="434"/>
      <c r="AG92" s="434"/>
      <c r="AH92" s="434"/>
      <c r="AI92" s="469"/>
      <c r="AJ92" s="469"/>
      <c r="AK92" s="434"/>
      <c r="AL92" s="434"/>
      <c r="AM92" s="434"/>
    </row>
    <row r="93" spans="1:39" s="155" customFormat="1" ht="12" hidden="1" x14ac:dyDescent="0.2">
      <c r="A93" s="168">
        <v>39</v>
      </c>
      <c r="B93" s="168"/>
      <c r="C93" s="172"/>
      <c r="D93" s="432">
        <f t="shared" si="10"/>
        <v>0</v>
      </c>
      <c r="E93" s="434"/>
      <c r="F93" s="434"/>
      <c r="G93" s="434"/>
      <c r="H93" s="434"/>
      <c r="I93" s="434"/>
      <c r="J93" s="434"/>
      <c r="K93" s="434"/>
      <c r="L93" s="434"/>
      <c r="M93" s="434"/>
      <c r="N93" s="434"/>
      <c r="O93" s="434"/>
      <c r="P93" s="432">
        <f t="shared" si="15"/>
        <v>0</v>
      </c>
      <c r="Q93" s="431"/>
      <c r="R93" s="431"/>
      <c r="S93" s="431"/>
      <c r="T93" s="431"/>
      <c r="U93" s="431"/>
      <c r="V93" s="431"/>
      <c r="W93" s="431"/>
      <c r="X93" s="431"/>
      <c r="Y93" s="431"/>
      <c r="Z93" s="468"/>
      <c r="AA93" s="431"/>
      <c r="AB93" s="431"/>
      <c r="AC93" s="469"/>
      <c r="AD93" s="434"/>
      <c r="AE93" s="434"/>
      <c r="AF93" s="434"/>
      <c r="AG93" s="434"/>
      <c r="AH93" s="434"/>
      <c r="AI93" s="469"/>
      <c r="AJ93" s="469"/>
      <c r="AK93" s="434"/>
      <c r="AL93" s="434"/>
      <c r="AM93" s="434"/>
    </row>
    <row r="94" spans="1:39" s="155" customFormat="1" ht="12" hidden="1" x14ac:dyDescent="0.2">
      <c r="A94" s="168">
        <v>40</v>
      </c>
      <c r="B94" s="168"/>
      <c r="C94" s="172"/>
      <c r="D94" s="432">
        <f t="shared" si="10"/>
        <v>0</v>
      </c>
      <c r="E94" s="434"/>
      <c r="F94" s="434"/>
      <c r="G94" s="434"/>
      <c r="H94" s="434"/>
      <c r="I94" s="434"/>
      <c r="J94" s="434"/>
      <c r="K94" s="434"/>
      <c r="L94" s="434"/>
      <c r="M94" s="434"/>
      <c r="N94" s="434"/>
      <c r="O94" s="434"/>
      <c r="P94" s="432">
        <f t="shared" si="15"/>
        <v>0</v>
      </c>
      <c r="Q94" s="431"/>
      <c r="R94" s="431"/>
      <c r="S94" s="431"/>
      <c r="T94" s="431"/>
      <c r="U94" s="431"/>
      <c r="V94" s="431"/>
      <c r="W94" s="431"/>
      <c r="X94" s="431"/>
      <c r="Y94" s="431"/>
      <c r="Z94" s="468"/>
      <c r="AA94" s="431"/>
      <c r="AB94" s="431"/>
      <c r="AC94" s="469"/>
      <c r="AD94" s="434"/>
      <c r="AE94" s="434"/>
      <c r="AF94" s="434"/>
      <c r="AG94" s="434"/>
      <c r="AH94" s="434"/>
      <c r="AI94" s="469"/>
      <c r="AJ94" s="469"/>
      <c r="AK94" s="434"/>
      <c r="AL94" s="434"/>
      <c r="AM94" s="434"/>
    </row>
    <row r="95" spans="1:39" s="155" customFormat="1" ht="12" hidden="1" x14ac:dyDescent="0.2">
      <c r="A95" s="168">
        <v>41</v>
      </c>
      <c r="B95" s="168"/>
      <c r="C95" s="172"/>
      <c r="D95" s="432">
        <f t="shared" si="10"/>
        <v>0</v>
      </c>
      <c r="E95" s="431"/>
      <c r="F95" s="431"/>
      <c r="G95" s="431"/>
      <c r="H95" s="431"/>
      <c r="I95" s="431"/>
      <c r="J95" s="431"/>
      <c r="K95" s="431"/>
      <c r="L95" s="431"/>
      <c r="M95" s="431"/>
      <c r="N95" s="431"/>
      <c r="O95" s="431"/>
      <c r="P95" s="432">
        <f t="shared" si="15"/>
        <v>0</v>
      </c>
      <c r="Q95" s="431"/>
      <c r="R95" s="431"/>
      <c r="S95" s="431"/>
      <c r="T95" s="431"/>
      <c r="U95" s="431"/>
      <c r="V95" s="431"/>
      <c r="W95" s="431"/>
      <c r="X95" s="431"/>
      <c r="Y95" s="431"/>
      <c r="Z95" s="468"/>
      <c r="AA95" s="431"/>
      <c r="AB95" s="431"/>
      <c r="AC95" s="468"/>
      <c r="AD95" s="431"/>
      <c r="AE95" s="431"/>
      <c r="AF95" s="431"/>
      <c r="AG95" s="431"/>
      <c r="AH95" s="431"/>
      <c r="AI95" s="468"/>
      <c r="AJ95" s="468"/>
      <c r="AK95" s="431"/>
      <c r="AL95" s="431"/>
      <c r="AM95" s="431"/>
    </row>
    <row r="96" spans="1:39" s="155" customFormat="1" ht="12" hidden="1" x14ac:dyDescent="0.2">
      <c r="A96" s="168">
        <v>42</v>
      </c>
      <c r="B96" s="168"/>
      <c r="C96" s="172"/>
      <c r="D96" s="432">
        <f t="shared" si="10"/>
        <v>0</v>
      </c>
      <c r="E96" s="431"/>
      <c r="F96" s="431"/>
      <c r="G96" s="431"/>
      <c r="H96" s="431"/>
      <c r="I96" s="431"/>
      <c r="J96" s="431"/>
      <c r="K96" s="431"/>
      <c r="L96" s="431"/>
      <c r="M96" s="431"/>
      <c r="N96" s="431"/>
      <c r="O96" s="431"/>
      <c r="P96" s="432">
        <f t="shared" si="15"/>
        <v>0</v>
      </c>
      <c r="Q96" s="431"/>
      <c r="R96" s="431"/>
      <c r="S96" s="431"/>
      <c r="T96" s="431"/>
      <c r="U96" s="431"/>
      <c r="V96" s="431"/>
      <c r="W96" s="431"/>
      <c r="X96" s="431"/>
      <c r="Y96" s="431"/>
      <c r="Z96" s="468"/>
      <c r="AA96" s="431"/>
      <c r="AB96" s="431"/>
      <c r="AC96" s="468"/>
      <c r="AD96" s="431"/>
      <c r="AE96" s="431"/>
      <c r="AF96" s="431"/>
      <c r="AG96" s="431"/>
      <c r="AH96" s="431"/>
      <c r="AI96" s="468"/>
      <c r="AJ96" s="468"/>
      <c r="AK96" s="431"/>
      <c r="AL96" s="431"/>
      <c r="AM96" s="431"/>
    </row>
    <row r="97" spans="1:39" s="155" customFormat="1" ht="12" hidden="1" x14ac:dyDescent="0.2">
      <c r="A97" s="168">
        <v>43</v>
      </c>
      <c r="B97" s="168"/>
      <c r="C97" s="172"/>
      <c r="D97" s="432">
        <f t="shared" si="10"/>
        <v>0</v>
      </c>
      <c r="E97" s="431"/>
      <c r="F97" s="431"/>
      <c r="G97" s="431"/>
      <c r="H97" s="431"/>
      <c r="I97" s="431"/>
      <c r="J97" s="431"/>
      <c r="K97" s="431"/>
      <c r="L97" s="431"/>
      <c r="M97" s="431"/>
      <c r="N97" s="431"/>
      <c r="O97" s="431"/>
      <c r="P97" s="432">
        <f t="shared" si="15"/>
        <v>0</v>
      </c>
      <c r="Q97" s="431"/>
      <c r="R97" s="431"/>
      <c r="S97" s="431"/>
      <c r="T97" s="431"/>
      <c r="U97" s="431"/>
      <c r="V97" s="431"/>
      <c r="W97" s="431"/>
      <c r="X97" s="431"/>
      <c r="Y97" s="431"/>
      <c r="Z97" s="468"/>
      <c r="AA97" s="431"/>
      <c r="AB97" s="431"/>
      <c r="AC97" s="468"/>
      <c r="AD97" s="431"/>
      <c r="AE97" s="431"/>
      <c r="AF97" s="431"/>
      <c r="AG97" s="431"/>
      <c r="AH97" s="431"/>
      <c r="AI97" s="468"/>
      <c r="AJ97" s="468"/>
      <c r="AK97" s="431"/>
      <c r="AL97" s="431"/>
      <c r="AM97" s="431"/>
    </row>
    <row r="98" spans="1:39" s="155" customFormat="1" ht="12" hidden="1" x14ac:dyDescent="0.2">
      <c r="A98" s="168">
        <v>44</v>
      </c>
      <c r="B98" s="168"/>
      <c r="C98" s="172"/>
      <c r="D98" s="432">
        <f t="shared" si="10"/>
        <v>0</v>
      </c>
      <c r="E98" s="431"/>
      <c r="F98" s="431"/>
      <c r="G98" s="431"/>
      <c r="H98" s="431"/>
      <c r="I98" s="431"/>
      <c r="J98" s="431"/>
      <c r="K98" s="431"/>
      <c r="L98" s="431"/>
      <c r="M98" s="431"/>
      <c r="N98" s="431"/>
      <c r="O98" s="431"/>
      <c r="P98" s="432">
        <f t="shared" si="15"/>
        <v>0</v>
      </c>
      <c r="Q98" s="431"/>
      <c r="R98" s="431"/>
      <c r="S98" s="431"/>
      <c r="T98" s="431"/>
      <c r="U98" s="431"/>
      <c r="V98" s="431"/>
      <c r="W98" s="431"/>
      <c r="X98" s="431"/>
      <c r="Y98" s="431"/>
      <c r="Z98" s="468"/>
      <c r="AA98" s="431"/>
      <c r="AB98" s="431"/>
      <c r="AC98" s="468"/>
      <c r="AD98" s="431"/>
      <c r="AE98" s="431"/>
      <c r="AF98" s="431"/>
      <c r="AG98" s="431"/>
      <c r="AH98" s="431"/>
      <c r="AI98" s="468"/>
      <c r="AJ98" s="468"/>
      <c r="AK98" s="431"/>
      <c r="AL98" s="431"/>
      <c r="AM98" s="431"/>
    </row>
    <row r="99" spans="1:39" s="155" customFormat="1" ht="12" hidden="1" x14ac:dyDescent="0.2">
      <c r="A99" s="168">
        <v>45</v>
      </c>
      <c r="B99" s="168"/>
      <c r="C99" s="172"/>
      <c r="D99" s="432">
        <f t="shared" si="10"/>
        <v>0</v>
      </c>
      <c r="E99" s="431"/>
      <c r="F99" s="431"/>
      <c r="G99" s="431"/>
      <c r="H99" s="431"/>
      <c r="I99" s="431"/>
      <c r="J99" s="431"/>
      <c r="K99" s="431"/>
      <c r="L99" s="431"/>
      <c r="M99" s="431"/>
      <c r="N99" s="431"/>
      <c r="O99" s="431"/>
      <c r="P99" s="432">
        <f t="shared" si="15"/>
        <v>0</v>
      </c>
      <c r="Q99" s="431"/>
      <c r="R99" s="431"/>
      <c r="S99" s="431"/>
      <c r="T99" s="431"/>
      <c r="U99" s="431"/>
      <c r="V99" s="431"/>
      <c r="W99" s="431"/>
      <c r="X99" s="431"/>
      <c r="Y99" s="431"/>
      <c r="Z99" s="468"/>
      <c r="AA99" s="431"/>
      <c r="AB99" s="431"/>
      <c r="AC99" s="468"/>
      <c r="AD99" s="431"/>
      <c r="AE99" s="431"/>
      <c r="AF99" s="431"/>
      <c r="AG99" s="431"/>
      <c r="AH99" s="431"/>
      <c r="AI99" s="468"/>
      <c r="AJ99" s="468"/>
      <c r="AK99" s="431"/>
      <c r="AL99" s="431"/>
      <c r="AM99" s="431"/>
    </row>
    <row r="100" spans="1:39" s="155" customFormat="1" ht="12" hidden="1" x14ac:dyDescent="0.2">
      <c r="A100" s="168">
        <v>46</v>
      </c>
      <c r="B100" s="168"/>
      <c r="C100" s="172"/>
      <c r="D100" s="432">
        <f t="shared" si="10"/>
        <v>0</v>
      </c>
      <c r="E100" s="431"/>
      <c r="F100" s="431"/>
      <c r="G100" s="431"/>
      <c r="H100" s="431"/>
      <c r="I100" s="431"/>
      <c r="J100" s="431"/>
      <c r="K100" s="431"/>
      <c r="L100" s="431"/>
      <c r="M100" s="431"/>
      <c r="N100" s="431"/>
      <c r="O100" s="431"/>
      <c r="P100" s="432">
        <f t="shared" si="15"/>
        <v>0</v>
      </c>
      <c r="Q100" s="431"/>
      <c r="R100" s="431"/>
      <c r="S100" s="431"/>
      <c r="T100" s="431"/>
      <c r="U100" s="431"/>
      <c r="V100" s="431"/>
      <c r="W100" s="431"/>
      <c r="X100" s="431"/>
      <c r="Y100" s="431"/>
      <c r="Z100" s="468"/>
      <c r="AA100" s="431"/>
      <c r="AB100" s="431"/>
      <c r="AC100" s="468"/>
      <c r="AD100" s="431"/>
      <c r="AE100" s="431"/>
      <c r="AF100" s="431"/>
      <c r="AG100" s="431"/>
      <c r="AH100" s="431"/>
      <c r="AI100" s="468"/>
      <c r="AJ100" s="468"/>
      <c r="AK100" s="431"/>
      <c r="AL100" s="431"/>
      <c r="AM100" s="431"/>
    </row>
    <row r="101" spans="1:39" s="155" customFormat="1" ht="12" hidden="1" x14ac:dyDescent="0.2">
      <c r="A101" s="168">
        <v>47</v>
      </c>
      <c r="B101" s="168"/>
      <c r="C101" s="172"/>
      <c r="D101" s="432">
        <f t="shared" si="10"/>
        <v>0</v>
      </c>
      <c r="E101" s="431"/>
      <c r="F101" s="431"/>
      <c r="G101" s="431"/>
      <c r="H101" s="431"/>
      <c r="I101" s="431"/>
      <c r="J101" s="431"/>
      <c r="K101" s="431"/>
      <c r="L101" s="431"/>
      <c r="M101" s="431"/>
      <c r="N101" s="431"/>
      <c r="O101" s="431"/>
      <c r="P101" s="432">
        <f t="shared" si="15"/>
        <v>0</v>
      </c>
      <c r="Q101" s="431"/>
      <c r="R101" s="468"/>
      <c r="S101" s="431"/>
      <c r="T101" s="431"/>
      <c r="U101" s="431"/>
      <c r="V101" s="431"/>
      <c r="W101" s="431"/>
      <c r="X101" s="431"/>
      <c r="Y101" s="431"/>
      <c r="Z101" s="468"/>
      <c r="AA101" s="431"/>
      <c r="AB101" s="431"/>
      <c r="AC101" s="468"/>
      <c r="AD101" s="431"/>
      <c r="AE101" s="431"/>
      <c r="AF101" s="431"/>
      <c r="AG101" s="431"/>
      <c r="AH101" s="431"/>
      <c r="AI101" s="468"/>
      <c r="AJ101" s="468"/>
      <c r="AK101" s="431"/>
      <c r="AL101" s="431"/>
      <c r="AM101" s="431"/>
    </row>
    <row r="102" spans="1:39" s="155" customFormat="1" ht="12" hidden="1" x14ac:dyDescent="0.2">
      <c r="A102" s="168">
        <v>48</v>
      </c>
      <c r="B102" s="168"/>
      <c r="C102" s="172"/>
      <c r="D102" s="432">
        <f t="shared" si="10"/>
        <v>0</v>
      </c>
      <c r="E102" s="431"/>
      <c r="F102" s="431"/>
      <c r="G102" s="431"/>
      <c r="H102" s="431"/>
      <c r="I102" s="431"/>
      <c r="J102" s="431"/>
      <c r="K102" s="468"/>
      <c r="L102" s="431"/>
      <c r="M102" s="431"/>
      <c r="N102" s="431"/>
      <c r="O102" s="431"/>
      <c r="P102" s="432">
        <f t="shared" si="15"/>
        <v>0</v>
      </c>
      <c r="Q102" s="431"/>
      <c r="R102" s="431"/>
      <c r="S102" s="431"/>
      <c r="T102" s="431"/>
      <c r="U102" s="431"/>
      <c r="V102" s="431"/>
      <c r="W102" s="431"/>
      <c r="X102" s="431"/>
      <c r="Y102" s="431"/>
      <c r="Z102" s="468"/>
      <c r="AA102" s="431"/>
      <c r="AB102" s="431"/>
      <c r="AC102" s="468"/>
      <c r="AD102" s="431"/>
      <c r="AE102" s="431"/>
      <c r="AF102" s="431"/>
      <c r="AG102" s="431"/>
      <c r="AH102" s="431"/>
      <c r="AI102" s="468"/>
      <c r="AJ102" s="468"/>
      <c r="AK102" s="431"/>
      <c r="AL102" s="431"/>
      <c r="AM102" s="431"/>
    </row>
    <row r="103" spans="1:39" s="155" customFormat="1" ht="12" hidden="1" x14ac:dyDescent="0.2">
      <c r="A103" s="168">
        <v>49</v>
      </c>
      <c r="B103" s="168"/>
      <c r="C103" s="172"/>
      <c r="D103" s="432">
        <f t="shared" si="10"/>
        <v>0</v>
      </c>
      <c r="E103" s="431"/>
      <c r="F103" s="431"/>
      <c r="G103" s="431"/>
      <c r="H103" s="431"/>
      <c r="I103" s="431"/>
      <c r="J103" s="431"/>
      <c r="K103" s="431"/>
      <c r="L103" s="431"/>
      <c r="M103" s="431"/>
      <c r="N103" s="431"/>
      <c r="O103" s="431"/>
      <c r="P103" s="432">
        <f t="shared" si="15"/>
        <v>0</v>
      </c>
      <c r="Q103" s="431"/>
      <c r="R103" s="431"/>
      <c r="S103" s="431"/>
      <c r="T103" s="431"/>
      <c r="U103" s="431"/>
      <c r="V103" s="431"/>
      <c r="W103" s="431"/>
      <c r="X103" s="431"/>
      <c r="Y103" s="431"/>
      <c r="Z103" s="468"/>
      <c r="AA103" s="431"/>
      <c r="AB103" s="431"/>
      <c r="AC103" s="468"/>
      <c r="AD103" s="431"/>
      <c r="AE103" s="431"/>
      <c r="AF103" s="431"/>
      <c r="AG103" s="431"/>
      <c r="AH103" s="431"/>
      <c r="AI103" s="468"/>
      <c r="AJ103" s="468"/>
      <c r="AK103" s="431"/>
      <c r="AL103" s="431"/>
      <c r="AM103" s="431"/>
    </row>
    <row r="104" spans="1:39" s="155" customFormat="1" ht="12" hidden="1" x14ac:dyDescent="0.2">
      <c r="A104" s="168">
        <v>50</v>
      </c>
      <c r="B104" s="168"/>
      <c r="C104" s="172"/>
      <c r="D104" s="432">
        <f t="shared" si="10"/>
        <v>0</v>
      </c>
      <c r="E104" s="431"/>
      <c r="F104" s="431"/>
      <c r="G104" s="431"/>
      <c r="H104" s="431"/>
      <c r="I104" s="431"/>
      <c r="J104" s="431"/>
      <c r="K104" s="431"/>
      <c r="L104" s="431"/>
      <c r="M104" s="431"/>
      <c r="N104" s="431"/>
      <c r="O104" s="431"/>
      <c r="P104" s="432">
        <f t="shared" si="15"/>
        <v>0</v>
      </c>
      <c r="Q104" s="431"/>
      <c r="R104" s="431"/>
      <c r="S104" s="431"/>
      <c r="T104" s="431"/>
      <c r="U104" s="431"/>
      <c r="V104" s="431"/>
      <c r="W104" s="431"/>
      <c r="X104" s="431"/>
      <c r="Y104" s="431"/>
      <c r="Z104" s="468"/>
      <c r="AA104" s="431"/>
      <c r="AB104" s="431"/>
      <c r="AC104" s="468"/>
      <c r="AD104" s="431"/>
      <c r="AE104" s="431"/>
      <c r="AF104" s="431"/>
      <c r="AG104" s="431"/>
      <c r="AH104" s="431"/>
      <c r="AI104" s="468"/>
      <c r="AJ104" s="468"/>
      <c r="AK104" s="431"/>
      <c r="AL104" s="431"/>
      <c r="AM104" s="431"/>
    </row>
    <row r="105" spans="1:39" s="155" customFormat="1" ht="12" hidden="1" x14ac:dyDescent="0.2">
      <c r="A105" s="168">
        <v>51</v>
      </c>
      <c r="B105" s="168"/>
      <c r="C105" s="172"/>
      <c r="D105" s="432">
        <f t="shared" si="10"/>
        <v>0</v>
      </c>
      <c r="E105" s="431"/>
      <c r="F105" s="431"/>
      <c r="G105" s="431"/>
      <c r="H105" s="431"/>
      <c r="I105" s="431"/>
      <c r="J105" s="431"/>
      <c r="K105" s="431"/>
      <c r="L105" s="431"/>
      <c r="M105" s="431"/>
      <c r="N105" s="431"/>
      <c r="O105" s="431"/>
      <c r="P105" s="432">
        <f t="shared" si="15"/>
        <v>0</v>
      </c>
      <c r="Q105" s="431"/>
      <c r="R105" s="431"/>
      <c r="S105" s="431"/>
      <c r="T105" s="431"/>
      <c r="U105" s="431"/>
      <c r="V105" s="431"/>
      <c r="W105" s="431"/>
      <c r="X105" s="431"/>
      <c r="Y105" s="431"/>
      <c r="Z105" s="468"/>
      <c r="AA105" s="431"/>
      <c r="AB105" s="431"/>
      <c r="AC105" s="468"/>
      <c r="AD105" s="431"/>
      <c r="AE105" s="431"/>
      <c r="AF105" s="431"/>
      <c r="AG105" s="431"/>
      <c r="AH105" s="431"/>
      <c r="AI105" s="468"/>
      <c r="AJ105" s="468"/>
      <c r="AK105" s="431"/>
      <c r="AL105" s="431"/>
      <c r="AM105" s="431"/>
    </row>
    <row r="106" spans="1:39" s="155" customFormat="1" ht="12" hidden="1" x14ac:dyDescent="0.2">
      <c r="A106" s="168">
        <v>52</v>
      </c>
      <c r="B106" s="168"/>
      <c r="C106" s="172"/>
      <c r="D106" s="432">
        <f t="shared" si="10"/>
        <v>0</v>
      </c>
      <c r="E106" s="431"/>
      <c r="F106" s="431"/>
      <c r="G106" s="431"/>
      <c r="H106" s="431"/>
      <c r="I106" s="431"/>
      <c r="J106" s="431"/>
      <c r="K106" s="431"/>
      <c r="L106" s="431"/>
      <c r="M106" s="431"/>
      <c r="N106" s="431"/>
      <c r="O106" s="431"/>
      <c r="P106" s="432">
        <f t="shared" si="15"/>
        <v>0</v>
      </c>
      <c r="Q106" s="431"/>
      <c r="R106" s="431"/>
      <c r="S106" s="431"/>
      <c r="T106" s="431"/>
      <c r="U106" s="431"/>
      <c r="V106" s="431"/>
      <c r="W106" s="431"/>
      <c r="X106" s="431"/>
      <c r="Y106" s="431"/>
      <c r="Z106" s="468"/>
      <c r="AA106" s="431"/>
      <c r="AB106" s="431"/>
      <c r="AC106" s="468"/>
      <c r="AD106" s="431"/>
      <c r="AE106" s="431"/>
      <c r="AF106" s="431"/>
      <c r="AG106" s="431"/>
      <c r="AH106" s="431"/>
      <c r="AI106" s="468"/>
      <c r="AJ106" s="468"/>
      <c r="AK106" s="431"/>
      <c r="AL106" s="431"/>
      <c r="AM106" s="431"/>
    </row>
    <row r="107" spans="1:39" s="155" customFormat="1" ht="12" hidden="1" x14ac:dyDescent="0.2">
      <c r="A107" s="168">
        <v>53</v>
      </c>
      <c r="B107" s="168"/>
      <c r="C107" s="172"/>
      <c r="D107" s="432">
        <f t="shared" si="10"/>
        <v>0</v>
      </c>
      <c r="E107" s="431"/>
      <c r="F107" s="431"/>
      <c r="G107" s="431"/>
      <c r="H107" s="431"/>
      <c r="I107" s="431"/>
      <c r="J107" s="431"/>
      <c r="K107" s="431"/>
      <c r="L107" s="431"/>
      <c r="M107" s="431"/>
      <c r="N107" s="431"/>
      <c r="O107" s="431"/>
      <c r="P107" s="432">
        <f t="shared" si="15"/>
        <v>0</v>
      </c>
      <c r="Q107" s="431"/>
      <c r="R107" s="431"/>
      <c r="S107" s="431"/>
      <c r="T107" s="431"/>
      <c r="U107" s="431"/>
      <c r="V107" s="431"/>
      <c r="W107" s="431"/>
      <c r="X107" s="431"/>
      <c r="Y107" s="431"/>
      <c r="Z107" s="468"/>
      <c r="AA107" s="431"/>
      <c r="AB107" s="431"/>
      <c r="AC107" s="468"/>
      <c r="AD107" s="431"/>
      <c r="AE107" s="431"/>
      <c r="AF107" s="431"/>
      <c r="AG107" s="431"/>
      <c r="AH107" s="431"/>
      <c r="AI107" s="468"/>
      <c r="AJ107" s="468"/>
      <c r="AK107" s="431"/>
      <c r="AL107" s="431"/>
      <c r="AM107" s="431"/>
    </row>
    <row r="108" spans="1:39" s="155" customFormat="1" ht="12" hidden="1" x14ac:dyDescent="0.2">
      <c r="A108" s="168">
        <v>54</v>
      </c>
      <c r="B108" s="168"/>
      <c r="C108" s="182"/>
      <c r="D108" s="432">
        <f t="shared" si="10"/>
        <v>0</v>
      </c>
      <c r="E108" s="431"/>
      <c r="F108" s="431"/>
      <c r="G108" s="431"/>
      <c r="H108" s="431"/>
      <c r="I108" s="431"/>
      <c r="J108" s="431"/>
      <c r="K108" s="431"/>
      <c r="L108" s="431"/>
      <c r="M108" s="431"/>
      <c r="N108" s="431"/>
      <c r="O108" s="431"/>
      <c r="P108" s="432">
        <f t="shared" si="15"/>
        <v>0</v>
      </c>
      <c r="Q108" s="431"/>
      <c r="R108" s="431"/>
      <c r="S108" s="431"/>
      <c r="T108" s="431"/>
      <c r="U108" s="431"/>
      <c r="V108" s="431"/>
      <c r="W108" s="431"/>
      <c r="X108" s="431"/>
      <c r="Y108" s="431"/>
      <c r="Z108" s="468"/>
      <c r="AA108" s="431"/>
      <c r="AB108" s="431"/>
      <c r="AC108" s="468"/>
      <c r="AD108" s="431"/>
      <c r="AE108" s="431"/>
      <c r="AF108" s="431"/>
      <c r="AG108" s="431"/>
      <c r="AH108" s="431"/>
      <c r="AI108" s="468"/>
      <c r="AJ108" s="468"/>
      <c r="AK108" s="431"/>
      <c r="AL108" s="431"/>
      <c r="AM108" s="431"/>
    </row>
    <row r="109" spans="1:39" s="155" customFormat="1" ht="12" hidden="1" x14ac:dyDescent="0.2">
      <c r="A109" s="168">
        <v>55</v>
      </c>
      <c r="B109" s="168"/>
      <c r="C109" s="172"/>
      <c r="D109" s="432">
        <f t="shared" si="10"/>
        <v>0</v>
      </c>
      <c r="E109" s="431"/>
      <c r="F109" s="431"/>
      <c r="G109" s="431"/>
      <c r="H109" s="431"/>
      <c r="I109" s="431"/>
      <c r="J109" s="431"/>
      <c r="K109" s="431"/>
      <c r="L109" s="431"/>
      <c r="M109" s="431"/>
      <c r="N109" s="431"/>
      <c r="O109" s="431"/>
      <c r="P109" s="432">
        <f t="shared" si="15"/>
        <v>0</v>
      </c>
      <c r="Q109" s="431"/>
      <c r="R109" s="431"/>
      <c r="S109" s="431"/>
      <c r="T109" s="431"/>
      <c r="U109" s="431"/>
      <c r="V109" s="431"/>
      <c r="W109" s="431"/>
      <c r="X109" s="431"/>
      <c r="Y109" s="431"/>
      <c r="Z109" s="468"/>
      <c r="AA109" s="431"/>
      <c r="AB109" s="431"/>
      <c r="AC109" s="468"/>
      <c r="AD109" s="431"/>
      <c r="AE109" s="431"/>
      <c r="AF109" s="431"/>
      <c r="AG109" s="431"/>
      <c r="AH109" s="431"/>
      <c r="AI109" s="468"/>
      <c r="AJ109" s="468"/>
      <c r="AK109" s="431"/>
      <c r="AL109" s="431"/>
      <c r="AM109" s="431"/>
    </row>
    <row r="110" spans="1:39" s="155" customFormat="1" ht="12" hidden="1" x14ac:dyDescent="0.2">
      <c r="A110" s="168">
        <v>56</v>
      </c>
      <c r="B110" s="168"/>
      <c r="C110" s="172"/>
      <c r="D110" s="432">
        <f t="shared" si="10"/>
        <v>0</v>
      </c>
      <c r="E110" s="431"/>
      <c r="F110" s="431"/>
      <c r="G110" s="431"/>
      <c r="H110" s="431"/>
      <c r="I110" s="431"/>
      <c r="J110" s="431"/>
      <c r="K110" s="431"/>
      <c r="L110" s="431"/>
      <c r="M110" s="431"/>
      <c r="N110" s="431"/>
      <c r="O110" s="431"/>
      <c r="P110" s="432">
        <f t="shared" si="15"/>
        <v>0</v>
      </c>
      <c r="Q110" s="431"/>
      <c r="R110" s="431"/>
      <c r="S110" s="431"/>
      <c r="T110" s="431"/>
      <c r="U110" s="431"/>
      <c r="V110" s="431"/>
      <c r="W110" s="431"/>
      <c r="X110" s="431"/>
      <c r="Y110" s="431"/>
      <c r="Z110" s="468"/>
      <c r="AA110" s="431"/>
      <c r="AB110" s="431"/>
      <c r="AC110" s="468"/>
      <c r="AD110" s="431"/>
      <c r="AE110" s="431"/>
      <c r="AF110" s="431"/>
      <c r="AG110" s="431"/>
      <c r="AH110" s="431"/>
      <c r="AI110" s="468"/>
      <c r="AJ110" s="468"/>
      <c r="AK110" s="431"/>
      <c r="AL110" s="431"/>
      <c r="AM110" s="431"/>
    </row>
    <row r="111" spans="1:39" s="155" customFormat="1" ht="12" hidden="1" x14ac:dyDescent="0.2">
      <c r="A111" s="168">
        <v>57</v>
      </c>
      <c r="B111" s="168"/>
      <c r="C111" s="172"/>
      <c r="D111" s="432">
        <f t="shared" si="10"/>
        <v>0</v>
      </c>
      <c r="E111" s="431"/>
      <c r="F111" s="431"/>
      <c r="G111" s="431"/>
      <c r="H111" s="431"/>
      <c r="I111" s="431"/>
      <c r="J111" s="431"/>
      <c r="K111" s="431"/>
      <c r="L111" s="431"/>
      <c r="M111" s="431"/>
      <c r="N111" s="431"/>
      <c r="O111" s="431"/>
      <c r="P111" s="432">
        <f t="shared" si="15"/>
        <v>0</v>
      </c>
      <c r="Q111" s="431"/>
      <c r="R111" s="431"/>
      <c r="S111" s="431"/>
      <c r="T111" s="431"/>
      <c r="U111" s="431"/>
      <c r="V111" s="431"/>
      <c r="W111" s="431"/>
      <c r="X111" s="431"/>
      <c r="Y111" s="431"/>
      <c r="Z111" s="468"/>
      <c r="AA111" s="431"/>
      <c r="AB111" s="431"/>
      <c r="AC111" s="468"/>
      <c r="AD111" s="431"/>
      <c r="AE111" s="431"/>
      <c r="AF111" s="431"/>
      <c r="AG111" s="431"/>
      <c r="AH111" s="431"/>
      <c r="AI111" s="468"/>
      <c r="AJ111" s="468"/>
      <c r="AK111" s="431"/>
      <c r="AL111" s="431"/>
      <c r="AM111" s="431"/>
    </row>
    <row r="112" spans="1:39" s="155" customFormat="1" ht="12" hidden="1" x14ac:dyDescent="0.2">
      <c r="A112" s="168">
        <v>58</v>
      </c>
      <c r="B112" s="168"/>
      <c r="C112" s="172"/>
      <c r="D112" s="432">
        <f t="shared" si="10"/>
        <v>0</v>
      </c>
      <c r="E112" s="431"/>
      <c r="F112" s="431"/>
      <c r="G112" s="431"/>
      <c r="H112" s="431"/>
      <c r="I112" s="431"/>
      <c r="J112" s="431"/>
      <c r="K112" s="431"/>
      <c r="L112" s="431"/>
      <c r="M112" s="431"/>
      <c r="N112" s="431"/>
      <c r="O112" s="431"/>
      <c r="P112" s="432">
        <f t="shared" si="15"/>
        <v>0</v>
      </c>
      <c r="Q112" s="431"/>
      <c r="R112" s="468"/>
      <c r="S112" s="431"/>
      <c r="T112" s="431"/>
      <c r="U112" s="431"/>
      <c r="V112" s="431"/>
      <c r="W112" s="431"/>
      <c r="X112" s="431"/>
      <c r="Y112" s="431"/>
      <c r="Z112" s="468"/>
      <c r="AA112" s="431"/>
      <c r="AB112" s="431"/>
      <c r="AC112" s="468"/>
      <c r="AD112" s="431"/>
      <c r="AE112" s="431"/>
      <c r="AF112" s="431"/>
      <c r="AG112" s="431"/>
      <c r="AH112" s="431"/>
      <c r="AI112" s="468"/>
      <c r="AJ112" s="468"/>
      <c r="AK112" s="431"/>
      <c r="AL112" s="431"/>
      <c r="AM112" s="431"/>
    </row>
    <row r="113" spans="1:39" s="155" customFormat="1" ht="12" hidden="1" x14ac:dyDescent="0.2">
      <c r="A113" s="168">
        <v>59</v>
      </c>
      <c r="B113" s="168"/>
      <c r="C113" s="172"/>
      <c r="D113" s="432">
        <f t="shared" si="10"/>
        <v>0</v>
      </c>
      <c r="E113" s="431"/>
      <c r="F113" s="431"/>
      <c r="G113" s="431"/>
      <c r="H113" s="431"/>
      <c r="I113" s="431"/>
      <c r="J113" s="431"/>
      <c r="K113" s="431"/>
      <c r="L113" s="431"/>
      <c r="M113" s="431"/>
      <c r="N113" s="431"/>
      <c r="O113" s="431"/>
      <c r="P113" s="432">
        <f t="shared" si="15"/>
        <v>0</v>
      </c>
      <c r="Q113" s="431"/>
      <c r="R113" s="431"/>
      <c r="S113" s="431"/>
      <c r="T113" s="431"/>
      <c r="U113" s="431"/>
      <c r="V113" s="431"/>
      <c r="W113" s="431"/>
      <c r="X113" s="431"/>
      <c r="Y113" s="431"/>
      <c r="Z113" s="468"/>
      <c r="AA113" s="431"/>
      <c r="AB113" s="431"/>
      <c r="AC113" s="468"/>
      <c r="AD113" s="431"/>
      <c r="AE113" s="431"/>
      <c r="AF113" s="431"/>
      <c r="AG113" s="431"/>
      <c r="AH113" s="431"/>
      <c r="AI113" s="468"/>
      <c r="AJ113" s="468"/>
      <c r="AK113" s="431"/>
      <c r="AL113" s="431"/>
      <c r="AM113" s="431"/>
    </row>
    <row r="114" spans="1:39" s="155" customFormat="1" ht="12" hidden="1" x14ac:dyDescent="0.2">
      <c r="A114" s="168">
        <v>60</v>
      </c>
      <c r="B114" s="168"/>
      <c r="C114" s="182"/>
      <c r="D114" s="432">
        <f t="shared" si="10"/>
        <v>0</v>
      </c>
      <c r="E114" s="431"/>
      <c r="F114" s="431"/>
      <c r="G114" s="431"/>
      <c r="H114" s="431"/>
      <c r="I114" s="431"/>
      <c r="J114" s="431"/>
      <c r="K114" s="431"/>
      <c r="L114" s="431"/>
      <c r="M114" s="431"/>
      <c r="N114" s="431"/>
      <c r="O114" s="431"/>
      <c r="P114" s="432">
        <f t="shared" si="15"/>
        <v>0</v>
      </c>
      <c r="Q114" s="431"/>
      <c r="R114" s="431"/>
      <c r="S114" s="431"/>
      <c r="T114" s="431"/>
      <c r="U114" s="431"/>
      <c r="V114" s="431"/>
      <c r="W114" s="431"/>
      <c r="X114" s="431"/>
      <c r="Y114" s="431"/>
      <c r="Z114" s="468"/>
      <c r="AA114" s="431"/>
      <c r="AB114" s="431"/>
      <c r="AC114" s="468"/>
      <c r="AD114" s="431"/>
      <c r="AE114" s="431"/>
      <c r="AF114" s="431"/>
      <c r="AG114" s="431"/>
      <c r="AH114" s="431"/>
      <c r="AI114" s="468"/>
      <c r="AJ114" s="468"/>
      <c r="AK114" s="431"/>
      <c r="AL114" s="431"/>
      <c r="AM114" s="431"/>
    </row>
    <row r="115" spans="1:39" s="155" customFormat="1" ht="12" hidden="1" x14ac:dyDescent="0.2">
      <c r="A115" s="168">
        <v>61</v>
      </c>
      <c r="B115" s="168"/>
      <c r="C115" s="172"/>
      <c r="D115" s="432">
        <f t="shared" si="10"/>
        <v>0</v>
      </c>
      <c r="E115" s="431"/>
      <c r="F115" s="431"/>
      <c r="G115" s="431"/>
      <c r="H115" s="431"/>
      <c r="I115" s="431"/>
      <c r="J115" s="431"/>
      <c r="K115" s="431"/>
      <c r="L115" s="431"/>
      <c r="M115" s="431"/>
      <c r="N115" s="431"/>
      <c r="O115" s="431"/>
      <c r="P115" s="432">
        <f t="shared" si="15"/>
        <v>0</v>
      </c>
      <c r="Q115" s="431"/>
      <c r="R115" s="431"/>
      <c r="S115" s="431"/>
      <c r="T115" s="431"/>
      <c r="U115" s="431"/>
      <c r="V115" s="431"/>
      <c r="W115" s="431"/>
      <c r="X115" s="431"/>
      <c r="Y115" s="431"/>
      <c r="Z115" s="468"/>
      <c r="AA115" s="431"/>
      <c r="AB115" s="431"/>
      <c r="AC115" s="468"/>
      <c r="AD115" s="431"/>
      <c r="AE115" s="431"/>
      <c r="AF115" s="431"/>
      <c r="AG115" s="431"/>
      <c r="AH115" s="431"/>
      <c r="AI115" s="468"/>
      <c r="AJ115" s="468"/>
      <c r="AK115" s="431"/>
      <c r="AL115" s="431"/>
      <c r="AM115" s="431"/>
    </row>
    <row r="116" spans="1:39" s="155" customFormat="1" ht="12" hidden="1" x14ac:dyDescent="0.2">
      <c r="A116" s="168">
        <v>62</v>
      </c>
      <c r="B116" s="168"/>
      <c r="C116" s="172"/>
      <c r="D116" s="432">
        <f t="shared" si="10"/>
        <v>0</v>
      </c>
      <c r="E116" s="431"/>
      <c r="F116" s="431"/>
      <c r="G116" s="431"/>
      <c r="H116" s="431"/>
      <c r="I116" s="431"/>
      <c r="J116" s="431"/>
      <c r="K116" s="431"/>
      <c r="L116" s="431"/>
      <c r="M116" s="431"/>
      <c r="N116" s="431"/>
      <c r="O116" s="431"/>
      <c r="P116" s="432">
        <f t="shared" si="15"/>
        <v>0</v>
      </c>
      <c r="Q116" s="431"/>
      <c r="R116" s="431"/>
      <c r="S116" s="431"/>
      <c r="T116" s="431"/>
      <c r="U116" s="431"/>
      <c r="V116" s="431"/>
      <c r="W116" s="431"/>
      <c r="X116" s="431"/>
      <c r="Y116" s="431"/>
      <c r="Z116" s="468"/>
      <c r="AA116" s="431"/>
      <c r="AB116" s="431"/>
      <c r="AC116" s="468"/>
      <c r="AD116" s="431"/>
      <c r="AE116" s="431"/>
      <c r="AF116" s="431"/>
      <c r="AG116" s="431"/>
      <c r="AH116" s="431"/>
      <c r="AI116" s="468"/>
      <c r="AJ116" s="468"/>
      <c r="AK116" s="431"/>
      <c r="AL116" s="431"/>
      <c r="AM116" s="431"/>
    </row>
    <row r="117" spans="1:39" s="155" customFormat="1" ht="12" hidden="1" x14ac:dyDescent="0.2">
      <c r="A117" s="168">
        <v>63</v>
      </c>
      <c r="B117" s="168"/>
      <c r="C117" s="182"/>
      <c r="D117" s="432">
        <f t="shared" si="10"/>
        <v>0</v>
      </c>
      <c r="E117" s="431"/>
      <c r="F117" s="431"/>
      <c r="G117" s="431"/>
      <c r="H117" s="431"/>
      <c r="I117" s="431"/>
      <c r="J117" s="431"/>
      <c r="K117" s="431"/>
      <c r="L117" s="431"/>
      <c r="M117" s="431"/>
      <c r="N117" s="431"/>
      <c r="O117" s="431"/>
      <c r="P117" s="432">
        <f t="shared" si="15"/>
        <v>0</v>
      </c>
      <c r="Q117" s="431"/>
      <c r="R117" s="431"/>
      <c r="S117" s="431"/>
      <c r="T117" s="431"/>
      <c r="U117" s="431"/>
      <c r="V117" s="431"/>
      <c r="W117" s="431"/>
      <c r="X117" s="431"/>
      <c r="Y117" s="431"/>
      <c r="Z117" s="468"/>
      <c r="AA117" s="431"/>
      <c r="AB117" s="431"/>
      <c r="AC117" s="468"/>
      <c r="AD117" s="431"/>
      <c r="AE117" s="431"/>
      <c r="AF117" s="431"/>
      <c r="AG117" s="431"/>
      <c r="AH117" s="431"/>
      <c r="AI117" s="468"/>
      <c r="AJ117" s="468"/>
      <c r="AK117" s="431"/>
      <c r="AL117" s="431"/>
      <c r="AM117" s="431"/>
    </row>
    <row r="118" spans="1:39" s="155" customFormat="1" ht="12" hidden="1" x14ac:dyDescent="0.2">
      <c r="A118" s="168">
        <v>64</v>
      </c>
      <c r="B118" s="168"/>
      <c r="C118" s="172"/>
      <c r="D118" s="432">
        <f t="shared" ref="D118:D143" si="16">E118+SUM(H118:O118)</f>
        <v>0</v>
      </c>
      <c r="E118" s="431"/>
      <c r="F118" s="431"/>
      <c r="G118" s="431"/>
      <c r="H118" s="431"/>
      <c r="I118" s="431"/>
      <c r="J118" s="431"/>
      <c r="K118" s="431"/>
      <c r="L118" s="431"/>
      <c r="M118" s="431"/>
      <c r="N118" s="431"/>
      <c r="O118" s="431"/>
      <c r="P118" s="432">
        <f t="shared" si="15"/>
        <v>0</v>
      </c>
      <c r="Q118" s="431"/>
      <c r="R118" s="431"/>
      <c r="S118" s="431"/>
      <c r="T118" s="431"/>
      <c r="U118" s="431"/>
      <c r="V118" s="431"/>
      <c r="W118" s="431"/>
      <c r="X118" s="431"/>
      <c r="Y118" s="431"/>
      <c r="Z118" s="468"/>
      <c r="AA118" s="431"/>
      <c r="AB118" s="431"/>
      <c r="AC118" s="468"/>
      <c r="AD118" s="431"/>
      <c r="AE118" s="431"/>
      <c r="AF118" s="431"/>
      <c r="AG118" s="431"/>
      <c r="AH118" s="431"/>
      <c r="AI118" s="468"/>
      <c r="AJ118" s="468"/>
      <c r="AK118" s="431"/>
      <c r="AL118" s="431"/>
      <c r="AM118" s="431"/>
    </row>
    <row r="119" spans="1:39" s="155" customFormat="1" ht="12" hidden="1" x14ac:dyDescent="0.2">
      <c r="A119" s="168">
        <v>65</v>
      </c>
      <c r="B119" s="168"/>
      <c r="C119" s="172"/>
      <c r="D119" s="432">
        <f t="shared" si="16"/>
        <v>0</v>
      </c>
      <c r="E119" s="431"/>
      <c r="F119" s="431"/>
      <c r="G119" s="431"/>
      <c r="H119" s="431"/>
      <c r="I119" s="431"/>
      <c r="J119" s="431"/>
      <c r="K119" s="431"/>
      <c r="L119" s="431"/>
      <c r="M119" s="431"/>
      <c r="N119" s="431"/>
      <c r="O119" s="431"/>
      <c r="P119" s="432">
        <f t="shared" si="15"/>
        <v>0</v>
      </c>
      <c r="Q119" s="431"/>
      <c r="R119" s="431"/>
      <c r="S119" s="431"/>
      <c r="T119" s="431"/>
      <c r="U119" s="431"/>
      <c r="V119" s="431"/>
      <c r="W119" s="431"/>
      <c r="X119" s="431"/>
      <c r="Y119" s="431"/>
      <c r="Z119" s="468"/>
      <c r="AA119" s="431"/>
      <c r="AB119" s="431"/>
      <c r="AC119" s="468"/>
      <c r="AD119" s="431"/>
      <c r="AE119" s="431"/>
      <c r="AF119" s="431"/>
      <c r="AG119" s="431"/>
      <c r="AH119" s="431"/>
      <c r="AI119" s="468"/>
      <c r="AJ119" s="468"/>
      <c r="AK119" s="431"/>
      <c r="AL119" s="431"/>
      <c r="AM119" s="431"/>
    </row>
    <row r="120" spans="1:39" s="155" customFormat="1" ht="12" hidden="1" x14ac:dyDescent="0.2">
      <c r="A120" s="168">
        <v>66</v>
      </c>
      <c r="B120" s="168"/>
      <c r="C120" s="172"/>
      <c r="D120" s="432">
        <f t="shared" si="16"/>
        <v>0</v>
      </c>
      <c r="E120" s="431"/>
      <c r="F120" s="431"/>
      <c r="G120" s="431"/>
      <c r="H120" s="431"/>
      <c r="I120" s="431"/>
      <c r="J120" s="431"/>
      <c r="K120" s="431"/>
      <c r="L120" s="431"/>
      <c r="M120" s="431"/>
      <c r="N120" s="431"/>
      <c r="O120" s="431"/>
      <c r="P120" s="432">
        <f t="shared" si="15"/>
        <v>0</v>
      </c>
      <c r="Q120" s="431"/>
      <c r="R120" s="431"/>
      <c r="S120" s="431"/>
      <c r="T120" s="431"/>
      <c r="U120" s="431"/>
      <c r="V120" s="431"/>
      <c r="W120" s="431"/>
      <c r="X120" s="431"/>
      <c r="Y120" s="431"/>
      <c r="Z120" s="468"/>
      <c r="AA120" s="431"/>
      <c r="AB120" s="431"/>
      <c r="AC120" s="468"/>
      <c r="AD120" s="431"/>
      <c r="AE120" s="431"/>
      <c r="AF120" s="431"/>
      <c r="AG120" s="431"/>
      <c r="AH120" s="431"/>
      <c r="AI120" s="468"/>
      <c r="AJ120" s="468"/>
      <c r="AK120" s="431"/>
      <c r="AL120" s="431"/>
      <c r="AM120" s="431"/>
    </row>
    <row r="121" spans="1:39" s="155" customFormat="1" ht="12" hidden="1" x14ac:dyDescent="0.2">
      <c r="A121" s="168">
        <v>67</v>
      </c>
      <c r="B121" s="168"/>
      <c r="C121" s="172"/>
      <c r="D121" s="432">
        <f t="shared" si="16"/>
        <v>0</v>
      </c>
      <c r="E121" s="431"/>
      <c r="F121" s="431"/>
      <c r="G121" s="431"/>
      <c r="H121" s="431"/>
      <c r="I121" s="431"/>
      <c r="J121" s="431"/>
      <c r="K121" s="431"/>
      <c r="L121" s="431"/>
      <c r="M121" s="431"/>
      <c r="N121" s="431"/>
      <c r="O121" s="431"/>
      <c r="P121" s="432">
        <f t="shared" si="15"/>
        <v>0</v>
      </c>
      <c r="Q121" s="431"/>
      <c r="R121" s="431"/>
      <c r="S121" s="431"/>
      <c r="T121" s="431"/>
      <c r="U121" s="431"/>
      <c r="V121" s="431"/>
      <c r="W121" s="431"/>
      <c r="X121" s="431"/>
      <c r="Y121" s="431"/>
      <c r="Z121" s="468"/>
      <c r="AA121" s="431"/>
      <c r="AB121" s="431"/>
      <c r="AC121" s="468"/>
      <c r="AD121" s="431"/>
      <c r="AE121" s="431"/>
      <c r="AF121" s="431"/>
      <c r="AG121" s="431"/>
      <c r="AH121" s="431"/>
      <c r="AI121" s="468"/>
      <c r="AJ121" s="468"/>
      <c r="AK121" s="431"/>
      <c r="AL121" s="431"/>
      <c r="AM121" s="431"/>
    </row>
    <row r="122" spans="1:39" s="155" customFormat="1" ht="12" hidden="1" x14ac:dyDescent="0.2">
      <c r="A122" s="168">
        <v>68</v>
      </c>
      <c r="B122" s="168"/>
      <c r="C122" s="172"/>
      <c r="D122" s="432">
        <f t="shared" si="16"/>
        <v>0</v>
      </c>
      <c r="E122" s="431"/>
      <c r="F122" s="431"/>
      <c r="G122" s="431"/>
      <c r="H122" s="431"/>
      <c r="I122" s="431"/>
      <c r="J122" s="431"/>
      <c r="K122" s="431"/>
      <c r="L122" s="431"/>
      <c r="M122" s="431"/>
      <c r="N122" s="431"/>
      <c r="O122" s="431"/>
      <c r="P122" s="432">
        <f t="shared" si="15"/>
        <v>0</v>
      </c>
      <c r="Q122" s="431"/>
      <c r="R122" s="431"/>
      <c r="S122" s="431"/>
      <c r="T122" s="431"/>
      <c r="U122" s="431"/>
      <c r="V122" s="431"/>
      <c r="W122" s="431"/>
      <c r="X122" s="431"/>
      <c r="Y122" s="431"/>
      <c r="Z122" s="468"/>
      <c r="AA122" s="431"/>
      <c r="AB122" s="431"/>
      <c r="AC122" s="468"/>
      <c r="AD122" s="431"/>
      <c r="AE122" s="431"/>
      <c r="AF122" s="431"/>
      <c r="AG122" s="431"/>
      <c r="AH122" s="431"/>
      <c r="AI122" s="468"/>
      <c r="AJ122" s="468"/>
      <c r="AK122" s="431"/>
      <c r="AL122" s="431"/>
      <c r="AM122" s="431"/>
    </row>
    <row r="123" spans="1:39" s="155" customFormat="1" ht="12" hidden="1" x14ac:dyDescent="0.2">
      <c r="A123" s="168">
        <v>69</v>
      </c>
      <c r="B123" s="168"/>
      <c r="C123" s="172"/>
      <c r="D123" s="432">
        <f t="shared" si="16"/>
        <v>0</v>
      </c>
      <c r="E123" s="431"/>
      <c r="F123" s="431"/>
      <c r="G123" s="431"/>
      <c r="H123" s="431"/>
      <c r="I123" s="431"/>
      <c r="J123" s="431"/>
      <c r="K123" s="431"/>
      <c r="L123" s="431"/>
      <c r="M123" s="431"/>
      <c r="N123" s="431"/>
      <c r="O123" s="431"/>
      <c r="P123" s="432">
        <f t="shared" si="15"/>
        <v>0</v>
      </c>
      <c r="Q123" s="431"/>
      <c r="R123" s="431"/>
      <c r="S123" s="431"/>
      <c r="T123" s="431"/>
      <c r="U123" s="431"/>
      <c r="V123" s="431"/>
      <c r="W123" s="431"/>
      <c r="X123" s="431"/>
      <c r="Y123" s="431"/>
      <c r="Z123" s="468"/>
      <c r="AA123" s="431"/>
      <c r="AB123" s="431"/>
      <c r="AC123" s="468"/>
      <c r="AD123" s="431"/>
      <c r="AE123" s="431"/>
      <c r="AF123" s="431"/>
      <c r="AG123" s="431"/>
      <c r="AH123" s="431"/>
      <c r="AI123" s="468"/>
      <c r="AJ123" s="468"/>
      <c r="AK123" s="431"/>
      <c r="AL123" s="431"/>
      <c r="AM123" s="431"/>
    </row>
    <row r="124" spans="1:39" s="155" customFormat="1" ht="12" hidden="1" x14ac:dyDescent="0.2">
      <c r="A124" s="168">
        <v>70</v>
      </c>
      <c r="B124" s="168"/>
      <c r="C124" s="172"/>
      <c r="D124" s="432">
        <f t="shared" si="16"/>
        <v>0</v>
      </c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32">
        <f t="shared" si="15"/>
        <v>0</v>
      </c>
      <c r="Q124" s="431"/>
      <c r="R124" s="431"/>
      <c r="S124" s="431"/>
      <c r="T124" s="431"/>
      <c r="U124" s="431"/>
      <c r="V124" s="431"/>
      <c r="W124" s="431"/>
      <c r="X124" s="431"/>
      <c r="Y124" s="431"/>
      <c r="Z124" s="468"/>
      <c r="AA124" s="431"/>
      <c r="AB124" s="431"/>
      <c r="AC124" s="468"/>
      <c r="AD124" s="431"/>
      <c r="AE124" s="431"/>
      <c r="AF124" s="431"/>
      <c r="AG124" s="431"/>
      <c r="AH124" s="431"/>
      <c r="AI124" s="468"/>
      <c r="AJ124" s="468"/>
      <c r="AK124" s="431"/>
      <c r="AL124" s="431"/>
      <c r="AM124" s="431"/>
    </row>
    <row r="125" spans="1:39" s="155" customFormat="1" ht="12" hidden="1" x14ac:dyDescent="0.2">
      <c r="A125" s="168">
        <v>71</v>
      </c>
      <c r="B125" s="168"/>
      <c r="C125" s="172"/>
      <c r="D125" s="432">
        <f t="shared" si="16"/>
        <v>0</v>
      </c>
      <c r="E125" s="431"/>
      <c r="F125" s="431"/>
      <c r="G125" s="431"/>
      <c r="H125" s="431"/>
      <c r="I125" s="431"/>
      <c r="J125" s="431"/>
      <c r="K125" s="431"/>
      <c r="L125" s="431"/>
      <c r="M125" s="431"/>
      <c r="N125" s="431"/>
      <c r="O125" s="431"/>
      <c r="P125" s="432">
        <f t="shared" si="15"/>
        <v>0</v>
      </c>
      <c r="Q125" s="431"/>
      <c r="R125" s="431"/>
      <c r="S125" s="431"/>
      <c r="T125" s="431"/>
      <c r="U125" s="431"/>
      <c r="V125" s="431"/>
      <c r="W125" s="431"/>
      <c r="X125" s="431"/>
      <c r="Y125" s="431"/>
      <c r="Z125" s="468"/>
      <c r="AA125" s="431"/>
      <c r="AB125" s="431"/>
      <c r="AC125" s="468"/>
      <c r="AD125" s="431"/>
      <c r="AE125" s="431"/>
      <c r="AF125" s="431"/>
      <c r="AG125" s="431"/>
      <c r="AH125" s="431"/>
      <c r="AI125" s="468"/>
      <c r="AJ125" s="468"/>
      <c r="AK125" s="431"/>
      <c r="AL125" s="431"/>
      <c r="AM125" s="431"/>
    </row>
    <row r="126" spans="1:39" s="155" customFormat="1" ht="12" hidden="1" x14ac:dyDescent="0.2">
      <c r="A126" s="168">
        <v>72</v>
      </c>
      <c r="B126" s="168"/>
      <c r="C126" s="172"/>
      <c r="D126" s="432">
        <f t="shared" si="16"/>
        <v>0</v>
      </c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32">
        <f t="shared" si="15"/>
        <v>0</v>
      </c>
      <c r="Q126" s="431"/>
      <c r="R126" s="431"/>
      <c r="S126" s="431"/>
      <c r="T126" s="431"/>
      <c r="U126" s="431"/>
      <c r="V126" s="431"/>
      <c r="W126" s="431"/>
      <c r="X126" s="431"/>
      <c r="Y126" s="431"/>
      <c r="Z126" s="468"/>
      <c r="AA126" s="431"/>
      <c r="AB126" s="431"/>
      <c r="AC126" s="468"/>
      <c r="AD126" s="431"/>
      <c r="AE126" s="431"/>
      <c r="AF126" s="431"/>
      <c r="AG126" s="431"/>
      <c r="AH126" s="431"/>
      <c r="AI126" s="468"/>
      <c r="AJ126" s="468"/>
      <c r="AK126" s="431"/>
      <c r="AL126" s="431"/>
      <c r="AM126" s="431"/>
    </row>
    <row r="127" spans="1:39" s="155" customFormat="1" ht="12" hidden="1" x14ac:dyDescent="0.2">
      <c r="A127" s="168">
        <v>73</v>
      </c>
      <c r="B127" s="168"/>
      <c r="C127" s="172"/>
      <c r="D127" s="432">
        <f t="shared" si="16"/>
        <v>0</v>
      </c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32">
        <f t="shared" si="15"/>
        <v>0</v>
      </c>
      <c r="Q127" s="431"/>
      <c r="R127" s="431"/>
      <c r="S127" s="431"/>
      <c r="T127" s="431"/>
      <c r="U127" s="431"/>
      <c r="V127" s="431"/>
      <c r="W127" s="431"/>
      <c r="X127" s="431"/>
      <c r="Y127" s="431"/>
      <c r="Z127" s="468"/>
      <c r="AA127" s="431"/>
      <c r="AB127" s="431"/>
      <c r="AC127" s="468"/>
      <c r="AD127" s="431"/>
      <c r="AE127" s="431"/>
      <c r="AF127" s="431"/>
      <c r="AG127" s="431"/>
      <c r="AH127" s="431"/>
      <c r="AI127" s="468"/>
      <c r="AJ127" s="468"/>
      <c r="AK127" s="431"/>
      <c r="AL127" s="431"/>
      <c r="AM127" s="431"/>
    </row>
    <row r="128" spans="1:39" s="155" customFormat="1" ht="12" hidden="1" x14ac:dyDescent="0.2">
      <c r="A128" s="168">
        <v>74</v>
      </c>
      <c r="B128" s="168"/>
      <c r="C128" s="172"/>
      <c r="D128" s="432">
        <f t="shared" si="16"/>
        <v>0</v>
      </c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32">
        <f t="shared" si="15"/>
        <v>0</v>
      </c>
      <c r="Q128" s="431"/>
      <c r="R128" s="431"/>
      <c r="S128" s="431"/>
      <c r="T128" s="431"/>
      <c r="U128" s="431"/>
      <c r="V128" s="431"/>
      <c r="W128" s="431"/>
      <c r="X128" s="431"/>
      <c r="Y128" s="431"/>
      <c r="Z128" s="468"/>
      <c r="AA128" s="431"/>
      <c r="AB128" s="431"/>
      <c r="AC128" s="468"/>
      <c r="AD128" s="431"/>
      <c r="AE128" s="431"/>
      <c r="AF128" s="431"/>
      <c r="AG128" s="431"/>
      <c r="AH128" s="431"/>
      <c r="AI128" s="468"/>
      <c r="AJ128" s="468"/>
      <c r="AK128" s="431"/>
      <c r="AL128" s="431"/>
      <c r="AM128" s="431"/>
    </row>
    <row r="129" spans="1:39" s="155" customFormat="1" ht="12" hidden="1" x14ac:dyDescent="0.2">
      <c r="A129" s="168">
        <v>75</v>
      </c>
      <c r="B129" s="168"/>
      <c r="C129" s="172"/>
      <c r="D129" s="432">
        <f t="shared" si="16"/>
        <v>0</v>
      </c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32">
        <f t="shared" si="15"/>
        <v>0</v>
      </c>
      <c r="Q129" s="431"/>
      <c r="R129" s="431"/>
      <c r="S129" s="431"/>
      <c r="T129" s="431"/>
      <c r="U129" s="431"/>
      <c r="V129" s="431"/>
      <c r="W129" s="431"/>
      <c r="X129" s="431"/>
      <c r="Y129" s="431"/>
      <c r="Z129" s="468"/>
      <c r="AA129" s="431"/>
      <c r="AB129" s="431"/>
      <c r="AC129" s="468"/>
      <c r="AD129" s="431"/>
      <c r="AE129" s="431"/>
      <c r="AF129" s="431"/>
      <c r="AG129" s="431"/>
      <c r="AH129" s="431"/>
      <c r="AI129" s="468"/>
      <c r="AJ129" s="468"/>
      <c r="AK129" s="431"/>
      <c r="AL129" s="431"/>
      <c r="AM129" s="431"/>
    </row>
    <row r="130" spans="1:39" s="155" customFormat="1" ht="12" hidden="1" x14ac:dyDescent="0.2">
      <c r="A130" s="168">
        <v>76</v>
      </c>
      <c r="B130" s="168"/>
      <c r="C130" s="172"/>
      <c r="D130" s="432">
        <f t="shared" si="16"/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32">
        <f t="shared" si="15"/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</row>
    <row r="131" spans="1:39" s="155" customFormat="1" ht="12" hidden="1" x14ac:dyDescent="0.2">
      <c r="A131" s="168">
        <v>77</v>
      </c>
      <c r="B131" s="168"/>
      <c r="C131" s="172"/>
      <c r="D131" s="432">
        <f t="shared" si="16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2">
        <f t="shared" si="15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</row>
    <row r="132" spans="1:39" s="155" customFormat="1" ht="12" hidden="1" x14ac:dyDescent="0.2">
      <c r="A132" s="168">
        <v>78</v>
      </c>
      <c r="B132" s="168"/>
      <c r="C132" s="172"/>
      <c r="D132" s="432">
        <f t="shared" si="16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2">
        <f t="shared" si="15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</row>
    <row r="133" spans="1:39" s="155" customFormat="1" ht="12" hidden="1" x14ac:dyDescent="0.2">
      <c r="A133" s="168">
        <v>79</v>
      </c>
      <c r="B133" s="168"/>
      <c r="C133" s="172"/>
      <c r="D133" s="432">
        <f t="shared" si="16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si="15"/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155" customFormat="1" ht="12" hidden="1" x14ac:dyDescent="0.2">
      <c r="A134" s="168">
        <v>80</v>
      </c>
      <c r="B134" s="168"/>
      <c r="C134" s="172"/>
      <c r="D134" s="432">
        <f t="shared" si="16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si="15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155" customFormat="1" ht="12" hidden="1" x14ac:dyDescent="0.2">
      <c r="A135" s="168">
        <v>81</v>
      </c>
      <c r="B135" s="168"/>
      <c r="C135" s="172"/>
      <c r="D135" s="432">
        <f t="shared" si="16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15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155" customFormat="1" ht="12" hidden="1" x14ac:dyDescent="0.2">
      <c r="A136" s="168">
        <v>82</v>
      </c>
      <c r="B136" s="168"/>
      <c r="C136" s="172"/>
      <c r="D136" s="432">
        <f t="shared" si="16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15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155" customFormat="1" ht="12" hidden="1" x14ac:dyDescent="0.2">
      <c r="A137" s="168">
        <v>83</v>
      </c>
      <c r="B137" s="168"/>
      <c r="C137" s="172"/>
      <c r="D137" s="432">
        <f t="shared" si="16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15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68"/>
      <c r="C138" s="172"/>
      <c r="D138" s="432">
        <f t="shared" si="16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5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68"/>
      <c r="C139" s="172"/>
      <c r="D139" s="432">
        <f t="shared" si="16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5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68"/>
      <c r="C140" s="172"/>
      <c r="D140" s="432">
        <f t="shared" si="16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5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173"/>
      <c r="D141" s="432">
        <f t="shared" si="16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5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6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5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6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>
      <c r="D144" s="203"/>
      <c r="E144" s="203"/>
      <c r="F144" s="203"/>
      <c r="G144" s="203"/>
      <c r="H144" s="203"/>
      <c r="I144" s="203"/>
      <c r="J144" s="203"/>
      <c r="K144" s="203"/>
      <c r="L144" s="203"/>
      <c r="M144" s="203"/>
      <c r="N144" s="203"/>
      <c r="O144" s="203"/>
      <c r="P144" s="203"/>
      <c r="Q144" s="203"/>
      <c r="R144" s="203"/>
      <c r="S144" s="203"/>
      <c r="T144" s="203"/>
      <c r="U144" s="203"/>
      <c r="V144" s="203"/>
      <c r="W144" s="203"/>
      <c r="X144" s="203"/>
      <c r="Y144" s="203"/>
      <c r="Z144" s="203"/>
      <c r="AA144" s="203"/>
      <c r="AB144" s="203"/>
      <c r="AC144" s="203"/>
      <c r="AD144" s="203"/>
      <c r="AE144" s="203"/>
      <c r="AF144" s="203"/>
      <c r="AG144" s="203"/>
      <c r="AH144" s="203"/>
      <c r="AI144" s="203"/>
      <c r="AJ144" s="203"/>
      <c r="AK144" s="203"/>
      <c r="AL144" s="203"/>
      <c r="AM144" s="203"/>
    </row>
    <row r="145" spans="4:39" s="155" customFormat="1" ht="11.25" x14ac:dyDescent="0.2">
      <c r="D145" s="203"/>
      <c r="E145" s="203"/>
      <c r="F145" s="203"/>
      <c r="G145" s="203"/>
      <c r="H145" s="203"/>
      <c r="I145" s="203"/>
      <c r="J145" s="203"/>
      <c r="K145" s="203"/>
      <c r="L145" s="203"/>
      <c r="M145" s="203"/>
      <c r="N145" s="203"/>
      <c r="O145" s="203"/>
      <c r="P145" s="203"/>
      <c r="Q145" s="203"/>
      <c r="R145" s="203"/>
      <c r="S145" s="203"/>
      <c r="T145" s="203"/>
      <c r="U145" s="203"/>
      <c r="V145" s="203"/>
      <c r="W145" s="203"/>
      <c r="X145" s="203"/>
      <c r="Y145" s="203"/>
      <c r="Z145" s="203"/>
      <c r="AA145" s="203"/>
      <c r="AB145" s="203"/>
      <c r="AC145" s="203"/>
      <c r="AD145" s="203"/>
      <c r="AE145" s="203"/>
      <c r="AF145" s="203"/>
      <c r="AG145" s="203"/>
      <c r="AH145" s="203"/>
      <c r="AI145" s="203"/>
      <c r="AJ145" s="203"/>
      <c r="AK145" s="203"/>
      <c r="AL145" s="203"/>
      <c r="AM145" s="203"/>
    </row>
    <row r="146" spans="4:39" s="155" customFormat="1" ht="11.25" x14ac:dyDescent="0.2">
      <c r="D146" s="203"/>
      <c r="E146" s="203"/>
      <c r="F146" s="203"/>
      <c r="G146" s="203"/>
      <c r="H146" s="203"/>
      <c r="I146" s="203"/>
      <c r="J146" s="203"/>
      <c r="K146" s="203"/>
      <c r="L146" s="203"/>
      <c r="M146" s="203"/>
      <c r="N146" s="203"/>
      <c r="O146" s="203"/>
      <c r="P146" s="203"/>
      <c r="Q146" s="203"/>
      <c r="R146" s="203"/>
      <c r="S146" s="203"/>
      <c r="T146" s="203"/>
      <c r="U146" s="203"/>
      <c r="V146" s="203"/>
      <c r="W146" s="203"/>
      <c r="X146" s="203"/>
      <c r="Y146" s="203"/>
      <c r="Z146" s="203"/>
      <c r="AA146" s="203"/>
      <c r="AB146" s="203"/>
      <c r="AC146" s="203"/>
      <c r="AD146" s="203"/>
      <c r="AE146" s="203"/>
      <c r="AF146" s="203"/>
      <c r="AG146" s="203"/>
      <c r="AH146" s="203"/>
      <c r="AI146" s="203"/>
      <c r="AJ146" s="203"/>
      <c r="AK146" s="203"/>
      <c r="AL146" s="203"/>
      <c r="AM146" s="203"/>
    </row>
    <row r="147" spans="4:39" s="155" customFormat="1" ht="11.25" x14ac:dyDescent="0.2">
      <c r="D147" s="203"/>
      <c r="E147" s="203"/>
      <c r="F147" s="203"/>
      <c r="G147" s="203"/>
      <c r="H147" s="203"/>
      <c r="I147" s="203"/>
      <c r="J147" s="203"/>
      <c r="K147" s="203"/>
      <c r="L147" s="203"/>
      <c r="M147" s="203"/>
      <c r="N147" s="203"/>
      <c r="O147" s="203"/>
      <c r="P147" s="203"/>
      <c r="Q147" s="203"/>
      <c r="R147" s="203"/>
      <c r="S147" s="203"/>
      <c r="T147" s="203"/>
      <c r="U147" s="203"/>
      <c r="V147" s="203"/>
      <c r="W147" s="203"/>
      <c r="X147" s="203"/>
      <c r="Y147" s="203"/>
      <c r="Z147" s="203"/>
      <c r="AA147" s="203"/>
      <c r="AB147" s="203"/>
      <c r="AC147" s="203"/>
      <c r="AD147" s="203"/>
      <c r="AE147" s="203"/>
      <c r="AF147" s="203"/>
      <c r="AG147" s="203"/>
      <c r="AH147" s="203"/>
      <c r="AI147" s="203"/>
      <c r="AJ147" s="203"/>
      <c r="AK147" s="203"/>
      <c r="AL147" s="203"/>
      <c r="AM147" s="203"/>
    </row>
    <row r="148" spans="4:39" s="155" customFormat="1" ht="11.25" x14ac:dyDescent="0.2">
      <c r="D148" s="203"/>
      <c r="E148" s="203"/>
      <c r="F148" s="203"/>
      <c r="G148" s="203"/>
      <c r="H148" s="203"/>
      <c r="I148" s="203"/>
      <c r="J148" s="203"/>
      <c r="K148" s="203"/>
      <c r="L148" s="203"/>
      <c r="M148" s="203"/>
      <c r="N148" s="203"/>
      <c r="O148" s="203"/>
      <c r="P148" s="203"/>
      <c r="Q148" s="203"/>
      <c r="R148" s="203"/>
      <c r="S148" s="203"/>
      <c r="T148" s="203"/>
      <c r="U148" s="203"/>
      <c r="V148" s="203"/>
      <c r="W148" s="203"/>
      <c r="X148" s="203"/>
      <c r="Y148" s="203"/>
      <c r="Z148" s="203"/>
      <c r="AA148" s="203"/>
      <c r="AB148" s="203"/>
      <c r="AC148" s="203"/>
      <c r="AD148" s="203"/>
      <c r="AE148" s="203"/>
      <c r="AF148" s="203"/>
      <c r="AG148" s="203"/>
      <c r="AH148" s="203"/>
      <c r="AI148" s="203"/>
      <c r="AJ148" s="203"/>
      <c r="AK148" s="203"/>
      <c r="AL148" s="203"/>
      <c r="AM148" s="203"/>
    </row>
    <row r="149" spans="4:39" s="155" customFormat="1" ht="11.25" x14ac:dyDescent="0.2">
      <c r="D149" s="203"/>
      <c r="E149" s="203"/>
      <c r="F149" s="203"/>
      <c r="G149" s="203"/>
      <c r="H149" s="203"/>
      <c r="I149" s="203"/>
      <c r="J149" s="203"/>
      <c r="K149" s="203"/>
      <c r="L149" s="203"/>
      <c r="M149" s="203"/>
      <c r="N149" s="203"/>
      <c r="O149" s="203"/>
      <c r="P149" s="203"/>
      <c r="Q149" s="203"/>
      <c r="R149" s="203"/>
      <c r="S149" s="203"/>
      <c r="T149" s="203"/>
      <c r="U149" s="203"/>
      <c r="V149" s="203"/>
      <c r="W149" s="203"/>
      <c r="X149" s="203"/>
      <c r="Y149" s="203"/>
      <c r="Z149" s="203"/>
      <c r="AA149" s="203"/>
      <c r="AB149" s="203"/>
      <c r="AC149" s="203"/>
      <c r="AD149" s="203"/>
      <c r="AE149" s="203"/>
      <c r="AF149" s="203"/>
      <c r="AG149" s="203"/>
      <c r="AH149" s="203"/>
      <c r="AI149" s="203"/>
      <c r="AJ149" s="203"/>
      <c r="AK149" s="203"/>
      <c r="AL149" s="203"/>
      <c r="AM149" s="203"/>
    </row>
    <row r="150" spans="4:39" s="155" customFormat="1" ht="11.25" x14ac:dyDescent="0.2">
      <c r="D150" s="203"/>
      <c r="E150" s="203"/>
      <c r="F150" s="203"/>
      <c r="G150" s="203"/>
      <c r="H150" s="203"/>
      <c r="I150" s="203"/>
      <c r="J150" s="203"/>
      <c r="K150" s="203"/>
      <c r="L150" s="203"/>
      <c r="M150" s="203"/>
      <c r="N150" s="203"/>
      <c r="O150" s="203"/>
      <c r="P150" s="203"/>
      <c r="Q150" s="203"/>
      <c r="R150" s="203"/>
      <c r="S150" s="203"/>
      <c r="T150" s="203"/>
      <c r="U150" s="203"/>
      <c r="V150" s="203"/>
      <c r="W150" s="203"/>
      <c r="X150" s="203"/>
      <c r="Y150" s="203"/>
      <c r="Z150" s="203"/>
      <c r="AA150" s="203"/>
      <c r="AB150" s="203"/>
      <c r="AC150" s="203"/>
      <c r="AD150" s="203"/>
      <c r="AE150" s="203"/>
      <c r="AF150" s="203"/>
      <c r="AG150" s="203"/>
      <c r="AH150" s="203"/>
      <c r="AI150" s="203"/>
      <c r="AJ150" s="203"/>
      <c r="AK150" s="203"/>
      <c r="AL150" s="203"/>
      <c r="AM150" s="203"/>
    </row>
    <row r="151" spans="4:39" s="155" customFormat="1" ht="11.25" x14ac:dyDescent="0.2">
      <c r="D151" s="203"/>
      <c r="E151" s="203"/>
      <c r="F151" s="203"/>
      <c r="G151" s="203"/>
      <c r="H151" s="203"/>
      <c r="I151" s="203"/>
      <c r="J151" s="203"/>
      <c r="K151" s="203"/>
      <c r="L151" s="203"/>
      <c r="M151" s="203"/>
      <c r="N151" s="203"/>
      <c r="O151" s="203"/>
      <c r="P151" s="203"/>
      <c r="Q151" s="203"/>
      <c r="R151" s="203"/>
      <c r="S151" s="203"/>
      <c r="T151" s="203"/>
      <c r="U151" s="203"/>
      <c r="V151" s="203"/>
      <c r="W151" s="203"/>
      <c r="X151" s="203"/>
      <c r="Y151" s="203"/>
      <c r="Z151" s="203"/>
      <c r="AA151" s="203"/>
      <c r="AB151" s="203"/>
      <c r="AC151" s="203"/>
      <c r="AD151" s="203"/>
      <c r="AE151" s="203"/>
      <c r="AF151" s="203"/>
      <c r="AG151" s="203"/>
      <c r="AH151" s="203"/>
      <c r="AI151" s="203"/>
      <c r="AJ151" s="203"/>
      <c r="AK151" s="203"/>
      <c r="AL151" s="203"/>
      <c r="AM151" s="203"/>
    </row>
    <row r="152" spans="4:39" s="155" customFormat="1" ht="11.25" x14ac:dyDescent="0.2"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203"/>
      <c r="AG152" s="203"/>
      <c r="AH152" s="203"/>
      <c r="AI152" s="203"/>
      <c r="AJ152" s="203"/>
      <c r="AK152" s="203"/>
      <c r="AL152" s="203"/>
      <c r="AM152" s="203"/>
    </row>
    <row r="153" spans="4:39" s="155" customFormat="1" ht="11.25" x14ac:dyDescent="0.2">
      <c r="D153" s="203"/>
      <c r="E153" s="203"/>
      <c r="F153" s="203"/>
      <c r="G153" s="203"/>
      <c r="H153" s="203"/>
      <c r="I153" s="203"/>
      <c r="J153" s="203"/>
      <c r="K153" s="203"/>
      <c r="L153" s="203"/>
      <c r="M153" s="203"/>
      <c r="N153" s="203"/>
      <c r="O153" s="203"/>
      <c r="P153" s="203"/>
      <c r="Q153" s="203"/>
      <c r="R153" s="203"/>
      <c r="S153" s="203"/>
      <c r="T153" s="203"/>
      <c r="U153" s="203"/>
      <c r="V153" s="203"/>
      <c r="W153" s="203"/>
      <c r="X153" s="203"/>
      <c r="Y153" s="203"/>
      <c r="Z153" s="203"/>
      <c r="AA153" s="203"/>
      <c r="AB153" s="203"/>
      <c r="AC153" s="203"/>
      <c r="AD153" s="203"/>
      <c r="AE153" s="203"/>
      <c r="AF153" s="203"/>
      <c r="AG153" s="203"/>
      <c r="AH153" s="203"/>
      <c r="AI153" s="203"/>
      <c r="AJ153" s="203"/>
      <c r="AK153" s="203"/>
      <c r="AL153" s="203"/>
      <c r="AM153" s="203"/>
    </row>
    <row r="154" spans="4:39" s="155" customFormat="1" ht="11.25" x14ac:dyDescent="0.2">
      <c r="D154" s="203"/>
      <c r="E154" s="203"/>
      <c r="F154" s="203"/>
      <c r="G154" s="203"/>
      <c r="H154" s="203"/>
      <c r="I154" s="203"/>
      <c r="J154" s="203"/>
      <c r="K154" s="203"/>
      <c r="L154" s="203"/>
      <c r="M154" s="203"/>
      <c r="N154" s="203"/>
      <c r="O154" s="203"/>
      <c r="P154" s="203"/>
      <c r="Q154" s="203"/>
      <c r="R154" s="203"/>
      <c r="S154" s="203"/>
      <c r="T154" s="203"/>
      <c r="U154" s="203"/>
      <c r="V154" s="203"/>
      <c r="W154" s="203"/>
      <c r="X154" s="203"/>
      <c r="Y154" s="203"/>
      <c r="Z154" s="203"/>
      <c r="AA154" s="203"/>
      <c r="AB154" s="203"/>
      <c r="AC154" s="203"/>
      <c r="AD154" s="203"/>
      <c r="AE154" s="203"/>
      <c r="AF154" s="203"/>
      <c r="AG154" s="203"/>
      <c r="AH154" s="203"/>
      <c r="AI154" s="203"/>
      <c r="AJ154" s="203"/>
      <c r="AK154" s="203"/>
      <c r="AL154" s="203"/>
      <c r="AM154" s="203"/>
    </row>
    <row r="155" spans="4:39" s="155" customFormat="1" ht="11.25" x14ac:dyDescent="0.2"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203"/>
      <c r="O155" s="203"/>
      <c r="P155" s="203"/>
      <c r="Q155" s="203"/>
      <c r="R155" s="203"/>
      <c r="S155" s="203"/>
      <c r="T155" s="203"/>
      <c r="U155" s="203"/>
      <c r="V155" s="203"/>
      <c r="W155" s="203"/>
      <c r="X155" s="203"/>
      <c r="Y155" s="203"/>
      <c r="Z155" s="203"/>
      <c r="AA155" s="203"/>
      <c r="AB155" s="203"/>
      <c r="AC155" s="203"/>
      <c r="AD155" s="203"/>
      <c r="AE155" s="203"/>
      <c r="AF155" s="203"/>
      <c r="AG155" s="203"/>
      <c r="AH155" s="203"/>
      <c r="AI155" s="203"/>
      <c r="AJ155" s="203"/>
      <c r="AK155" s="203"/>
      <c r="AL155" s="203"/>
      <c r="AM155" s="203"/>
    </row>
    <row r="156" spans="4:39" s="155" customFormat="1" ht="11.25" x14ac:dyDescent="0.2">
      <c r="D156" s="203"/>
      <c r="E156" s="203"/>
      <c r="F156" s="203"/>
      <c r="G156" s="203"/>
      <c r="H156" s="203"/>
      <c r="I156" s="203"/>
      <c r="J156" s="203"/>
      <c r="K156" s="203"/>
      <c r="L156" s="203"/>
      <c r="M156" s="203"/>
      <c r="N156" s="203"/>
      <c r="O156" s="203"/>
      <c r="P156" s="203"/>
      <c r="Q156" s="203"/>
      <c r="R156" s="203"/>
      <c r="S156" s="203"/>
      <c r="T156" s="203"/>
      <c r="U156" s="203"/>
      <c r="V156" s="203"/>
      <c r="W156" s="203"/>
      <c r="X156" s="203"/>
      <c r="Y156" s="203"/>
      <c r="Z156" s="203"/>
      <c r="AA156" s="203"/>
      <c r="AB156" s="203"/>
      <c r="AC156" s="203"/>
      <c r="AD156" s="203"/>
      <c r="AE156" s="203"/>
      <c r="AF156" s="203"/>
      <c r="AG156" s="203"/>
      <c r="AH156" s="203"/>
      <c r="AI156" s="203"/>
      <c r="AJ156" s="203"/>
      <c r="AK156" s="203"/>
      <c r="AL156" s="203"/>
      <c r="AM156" s="203"/>
    </row>
    <row r="157" spans="4:39" s="155" customFormat="1" ht="11.25" x14ac:dyDescent="0.2">
      <c r="D157" s="203"/>
      <c r="E157" s="203"/>
      <c r="F157" s="203"/>
      <c r="G157" s="203"/>
      <c r="H157" s="203"/>
      <c r="I157" s="203"/>
      <c r="J157" s="203"/>
      <c r="K157" s="203"/>
      <c r="L157" s="203"/>
      <c r="M157" s="203"/>
      <c r="N157" s="203"/>
      <c r="O157" s="203"/>
      <c r="P157" s="203"/>
      <c r="Q157" s="203"/>
      <c r="R157" s="203"/>
      <c r="S157" s="203"/>
      <c r="T157" s="203"/>
      <c r="U157" s="203"/>
      <c r="V157" s="203"/>
      <c r="W157" s="203"/>
      <c r="X157" s="203"/>
      <c r="Y157" s="203"/>
      <c r="Z157" s="203"/>
      <c r="AA157" s="203"/>
      <c r="AB157" s="203"/>
      <c r="AC157" s="203"/>
      <c r="AD157" s="203"/>
      <c r="AE157" s="203"/>
      <c r="AF157" s="203"/>
      <c r="AG157" s="203"/>
      <c r="AH157" s="203"/>
      <c r="AI157" s="203"/>
      <c r="AJ157" s="203"/>
      <c r="AK157" s="203"/>
      <c r="AL157" s="203"/>
      <c r="AM157" s="203"/>
    </row>
    <row r="158" spans="4:39" s="155" customFormat="1" ht="11.25" x14ac:dyDescent="0.2">
      <c r="D158" s="203"/>
      <c r="E158" s="203"/>
      <c r="F158" s="203"/>
      <c r="G158" s="203"/>
      <c r="H158" s="203"/>
      <c r="I158" s="203"/>
      <c r="J158" s="203"/>
      <c r="K158" s="203"/>
      <c r="L158" s="203"/>
      <c r="M158" s="203"/>
      <c r="N158" s="203"/>
      <c r="O158" s="203"/>
      <c r="P158" s="203"/>
      <c r="Q158" s="203"/>
      <c r="R158" s="203"/>
      <c r="S158" s="203"/>
      <c r="T158" s="203"/>
      <c r="U158" s="203"/>
      <c r="V158" s="203"/>
      <c r="W158" s="203"/>
      <c r="X158" s="203"/>
      <c r="Y158" s="203"/>
      <c r="Z158" s="203"/>
      <c r="AA158" s="203"/>
      <c r="AB158" s="203"/>
      <c r="AC158" s="203"/>
      <c r="AD158" s="203"/>
      <c r="AE158" s="203"/>
      <c r="AF158" s="203"/>
      <c r="AG158" s="203"/>
      <c r="AH158" s="203"/>
      <c r="AI158" s="203"/>
      <c r="AJ158" s="203"/>
      <c r="AK158" s="203"/>
      <c r="AL158" s="203"/>
      <c r="AM158" s="203"/>
    </row>
    <row r="159" spans="4:39" s="155" customFormat="1" ht="11.25" x14ac:dyDescent="0.2">
      <c r="D159" s="203"/>
      <c r="E159" s="203"/>
      <c r="F159" s="203"/>
      <c r="G159" s="203"/>
      <c r="H159" s="203"/>
      <c r="I159" s="203"/>
      <c r="J159" s="203"/>
      <c r="K159" s="203"/>
      <c r="L159" s="203"/>
      <c r="M159" s="203"/>
      <c r="N159" s="203"/>
      <c r="O159" s="203"/>
      <c r="P159" s="203"/>
      <c r="Q159" s="203"/>
      <c r="R159" s="203"/>
      <c r="S159" s="203"/>
      <c r="T159" s="203"/>
      <c r="U159" s="203"/>
      <c r="V159" s="203"/>
      <c r="W159" s="203"/>
      <c r="X159" s="203"/>
      <c r="Y159" s="203"/>
      <c r="Z159" s="203"/>
      <c r="AA159" s="203"/>
      <c r="AB159" s="203"/>
      <c r="AC159" s="203"/>
      <c r="AD159" s="203"/>
      <c r="AE159" s="203"/>
      <c r="AF159" s="203"/>
      <c r="AG159" s="203"/>
      <c r="AH159" s="203"/>
      <c r="AI159" s="203"/>
      <c r="AJ159" s="203"/>
      <c r="AK159" s="203"/>
      <c r="AL159" s="203"/>
      <c r="AM159" s="203"/>
    </row>
    <row r="160" spans="4:39" s="155" customFormat="1" ht="11.25" x14ac:dyDescent="0.2">
      <c r="D160" s="203"/>
      <c r="E160" s="203"/>
      <c r="F160" s="203"/>
      <c r="G160" s="203"/>
      <c r="H160" s="203"/>
      <c r="I160" s="203"/>
      <c r="J160" s="203"/>
      <c r="K160" s="203"/>
      <c r="L160" s="203"/>
      <c r="M160" s="203"/>
      <c r="N160" s="203"/>
      <c r="O160" s="203"/>
      <c r="P160" s="203"/>
      <c r="Q160" s="203"/>
      <c r="R160" s="203"/>
      <c r="S160" s="203"/>
      <c r="T160" s="203"/>
      <c r="U160" s="203"/>
      <c r="V160" s="203"/>
      <c r="W160" s="203"/>
      <c r="X160" s="203"/>
      <c r="Y160" s="203"/>
      <c r="Z160" s="203"/>
      <c r="AA160" s="203"/>
      <c r="AB160" s="203"/>
      <c r="AC160" s="203"/>
      <c r="AD160" s="203"/>
      <c r="AE160" s="203"/>
      <c r="AF160" s="203"/>
      <c r="AG160" s="203"/>
      <c r="AH160" s="203"/>
      <c r="AI160" s="203"/>
      <c r="AJ160" s="203"/>
      <c r="AK160" s="203"/>
      <c r="AL160" s="203"/>
      <c r="AM160" s="203"/>
    </row>
    <row r="161" spans="4:39" s="155" customFormat="1" ht="11.25" x14ac:dyDescent="0.2">
      <c r="D161" s="203"/>
      <c r="E161" s="203"/>
      <c r="F161" s="203"/>
      <c r="G161" s="203"/>
      <c r="H161" s="203"/>
      <c r="I161" s="203"/>
      <c r="J161" s="203"/>
      <c r="K161" s="203"/>
      <c r="L161" s="203"/>
      <c r="M161" s="203"/>
      <c r="N161" s="203"/>
      <c r="O161" s="203"/>
      <c r="P161" s="203"/>
      <c r="Q161" s="203"/>
      <c r="R161" s="203"/>
      <c r="S161" s="203"/>
      <c r="T161" s="203"/>
      <c r="U161" s="203"/>
      <c r="V161" s="203"/>
      <c r="W161" s="203"/>
      <c r="X161" s="203"/>
      <c r="Y161" s="203"/>
      <c r="Z161" s="203"/>
      <c r="AA161" s="203"/>
      <c r="AB161" s="203"/>
      <c r="AC161" s="203"/>
      <c r="AD161" s="203"/>
      <c r="AE161" s="203"/>
      <c r="AF161" s="203"/>
      <c r="AG161" s="203"/>
      <c r="AH161" s="203"/>
      <c r="AI161" s="203"/>
      <c r="AJ161" s="203"/>
      <c r="AK161" s="203"/>
      <c r="AL161" s="203"/>
      <c r="AM161" s="203"/>
    </row>
    <row r="162" spans="4:39" s="155" customFormat="1" ht="11.25" x14ac:dyDescent="0.2">
      <c r="D162" s="203"/>
      <c r="E162" s="203"/>
      <c r="F162" s="203"/>
      <c r="G162" s="203"/>
      <c r="H162" s="203"/>
      <c r="I162" s="203"/>
      <c r="J162" s="203"/>
      <c r="K162" s="203"/>
      <c r="L162" s="203"/>
      <c r="M162" s="203"/>
      <c r="N162" s="203"/>
      <c r="O162" s="203"/>
      <c r="P162" s="203"/>
      <c r="Q162" s="203"/>
      <c r="R162" s="203"/>
      <c r="S162" s="203"/>
      <c r="T162" s="203"/>
      <c r="U162" s="203"/>
      <c r="V162" s="203"/>
      <c r="W162" s="203"/>
      <c r="X162" s="203"/>
      <c r="Y162" s="203"/>
      <c r="Z162" s="203"/>
      <c r="AA162" s="203"/>
      <c r="AB162" s="203"/>
      <c r="AC162" s="203"/>
      <c r="AD162" s="203"/>
      <c r="AE162" s="203"/>
      <c r="AF162" s="203"/>
      <c r="AG162" s="203"/>
      <c r="AH162" s="203"/>
      <c r="AI162" s="203"/>
      <c r="AJ162" s="203"/>
      <c r="AK162" s="203"/>
      <c r="AL162" s="203"/>
      <c r="AM162" s="203"/>
    </row>
    <row r="163" spans="4:39" s="155" customFormat="1" ht="11.25" x14ac:dyDescent="0.2">
      <c r="D163" s="203"/>
      <c r="E163" s="203"/>
      <c r="F163" s="203"/>
      <c r="G163" s="203"/>
      <c r="H163" s="203"/>
      <c r="I163" s="203"/>
      <c r="J163" s="203"/>
      <c r="K163" s="203"/>
      <c r="L163" s="203"/>
      <c r="M163" s="203"/>
      <c r="N163" s="203"/>
      <c r="O163" s="203"/>
      <c r="P163" s="203"/>
      <c r="Q163" s="203"/>
      <c r="R163" s="203"/>
      <c r="S163" s="203"/>
      <c r="T163" s="203"/>
      <c r="U163" s="203"/>
      <c r="V163" s="203"/>
      <c r="W163" s="203"/>
      <c r="X163" s="203"/>
      <c r="Y163" s="203"/>
      <c r="Z163" s="203"/>
      <c r="AA163" s="203"/>
      <c r="AB163" s="203"/>
      <c r="AC163" s="203"/>
      <c r="AD163" s="203"/>
      <c r="AE163" s="203"/>
      <c r="AF163" s="203"/>
      <c r="AG163" s="203"/>
      <c r="AH163" s="203"/>
      <c r="AI163" s="203"/>
      <c r="AJ163" s="203"/>
      <c r="AK163" s="203"/>
      <c r="AL163" s="203"/>
      <c r="AM163" s="203"/>
    </row>
    <row r="164" spans="4:39" s="155" customFormat="1" ht="11.25" x14ac:dyDescent="0.2">
      <c r="D164" s="203"/>
      <c r="E164" s="203"/>
      <c r="F164" s="203"/>
      <c r="G164" s="203"/>
      <c r="H164" s="203"/>
      <c r="I164" s="203"/>
      <c r="J164" s="203"/>
      <c r="K164" s="203"/>
      <c r="L164" s="203"/>
      <c r="M164" s="203"/>
      <c r="N164" s="203"/>
      <c r="O164" s="203"/>
      <c r="P164" s="203"/>
      <c r="Q164" s="203"/>
      <c r="R164" s="203"/>
      <c r="S164" s="203"/>
      <c r="T164" s="203"/>
      <c r="U164" s="203"/>
      <c r="V164" s="203"/>
      <c r="W164" s="203"/>
      <c r="X164" s="203"/>
      <c r="Y164" s="203"/>
      <c r="Z164" s="203"/>
      <c r="AA164" s="203"/>
      <c r="AB164" s="203"/>
      <c r="AC164" s="203"/>
      <c r="AD164" s="203"/>
      <c r="AE164" s="203"/>
      <c r="AF164" s="203"/>
      <c r="AG164" s="203"/>
      <c r="AH164" s="203"/>
      <c r="AI164" s="203"/>
      <c r="AJ164" s="203"/>
      <c r="AK164" s="203"/>
      <c r="AL164" s="203"/>
      <c r="AM164" s="203"/>
    </row>
    <row r="165" spans="4:39" s="155" customFormat="1" ht="11.25" x14ac:dyDescent="0.2">
      <c r="D165" s="203"/>
      <c r="E165" s="203"/>
      <c r="F165" s="203"/>
      <c r="G165" s="203"/>
      <c r="H165" s="203"/>
      <c r="I165" s="203"/>
      <c r="J165" s="203"/>
      <c r="K165" s="203"/>
      <c r="L165" s="203"/>
      <c r="M165" s="203"/>
      <c r="N165" s="203"/>
      <c r="O165" s="203"/>
      <c r="P165" s="203"/>
      <c r="Q165" s="203"/>
      <c r="R165" s="203"/>
      <c r="S165" s="203"/>
      <c r="T165" s="203"/>
      <c r="U165" s="203"/>
      <c r="V165" s="203"/>
      <c r="W165" s="203"/>
      <c r="X165" s="203"/>
      <c r="Y165" s="203"/>
      <c r="Z165" s="203"/>
      <c r="AA165" s="203"/>
      <c r="AB165" s="203"/>
      <c r="AC165" s="203"/>
      <c r="AD165" s="203"/>
      <c r="AE165" s="203"/>
      <c r="AF165" s="203"/>
      <c r="AG165" s="203"/>
      <c r="AH165" s="203"/>
      <c r="AI165" s="203"/>
      <c r="AJ165" s="203"/>
      <c r="AK165" s="203"/>
      <c r="AL165" s="203"/>
      <c r="AM165" s="203"/>
    </row>
    <row r="166" spans="4:39" s="155" customFormat="1" ht="11.25" x14ac:dyDescent="0.2">
      <c r="D166" s="203"/>
      <c r="E166" s="203"/>
      <c r="F166" s="203"/>
      <c r="G166" s="203"/>
      <c r="H166" s="203"/>
      <c r="I166" s="203"/>
      <c r="J166" s="203"/>
      <c r="K166" s="203"/>
      <c r="L166" s="203"/>
      <c r="M166" s="203"/>
      <c r="N166" s="203"/>
      <c r="O166" s="203"/>
      <c r="P166" s="203"/>
      <c r="Q166" s="203"/>
      <c r="R166" s="203"/>
      <c r="S166" s="203"/>
      <c r="T166" s="203"/>
      <c r="U166" s="203"/>
      <c r="V166" s="203"/>
      <c r="W166" s="203"/>
      <c r="X166" s="203"/>
      <c r="Y166" s="203"/>
      <c r="Z166" s="203"/>
      <c r="AA166" s="203"/>
      <c r="AB166" s="203"/>
      <c r="AC166" s="203"/>
      <c r="AD166" s="203"/>
      <c r="AE166" s="203"/>
      <c r="AF166" s="203"/>
      <c r="AG166" s="203"/>
      <c r="AH166" s="203"/>
      <c r="AI166" s="203"/>
      <c r="AJ166" s="203"/>
      <c r="AK166" s="203"/>
      <c r="AL166" s="203"/>
      <c r="AM166" s="203"/>
    </row>
    <row r="167" spans="4:39" s="155" customFormat="1" ht="11.25" x14ac:dyDescent="0.2">
      <c r="D167" s="203"/>
      <c r="E167" s="203"/>
      <c r="F167" s="203"/>
      <c r="G167" s="203"/>
      <c r="H167" s="203"/>
      <c r="I167" s="203"/>
      <c r="J167" s="203"/>
      <c r="K167" s="203"/>
      <c r="L167" s="203"/>
      <c r="M167" s="203"/>
      <c r="N167" s="203"/>
      <c r="O167" s="203"/>
      <c r="P167" s="203"/>
      <c r="Q167" s="203"/>
      <c r="R167" s="203"/>
      <c r="S167" s="203"/>
      <c r="T167" s="203"/>
      <c r="U167" s="203"/>
      <c r="V167" s="203"/>
      <c r="W167" s="203"/>
      <c r="X167" s="203"/>
      <c r="Y167" s="203"/>
      <c r="Z167" s="203"/>
      <c r="AA167" s="203"/>
      <c r="AB167" s="203"/>
      <c r="AC167" s="203"/>
      <c r="AD167" s="203"/>
      <c r="AE167" s="203"/>
      <c r="AF167" s="203"/>
      <c r="AG167" s="203"/>
      <c r="AH167" s="203"/>
      <c r="AI167" s="203"/>
      <c r="AJ167" s="203"/>
      <c r="AK167" s="203"/>
      <c r="AL167" s="203"/>
      <c r="AM167" s="203"/>
    </row>
    <row r="168" spans="4:39" s="155" customFormat="1" ht="11.25" x14ac:dyDescent="0.2">
      <c r="D168" s="203"/>
      <c r="E168" s="203"/>
      <c r="F168" s="203"/>
      <c r="G168" s="203"/>
      <c r="H168" s="203"/>
      <c r="I168" s="203"/>
      <c r="J168" s="203"/>
      <c r="K168" s="203"/>
      <c r="L168" s="203"/>
      <c r="M168" s="203"/>
      <c r="N168" s="203"/>
      <c r="O168" s="203"/>
      <c r="P168" s="203"/>
      <c r="Q168" s="203"/>
      <c r="R168" s="203"/>
      <c r="S168" s="203"/>
      <c r="T168" s="203"/>
      <c r="U168" s="203"/>
      <c r="V168" s="203"/>
      <c r="W168" s="203"/>
      <c r="X168" s="203"/>
      <c r="Y168" s="203"/>
      <c r="Z168" s="203"/>
      <c r="AA168" s="203"/>
      <c r="AB168" s="203"/>
      <c r="AC168" s="203"/>
      <c r="AD168" s="203"/>
      <c r="AE168" s="203"/>
      <c r="AF168" s="203"/>
      <c r="AG168" s="203"/>
      <c r="AH168" s="203"/>
      <c r="AI168" s="203"/>
      <c r="AJ168" s="203"/>
      <c r="AK168" s="203"/>
      <c r="AL168" s="203"/>
      <c r="AM168" s="203"/>
    </row>
    <row r="169" spans="4:39" s="155" customFormat="1" ht="11.25" x14ac:dyDescent="0.2">
      <c r="D169" s="203"/>
      <c r="E169" s="203"/>
      <c r="F169" s="203"/>
      <c r="G169" s="203"/>
      <c r="H169" s="203"/>
      <c r="I169" s="203"/>
      <c r="J169" s="203"/>
      <c r="K169" s="203"/>
      <c r="L169" s="203"/>
      <c r="M169" s="203"/>
      <c r="N169" s="203"/>
      <c r="O169" s="203"/>
      <c r="P169" s="203"/>
      <c r="Q169" s="203"/>
      <c r="R169" s="203"/>
      <c r="S169" s="203"/>
      <c r="T169" s="203"/>
      <c r="U169" s="203"/>
      <c r="V169" s="203"/>
      <c r="W169" s="203"/>
      <c r="X169" s="203"/>
      <c r="Y169" s="203"/>
      <c r="Z169" s="203"/>
      <c r="AA169" s="203"/>
      <c r="AB169" s="203"/>
      <c r="AC169" s="203"/>
      <c r="AD169" s="203"/>
      <c r="AE169" s="203"/>
      <c r="AF169" s="203"/>
      <c r="AG169" s="203"/>
      <c r="AH169" s="203"/>
      <c r="AI169" s="203"/>
      <c r="AJ169" s="203"/>
      <c r="AK169" s="203"/>
      <c r="AL169" s="203"/>
      <c r="AM169" s="203"/>
    </row>
    <row r="170" spans="4:39" s="155" customFormat="1" ht="11.25" x14ac:dyDescent="0.2">
      <c r="D170" s="203"/>
      <c r="E170" s="203"/>
      <c r="F170" s="203"/>
      <c r="G170" s="203"/>
      <c r="H170" s="203"/>
      <c r="I170" s="203"/>
      <c r="J170" s="203"/>
      <c r="K170" s="203"/>
      <c r="L170" s="203"/>
      <c r="M170" s="203"/>
      <c r="N170" s="203"/>
      <c r="O170" s="203"/>
      <c r="P170" s="203"/>
      <c r="Q170" s="203"/>
      <c r="R170" s="203"/>
      <c r="S170" s="203"/>
      <c r="T170" s="203"/>
      <c r="U170" s="203"/>
      <c r="V170" s="203"/>
      <c r="W170" s="203"/>
      <c r="X170" s="203"/>
      <c r="Y170" s="203"/>
      <c r="Z170" s="203"/>
      <c r="AA170" s="203"/>
      <c r="AB170" s="203"/>
      <c r="AC170" s="203"/>
      <c r="AD170" s="203"/>
      <c r="AE170" s="203"/>
      <c r="AF170" s="203"/>
      <c r="AG170" s="203"/>
      <c r="AH170" s="203"/>
      <c r="AI170" s="203"/>
      <c r="AJ170" s="203"/>
      <c r="AK170" s="203"/>
      <c r="AL170" s="203"/>
      <c r="AM170" s="203"/>
    </row>
    <row r="171" spans="4:39" s="155" customFormat="1" ht="11.25" x14ac:dyDescent="0.2">
      <c r="D171" s="203"/>
      <c r="E171" s="203"/>
      <c r="F171" s="203"/>
      <c r="G171" s="203"/>
      <c r="H171" s="203"/>
      <c r="I171" s="203"/>
      <c r="J171" s="203"/>
      <c r="K171" s="203"/>
      <c r="L171" s="203"/>
      <c r="M171" s="203"/>
      <c r="N171" s="203"/>
      <c r="O171" s="203"/>
      <c r="P171" s="203"/>
      <c r="Q171" s="203"/>
      <c r="R171" s="203"/>
      <c r="S171" s="203"/>
      <c r="T171" s="203"/>
      <c r="U171" s="203"/>
      <c r="V171" s="203"/>
      <c r="W171" s="203"/>
      <c r="X171" s="203"/>
      <c r="Y171" s="203"/>
      <c r="Z171" s="203"/>
      <c r="AA171" s="203"/>
      <c r="AB171" s="203"/>
      <c r="AC171" s="203"/>
      <c r="AD171" s="203"/>
      <c r="AE171" s="203"/>
      <c r="AF171" s="203"/>
      <c r="AG171" s="203"/>
      <c r="AH171" s="203"/>
      <c r="AI171" s="203"/>
      <c r="AJ171" s="203"/>
      <c r="AK171" s="203"/>
      <c r="AL171" s="203"/>
      <c r="AM171" s="203"/>
    </row>
    <row r="172" spans="4:39" s="155" customFormat="1" ht="11.25" x14ac:dyDescent="0.2">
      <c r="D172" s="203"/>
      <c r="E172" s="203"/>
      <c r="F172" s="203"/>
      <c r="G172" s="203"/>
      <c r="H172" s="203"/>
      <c r="I172" s="203"/>
      <c r="J172" s="203"/>
      <c r="K172" s="203"/>
      <c r="L172" s="203"/>
      <c r="M172" s="203"/>
      <c r="N172" s="203"/>
      <c r="O172" s="203"/>
      <c r="P172" s="203"/>
      <c r="Q172" s="203"/>
      <c r="R172" s="203"/>
      <c r="S172" s="203"/>
      <c r="T172" s="203"/>
      <c r="U172" s="203"/>
      <c r="V172" s="203"/>
      <c r="W172" s="203"/>
      <c r="X172" s="203"/>
      <c r="Y172" s="203"/>
      <c r="Z172" s="203"/>
      <c r="AA172" s="203"/>
      <c r="AB172" s="203"/>
      <c r="AC172" s="203"/>
      <c r="AD172" s="203"/>
      <c r="AE172" s="203"/>
      <c r="AF172" s="203"/>
      <c r="AG172" s="203"/>
      <c r="AH172" s="203"/>
      <c r="AI172" s="203"/>
      <c r="AJ172" s="203"/>
      <c r="AK172" s="203"/>
      <c r="AL172" s="203"/>
      <c r="AM172" s="203"/>
    </row>
    <row r="173" spans="4:39" s="155" customFormat="1" ht="11.25" x14ac:dyDescent="0.2"/>
    <row r="174" spans="4:39" s="155" customFormat="1" ht="11.25" x14ac:dyDescent="0.2"/>
    <row r="175" spans="4:39" s="155" customFormat="1" ht="11.25" x14ac:dyDescent="0.2"/>
    <row r="176" spans="4:39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967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9.75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9.75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1.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2" x14ac:dyDescent="0.2">
      <c r="A14" s="153" t="s">
        <v>70</v>
      </c>
      <c r="B14" s="154"/>
      <c r="C14" s="202"/>
      <c r="D14" s="432">
        <f>E14+SUM(H14:O14)</f>
        <v>1409132128</v>
      </c>
      <c r="E14" s="432">
        <f>SUM(E15,E16,E33,E54)</f>
        <v>469284101</v>
      </c>
      <c r="F14" s="432">
        <f t="shared" ref="F14:O14" si="0">SUM(F15,F16,F33,F54)</f>
        <v>176629715</v>
      </c>
      <c r="G14" s="432">
        <f t="shared" si="0"/>
        <v>61653774</v>
      </c>
      <c r="H14" s="432">
        <f t="shared" si="0"/>
        <v>62015277</v>
      </c>
      <c r="I14" s="432">
        <f t="shared" si="0"/>
        <v>365465308</v>
      </c>
      <c r="J14" s="432">
        <f t="shared" si="0"/>
        <v>19497000</v>
      </c>
      <c r="K14" s="432">
        <f t="shared" si="0"/>
        <v>121880900</v>
      </c>
      <c r="L14" s="432">
        <f t="shared" si="0"/>
        <v>0</v>
      </c>
      <c r="M14" s="432">
        <f t="shared" si="0"/>
        <v>193019258</v>
      </c>
      <c r="N14" s="432">
        <f t="shared" si="0"/>
        <v>169590001</v>
      </c>
      <c r="O14" s="432">
        <f t="shared" si="0"/>
        <v>8380283</v>
      </c>
      <c r="P14" s="442">
        <f>IF(SUM(Q14:AB14)=SUM(AC14:AM14),SUM(Q14:AB14),"  EROARE ART/CAP")</f>
        <v>1408009537</v>
      </c>
      <c r="Q14" s="432">
        <f t="shared" ref="Q14:AM14" si="1">Q15+Q16+Q33+Q54</f>
        <v>447718791</v>
      </c>
      <c r="R14" s="432">
        <f t="shared" si="1"/>
        <v>253713425</v>
      </c>
      <c r="S14" s="432">
        <f t="shared" si="1"/>
        <v>6770327</v>
      </c>
      <c r="T14" s="432">
        <f t="shared" si="1"/>
        <v>11097675</v>
      </c>
      <c r="U14" s="432">
        <f t="shared" si="1"/>
        <v>56048335</v>
      </c>
      <c r="V14" s="432">
        <f t="shared" si="1"/>
        <v>7396620</v>
      </c>
      <c r="W14" s="432">
        <f t="shared" si="1"/>
        <v>321928389</v>
      </c>
      <c r="X14" s="432">
        <f t="shared" si="1"/>
        <v>95247592</v>
      </c>
      <c r="Y14" s="432">
        <f t="shared" si="1"/>
        <v>32536123</v>
      </c>
      <c r="Z14" s="432">
        <f t="shared" si="1"/>
        <v>157811550</v>
      </c>
      <c r="AA14" s="432">
        <f t="shared" si="1"/>
        <v>18835130</v>
      </c>
      <c r="AB14" s="432">
        <f t="shared" si="1"/>
        <v>-1094420</v>
      </c>
      <c r="AC14" s="432">
        <f t="shared" si="1"/>
        <v>125888995</v>
      </c>
      <c r="AD14" s="432">
        <f t="shared" si="1"/>
        <v>10353617</v>
      </c>
      <c r="AE14" s="432">
        <f t="shared" si="1"/>
        <v>400325577</v>
      </c>
      <c r="AF14" s="432">
        <f t="shared" si="1"/>
        <v>19362885</v>
      </c>
      <c r="AG14" s="432">
        <f t="shared" si="1"/>
        <v>89490820</v>
      </c>
      <c r="AH14" s="432">
        <f t="shared" si="1"/>
        <v>177550509</v>
      </c>
      <c r="AI14" s="432">
        <f t="shared" si="1"/>
        <v>101600482</v>
      </c>
      <c r="AJ14" s="432">
        <f t="shared" si="1"/>
        <v>154937893</v>
      </c>
      <c r="AK14" s="432">
        <f t="shared" si="1"/>
        <v>0</v>
      </c>
      <c r="AL14" s="432">
        <f t="shared" si="1"/>
        <v>306081856</v>
      </c>
      <c r="AM14" s="432">
        <f t="shared" si="1"/>
        <v>22416903</v>
      </c>
    </row>
    <row r="15" spans="1:39" s="155" customFormat="1" ht="12" x14ac:dyDescent="0.2">
      <c r="A15" s="156" t="s">
        <v>71</v>
      </c>
      <c r="B15" s="157"/>
      <c r="C15" s="158"/>
      <c r="D15" s="432">
        <f>E15+SUM(H15:O15)</f>
        <v>380430343</v>
      </c>
      <c r="E15" s="431">
        <v>112545560</v>
      </c>
      <c r="F15" s="431">
        <v>37453389</v>
      </c>
      <c r="G15" s="431">
        <v>23117262</v>
      </c>
      <c r="H15" s="431">
        <v>62015277</v>
      </c>
      <c r="I15" s="431"/>
      <c r="J15" s="431">
        <v>19497000</v>
      </c>
      <c r="K15" s="431">
        <v>33465000</v>
      </c>
      <c r="L15" s="431"/>
      <c r="M15" s="431">
        <v>90326899</v>
      </c>
      <c r="N15" s="431">
        <v>62570671</v>
      </c>
      <c r="O15" s="431">
        <v>9936</v>
      </c>
      <c r="P15" s="446">
        <f>IF(SUM(Q15:AB15)=SUM(AC15:AM15),SUM(Q15:AB15),"EROARE ART/CAP")</f>
        <v>388696807</v>
      </c>
      <c r="Q15" s="431">
        <v>47592257</v>
      </c>
      <c r="R15" s="431">
        <v>56561637</v>
      </c>
      <c r="S15" s="431">
        <v>406500</v>
      </c>
      <c r="T15" s="431">
        <v>0</v>
      </c>
      <c r="U15" s="431">
        <v>25952424</v>
      </c>
      <c r="V15" s="431">
        <v>496883</v>
      </c>
      <c r="W15" s="431">
        <v>176410255</v>
      </c>
      <c r="X15" s="431">
        <v>68035640</v>
      </c>
      <c r="Y15" s="431">
        <v>9270407</v>
      </c>
      <c r="Z15" s="431">
        <v>4237831</v>
      </c>
      <c r="AA15" s="431">
        <v>0</v>
      </c>
      <c r="AB15" s="431">
        <v>-267027</v>
      </c>
      <c r="AC15" s="431">
        <v>15258746</v>
      </c>
      <c r="AD15" s="431">
        <v>755071</v>
      </c>
      <c r="AE15" s="431">
        <v>30141936</v>
      </c>
      <c r="AF15" s="431">
        <v>10045234</v>
      </c>
      <c r="AG15" s="431">
        <v>31768321</v>
      </c>
      <c r="AH15" s="431">
        <v>93091325</v>
      </c>
      <c r="AI15" s="431">
        <v>7137</v>
      </c>
      <c r="AJ15" s="431">
        <v>93395238</v>
      </c>
      <c r="AK15" s="431">
        <v>0</v>
      </c>
      <c r="AL15" s="431">
        <v>105746042</v>
      </c>
      <c r="AM15" s="431">
        <v>8487757</v>
      </c>
    </row>
    <row r="16" spans="1:39" s="155" customFormat="1" ht="12" x14ac:dyDescent="0.2">
      <c r="A16" s="185" t="s">
        <v>72</v>
      </c>
      <c r="B16" s="159"/>
      <c r="C16" s="159"/>
      <c r="D16" s="432">
        <f>E16+SUM(H16:O16)</f>
        <v>392424444</v>
      </c>
      <c r="E16" s="433">
        <f>SUM(E18:E32)</f>
        <v>177880941</v>
      </c>
      <c r="F16" s="433">
        <f t="shared" ref="F16:O16" si="2">SUM(F18:F32)</f>
        <v>95605292</v>
      </c>
      <c r="G16" s="433">
        <f t="shared" si="2"/>
        <v>244960</v>
      </c>
      <c r="H16" s="433">
        <f t="shared" si="2"/>
        <v>0</v>
      </c>
      <c r="I16" s="433">
        <f t="shared" si="2"/>
        <v>164187808</v>
      </c>
      <c r="J16" s="433">
        <f t="shared" si="2"/>
        <v>0</v>
      </c>
      <c r="K16" s="433">
        <f t="shared" si="2"/>
        <v>1780180</v>
      </c>
      <c r="L16" s="433">
        <f t="shared" si="2"/>
        <v>0</v>
      </c>
      <c r="M16" s="433">
        <f t="shared" si="2"/>
        <v>12204193</v>
      </c>
      <c r="N16" s="433">
        <f t="shared" si="2"/>
        <v>36108420</v>
      </c>
      <c r="O16" s="433">
        <f t="shared" si="2"/>
        <v>262902</v>
      </c>
      <c r="P16" s="442">
        <f t="shared" ref="P16:P54" si="3">IF(SUM(Q16:AB16)=SUM(AC16:AM16),SUM(Q16:AB16),"  EROARE ART/CAP")</f>
        <v>390959777</v>
      </c>
      <c r="Q16" s="432">
        <f>SUM(Q18:Q32)</f>
        <v>171537811</v>
      </c>
      <c r="R16" s="432">
        <f t="shared" ref="R16:AM16" si="4">SUM(R18:R32)</f>
        <v>75171490</v>
      </c>
      <c r="S16" s="432">
        <f t="shared" si="4"/>
        <v>4871742</v>
      </c>
      <c r="T16" s="432">
        <f t="shared" si="4"/>
        <v>11032000</v>
      </c>
      <c r="U16" s="432">
        <f t="shared" si="4"/>
        <v>21097545</v>
      </c>
      <c r="V16" s="432">
        <f t="shared" si="4"/>
        <v>6640208</v>
      </c>
      <c r="W16" s="432">
        <f t="shared" si="4"/>
        <v>38885857</v>
      </c>
      <c r="X16" s="432">
        <f t="shared" si="4"/>
        <v>14270008</v>
      </c>
      <c r="Y16" s="432">
        <f t="shared" si="4"/>
        <v>20556671</v>
      </c>
      <c r="Z16" s="432">
        <f t="shared" si="4"/>
        <v>19360596</v>
      </c>
      <c r="AA16" s="432">
        <f t="shared" si="4"/>
        <v>7970958</v>
      </c>
      <c r="AB16" s="432">
        <f t="shared" si="4"/>
        <v>-435109</v>
      </c>
      <c r="AC16" s="432">
        <f t="shared" si="4"/>
        <v>26663276</v>
      </c>
      <c r="AD16" s="432">
        <f t="shared" si="4"/>
        <v>5682705</v>
      </c>
      <c r="AE16" s="432">
        <f t="shared" si="4"/>
        <v>182052134</v>
      </c>
      <c r="AF16" s="432">
        <f t="shared" si="4"/>
        <v>4993404</v>
      </c>
      <c r="AG16" s="432">
        <f t="shared" si="4"/>
        <v>25358448</v>
      </c>
      <c r="AH16" s="432">
        <f t="shared" si="4"/>
        <v>37594212</v>
      </c>
      <c r="AI16" s="432">
        <f t="shared" si="4"/>
        <v>37355364</v>
      </c>
      <c r="AJ16" s="432">
        <f t="shared" si="4"/>
        <v>18231342</v>
      </c>
      <c r="AK16" s="432">
        <f t="shared" si="4"/>
        <v>0</v>
      </c>
      <c r="AL16" s="432">
        <f t="shared" si="4"/>
        <v>51995203</v>
      </c>
      <c r="AM16" s="432">
        <f t="shared" si="4"/>
        <v>1033689</v>
      </c>
    </row>
    <row r="17" spans="1:39" s="155" customFormat="1" ht="22.5" x14ac:dyDescent="0.2">
      <c r="A17" s="234" t="s">
        <v>2306</v>
      </c>
      <c r="B17" s="281" t="s">
        <v>74</v>
      </c>
      <c r="C17" s="260"/>
      <c r="D17" s="44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4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203" customFormat="1" ht="12" x14ac:dyDescent="0.2">
      <c r="A18" s="181">
        <v>1</v>
      </c>
      <c r="B18" s="199">
        <v>106318</v>
      </c>
      <c r="C18" s="186" t="s">
        <v>2179</v>
      </c>
      <c r="D18" s="446">
        <f t="shared" ref="D18:D19" si="5">E18+H18+I18+J18+K18+L18+M18+N18+O18</f>
        <v>296548150</v>
      </c>
      <c r="E18" s="431">
        <v>147270458</v>
      </c>
      <c r="F18" s="431">
        <v>78430501</v>
      </c>
      <c r="G18" s="431">
        <v>132485</v>
      </c>
      <c r="H18" s="431"/>
      <c r="I18" s="431">
        <v>123643132</v>
      </c>
      <c r="J18" s="431"/>
      <c r="K18" s="431">
        <v>832990</v>
      </c>
      <c r="L18" s="431"/>
      <c r="M18" s="431">
        <v>7232687</v>
      </c>
      <c r="N18" s="431">
        <v>17305981</v>
      </c>
      <c r="O18" s="431">
        <v>262902</v>
      </c>
      <c r="P18" s="446">
        <f>IF(SUM(Q18:AB18)=SUM(AC18:AM18),SUM(Q18:AB18),"EROARE ART/CAP")</f>
        <v>296302241</v>
      </c>
      <c r="Q18" s="431">
        <v>130544226</v>
      </c>
      <c r="R18" s="431">
        <v>63093306</v>
      </c>
      <c r="S18" s="431">
        <v>4504562</v>
      </c>
      <c r="T18" s="431">
        <v>10480000</v>
      </c>
      <c r="U18" s="431">
        <v>13102311</v>
      </c>
      <c r="V18" s="431">
        <v>5106208</v>
      </c>
      <c r="W18" s="431">
        <v>13391185</v>
      </c>
      <c r="X18" s="431">
        <v>12807404</v>
      </c>
      <c r="Y18" s="431">
        <v>19901971</v>
      </c>
      <c r="Z18" s="431">
        <v>16959099</v>
      </c>
      <c r="AA18" s="431">
        <v>6814991</v>
      </c>
      <c r="AB18" s="431">
        <v>-403022</v>
      </c>
      <c r="AC18" s="431">
        <v>21091584</v>
      </c>
      <c r="AD18" s="431">
        <v>4496034</v>
      </c>
      <c r="AE18" s="431">
        <v>126856109</v>
      </c>
      <c r="AF18" s="431">
        <v>3089285</v>
      </c>
      <c r="AG18" s="431">
        <v>21058389</v>
      </c>
      <c r="AH18" s="431">
        <v>29945543</v>
      </c>
      <c r="AI18" s="431">
        <v>33789708</v>
      </c>
      <c r="AJ18" s="431">
        <v>15530235</v>
      </c>
      <c r="AK18" s="431">
        <v>0</v>
      </c>
      <c r="AL18" s="431">
        <v>39963529</v>
      </c>
      <c r="AM18" s="431">
        <v>481825</v>
      </c>
    </row>
    <row r="19" spans="1:39" s="203" customFormat="1" ht="22.5" x14ac:dyDescent="0.2">
      <c r="A19" s="181">
        <v>2</v>
      </c>
      <c r="B19" s="199">
        <v>106559</v>
      </c>
      <c r="C19" s="186" t="s">
        <v>2180</v>
      </c>
      <c r="D19" s="446">
        <f t="shared" si="5"/>
        <v>95876294</v>
      </c>
      <c r="E19" s="431">
        <v>30610483</v>
      </c>
      <c r="F19" s="431">
        <v>17174791</v>
      </c>
      <c r="G19" s="431">
        <v>112475</v>
      </c>
      <c r="H19" s="431"/>
      <c r="I19" s="431">
        <v>40544676</v>
      </c>
      <c r="J19" s="431"/>
      <c r="K19" s="431">
        <v>947190</v>
      </c>
      <c r="L19" s="431"/>
      <c r="M19" s="431">
        <v>4971506</v>
      </c>
      <c r="N19" s="431">
        <v>18802439</v>
      </c>
      <c r="O19" s="431">
        <v>0</v>
      </c>
      <c r="P19" s="446">
        <f>IF(SUM(Q19:AB19)=SUM(AC19:AM19),SUM(Q19:AB19),"EROARE ART/CAP")</f>
        <v>94657536</v>
      </c>
      <c r="Q19" s="431">
        <v>40993585</v>
      </c>
      <c r="R19" s="431">
        <v>12078184</v>
      </c>
      <c r="S19" s="431">
        <v>367180</v>
      </c>
      <c r="T19" s="431">
        <v>552000</v>
      </c>
      <c r="U19" s="431">
        <v>7995234</v>
      </c>
      <c r="V19" s="431">
        <v>1534000</v>
      </c>
      <c r="W19" s="431">
        <v>25494672</v>
      </c>
      <c r="X19" s="431">
        <v>1462604</v>
      </c>
      <c r="Y19" s="431">
        <v>654700</v>
      </c>
      <c r="Z19" s="431">
        <v>2401497</v>
      </c>
      <c r="AA19" s="431">
        <v>1155967</v>
      </c>
      <c r="AB19" s="431">
        <v>-32087</v>
      </c>
      <c r="AC19" s="431">
        <v>5571692</v>
      </c>
      <c r="AD19" s="431">
        <v>1186671</v>
      </c>
      <c r="AE19" s="431">
        <v>55196025</v>
      </c>
      <c r="AF19" s="431">
        <v>1904119</v>
      </c>
      <c r="AG19" s="431">
        <v>4300059</v>
      </c>
      <c r="AH19" s="431">
        <v>7648669</v>
      </c>
      <c r="AI19" s="431">
        <v>3565656</v>
      </c>
      <c r="AJ19" s="431">
        <v>2701107</v>
      </c>
      <c r="AK19" s="431">
        <v>0</v>
      </c>
      <c r="AL19" s="431">
        <v>12031674</v>
      </c>
      <c r="AM19" s="431">
        <v>551864</v>
      </c>
    </row>
    <row r="20" spans="1:39" s="155" customFormat="1" ht="12" hidden="1" x14ac:dyDescent="0.2">
      <c r="A20" s="146">
        <v>3</v>
      </c>
      <c r="B20" s="161"/>
      <c r="C20" s="206"/>
      <c r="D20" s="442">
        <f t="shared" ref="D20:D33" si="6">E20+SUM(H20:O20)</f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42">
        <f t="shared" si="3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</row>
    <row r="21" spans="1:39" s="155" customFormat="1" ht="12" hidden="1" x14ac:dyDescent="0.2">
      <c r="A21" s="146">
        <v>4</v>
      </c>
      <c r="B21" s="161"/>
      <c r="C21" s="206"/>
      <c r="D21" s="442">
        <f t="shared" si="6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42">
        <f t="shared" si="3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146">
        <v>5</v>
      </c>
      <c r="B22" s="161"/>
      <c r="C22" s="206"/>
      <c r="D22" s="442">
        <f t="shared" si="6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42">
        <f t="shared" si="3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146"/>
      <c r="C23" s="206"/>
      <c r="D23" s="442">
        <f t="shared" si="6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42">
        <f t="shared" si="3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46"/>
      <c r="C24" s="206"/>
      <c r="D24" s="442">
        <f t="shared" si="6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42">
        <f t="shared" si="3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46"/>
      <c r="C25" s="206"/>
      <c r="D25" s="432">
        <f t="shared" si="6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42">
        <f t="shared" si="3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46"/>
      <c r="C26" s="206"/>
      <c r="D26" s="432">
        <f t="shared" si="6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42">
        <f t="shared" si="3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46"/>
      <c r="C27" s="206"/>
      <c r="D27" s="432">
        <f t="shared" si="6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42">
        <f t="shared" si="3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46"/>
      <c r="C28" s="206"/>
      <c r="D28" s="432">
        <f t="shared" si="6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42">
        <f t="shared" si="3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46"/>
      <c r="C29" s="206"/>
      <c r="D29" s="432">
        <f t="shared" si="6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42">
        <f t="shared" si="3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46"/>
      <c r="C30" s="206"/>
      <c r="D30" s="432">
        <f t="shared" si="6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42">
        <f t="shared" si="3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46"/>
      <c r="C31" s="206"/>
      <c r="D31" s="432">
        <f t="shared" si="6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42">
        <f t="shared" si="3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46"/>
      <c r="C32" s="207"/>
      <c r="D32" s="432">
        <f t="shared" si="6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42">
        <f t="shared" si="3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4"/>
      <c r="C33" s="208"/>
      <c r="D33" s="432">
        <f t="shared" si="6"/>
        <v>229069782</v>
      </c>
      <c r="E33" s="432">
        <f>SUM(E34:E53)</f>
        <v>84406414</v>
      </c>
      <c r="F33" s="432">
        <f t="shared" ref="F33:O33" si="7">SUM(F34:F53)</f>
        <v>23504244</v>
      </c>
      <c r="G33" s="432">
        <f t="shared" si="7"/>
        <v>11862601</v>
      </c>
      <c r="H33" s="432">
        <f t="shared" si="7"/>
        <v>0</v>
      </c>
      <c r="I33" s="432">
        <f t="shared" si="7"/>
        <v>77625563</v>
      </c>
      <c r="J33" s="432">
        <f t="shared" si="7"/>
        <v>0</v>
      </c>
      <c r="K33" s="432">
        <f t="shared" si="7"/>
        <v>24414710</v>
      </c>
      <c r="L33" s="432">
        <f t="shared" si="7"/>
        <v>0</v>
      </c>
      <c r="M33" s="432">
        <f t="shared" si="7"/>
        <v>21289801</v>
      </c>
      <c r="N33" s="432">
        <f t="shared" si="7"/>
        <v>17354127</v>
      </c>
      <c r="O33" s="432">
        <f t="shared" si="7"/>
        <v>3979167</v>
      </c>
      <c r="P33" s="442">
        <f t="shared" si="3"/>
        <v>222058567</v>
      </c>
      <c r="Q33" s="432">
        <f>SUM(Q34:Q53)</f>
        <v>85493074</v>
      </c>
      <c r="R33" s="432">
        <f t="shared" ref="R33:AM33" si="8">SUM(R34:R53)</f>
        <v>40565795</v>
      </c>
      <c r="S33" s="432">
        <f t="shared" si="8"/>
        <v>978902</v>
      </c>
      <c r="T33" s="432">
        <f t="shared" si="8"/>
        <v>65675</v>
      </c>
      <c r="U33" s="432">
        <f t="shared" si="8"/>
        <v>8675389</v>
      </c>
      <c r="V33" s="432">
        <f t="shared" si="8"/>
        <v>135000</v>
      </c>
      <c r="W33" s="432">
        <f t="shared" si="8"/>
        <v>22271994</v>
      </c>
      <c r="X33" s="432">
        <f t="shared" si="8"/>
        <v>4544504</v>
      </c>
      <c r="Y33" s="432">
        <f t="shared" si="8"/>
        <v>917918</v>
      </c>
      <c r="Z33" s="432">
        <f t="shared" si="8"/>
        <v>55333302</v>
      </c>
      <c r="AA33" s="432">
        <f t="shared" si="8"/>
        <v>3291680</v>
      </c>
      <c r="AB33" s="432">
        <f t="shared" si="8"/>
        <v>-214666</v>
      </c>
      <c r="AC33" s="432">
        <f t="shared" si="8"/>
        <v>29030917</v>
      </c>
      <c r="AD33" s="432">
        <f t="shared" si="8"/>
        <v>1830364</v>
      </c>
      <c r="AE33" s="432">
        <f t="shared" si="8"/>
        <v>70678030</v>
      </c>
      <c r="AF33" s="432">
        <f t="shared" si="8"/>
        <v>2902660</v>
      </c>
      <c r="AG33" s="432">
        <f t="shared" si="8"/>
        <v>7856547</v>
      </c>
      <c r="AH33" s="432">
        <f t="shared" si="8"/>
        <v>12897052</v>
      </c>
      <c r="AI33" s="432">
        <f t="shared" si="8"/>
        <v>21075463</v>
      </c>
      <c r="AJ33" s="432">
        <f t="shared" si="8"/>
        <v>20131863</v>
      </c>
      <c r="AK33" s="432">
        <f t="shared" si="8"/>
        <v>0</v>
      </c>
      <c r="AL33" s="432">
        <f t="shared" si="8"/>
        <v>52817888</v>
      </c>
      <c r="AM33" s="432">
        <f t="shared" si="8"/>
        <v>2837783</v>
      </c>
    </row>
    <row r="34" spans="1:39" s="203" customFormat="1" ht="12" x14ac:dyDescent="0.2">
      <c r="A34" s="181">
        <v>1</v>
      </c>
      <c r="B34" s="199">
        <v>106684</v>
      </c>
      <c r="C34" s="186" t="s">
        <v>2181</v>
      </c>
      <c r="D34" s="446">
        <f t="shared" ref="D34:D44" si="9">E34+H34+I34+J34+K34+L34+M34+N34+O34</f>
        <v>23913410</v>
      </c>
      <c r="E34" s="431">
        <v>10032037</v>
      </c>
      <c r="F34" s="431">
        <v>3677265</v>
      </c>
      <c r="G34" s="431">
        <v>971271</v>
      </c>
      <c r="H34" s="431"/>
      <c r="I34" s="431">
        <v>10382800</v>
      </c>
      <c r="J34" s="431"/>
      <c r="K34" s="431">
        <v>964790</v>
      </c>
      <c r="L34" s="431"/>
      <c r="M34" s="431">
        <v>1292106</v>
      </c>
      <c r="N34" s="431">
        <v>1241677</v>
      </c>
      <c r="O34" s="431">
        <v>0</v>
      </c>
      <c r="P34" s="446">
        <f t="shared" ref="P34:P44" si="10">IF(SUM(Q34:AB34)=SUM(AC34:AM34),SUM(Q34:AB34),"EROARE ART/CAP")</f>
        <v>24096686</v>
      </c>
      <c r="Q34" s="431">
        <v>12109895</v>
      </c>
      <c r="R34" s="431">
        <v>5367466</v>
      </c>
      <c r="S34" s="431">
        <v>14300</v>
      </c>
      <c r="T34" s="431">
        <v>0</v>
      </c>
      <c r="U34" s="431">
        <v>102000</v>
      </c>
      <c r="V34" s="431">
        <v>0</v>
      </c>
      <c r="W34" s="431">
        <v>1646515</v>
      </c>
      <c r="X34" s="431">
        <v>779018</v>
      </c>
      <c r="Y34" s="431">
        <v>154104</v>
      </c>
      <c r="Z34" s="431">
        <v>3957231</v>
      </c>
      <c r="AA34" s="431">
        <v>0</v>
      </c>
      <c r="AB34" s="431">
        <v>-33843</v>
      </c>
      <c r="AC34" s="431">
        <v>3674034</v>
      </c>
      <c r="AD34" s="431">
        <v>35185</v>
      </c>
      <c r="AE34" s="431">
        <v>9409854</v>
      </c>
      <c r="AF34" s="431">
        <v>133396</v>
      </c>
      <c r="AG34" s="431">
        <v>812318</v>
      </c>
      <c r="AH34" s="431">
        <v>1561129</v>
      </c>
      <c r="AI34" s="431">
        <v>4689288</v>
      </c>
      <c r="AJ34" s="431">
        <v>372237</v>
      </c>
      <c r="AK34" s="431">
        <v>0</v>
      </c>
      <c r="AL34" s="431">
        <v>3400583</v>
      </c>
      <c r="AM34" s="431">
        <v>8662</v>
      </c>
    </row>
    <row r="35" spans="1:39" s="203" customFormat="1" ht="12" x14ac:dyDescent="0.2">
      <c r="A35" s="181">
        <v>2</v>
      </c>
      <c r="B35" s="199">
        <v>106746</v>
      </c>
      <c r="C35" s="186" t="s">
        <v>2182</v>
      </c>
      <c r="D35" s="446">
        <f t="shared" si="9"/>
        <v>31929742</v>
      </c>
      <c r="E35" s="431">
        <v>14393940</v>
      </c>
      <c r="F35" s="431">
        <v>3441978</v>
      </c>
      <c r="G35" s="431">
        <v>3574343</v>
      </c>
      <c r="H35" s="431"/>
      <c r="I35" s="431">
        <v>14498214</v>
      </c>
      <c r="J35" s="431"/>
      <c r="K35" s="431">
        <v>2407880</v>
      </c>
      <c r="L35" s="431"/>
      <c r="M35" s="431">
        <v>143675</v>
      </c>
      <c r="N35" s="431">
        <v>486033</v>
      </c>
      <c r="O35" s="431">
        <v>0</v>
      </c>
      <c r="P35" s="446">
        <f t="shared" si="10"/>
        <v>31924136</v>
      </c>
      <c r="Q35" s="431">
        <v>15996113</v>
      </c>
      <c r="R35" s="431">
        <v>7711959</v>
      </c>
      <c r="S35" s="431">
        <v>0</v>
      </c>
      <c r="T35" s="431">
        <v>0</v>
      </c>
      <c r="U35" s="431">
        <v>5439899</v>
      </c>
      <c r="V35" s="431">
        <v>0</v>
      </c>
      <c r="W35" s="431">
        <v>496386</v>
      </c>
      <c r="X35" s="431">
        <v>451320</v>
      </c>
      <c r="Y35" s="431">
        <v>0</v>
      </c>
      <c r="Z35" s="431">
        <v>1218014</v>
      </c>
      <c r="AA35" s="431">
        <v>610445</v>
      </c>
      <c r="AB35" s="431">
        <v>0</v>
      </c>
      <c r="AC35" s="431">
        <v>3010089</v>
      </c>
      <c r="AD35" s="431">
        <v>556020</v>
      </c>
      <c r="AE35" s="431">
        <v>12630774</v>
      </c>
      <c r="AF35" s="431">
        <v>22851</v>
      </c>
      <c r="AG35" s="431">
        <v>640026</v>
      </c>
      <c r="AH35" s="431">
        <v>3305590</v>
      </c>
      <c r="AI35" s="431">
        <v>3777112</v>
      </c>
      <c r="AJ35" s="431">
        <v>1388830</v>
      </c>
      <c r="AK35" s="431">
        <v>0</v>
      </c>
      <c r="AL35" s="431">
        <v>6592844</v>
      </c>
      <c r="AM35" s="431">
        <v>0</v>
      </c>
    </row>
    <row r="36" spans="1:39" s="203" customFormat="1" ht="12" x14ac:dyDescent="0.2">
      <c r="A36" s="181">
        <v>3</v>
      </c>
      <c r="B36" s="199">
        <v>106782</v>
      </c>
      <c r="C36" s="186" t="s">
        <v>2183</v>
      </c>
      <c r="D36" s="446">
        <f t="shared" si="9"/>
        <v>10062258</v>
      </c>
      <c r="E36" s="431">
        <v>3263963</v>
      </c>
      <c r="F36" s="431">
        <v>550015</v>
      </c>
      <c r="G36" s="431">
        <v>1311146</v>
      </c>
      <c r="H36" s="431"/>
      <c r="I36" s="431">
        <v>3277261</v>
      </c>
      <c r="J36" s="431"/>
      <c r="K36" s="431">
        <v>3339760</v>
      </c>
      <c r="L36" s="431"/>
      <c r="M36" s="431">
        <v>32158</v>
      </c>
      <c r="N36" s="431">
        <v>0</v>
      </c>
      <c r="O36" s="431">
        <v>149116</v>
      </c>
      <c r="P36" s="446">
        <f t="shared" si="10"/>
        <v>10091800</v>
      </c>
      <c r="Q36" s="431">
        <v>3892298</v>
      </c>
      <c r="R36" s="431">
        <v>1719029</v>
      </c>
      <c r="S36" s="431">
        <v>0</v>
      </c>
      <c r="T36" s="431">
        <v>65675</v>
      </c>
      <c r="U36" s="431">
        <v>867800</v>
      </c>
      <c r="V36" s="431">
        <v>0</v>
      </c>
      <c r="W36" s="431">
        <v>544254</v>
      </c>
      <c r="X36" s="431">
        <v>291196</v>
      </c>
      <c r="Y36" s="431">
        <v>125000</v>
      </c>
      <c r="Z36" s="431">
        <v>2604892</v>
      </c>
      <c r="AA36" s="431">
        <v>0</v>
      </c>
      <c r="AB36" s="431">
        <v>-18344</v>
      </c>
      <c r="AC36" s="431">
        <v>1247474</v>
      </c>
      <c r="AD36" s="431">
        <v>10474</v>
      </c>
      <c r="AE36" s="431">
        <v>3180274</v>
      </c>
      <c r="AF36" s="431">
        <v>857491</v>
      </c>
      <c r="AG36" s="431">
        <v>1288274</v>
      </c>
      <c r="AH36" s="431">
        <v>483457</v>
      </c>
      <c r="AI36" s="431">
        <v>1046770</v>
      </c>
      <c r="AJ36" s="431">
        <v>290757</v>
      </c>
      <c r="AK36" s="431">
        <v>0</v>
      </c>
      <c r="AL36" s="431">
        <v>1111915</v>
      </c>
      <c r="AM36" s="431">
        <v>574914</v>
      </c>
    </row>
    <row r="37" spans="1:39" s="203" customFormat="1" ht="12" x14ac:dyDescent="0.2">
      <c r="A37" s="181">
        <v>4</v>
      </c>
      <c r="B37" s="199">
        <v>108963</v>
      </c>
      <c r="C37" s="186" t="s">
        <v>2184</v>
      </c>
      <c r="D37" s="446">
        <f t="shared" si="9"/>
        <v>15934305</v>
      </c>
      <c r="E37" s="431">
        <v>5482422</v>
      </c>
      <c r="F37" s="431">
        <v>1667499</v>
      </c>
      <c r="G37" s="431">
        <v>541246</v>
      </c>
      <c r="H37" s="431"/>
      <c r="I37" s="431">
        <v>5841395</v>
      </c>
      <c r="J37" s="431"/>
      <c r="K37" s="431">
        <v>1802360</v>
      </c>
      <c r="L37" s="431"/>
      <c r="M37" s="431">
        <v>1852887</v>
      </c>
      <c r="N37" s="431">
        <v>160704</v>
      </c>
      <c r="O37" s="431">
        <v>794537</v>
      </c>
      <c r="P37" s="446">
        <f t="shared" si="10"/>
        <v>15459972</v>
      </c>
      <c r="Q37" s="431">
        <v>6353156</v>
      </c>
      <c r="R37" s="431">
        <v>3069233</v>
      </c>
      <c r="S37" s="431">
        <v>89633</v>
      </c>
      <c r="T37" s="431">
        <v>0</v>
      </c>
      <c r="U37" s="431">
        <v>0</v>
      </c>
      <c r="V37" s="431">
        <v>0</v>
      </c>
      <c r="W37" s="431">
        <v>476590</v>
      </c>
      <c r="X37" s="431">
        <v>353310</v>
      </c>
      <c r="Y37" s="431">
        <v>109750</v>
      </c>
      <c r="Z37" s="431">
        <v>4342225</v>
      </c>
      <c r="AA37" s="431">
        <v>692091</v>
      </c>
      <c r="AB37" s="431">
        <v>-26016</v>
      </c>
      <c r="AC37" s="431">
        <v>1753579</v>
      </c>
      <c r="AD37" s="431">
        <v>410025</v>
      </c>
      <c r="AE37" s="431">
        <v>5226923</v>
      </c>
      <c r="AF37" s="431">
        <v>524635</v>
      </c>
      <c r="AG37" s="431">
        <v>597645</v>
      </c>
      <c r="AH37" s="431">
        <v>1023716</v>
      </c>
      <c r="AI37" s="431">
        <v>2078386</v>
      </c>
      <c r="AJ37" s="431">
        <v>830904</v>
      </c>
      <c r="AK37" s="431">
        <v>0</v>
      </c>
      <c r="AL37" s="431">
        <v>2218253</v>
      </c>
      <c r="AM37" s="431">
        <v>795906</v>
      </c>
    </row>
    <row r="38" spans="1:39" s="203" customFormat="1" ht="22.5" x14ac:dyDescent="0.2">
      <c r="A38" s="181">
        <v>5</v>
      </c>
      <c r="B38" s="199">
        <v>106817</v>
      </c>
      <c r="C38" s="186" t="s">
        <v>2185</v>
      </c>
      <c r="D38" s="446">
        <f t="shared" si="9"/>
        <v>28977113</v>
      </c>
      <c r="E38" s="431">
        <v>9970160</v>
      </c>
      <c r="F38" s="431">
        <v>3898320</v>
      </c>
      <c r="G38" s="431">
        <v>66725</v>
      </c>
      <c r="H38" s="431"/>
      <c r="I38" s="431">
        <v>11442981</v>
      </c>
      <c r="J38" s="431"/>
      <c r="K38" s="431">
        <v>1078390</v>
      </c>
      <c r="L38" s="431"/>
      <c r="M38" s="431">
        <v>2154957</v>
      </c>
      <c r="N38" s="431">
        <v>3737879</v>
      </c>
      <c r="O38" s="431">
        <v>592746</v>
      </c>
      <c r="P38" s="446">
        <f t="shared" si="10"/>
        <v>28977113</v>
      </c>
      <c r="Q38" s="431">
        <v>12639523</v>
      </c>
      <c r="R38" s="431">
        <v>5655531</v>
      </c>
      <c r="S38" s="431">
        <v>148553</v>
      </c>
      <c r="T38" s="431">
        <v>0</v>
      </c>
      <c r="U38" s="431">
        <v>969970</v>
      </c>
      <c r="V38" s="431">
        <v>135000</v>
      </c>
      <c r="W38" s="431">
        <v>5712028</v>
      </c>
      <c r="X38" s="431">
        <v>346805</v>
      </c>
      <c r="Y38" s="431">
        <v>100000</v>
      </c>
      <c r="Z38" s="431">
        <v>2759803</v>
      </c>
      <c r="AA38" s="431">
        <v>513811</v>
      </c>
      <c r="AB38" s="431">
        <v>-3911</v>
      </c>
      <c r="AC38" s="431">
        <v>7912706</v>
      </c>
      <c r="AD38" s="431">
        <v>230489</v>
      </c>
      <c r="AE38" s="431">
        <v>10896520</v>
      </c>
      <c r="AF38" s="431">
        <v>512480</v>
      </c>
      <c r="AG38" s="431">
        <v>1205237</v>
      </c>
      <c r="AH38" s="431">
        <v>1415634</v>
      </c>
      <c r="AI38" s="431">
        <v>950068</v>
      </c>
      <c r="AJ38" s="431">
        <v>1750988</v>
      </c>
      <c r="AK38" s="431">
        <v>0</v>
      </c>
      <c r="AL38" s="431">
        <v>3706999</v>
      </c>
      <c r="AM38" s="431">
        <v>395992</v>
      </c>
    </row>
    <row r="39" spans="1:39" s="203" customFormat="1" ht="22.5" x14ac:dyDescent="0.2">
      <c r="A39" s="181">
        <v>6</v>
      </c>
      <c r="B39" s="199">
        <v>106979</v>
      </c>
      <c r="C39" s="186" t="s">
        <v>2186</v>
      </c>
      <c r="D39" s="446">
        <f t="shared" si="9"/>
        <v>40087293</v>
      </c>
      <c r="E39" s="431">
        <v>12298457</v>
      </c>
      <c r="F39" s="431">
        <v>4238499</v>
      </c>
      <c r="G39" s="431">
        <v>383166</v>
      </c>
      <c r="H39" s="431"/>
      <c r="I39" s="431">
        <v>12576337</v>
      </c>
      <c r="J39" s="431"/>
      <c r="K39" s="431">
        <v>810900</v>
      </c>
      <c r="L39" s="431"/>
      <c r="M39" s="431">
        <v>3947308</v>
      </c>
      <c r="N39" s="431">
        <v>10454291</v>
      </c>
      <c r="O39" s="431">
        <v>0</v>
      </c>
      <c r="P39" s="446">
        <f t="shared" si="10"/>
        <v>40010373</v>
      </c>
      <c r="Q39" s="431">
        <v>12829474</v>
      </c>
      <c r="R39" s="431">
        <v>5571800</v>
      </c>
      <c r="S39" s="431">
        <v>168000</v>
      </c>
      <c r="T39" s="431">
        <v>0</v>
      </c>
      <c r="U39" s="431">
        <v>1237720</v>
      </c>
      <c r="V39" s="431">
        <v>0</v>
      </c>
      <c r="W39" s="431">
        <v>11505345</v>
      </c>
      <c r="X39" s="431">
        <v>414737</v>
      </c>
      <c r="Y39" s="431">
        <v>61564</v>
      </c>
      <c r="Z39" s="431">
        <v>7733218</v>
      </c>
      <c r="AA39" s="431">
        <v>488940</v>
      </c>
      <c r="AB39" s="431">
        <v>-425</v>
      </c>
      <c r="AC39" s="431">
        <v>3944279</v>
      </c>
      <c r="AD39" s="431">
        <v>179568</v>
      </c>
      <c r="AE39" s="431">
        <v>11868048</v>
      </c>
      <c r="AF39" s="431">
        <v>612434</v>
      </c>
      <c r="AG39" s="431">
        <v>519602</v>
      </c>
      <c r="AH39" s="431">
        <v>1400688</v>
      </c>
      <c r="AI39" s="431">
        <v>1946437</v>
      </c>
      <c r="AJ39" s="431">
        <v>1563581</v>
      </c>
      <c r="AK39" s="431">
        <v>0</v>
      </c>
      <c r="AL39" s="431">
        <v>17765736</v>
      </c>
      <c r="AM39" s="431">
        <v>210000</v>
      </c>
    </row>
    <row r="40" spans="1:39" s="203" customFormat="1" ht="22.5" x14ac:dyDescent="0.2">
      <c r="A40" s="181">
        <v>7</v>
      </c>
      <c r="B40" s="199">
        <v>108017</v>
      </c>
      <c r="C40" s="186" t="s">
        <v>2187</v>
      </c>
      <c r="D40" s="446">
        <f t="shared" si="9"/>
        <v>9230718</v>
      </c>
      <c r="E40" s="431">
        <v>2641033</v>
      </c>
      <c r="F40" s="431">
        <v>359842</v>
      </c>
      <c r="G40" s="431">
        <v>1520505</v>
      </c>
      <c r="H40" s="431"/>
      <c r="I40" s="431">
        <v>1706934</v>
      </c>
      <c r="J40" s="431"/>
      <c r="K40" s="431">
        <v>3725280</v>
      </c>
      <c r="L40" s="431"/>
      <c r="M40" s="431">
        <v>1132417</v>
      </c>
      <c r="N40" s="431">
        <v>0</v>
      </c>
      <c r="O40" s="431">
        <v>25054</v>
      </c>
      <c r="P40" s="446">
        <f t="shared" si="10"/>
        <v>5408950</v>
      </c>
      <c r="Q40" s="431">
        <v>2275500</v>
      </c>
      <c r="R40" s="431">
        <v>1108432</v>
      </c>
      <c r="S40" s="431">
        <v>15000</v>
      </c>
      <c r="T40" s="431">
        <v>0</v>
      </c>
      <c r="U40" s="431">
        <v>58000</v>
      </c>
      <c r="V40" s="431">
        <v>0</v>
      </c>
      <c r="W40" s="431">
        <v>0</v>
      </c>
      <c r="X40" s="431">
        <v>61700</v>
      </c>
      <c r="Y40" s="431">
        <v>5000</v>
      </c>
      <c r="Z40" s="431">
        <v>1820318</v>
      </c>
      <c r="AA40" s="431">
        <v>65000</v>
      </c>
      <c r="AB40" s="431">
        <v>0</v>
      </c>
      <c r="AC40" s="431">
        <v>851393</v>
      </c>
      <c r="AD40" s="431">
        <v>13309</v>
      </c>
      <c r="AE40" s="431">
        <v>1434893</v>
      </c>
      <c r="AF40" s="431">
        <v>63723</v>
      </c>
      <c r="AG40" s="431">
        <v>196205</v>
      </c>
      <c r="AH40" s="431">
        <v>479741</v>
      </c>
      <c r="AI40" s="431">
        <v>602153</v>
      </c>
      <c r="AJ40" s="431">
        <v>259229</v>
      </c>
      <c r="AK40" s="431">
        <v>0</v>
      </c>
      <c r="AL40" s="431">
        <v>1508304</v>
      </c>
      <c r="AM40" s="431">
        <v>0</v>
      </c>
    </row>
    <row r="41" spans="1:39" s="203" customFormat="1" ht="22.5" x14ac:dyDescent="0.2">
      <c r="A41" s="181">
        <v>8</v>
      </c>
      <c r="B41" s="199">
        <v>108892</v>
      </c>
      <c r="C41" s="186" t="s">
        <v>2188</v>
      </c>
      <c r="D41" s="446">
        <f t="shared" si="9"/>
        <v>12183900</v>
      </c>
      <c r="E41" s="431">
        <v>3436326</v>
      </c>
      <c r="F41" s="431">
        <v>397071</v>
      </c>
      <c r="G41" s="431">
        <v>1436568</v>
      </c>
      <c r="H41" s="431"/>
      <c r="I41" s="431">
        <v>2446000</v>
      </c>
      <c r="J41" s="431"/>
      <c r="K41" s="431">
        <v>3659570</v>
      </c>
      <c r="L41" s="431"/>
      <c r="M41" s="431">
        <v>461869</v>
      </c>
      <c r="N41" s="431">
        <v>644804</v>
      </c>
      <c r="O41" s="431">
        <v>1535331</v>
      </c>
      <c r="P41" s="446">
        <f t="shared" si="10"/>
        <v>12183220</v>
      </c>
      <c r="Q41" s="431">
        <v>2903185</v>
      </c>
      <c r="R41" s="431">
        <v>1440259</v>
      </c>
      <c r="S41" s="431">
        <v>22071</v>
      </c>
      <c r="T41" s="431">
        <v>0</v>
      </c>
      <c r="U41" s="431">
        <v>0</v>
      </c>
      <c r="V41" s="431">
        <v>0</v>
      </c>
      <c r="W41" s="431">
        <v>1469398</v>
      </c>
      <c r="X41" s="431">
        <v>129040</v>
      </c>
      <c r="Y41" s="431">
        <v>0</v>
      </c>
      <c r="Z41" s="431">
        <v>6152876</v>
      </c>
      <c r="AA41" s="431">
        <v>81252</v>
      </c>
      <c r="AB41" s="431">
        <v>-14861</v>
      </c>
      <c r="AC41" s="431">
        <v>1066969</v>
      </c>
      <c r="AD41" s="431">
        <v>13511</v>
      </c>
      <c r="AE41" s="431">
        <v>1977614</v>
      </c>
      <c r="AF41" s="431">
        <v>0</v>
      </c>
      <c r="AG41" s="431">
        <v>74264</v>
      </c>
      <c r="AH41" s="431">
        <v>574441</v>
      </c>
      <c r="AI41" s="431">
        <v>357732</v>
      </c>
      <c r="AJ41" s="431">
        <v>4965204</v>
      </c>
      <c r="AK41" s="431">
        <v>0</v>
      </c>
      <c r="AL41" s="431">
        <v>2647939</v>
      </c>
      <c r="AM41" s="431">
        <v>505546</v>
      </c>
    </row>
    <row r="42" spans="1:39" s="203" customFormat="1" ht="22.5" x14ac:dyDescent="0.2">
      <c r="A42" s="181">
        <v>9</v>
      </c>
      <c r="B42" s="199">
        <v>109176</v>
      </c>
      <c r="C42" s="186" t="s">
        <v>2189</v>
      </c>
      <c r="D42" s="446">
        <f t="shared" si="9"/>
        <v>15416118</v>
      </c>
      <c r="E42" s="431">
        <v>4648514</v>
      </c>
      <c r="F42" s="431">
        <v>1126859</v>
      </c>
      <c r="G42" s="431">
        <v>762182</v>
      </c>
      <c r="H42" s="431"/>
      <c r="I42" s="431">
        <v>6668547</v>
      </c>
      <c r="J42" s="431"/>
      <c r="K42" s="431">
        <v>2407660</v>
      </c>
      <c r="L42" s="431"/>
      <c r="M42" s="431">
        <v>1681396</v>
      </c>
      <c r="N42" s="431">
        <v>0</v>
      </c>
      <c r="O42" s="431">
        <v>10001</v>
      </c>
      <c r="P42" s="446">
        <f t="shared" si="10"/>
        <v>13585220</v>
      </c>
      <c r="Q42" s="431">
        <v>6928371</v>
      </c>
      <c r="R42" s="431">
        <v>2426250</v>
      </c>
      <c r="S42" s="431">
        <v>140710</v>
      </c>
      <c r="T42" s="431">
        <v>0</v>
      </c>
      <c r="U42" s="431">
        <v>0</v>
      </c>
      <c r="V42" s="431">
        <v>0</v>
      </c>
      <c r="W42" s="431">
        <v>0</v>
      </c>
      <c r="X42" s="431">
        <v>546426</v>
      </c>
      <c r="Y42" s="431">
        <v>190000</v>
      </c>
      <c r="Z42" s="431">
        <v>3180890</v>
      </c>
      <c r="AA42" s="431">
        <v>265989</v>
      </c>
      <c r="AB42" s="431">
        <v>-93416</v>
      </c>
      <c r="AC42" s="431">
        <v>1842190</v>
      </c>
      <c r="AD42" s="431">
        <v>255578</v>
      </c>
      <c r="AE42" s="431">
        <v>6098310</v>
      </c>
      <c r="AF42" s="431">
        <v>65167</v>
      </c>
      <c r="AG42" s="431">
        <v>937659</v>
      </c>
      <c r="AH42" s="431">
        <v>750596</v>
      </c>
      <c r="AI42" s="431">
        <v>1883683</v>
      </c>
      <c r="AJ42" s="431">
        <v>104463</v>
      </c>
      <c r="AK42" s="431">
        <v>0</v>
      </c>
      <c r="AL42" s="431">
        <v>1490441</v>
      </c>
      <c r="AM42" s="431">
        <v>157133</v>
      </c>
    </row>
    <row r="43" spans="1:39" s="203" customFormat="1" ht="12" x14ac:dyDescent="0.2">
      <c r="A43" s="181">
        <v>10</v>
      </c>
      <c r="B43" s="199">
        <v>109265</v>
      </c>
      <c r="C43" s="186" t="s">
        <v>2190</v>
      </c>
      <c r="D43" s="446">
        <f t="shared" si="9"/>
        <v>19714960</v>
      </c>
      <c r="E43" s="431">
        <v>3758602</v>
      </c>
      <c r="F43" s="431">
        <v>948181</v>
      </c>
      <c r="G43" s="431">
        <v>1274484</v>
      </c>
      <c r="H43" s="431"/>
      <c r="I43" s="431">
        <v>5179694</v>
      </c>
      <c r="J43" s="431"/>
      <c r="K43" s="431">
        <v>3899800</v>
      </c>
      <c r="L43" s="431"/>
      <c r="M43" s="431">
        <v>6004482</v>
      </c>
      <c r="N43" s="431">
        <v>0</v>
      </c>
      <c r="O43" s="431">
        <v>872382</v>
      </c>
      <c r="P43" s="446">
        <f t="shared" si="10"/>
        <v>18807042</v>
      </c>
      <c r="Q43" s="431">
        <v>5620235</v>
      </c>
      <c r="R43" s="431">
        <v>3412913</v>
      </c>
      <c r="S43" s="431">
        <v>0</v>
      </c>
      <c r="T43" s="431">
        <v>0</v>
      </c>
      <c r="U43" s="431">
        <v>0</v>
      </c>
      <c r="V43" s="431">
        <v>0</v>
      </c>
      <c r="W43" s="431">
        <v>0</v>
      </c>
      <c r="X43" s="431">
        <v>544552</v>
      </c>
      <c r="Y43" s="431">
        <v>157500</v>
      </c>
      <c r="Z43" s="431">
        <v>9088077</v>
      </c>
      <c r="AA43" s="431">
        <v>0</v>
      </c>
      <c r="AB43" s="431">
        <v>-16235</v>
      </c>
      <c r="AC43" s="431">
        <v>1677845</v>
      </c>
      <c r="AD43" s="431">
        <v>19509</v>
      </c>
      <c r="AE43" s="431">
        <v>4402549</v>
      </c>
      <c r="AF43" s="431">
        <v>110483</v>
      </c>
      <c r="AG43" s="431">
        <v>1033379</v>
      </c>
      <c r="AH43" s="431">
        <v>1078455</v>
      </c>
      <c r="AI43" s="431">
        <v>1101601</v>
      </c>
      <c r="AJ43" s="431">
        <v>1640838</v>
      </c>
      <c r="AK43" s="431">
        <v>0</v>
      </c>
      <c r="AL43" s="431">
        <v>7685099</v>
      </c>
      <c r="AM43" s="431">
        <v>57284</v>
      </c>
    </row>
    <row r="44" spans="1:39" s="203" customFormat="1" ht="22.5" x14ac:dyDescent="0.2">
      <c r="A44" s="181">
        <v>11</v>
      </c>
      <c r="B44" s="199">
        <v>106461</v>
      </c>
      <c r="C44" s="186" t="s">
        <v>2191</v>
      </c>
      <c r="D44" s="446">
        <f t="shared" si="9"/>
        <v>21619965</v>
      </c>
      <c r="E44" s="431">
        <v>14480960</v>
      </c>
      <c r="F44" s="431">
        <v>3198715</v>
      </c>
      <c r="G44" s="431">
        <v>20965</v>
      </c>
      <c r="H44" s="431"/>
      <c r="I44" s="431">
        <v>3605400</v>
      </c>
      <c r="J44" s="431"/>
      <c r="K44" s="431">
        <v>318320</v>
      </c>
      <c r="L44" s="431"/>
      <c r="M44" s="431">
        <v>2586546</v>
      </c>
      <c r="N44" s="431">
        <v>628739</v>
      </c>
      <c r="O44" s="431">
        <v>0</v>
      </c>
      <c r="P44" s="446">
        <f t="shared" si="10"/>
        <v>21514055</v>
      </c>
      <c r="Q44" s="431">
        <v>3945324</v>
      </c>
      <c r="R44" s="431">
        <v>3082923</v>
      </c>
      <c r="S44" s="431">
        <v>380635</v>
      </c>
      <c r="T44" s="431">
        <v>0</v>
      </c>
      <c r="U44" s="431">
        <v>0</v>
      </c>
      <c r="V44" s="431">
        <v>0</v>
      </c>
      <c r="W44" s="431">
        <v>421478</v>
      </c>
      <c r="X44" s="431">
        <v>626400</v>
      </c>
      <c r="Y44" s="431">
        <v>15000</v>
      </c>
      <c r="Z44" s="431">
        <v>12475758</v>
      </c>
      <c r="AA44" s="431">
        <v>574152</v>
      </c>
      <c r="AB44" s="431">
        <v>-7615</v>
      </c>
      <c r="AC44" s="431">
        <v>2050359</v>
      </c>
      <c r="AD44" s="431">
        <v>106696</v>
      </c>
      <c r="AE44" s="431">
        <v>3552271</v>
      </c>
      <c r="AF44" s="431">
        <v>0</v>
      </c>
      <c r="AG44" s="431">
        <v>551938</v>
      </c>
      <c r="AH44" s="431">
        <v>823605</v>
      </c>
      <c r="AI44" s="431">
        <v>2642233</v>
      </c>
      <c r="AJ44" s="431">
        <v>6964832</v>
      </c>
      <c r="AK44" s="431">
        <v>0</v>
      </c>
      <c r="AL44" s="431">
        <v>4689775</v>
      </c>
      <c r="AM44" s="431">
        <v>132346</v>
      </c>
    </row>
    <row r="45" spans="1:39" s="155" customFormat="1" ht="12" hidden="1" x14ac:dyDescent="0.2">
      <c r="A45" s="146">
        <v>12</v>
      </c>
      <c r="B45" s="234"/>
      <c r="C45" s="287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42">
        <f t="shared" si="3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234"/>
      <c r="C46" s="287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42">
        <f t="shared" si="3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234"/>
      <c r="C47" s="259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42">
        <f t="shared" si="3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234"/>
      <c r="C48" s="259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42">
        <f t="shared" si="3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234"/>
      <c r="C49" s="259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42">
        <f t="shared" si="3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234"/>
      <c r="C50" s="259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42">
        <f t="shared" si="3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234"/>
      <c r="C51" s="259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42">
        <f t="shared" si="3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46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42">
        <f t="shared" si="3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46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42">
        <f t="shared" si="3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" x14ac:dyDescent="0.2">
      <c r="A54" s="164" t="s">
        <v>76</v>
      </c>
      <c r="B54" s="164"/>
      <c r="C54" s="208"/>
      <c r="D54" s="432">
        <f t="shared" ref="D54" si="11">E54+SUM(H54:O54)</f>
        <v>407207559</v>
      </c>
      <c r="E54" s="432">
        <f>SUM(E55:E143)</f>
        <v>94451186</v>
      </c>
      <c r="F54" s="432">
        <f t="shared" ref="F54:O54" si="12">SUM(F55:F143)</f>
        <v>20066790</v>
      </c>
      <c r="G54" s="432">
        <f t="shared" si="12"/>
        <v>26428951</v>
      </c>
      <c r="H54" s="432">
        <f t="shared" si="12"/>
        <v>0</v>
      </c>
      <c r="I54" s="432">
        <f t="shared" si="12"/>
        <v>123651937</v>
      </c>
      <c r="J54" s="432">
        <f t="shared" si="12"/>
        <v>0</v>
      </c>
      <c r="K54" s="432">
        <f t="shared" si="12"/>
        <v>62221010</v>
      </c>
      <c r="L54" s="432">
        <f t="shared" si="12"/>
        <v>0</v>
      </c>
      <c r="M54" s="432">
        <f t="shared" si="12"/>
        <v>69198365</v>
      </c>
      <c r="N54" s="432">
        <f t="shared" si="12"/>
        <v>53556783</v>
      </c>
      <c r="O54" s="432">
        <f t="shared" si="12"/>
        <v>4128278</v>
      </c>
      <c r="P54" s="442">
        <f t="shared" si="3"/>
        <v>406294386</v>
      </c>
      <c r="Q54" s="432">
        <f>SUM(Q55:Q143)</f>
        <v>143095649</v>
      </c>
      <c r="R54" s="432">
        <f t="shared" ref="R54:AM54" si="13">SUM(R55:R143)</f>
        <v>81414503</v>
      </c>
      <c r="S54" s="432">
        <f t="shared" si="13"/>
        <v>513183</v>
      </c>
      <c r="T54" s="432">
        <f t="shared" si="13"/>
        <v>0</v>
      </c>
      <c r="U54" s="432">
        <f t="shared" si="13"/>
        <v>322977</v>
      </c>
      <c r="V54" s="432">
        <f t="shared" si="13"/>
        <v>124529</v>
      </c>
      <c r="W54" s="432">
        <f t="shared" si="13"/>
        <v>84360283</v>
      </c>
      <c r="X54" s="432">
        <f t="shared" si="13"/>
        <v>8397440</v>
      </c>
      <c r="Y54" s="432">
        <f t="shared" si="13"/>
        <v>1791127</v>
      </c>
      <c r="Z54" s="432">
        <f t="shared" si="13"/>
        <v>78879821</v>
      </c>
      <c r="AA54" s="432">
        <f t="shared" si="13"/>
        <v>7572492</v>
      </c>
      <c r="AB54" s="432">
        <f t="shared" si="13"/>
        <v>-177618</v>
      </c>
      <c r="AC54" s="432">
        <f t="shared" si="13"/>
        <v>54936056</v>
      </c>
      <c r="AD54" s="432">
        <f t="shared" si="13"/>
        <v>2085477</v>
      </c>
      <c r="AE54" s="432">
        <f t="shared" si="13"/>
        <v>117453477</v>
      </c>
      <c r="AF54" s="432">
        <f t="shared" si="13"/>
        <v>1421587</v>
      </c>
      <c r="AG54" s="432">
        <f t="shared" si="13"/>
        <v>24507504</v>
      </c>
      <c r="AH54" s="432">
        <f t="shared" si="13"/>
        <v>33967920</v>
      </c>
      <c r="AI54" s="432">
        <f t="shared" si="13"/>
        <v>43162518</v>
      </c>
      <c r="AJ54" s="432">
        <f t="shared" si="13"/>
        <v>23179450</v>
      </c>
      <c r="AK54" s="432">
        <f t="shared" si="13"/>
        <v>0</v>
      </c>
      <c r="AL54" s="432">
        <f>SUM(AL55:AL143)</f>
        <v>95522723</v>
      </c>
      <c r="AM54" s="432">
        <f t="shared" si="13"/>
        <v>10057674</v>
      </c>
    </row>
    <row r="55" spans="1:39" s="203" customFormat="1" ht="12" x14ac:dyDescent="0.2">
      <c r="A55" s="181">
        <v>1</v>
      </c>
      <c r="B55" s="199">
        <v>107001</v>
      </c>
      <c r="C55" s="187" t="s">
        <v>2192</v>
      </c>
      <c r="D55" s="446">
        <f t="shared" ref="D55:D117" si="14">E55+H55+I55+J55+K55+L55+M55+N55+O55</f>
        <v>3710216</v>
      </c>
      <c r="E55" s="431">
        <v>1113816</v>
      </c>
      <c r="F55" s="431">
        <v>109915</v>
      </c>
      <c r="G55" s="431">
        <v>278718</v>
      </c>
      <c r="H55" s="431"/>
      <c r="I55" s="431">
        <v>1292393</v>
      </c>
      <c r="J55" s="431"/>
      <c r="K55" s="431">
        <v>878860</v>
      </c>
      <c r="L55" s="431"/>
      <c r="M55" s="431">
        <v>132357</v>
      </c>
      <c r="N55" s="431">
        <v>292790</v>
      </c>
      <c r="O55" s="431">
        <v>0</v>
      </c>
      <c r="P55" s="446">
        <f t="shared" ref="P55:P86" si="15">IF(SUM(Q55:AB55)=SUM(AC55:AM55),SUM(Q55:AB55),"EROARE ART/CAP")</f>
        <v>3315024</v>
      </c>
      <c r="Q55" s="431">
        <v>1454415</v>
      </c>
      <c r="R55" s="431">
        <v>1043355</v>
      </c>
      <c r="S55" s="431">
        <v>7260</v>
      </c>
      <c r="T55" s="431">
        <v>0</v>
      </c>
      <c r="U55" s="431">
        <v>0</v>
      </c>
      <c r="V55" s="431">
        <v>0</v>
      </c>
      <c r="W55" s="431">
        <v>382168</v>
      </c>
      <c r="X55" s="431">
        <v>158907</v>
      </c>
      <c r="Y55" s="431">
        <v>0</v>
      </c>
      <c r="Z55" s="431">
        <v>268919</v>
      </c>
      <c r="AA55" s="431">
        <v>0</v>
      </c>
      <c r="AB55" s="431">
        <v>0</v>
      </c>
      <c r="AC55" s="431">
        <v>594972</v>
      </c>
      <c r="AD55" s="431">
        <v>406610</v>
      </c>
      <c r="AE55" s="431">
        <v>1048318</v>
      </c>
      <c r="AF55" s="431">
        <v>0</v>
      </c>
      <c r="AG55" s="431">
        <v>119432</v>
      </c>
      <c r="AH55" s="431">
        <v>314385</v>
      </c>
      <c r="AI55" s="431">
        <v>279942</v>
      </c>
      <c r="AJ55" s="431">
        <v>184749</v>
      </c>
      <c r="AK55" s="431">
        <v>0</v>
      </c>
      <c r="AL55" s="431">
        <v>366616</v>
      </c>
      <c r="AM55" s="431">
        <v>0</v>
      </c>
    </row>
    <row r="56" spans="1:39" s="203" customFormat="1" ht="12" x14ac:dyDescent="0.2">
      <c r="A56" s="181">
        <v>2</v>
      </c>
      <c r="B56" s="199">
        <v>107047</v>
      </c>
      <c r="C56" s="187" t="s">
        <v>2193</v>
      </c>
      <c r="D56" s="446">
        <f t="shared" si="14"/>
        <v>3545145</v>
      </c>
      <c r="E56" s="431">
        <v>865160</v>
      </c>
      <c r="F56" s="431">
        <v>111564</v>
      </c>
      <c r="G56" s="431">
        <v>333817</v>
      </c>
      <c r="H56" s="431"/>
      <c r="I56" s="431">
        <v>675000</v>
      </c>
      <c r="J56" s="431"/>
      <c r="K56" s="431">
        <v>1011230</v>
      </c>
      <c r="L56" s="431"/>
      <c r="M56" s="431">
        <v>471709</v>
      </c>
      <c r="N56" s="431">
        <v>472046</v>
      </c>
      <c r="O56" s="431">
        <v>50000</v>
      </c>
      <c r="P56" s="446">
        <f t="shared" si="15"/>
        <v>3615406</v>
      </c>
      <c r="Q56" s="431">
        <v>1054205</v>
      </c>
      <c r="R56" s="431">
        <v>907834</v>
      </c>
      <c r="S56" s="431">
        <v>0</v>
      </c>
      <c r="T56" s="431">
        <v>0</v>
      </c>
      <c r="U56" s="431">
        <v>0</v>
      </c>
      <c r="V56" s="431">
        <v>0</v>
      </c>
      <c r="W56" s="431">
        <v>855623</v>
      </c>
      <c r="X56" s="431">
        <v>47058</v>
      </c>
      <c r="Y56" s="431">
        <v>0</v>
      </c>
      <c r="Z56" s="431">
        <v>750686</v>
      </c>
      <c r="AA56" s="431">
        <v>0</v>
      </c>
      <c r="AB56" s="431">
        <v>0</v>
      </c>
      <c r="AC56" s="431">
        <v>962512</v>
      </c>
      <c r="AD56" s="431">
        <v>50621</v>
      </c>
      <c r="AE56" s="431">
        <v>804786</v>
      </c>
      <c r="AF56" s="431">
        <v>30796</v>
      </c>
      <c r="AG56" s="431">
        <v>137715</v>
      </c>
      <c r="AH56" s="431">
        <v>100277</v>
      </c>
      <c r="AI56" s="431">
        <v>923981</v>
      </c>
      <c r="AJ56" s="431">
        <v>58300</v>
      </c>
      <c r="AK56" s="431">
        <v>0</v>
      </c>
      <c r="AL56" s="431">
        <v>446757</v>
      </c>
      <c r="AM56" s="431">
        <v>99661</v>
      </c>
    </row>
    <row r="57" spans="1:39" s="203" customFormat="1" ht="22.5" x14ac:dyDescent="0.2">
      <c r="A57" s="181">
        <v>3</v>
      </c>
      <c r="B57" s="199">
        <v>107083</v>
      </c>
      <c r="C57" s="187" t="s">
        <v>2194</v>
      </c>
      <c r="D57" s="446">
        <f t="shared" si="14"/>
        <v>3515177</v>
      </c>
      <c r="E57" s="431">
        <v>945594</v>
      </c>
      <c r="F57" s="431">
        <v>78954</v>
      </c>
      <c r="G57" s="431">
        <v>327063</v>
      </c>
      <c r="H57" s="431"/>
      <c r="I57" s="431">
        <v>744000</v>
      </c>
      <c r="J57" s="431"/>
      <c r="K57" s="431">
        <v>978720</v>
      </c>
      <c r="L57" s="431"/>
      <c r="M57" s="431">
        <v>638965</v>
      </c>
      <c r="N57" s="431">
        <v>195030</v>
      </c>
      <c r="O57" s="431">
        <v>12868</v>
      </c>
      <c r="P57" s="446">
        <f t="shared" si="15"/>
        <v>3316089</v>
      </c>
      <c r="Q57" s="431">
        <v>1009777</v>
      </c>
      <c r="R57" s="431">
        <v>729506</v>
      </c>
      <c r="S57" s="431">
        <v>0</v>
      </c>
      <c r="T57" s="431">
        <v>0</v>
      </c>
      <c r="U57" s="431">
        <v>0</v>
      </c>
      <c r="V57" s="431">
        <v>0</v>
      </c>
      <c r="W57" s="431">
        <v>561526</v>
      </c>
      <c r="X57" s="431">
        <v>136232</v>
      </c>
      <c r="Y57" s="431">
        <v>0</v>
      </c>
      <c r="Z57" s="431">
        <v>879048</v>
      </c>
      <c r="AA57" s="431">
        <v>0</v>
      </c>
      <c r="AB57" s="431">
        <v>0</v>
      </c>
      <c r="AC57" s="431">
        <v>504887</v>
      </c>
      <c r="AD57" s="431">
        <v>40903</v>
      </c>
      <c r="AE57" s="431">
        <v>649000</v>
      </c>
      <c r="AF57" s="431">
        <v>19073</v>
      </c>
      <c r="AG57" s="431">
        <v>680007</v>
      </c>
      <c r="AH57" s="431">
        <v>136232</v>
      </c>
      <c r="AI57" s="431">
        <v>437856</v>
      </c>
      <c r="AJ57" s="431">
        <v>66426</v>
      </c>
      <c r="AK57" s="431">
        <v>0</v>
      </c>
      <c r="AL57" s="431">
        <v>781705</v>
      </c>
      <c r="AM57" s="431">
        <v>0</v>
      </c>
    </row>
    <row r="58" spans="1:39" s="203" customFormat="1" ht="22.5" x14ac:dyDescent="0.2">
      <c r="A58" s="181">
        <v>4</v>
      </c>
      <c r="B58" s="199">
        <v>107118</v>
      </c>
      <c r="C58" s="187" t="s">
        <v>2195</v>
      </c>
      <c r="D58" s="446">
        <f t="shared" si="14"/>
        <v>4265239</v>
      </c>
      <c r="E58" s="431">
        <v>830008</v>
      </c>
      <c r="F58" s="431">
        <v>118280</v>
      </c>
      <c r="G58" s="431">
        <v>359866</v>
      </c>
      <c r="H58" s="431"/>
      <c r="I58" s="431">
        <v>1236756</v>
      </c>
      <c r="J58" s="431"/>
      <c r="K58" s="431">
        <v>1036950</v>
      </c>
      <c r="L58" s="431"/>
      <c r="M58" s="431">
        <v>875771</v>
      </c>
      <c r="N58" s="431">
        <v>285754</v>
      </c>
      <c r="O58" s="431">
        <v>0</v>
      </c>
      <c r="P58" s="446">
        <f t="shared" si="15"/>
        <v>4025456</v>
      </c>
      <c r="Q58" s="431">
        <v>1425428</v>
      </c>
      <c r="R58" s="431">
        <v>606047</v>
      </c>
      <c r="S58" s="431">
        <v>0</v>
      </c>
      <c r="T58" s="431">
        <v>0</v>
      </c>
      <c r="U58" s="431">
        <v>0</v>
      </c>
      <c r="V58" s="431">
        <v>0</v>
      </c>
      <c r="W58" s="431">
        <v>425130</v>
      </c>
      <c r="X58" s="431">
        <v>75476</v>
      </c>
      <c r="Y58" s="431">
        <v>18000</v>
      </c>
      <c r="Z58" s="431">
        <v>1475375</v>
      </c>
      <c r="AA58" s="431">
        <v>0</v>
      </c>
      <c r="AB58" s="431">
        <v>0</v>
      </c>
      <c r="AC58" s="431">
        <v>530801</v>
      </c>
      <c r="AD58" s="431">
        <v>17968</v>
      </c>
      <c r="AE58" s="431">
        <v>1112924</v>
      </c>
      <c r="AF58" s="431">
        <v>7637</v>
      </c>
      <c r="AG58" s="431">
        <v>130049</v>
      </c>
      <c r="AH58" s="431">
        <v>179365</v>
      </c>
      <c r="AI58" s="431">
        <v>670976</v>
      </c>
      <c r="AJ58" s="431">
        <v>48693</v>
      </c>
      <c r="AK58" s="431">
        <v>0</v>
      </c>
      <c r="AL58" s="431">
        <v>1327043</v>
      </c>
      <c r="AM58" s="431">
        <v>0</v>
      </c>
    </row>
    <row r="59" spans="1:39" s="203" customFormat="1" ht="12" x14ac:dyDescent="0.2">
      <c r="A59" s="181">
        <v>5</v>
      </c>
      <c r="B59" s="199">
        <v>107154</v>
      </c>
      <c r="C59" s="187" t="s">
        <v>2196</v>
      </c>
      <c r="D59" s="446">
        <f t="shared" si="14"/>
        <v>3258510</v>
      </c>
      <c r="E59" s="431">
        <v>1019268</v>
      </c>
      <c r="F59" s="431">
        <v>218240</v>
      </c>
      <c r="G59" s="431">
        <v>246021</v>
      </c>
      <c r="H59" s="431"/>
      <c r="I59" s="431">
        <v>1206632</v>
      </c>
      <c r="J59" s="431"/>
      <c r="K59" s="431">
        <v>763220</v>
      </c>
      <c r="L59" s="431"/>
      <c r="M59" s="431">
        <v>98271</v>
      </c>
      <c r="N59" s="431">
        <v>171119</v>
      </c>
      <c r="O59" s="431">
        <v>0</v>
      </c>
      <c r="P59" s="446">
        <f t="shared" si="15"/>
        <v>3175970</v>
      </c>
      <c r="Q59" s="431">
        <v>1567322</v>
      </c>
      <c r="R59" s="431">
        <v>496354</v>
      </c>
      <c r="S59" s="431">
        <v>0</v>
      </c>
      <c r="T59" s="431">
        <v>0</v>
      </c>
      <c r="U59" s="431">
        <v>0</v>
      </c>
      <c r="V59" s="431">
        <v>0</v>
      </c>
      <c r="W59" s="431">
        <v>494783</v>
      </c>
      <c r="X59" s="431">
        <v>147535</v>
      </c>
      <c r="Y59" s="431">
        <v>0</v>
      </c>
      <c r="Z59" s="431">
        <v>469976</v>
      </c>
      <c r="AA59" s="431">
        <v>0</v>
      </c>
      <c r="AB59" s="431">
        <v>0</v>
      </c>
      <c r="AC59" s="431">
        <v>445330</v>
      </c>
      <c r="AD59" s="431">
        <v>0</v>
      </c>
      <c r="AE59" s="431">
        <v>1130670</v>
      </c>
      <c r="AF59" s="431">
        <v>22723</v>
      </c>
      <c r="AG59" s="431">
        <v>557298</v>
      </c>
      <c r="AH59" s="431">
        <v>147535</v>
      </c>
      <c r="AI59" s="431">
        <v>742008</v>
      </c>
      <c r="AJ59" s="431">
        <v>53943</v>
      </c>
      <c r="AK59" s="431">
        <v>0</v>
      </c>
      <c r="AL59" s="431">
        <v>56397</v>
      </c>
      <c r="AM59" s="431">
        <v>20066</v>
      </c>
    </row>
    <row r="60" spans="1:39" s="203" customFormat="1" ht="12" x14ac:dyDescent="0.2">
      <c r="A60" s="181">
        <v>6</v>
      </c>
      <c r="B60" s="199">
        <v>107190</v>
      </c>
      <c r="C60" s="187" t="s">
        <v>2197</v>
      </c>
      <c r="D60" s="446">
        <f t="shared" si="14"/>
        <v>3611525</v>
      </c>
      <c r="E60" s="431">
        <v>821618</v>
      </c>
      <c r="F60" s="431">
        <v>80403</v>
      </c>
      <c r="G60" s="431">
        <v>335746</v>
      </c>
      <c r="H60" s="431"/>
      <c r="I60" s="431">
        <v>970070</v>
      </c>
      <c r="J60" s="431"/>
      <c r="K60" s="431">
        <v>887190</v>
      </c>
      <c r="L60" s="431"/>
      <c r="M60" s="431">
        <v>773238</v>
      </c>
      <c r="N60" s="431">
        <v>159409</v>
      </c>
      <c r="O60" s="431">
        <v>0</v>
      </c>
      <c r="P60" s="446">
        <f t="shared" si="15"/>
        <v>3772097</v>
      </c>
      <c r="Q60" s="431">
        <v>1375136</v>
      </c>
      <c r="R60" s="431">
        <v>875954</v>
      </c>
      <c r="S60" s="431">
        <v>42400</v>
      </c>
      <c r="T60" s="431">
        <v>0</v>
      </c>
      <c r="U60" s="431">
        <v>0</v>
      </c>
      <c r="V60" s="431">
        <v>0</v>
      </c>
      <c r="W60" s="431">
        <v>121716</v>
      </c>
      <c r="X60" s="431">
        <v>79171</v>
      </c>
      <c r="Y60" s="431">
        <v>0</v>
      </c>
      <c r="Z60" s="431">
        <v>415720</v>
      </c>
      <c r="AA60" s="431">
        <v>862000</v>
      </c>
      <c r="AB60" s="431">
        <v>0</v>
      </c>
      <c r="AC60" s="431">
        <v>1376050</v>
      </c>
      <c r="AD60" s="431">
        <v>105089</v>
      </c>
      <c r="AE60" s="431">
        <v>927939</v>
      </c>
      <c r="AF60" s="431">
        <v>0</v>
      </c>
      <c r="AG60" s="431">
        <v>394727</v>
      </c>
      <c r="AH60" s="431">
        <v>195457</v>
      </c>
      <c r="AI60" s="431">
        <v>299960</v>
      </c>
      <c r="AJ60" s="431">
        <v>50909</v>
      </c>
      <c r="AK60" s="431">
        <v>0</v>
      </c>
      <c r="AL60" s="431">
        <v>231683</v>
      </c>
      <c r="AM60" s="431">
        <v>190283</v>
      </c>
    </row>
    <row r="61" spans="1:39" s="203" customFormat="1" ht="12" x14ac:dyDescent="0.2">
      <c r="A61" s="181">
        <v>7</v>
      </c>
      <c r="B61" s="199">
        <v>107234</v>
      </c>
      <c r="C61" s="187" t="s">
        <v>2198</v>
      </c>
      <c r="D61" s="446">
        <f t="shared" si="14"/>
        <v>2822527</v>
      </c>
      <c r="E61" s="431">
        <v>628161</v>
      </c>
      <c r="F61" s="431">
        <v>52496</v>
      </c>
      <c r="G61" s="431">
        <v>396528</v>
      </c>
      <c r="H61" s="431"/>
      <c r="I61" s="431">
        <v>661006</v>
      </c>
      <c r="J61" s="431"/>
      <c r="K61" s="431">
        <v>1053090</v>
      </c>
      <c r="L61" s="431"/>
      <c r="M61" s="431">
        <v>226595</v>
      </c>
      <c r="N61" s="431">
        <v>253675</v>
      </c>
      <c r="O61" s="431">
        <v>0</v>
      </c>
      <c r="P61" s="446">
        <f t="shared" si="15"/>
        <v>2975129</v>
      </c>
      <c r="Q61" s="431">
        <v>890981</v>
      </c>
      <c r="R61" s="431">
        <v>691489</v>
      </c>
      <c r="S61" s="431">
        <v>0</v>
      </c>
      <c r="T61" s="431">
        <v>0</v>
      </c>
      <c r="U61" s="431">
        <v>0</v>
      </c>
      <c r="V61" s="431">
        <v>0</v>
      </c>
      <c r="W61" s="431">
        <v>652662</v>
      </c>
      <c r="X61" s="431">
        <v>50609</v>
      </c>
      <c r="Y61" s="431">
        <v>0</v>
      </c>
      <c r="Z61" s="431">
        <v>689388</v>
      </c>
      <c r="AA61" s="431">
        <v>0</v>
      </c>
      <c r="AB61" s="431">
        <v>0</v>
      </c>
      <c r="AC61" s="431">
        <v>536733</v>
      </c>
      <c r="AD61" s="431">
        <v>353</v>
      </c>
      <c r="AE61" s="431">
        <v>556423</v>
      </c>
      <c r="AF61" s="431">
        <v>0</v>
      </c>
      <c r="AG61" s="431">
        <v>997130</v>
      </c>
      <c r="AH61" s="431">
        <v>191403</v>
      </c>
      <c r="AI61" s="431">
        <v>371945</v>
      </c>
      <c r="AJ61" s="431">
        <v>38812</v>
      </c>
      <c r="AK61" s="431">
        <v>0</v>
      </c>
      <c r="AL61" s="431">
        <v>99999</v>
      </c>
      <c r="AM61" s="431">
        <v>182331</v>
      </c>
    </row>
    <row r="62" spans="1:39" s="203" customFormat="1" ht="12" x14ac:dyDescent="0.2">
      <c r="A62" s="181">
        <v>8</v>
      </c>
      <c r="B62" s="199">
        <v>107314</v>
      </c>
      <c r="C62" s="187" t="s">
        <v>2199</v>
      </c>
      <c r="D62" s="446">
        <f t="shared" si="14"/>
        <v>5107839</v>
      </c>
      <c r="E62" s="431">
        <v>1387893</v>
      </c>
      <c r="F62" s="431">
        <v>299021</v>
      </c>
      <c r="G62" s="431">
        <v>526253</v>
      </c>
      <c r="H62" s="431"/>
      <c r="I62" s="431">
        <v>2499154</v>
      </c>
      <c r="J62" s="431"/>
      <c r="K62" s="431">
        <v>820680</v>
      </c>
      <c r="L62" s="431"/>
      <c r="M62" s="431">
        <v>266313</v>
      </c>
      <c r="N62" s="431">
        <v>123799</v>
      </c>
      <c r="O62" s="431">
        <v>10000</v>
      </c>
      <c r="P62" s="446">
        <f t="shared" si="15"/>
        <v>4901046</v>
      </c>
      <c r="Q62" s="431">
        <v>2801680</v>
      </c>
      <c r="R62" s="431">
        <v>1442664</v>
      </c>
      <c r="S62" s="431">
        <v>0</v>
      </c>
      <c r="T62" s="431">
        <v>0</v>
      </c>
      <c r="U62" s="431">
        <v>0</v>
      </c>
      <c r="V62" s="431">
        <v>0</v>
      </c>
      <c r="W62" s="431">
        <v>0</v>
      </c>
      <c r="X62" s="431">
        <v>221762</v>
      </c>
      <c r="Y62" s="431">
        <v>105000</v>
      </c>
      <c r="Z62" s="431">
        <v>329940</v>
      </c>
      <c r="AA62" s="431">
        <v>0</v>
      </c>
      <c r="AB62" s="431">
        <v>0</v>
      </c>
      <c r="AC62" s="431">
        <v>526028</v>
      </c>
      <c r="AD62" s="431">
        <v>39905</v>
      </c>
      <c r="AE62" s="431">
        <v>2064632</v>
      </c>
      <c r="AF62" s="431">
        <v>24601</v>
      </c>
      <c r="AG62" s="431">
        <v>343244</v>
      </c>
      <c r="AH62" s="431">
        <v>687967</v>
      </c>
      <c r="AI62" s="431">
        <v>402374</v>
      </c>
      <c r="AJ62" s="431">
        <v>170155</v>
      </c>
      <c r="AK62" s="431">
        <v>0</v>
      </c>
      <c r="AL62" s="431">
        <v>613140</v>
      </c>
      <c r="AM62" s="431">
        <v>29000</v>
      </c>
    </row>
    <row r="63" spans="1:39" s="203" customFormat="1" ht="12" x14ac:dyDescent="0.2">
      <c r="A63" s="181">
        <v>9</v>
      </c>
      <c r="B63" s="199">
        <v>107270</v>
      </c>
      <c r="C63" s="187" t="s">
        <v>2200</v>
      </c>
      <c r="D63" s="446">
        <f t="shared" si="14"/>
        <v>6852684</v>
      </c>
      <c r="E63" s="431">
        <v>1143123</v>
      </c>
      <c r="F63" s="431">
        <v>393137</v>
      </c>
      <c r="G63" s="431">
        <v>231549</v>
      </c>
      <c r="H63" s="431"/>
      <c r="I63" s="431">
        <v>3525844</v>
      </c>
      <c r="J63" s="431"/>
      <c r="K63" s="431">
        <v>868200</v>
      </c>
      <c r="L63" s="431"/>
      <c r="M63" s="431">
        <v>1069205</v>
      </c>
      <c r="N63" s="431">
        <v>238256</v>
      </c>
      <c r="O63" s="431">
        <v>8056</v>
      </c>
      <c r="P63" s="446">
        <f t="shared" si="15"/>
        <v>6848290</v>
      </c>
      <c r="Q63" s="431">
        <v>3696658</v>
      </c>
      <c r="R63" s="431">
        <v>1246483</v>
      </c>
      <c r="S63" s="431">
        <v>0</v>
      </c>
      <c r="T63" s="431">
        <v>0</v>
      </c>
      <c r="U63" s="431">
        <v>0</v>
      </c>
      <c r="V63" s="431">
        <v>0</v>
      </c>
      <c r="W63" s="431">
        <v>395280</v>
      </c>
      <c r="X63" s="431">
        <v>117398</v>
      </c>
      <c r="Y63" s="431">
        <v>12000</v>
      </c>
      <c r="Z63" s="431">
        <v>1404563</v>
      </c>
      <c r="AA63" s="431">
        <v>0</v>
      </c>
      <c r="AB63" s="431">
        <v>-24092</v>
      </c>
      <c r="AC63" s="431">
        <v>517301</v>
      </c>
      <c r="AD63" s="431">
        <v>412</v>
      </c>
      <c r="AE63" s="431">
        <v>3148565</v>
      </c>
      <c r="AF63" s="431">
        <v>119460</v>
      </c>
      <c r="AG63" s="431">
        <v>738899</v>
      </c>
      <c r="AH63" s="431">
        <v>490002</v>
      </c>
      <c r="AI63" s="431">
        <v>230018</v>
      </c>
      <c r="AJ63" s="431">
        <v>78670</v>
      </c>
      <c r="AK63" s="431">
        <v>0</v>
      </c>
      <c r="AL63" s="431">
        <v>1524963</v>
      </c>
      <c r="AM63" s="431">
        <v>0</v>
      </c>
    </row>
    <row r="64" spans="1:39" s="203" customFormat="1" ht="22.5" x14ac:dyDescent="0.2">
      <c r="A64" s="181">
        <v>10</v>
      </c>
      <c r="B64" s="199">
        <v>107350</v>
      </c>
      <c r="C64" s="187" t="s">
        <v>2201</v>
      </c>
      <c r="D64" s="446">
        <f t="shared" si="14"/>
        <v>4211679</v>
      </c>
      <c r="E64" s="431">
        <v>1004574</v>
      </c>
      <c r="F64" s="431">
        <v>259211</v>
      </c>
      <c r="G64" s="431">
        <v>350054</v>
      </c>
      <c r="H64" s="431"/>
      <c r="I64" s="431">
        <v>2309913</v>
      </c>
      <c r="J64" s="431"/>
      <c r="K64" s="431">
        <v>862320</v>
      </c>
      <c r="L64" s="431"/>
      <c r="M64" s="431">
        <v>34872</v>
      </c>
      <c r="N64" s="431">
        <v>0</v>
      </c>
      <c r="O64" s="431">
        <v>0</v>
      </c>
      <c r="P64" s="446">
        <f t="shared" si="15"/>
        <v>3129597</v>
      </c>
      <c r="Q64" s="431">
        <v>2527036</v>
      </c>
      <c r="R64" s="431">
        <v>448897</v>
      </c>
      <c r="S64" s="431">
        <v>0</v>
      </c>
      <c r="T64" s="431">
        <v>0</v>
      </c>
      <c r="U64" s="431">
        <v>19777</v>
      </c>
      <c r="V64" s="431">
        <v>0</v>
      </c>
      <c r="W64" s="431">
        <v>0</v>
      </c>
      <c r="X64" s="431">
        <v>131101</v>
      </c>
      <c r="Y64" s="431">
        <v>2786</v>
      </c>
      <c r="Z64" s="431">
        <v>0</v>
      </c>
      <c r="AA64" s="431">
        <v>0</v>
      </c>
      <c r="AB64" s="431">
        <v>0</v>
      </c>
      <c r="AC64" s="431">
        <v>441863</v>
      </c>
      <c r="AD64" s="431">
        <v>57508</v>
      </c>
      <c r="AE64" s="431">
        <v>2124661</v>
      </c>
      <c r="AF64" s="431">
        <v>0</v>
      </c>
      <c r="AG64" s="431">
        <v>19777</v>
      </c>
      <c r="AH64" s="431">
        <v>317109</v>
      </c>
      <c r="AI64" s="431">
        <v>108608</v>
      </c>
      <c r="AJ64" s="431">
        <v>15267</v>
      </c>
      <c r="AK64" s="431">
        <v>0</v>
      </c>
      <c r="AL64" s="431">
        <v>33252</v>
      </c>
      <c r="AM64" s="431">
        <v>11552</v>
      </c>
    </row>
    <row r="65" spans="1:39" s="203" customFormat="1" ht="22.5" x14ac:dyDescent="0.2">
      <c r="A65" s="181">
        <v>11</v>
      </c>
      <c r="B65" s="199">
        <v>107403</v>
      </c>
      <c r="C65" s="187" t="s">
        <v>2202</v>
      </c>
      <c r="D65" s="446">
        <f t="shared" si="14"/>
        <v>4367865</v>
      </c>
      <c r="E65" s="431">
        <v>1852692</v>
      </c>
      <c r="F65" s="431">
        <v>190230</v>
      </c>
      <c r="G65" s="431">
        <v>320310</v>
      </c>
      <c r="H65" s="431"/>
      <c r="I65" s="431">
        <v>1484373</v>
      </c>
      <c r="J65" s="431"/>
      <c r="K65" s="431">
        <v>955000</v>
      </c>
      <c r="L65" s="431"/>
      <c r="M65" s="431">
        <v>75800</v>
      </c>
      <c r="N65" s="431">
        <v>0</v>
      </c>
      <c r="O65" s="431">
        <v>0</v>
      </c>
      <c r="P65" s="446">
        <f t="shared" si="15"/>
        <v>3559914</v>
      </c>
      <c r="Q65" s="431">
        <v>1711358</v>
      </c>
      <c r="R65" s="431">
        <v>1401318</v>
      </c>
      <c r="S65" s="431">
        <v>0</v>
      </c>
      <c r="T65" s="431">
        <v>0</v>
      </c>
      <c r="U65" s="431">
        <v>0</v>
      </c>
      <c r="V65" s="431">
        <v>0</v>
      </c>
      <c r="W65" s="431">
        <v>0</v>
      </c>
      <c r="X65" s="431">
        <v>148390</v>
      </c>
      <c r="Y65" s="431">
        <v>0</v>
      </c>
      <c r="Z65" s="431">
        <v>298848</v>
      </c>
      <c r="AA65" s="431">
        <v>0</v>
      </c>
      <c r="AB65" s="431">
        <v>0</v>
      </c>
      <c r="AC65" s="431">
        <v>594696</v>
      </c>
      <c r="AD65" s="431">
        <v>25000</v>
      </c>
      <c r="AE65" s="431">
        <v>1142373</v>
      </c>
      <c r="AF65" s="431">
        <v>0</v>
      </c>
      <c r="AG65" s="431">
        <v>43873</v>
      </c>
      <c r="AH65" s="431">
        <v>424853</v>
      </c>
      <c r="AI65" s="431">
        <v>669404</v>
      </c>
      <c r="AJ65" s="431">
        <v>61535</v>
      </c>
      <c r="AK65" s="431">
        <v>0</v>
      </c>
      <c r="AL65" s="431">
        <v>589180</v>
      </c>
      <c r="AM65" s="431">
        <v>9000</v>
      </c>
    </row>
    <row r="66" spans="1:39" s="203" customFormat="1" ht="12" x14ac:dyDescent="0.2">
      <c r="A66" s="181">
        <v>12</v>
      </c>
      <c r="B66" s="199">
        <v>107430</v>
      </c>
      <c r="C66" s="187" t="s">
        <v>2203</v>
      </c>
      <c r="D66" s="446">
        <f t="shared" si="14"/>
        <v>3525221</v>
      </c>
      <c r="E66" s="431">
        <v>962008</v>
      </c>
      <c r="F66" s="431">
        <v>161721</v>
      </c>
      <c r="G66" s="431">
        <v>290401</v>
      </c>
      <c r="H66" s="431"/>
      <c r="I66" s="431">
        <v>900607</v>
      </c>
      <c r="J66" s="431"/>
      <c r="K66" s="431">
        <v>785370</v>
      </c>
      <c r="L66" s="431"/>
      <c r="M66" s="431">
        <v>581545</v>
      </c>
      <c r="N66" s="431">
        <v>295691</v>
      </c>
      <c r="O66" s="431">
        <v>0</v>
      </c>
      <c r="P66" s="446">
        <f t="shared" si="15"/>
        <v>3183778</v>
      </c>
      <c r="Q66" s="431">
        <v>1251848</v>
      </c>
      <c r="R66" s="431">
        <v>930538</v>
      </c>
      <c r="S66" s="431">
        <v>13200</v>
      </c>
      <c r="T66" s="431">
        <v>0</v>
      </c>
      <c r="U66" s="431">
        <v>0</v>
      </c>
      <c r="V66" s="431">
        <v>0</v>
      </c>
      <c r="W66" s="431">
        <v>362950</v>
      </c>
      <c r="X66" s="431">
        <v>24243</v>
      </c>
      <c r="Y66" s="431">
        <v>0</v>
      </c>
      <c r="Z66" s="431">
        <v>600999</v>
      </c>
      <c r="AA66" s="431">
        <v>0</v>
      </c>
      <c r="AB66" s="431">
        <v>0</v>
      </c>
      <c r="AC66" s="431">
        <v>570672</v>
      </c>
      <c r="AD66" s="431">
        <v>0</v>
      </c>
      <c r="AE66" s="431">
        <v>760123</v>
      </c>
      <c r="AF66" s="431">
        <v>3940</v>
      </c>
      <c r="AG66" s="431">
        <v>130210</v>
      </c>
      <c r="AH66" s="431">
        <v>234638</v>
      </c>
      <c r="AI66" s="431">
        <v>626171</v>
      </c>
      <c r="AJ66" s="431">
        <v>78211</v>
      </c>
      <c r="AK66" s="431">
        <v>0</v>
      </c>
      <c r="AL66" s="431">
        <v>779813</v>
      </c>
      <c r="AM66" s="431">
        <v>0</v>
      </c>
    </row>
    <row r="67" spans="1:39" s="203" customFormat="1" ht="12" x14ac:dyDescent="0.2">
      <c r="A67" s="181">
        <v>13</v>
      </c>
      <c r="B67" s="199">
        <v>107485</v>
      </c>
      <c r="C67" s="187" t="s">
        <v>2204</v>
      </c>
      <c r="D67" s="446">
        <f t="shared" si="14"/>
        <v>5985475</v>
      </c>
      <c r="E67" s="431">
        <v>943366</v>
      </c>
      <c r="F67" s="431">
        <v>102401</v>
      </c>
      <c r="G67" s="431">
        <v>338641</v>
      </c>
      <c r="H67" s="431"/>
      <c r="I67" s="431">
        <v>1294247</v>
      </c>
      <c r="J67" s="431"/>
      <c r="K67" s="431">
        <v>1019230</v>
      </c>
      <c r="L67" s="431"/>
      <c r="M67" s="431">
        <v>2654382</v>
      </c>
      <c r="N67" s="431">
        <v>0</v>
      </c>
      <c r="O67" s="431">
        <v>74250</v>
      </c>
      <c r="P67" s="446">
        <f t="shared" si="15"/>
        <v>5716395</v>
      </c>
      <c r="Q67" s="431">
        <v>1636278</v>
      </c>
      <c r="R67" s="431">
        <v>540381</v>
      </c>
      <c r="S67" s="431">
        <v>0</v>
      </c>
      <c r="T67" s="431">
        <v>0</v>
      </c>
      <c r="U67" s="431">
        <v>117850</v>
      </c>
      <c r="V67" s="431">
        <v>0</v>
      </c>
      <c r="W67" s="431">
        <v>0</v>
      </c>
      <c r="X67" s="431">
        <v>88595</v>
      </c>
      <c r="Y67" s="431">
        <v>0</v>
      </c>
      <c r="Z67" s="431">
        <v>3338765</v>
      </c>
      <c r="AA67" s="431">
        <v>0</v>
      </c>
      <c r="AB67" s="431">
        <v>-5474</v>
      </c>
      <c r="AC67" s="431">
        <v>684715</v>
      </c>
      <c r="AD67" s="431">
        <v>18709</v>
      </c>
      <c r="AE67" s="431">
        <v>1101247</v>
      </c>
      <c r="AF67" s="431">
        <v>0</v>
      </c>
      <c r="AG67" s="431">
        <v>172850</v>
      </c>
      <c r="AH67" s="431">
        <v>332371</v>
      </c>
      <c r="AI67" s="431">
        <v>466513</v>
      </c>
      <c r="AJ67" s="431">
        <v>1477841</v>
      </c>
      <c r="AK67" s="431">
        <v>0</v>
      </c>
      <c r="AL67" s="431">
        <v>1444992</v>
      </c>
      <c r="AM67" s="431">
        <v>17157</v>
      </c>
    </row>
    <row r="68" spans="1:39" s="203" customFormat="1" ht="12" x14ac:dyDescent="0.2">
      <c r="A68" s="181">
        <v>14</v>
      </c>
      <c r="B68" s="199">
        <v>107519</v>
      </c>
      <c r="C68" s="187" t="s">
        <v>2205</v>
      </c>
      <c r="D68" s="446">
        <f t="shared" si="14"/>
        <v>5576006</v>
      </c>
      <c r="E68" s="431">
        <v>1258649</v>
      </c>
      <c r="F68" s="431">
        <v>128487</v>
      </c>
      <c r="G68" s="431">
        <v>329959</v>
      </c>
      <c r="H68" s="431"/>
      <c r="I68" s="431">
        <v>1529000</v>
      </c>
      <c r="J68" s="431"/>
      <c r="K68" s="431">
        <v>998310</v>
      </c>
      <c r="L68" s="431"/>
      <c r="M68" s="431">
        <v>1102326</v>
      </c>
      <c r="N68" s="431">
        <v>687721</v>
      </c>
      <c r="O68" s="431">
        <v>0</v>
      </c>
      <c r="P68" s="446">
        <f t="shared" si="15"/>
        <v>5746387</v>
      </c>
      <c r="Q68" s="431">
        <v>1965496</v>
      </c>
      <c r="R68" s="431">
        <v>1256972</v>
      </c>
      <c r="S68" s="431">
        <v>0</v>
      </c>
      <c r="T68" s="431">
        <v>0</v>
      </c>
      <c r="U68" s="431">
        <v>0</v>
      </c>
      <c r="V68" s="431">
        <v>0</v>
      </c>
      <c r="W68" s="431">
        <v>957389</v>
      </c>
      <c r="X68" s="431">
        <v>93916</v>
      </c>
      <c r="Y68" s="431">
        <v>0</v>
      </c>
      <c r="Z68" s="431">
        <v>1472614</v>
      </c>
      <c r="AA68" s="431">
        <v>0</v>
      </c>
      <c r="AB68" s="431">
        <v>0</v>
      </c>
      <c r="AC68" s="431">
        <v>641701</v>
      </c>
      <c r="AD68" s="431">
        <v>0</v>
      </c>
      <c r="AE68" s="431">
        <v>1253000</v>
      </c>
      <c r="AF68" s="431">
        <v>19560</v>
      </c>
      <c r="AG68" s="431">
        <v>555512</v>
      </c>
      <c r="AH68" s="431">
        <v>409476</v>
      </c>
      <c r="AI68" s="431">
        <v>1931325</v>
      </c>
      <c r="AJ68" s="431">
        <v>96816</v>
      </c>
      <c r="AK68" s="431">
        <v>0</v>
      </c>
      <c r="AL68" s="431">
        <v>375000</v>
      </c>
      <c r="AM68" s="431">
        <v>463997</v>
      </c>
    </row>
    <row r="69" spans="1:39" s="203" customFormat="1" ht="12" x14ac:dyDescent="0.2">
      <c r="A69" s="181">
        <v>15</v>
      </c>
      <c r="B69" s="199">
        <v>107546</v>
      </c>
      <c r="C69" s="187" t="s">
        <v>2206</v>
      </c>
      <c r="D69" s="446">
        <f t="shared" si="14"/>
        <v>4880585</v>
      </c>
      <c r="E69" s="431">
        <v>877942</v>
      </c>
      <c r="F69" s="431">
        <v>161172</v>
      </c>
      <c r="G69" s="431">
        <v>290401</v>
      </c>
      <c r="H69" s="431"/>
      <c r="I69" s="431">
        <v>1980988</v>
      </c>
      <c r="J69" s="431"/>
      <c r="K69" s="431">
        <v>878610</v>
      </c>
      <c r="L69" s="431"/>
      <c r="M69" s="431">
        <v>284464</v>
      </c>
      <c r="N69" s="431">
        <v>858581</v>
      </c>
      <c r="O69" s="431">
        <v>0</v>
      </c>
      <c r="P69" s="446">
        <f t="shared" si="15"/>
        <v>4415632</v>
      </c>
      <c r="Q69" s="431">
        <v>2402044</v>
      </c>
      <c r="R69" s="431">
        <v>946226</v>
      </c>
      <c r="S69" s="431">
        <v>30000</v>
      </c>
      <c r="T69" s="431">
        <v>0</v>
      </c>
      <c r="U69" s="431">
        <v>0</v>
      </c>
      <c r="V69" s="431">
        <v>0</v>
      </c>
      <c r="W69" s="431">
        <v>757366</v>
      </c>
      <c r="X69" s="431">
        <v>88190</v>
      </c>
      <c r="Y69" s="431">
        <v>21000</v>
      </c>
      <c r="Z69" s="431">
        <v>125806</v>
      </c>
      <c r="AA69" s="431">
        <v>45000</v>
      </c>
      <c r="AB69" s="431">
        <v>0</v>
      </c>
      <c r="AC69" s="431">
        <v>1036885</v>
      </c>
      <c r="AD69" s="431">
        <v>4000</v>
      </c>
      <c r="AE69" s="431">
        <v>1736531</v>
      </c>
      <c r="AF69" s="431">
        <v>0</v>
      </c>
      <c r="AG69" s="431">
        <v>101119</v>
      </c>
      <c r="AH69" s="431">
        <v>372905</v>
      </c>
      <c r="AI69" s="431">
        <v>243601</v>
      </c>
      <c r="AJ69" s="431">
        <v>130206</v>
      </c>
      <c r="AK69" s="431">
        <v>0</v>
      </c>
      <c r="AL69" s="431">
        <v>190320</v>
      </c>
      <c r="AM69" s="431">
        <v>600065</v>
      </c>
    </row>
    <row r="70" spans="1:39" s="203" customFormat="1" ht="12" x14ac:dyDescent="0.2">
      <c r="A70" s="181">
        <v>16</v>
      </c>
      <c r="B70" s="199">
        <v>107582</v>
      </c>
      <c r="C70" s="187" t="s">
        <v>2207</v>
      </c>
      <c r="D70" s="446">
        <f t="shared" si="14"/>
        <v>7196023</v>
      </c>
      <c r="E70" s="431">
        <v>1173475</v>
      </c>
      <c r="F70" s="431">
        <v>195244</v>
      </c>
      <c r="G70" s="431">
        <v>354810</v>
      </c>
      <c r="H70" s="431"/>
      <c r="I70" s="431">
        <v>2392057</v>
      </c>
      <c r="J70" s="431"/>
      <c r="K70" s="431">
        <v>1034950</v>
      </c>
      <c r="L70" s="431"/>
      <c r="M70" s="431">
        <v>2388302</v>
      </c>
      <c r="N70" s="431">
        <v>207239</v>
      </c>
      <c r="O70" s="431">
        <v>0</v>
      </c>
      <c r="P70" s="446">
        <f t="shared" si="15"/>
        <v>6969152</v>
      </c>
      <c r="Q70" s="431">
        <v>3097910</v>
      </c>
      <c r="R70" s="431">
        <v>1059810</v>
      </c>
      <c r="S70" s="431">
        <v>6800</v>
      </c>
      <c r="T70" s="431">
        <v>0</v>
      </c>
      <c r="U70" s="431">
        <v>0</v>
      </c>
      <c r="V70" s="431">
        <v>0</v>
      </c>
      <c r="W70" s="431">
        <v>7753</v>
      </c>
      <c r="X70" s="431">
        <v>121336</v>
      </c>
      <c r="Y70" s="431">
        <v>0</v>
      </c>
      <c r="Z70" s="431">
        <v>2664414</v>
      </c>
      <c r="AA70" s="431">
        <v>18600</v>
      </c>
      <c r="AB70" s="431">
        <v>-7471</v>
      </c>
      <c r="AC70" s="431">
        <v>1022626</v>
      </c>
      <c r="AD70" s="431">
        <v>11121</v>
      </c>
      <c r="AE70" s="431">
        <v>2571944</v>
      </c>
      <c r="AF70" s="431">
        <v>9633</v>
      </c>
      <c r="AG70" s="431">
        <v>202461</v>
      </c>
      <c r="AH70" s="431">
        <v>434294</v>
      </c>
      <c r="AI70" s="431">
        <v>296596</v>
      </c>
      <c r="AJ70" s="431">
        <v>127090</v>
      </c>
      <c r="AK70" s="431">
        <v>0</v>
      </c>
      <c r="AL70" s="431">
        <v>2283387</v>
      </c>
      <c r="AM70" s="431">
        <v>10000</v>
      </c>
    </row>
    <row r="71" spans="1:39" s="203" customFormat="1" ht="12" x14ac:dyDescent="0.2">
      <c r="A71" s="181">
        <v>17</v>
      </c>
      <c r="B71" s="199">
        <v>107662</v>
      </c>
      <c r="C71" s="187" t="s">
        <v>2208</v>
      </c>
      <c r="D71" s="446">
        <f t="shared" si="14"/>
        <v>7248550</v>
      </c>
      <c r="E71" s="431">
        <v>4161706</v>
      </c>
      <c r="F71" s="431">
        <v>340357</v>
      </c>
      <c r="G71" s="431">
        <v>584739</v>
      </c>
      <c r="H71" s="431"/>
      <c r="I71" s="431">
        <v>2219242</v>
      </c>
      <c r="J71" s="431"/>
      <c r="K71" s="431">
        <v>336210</v>
      </c>
      <c r="L71" s="431"/>
      <c r="M71" s="431">
        <v>147832</v>
      </c>
      <c r="N71" s="431">
        <v>369160</v>
      </c>
      <c r="O71" s="431">
        <v>14400</v>
      </c>
      <c r="P71" s="446">
        <f t="shared" si="15"/>
        <v>7632995</v>
      </c>
      <c r="Q71" s="431">
        <v>2591660</v>
      </c>
      <c r="R71" s="431">
        <v>1419114</v>
      </c>
      <c r="S71" s="431">
        <v>0</v>
      </c>
      <c r="T71" s="431">
        <v>0</v>
      </c>
      <c r="U71" s="431">
        <v>0</v>
      </c>
      <c r="V71" s="431">
        <v>0</v>
      </c>
      <c r="W71" s="431">
        <v>3247248</v>
      </c>
      <c r="X71" s="431">
        <v>122897</v>
      </c>
      <c r="Y71" s="431">
        <v>5000</v>
      </c>
      <c r="Z71" s="431">
        <v>247124</v>
      </c>
      <c r="AA71" s="431">
        <v>0</v>
      </c>
      <c r="AB71" s="431">
        <v>-48</v>
      </c>
      <c r="AC71" s="431">
        <v>864475</v>
      </c>
      <c r="AD71" s="431">
        <v>39102</v>
      </c>
      <c r="AE71" s="431">
        <v>4760405</v>
      </c>
      <c r="AF71" s="431">
        <v>0</v>
      </c>
      <c r="AG71" s="431">
        <v>646994</v>
      </c>
      <c r="AH71" s="431">
        <v>329259</v>
      </c>
      <c r="AI71" s="431">
        <v>311038</v>
      </c>
      <c r="AJ71" s="431">
        <v>107079</v>
      </c>
      <c r="AK71" s="431">
        <v>0</v>
      </c>
      <c r="AL71" s="431">
        <v>391913</v>
      </c>
      <c r="AM71" s="431">
        <v>182730</v>
      </c>
    </row>
    <row r="72" spans="1:39" s="203" customFormat="1" ht="22.5" x14ac:dyDescent="0.2">
      <c r="A72" s="181">
        <v>18</v>
      </c>
      <c r="B72" s="199">
        <v>107715</v>
      </c>
      <c r="C72" s="187" t="s">
        <v>2209</v>
      </c>
      <c r="D72" s="446">
        <f t="shared" si="14"/>
        <v>3828278</v>
      </c>
      <c r="E72" s="431">
        <v>859976</v>
      </c>
      <c r="F72" s="431">
        <v>236009</v>
      </c>
      <c r="G72" s="431">
        <v>274965</v>
      </c>
      <c r="H72" s="431"/>
      <c r="I72" s="431">
        <v>1399995</v>
      </c>
      <c r="J72" s="431"/>
      <c r="K72" s="431">
        <v>808100</v>
      </c>
      <c r="L72" s="431"/>
      <c r="M72" s="431">
        <v>166705</v>
      </c>
      <c r="N72" s="431">
        <v>593502</v>
      </c>
      <c r="O72" s="431">
        <v>0</v>
      </c>
      <c r="P72" s="446">
        <f t="shared" si="15"/>
        <v>3339516</v>
      </c>
      <c r="Q72" s="431">
        <v>1703474</v>
      </c>
      <c r="R72" s="431">
        <v>528805</v>
      </c>
      <c r="S72" s="431">
        <v>0</v>
      </c>
      <c r="T72" s="431">
        <v>0</v>
      </c>
      <c r="U72" s="431">
        <v>0</v>
      </c>
      <c r="V72" s="431">
        <v>0</v>
      </c>
      <c r="W72" s="431">
        <v>857588</v>
      </c>
      <c r="X72" s="431">
        <v>69370</v>
      </c>
      <c r="Y72" s="431">
        <v>34300</v>
      </c>
      <c r="Z72" s="431">
        <v>145979</v>
      </c>
      <c r="AA72" s="431">
        <v>0</v>
      </c>
      <c r="AB72" s="431">
        <v>0</v>
      </c>
      <c r="AC72" s="431">
        <v>1368258</v>
      </c>
      <c r="AD72" s="431">
        <v>46753</v>
      </c>
      <c r="AE72" s="431">
        <v>1285495</v>
      </c>
      <c r="AF72" s="431">
        <v>0</v>
      </c>
      <c r="AG72" s="431">
        <v>75603</v>
      </c>
      <c r="AH72" s="431">
        <v>215436</v>
      </c>
      <c r="AI72" s="431">
        <v>135032</v>
      </c>
      <c r="AJ72" s="431">
        <v>66960</v>
      </c>
      <c r="AK72" s="431">
        <v>0</v>
      </c>
      <c r="AL72" s="431">
        <v>145979</v>
      </c>
      <c r="AM72" s="431">
        <v>0</v>
      </c>
    </row>
    <row r="73" spans="1:39" s="203" customFormat="1" ht="22.5" x14ac:dyDescent="0.2">
      <c r="A73" s="181">
        <v>19</v>
      </c>
      <c r="B73" s="199">
        <v>107733</v>
      </c>
      <c r="C73" s="187" t="s">
        <v>2210</v>
      </c>
      <c r="D73" s="446">
        <f t="shared" si="14"/>
        <v>12802803</v>
      </c>
      <c r="E73" s="431">
        <v>2400920</v>
      </c>
      <c r="F73" s="431">
        <v>375335</v>
      </c>
      <c r="G73" s="431">
        <v>1017851</v>
      </c>
      <c r="H73" s="431"/>
      <c r="I73" s="431">
        <v>4469925</v>
      </c>
      <c r="J73" s="431"/>
      <c r="K73" s="431">
        <v>1497210</v>
      </c>
      <c r="L73" s="431"/>
      <c r="M73" s="431">
        <v>2343811</v>
      </c>
      <c r="N73" s="431">
        <v>2090937</v>
      </c>
      <c r="O73" s="431">
        <v>0</v>
      </c>
      <c r="P73" s="446">
        <f t="shared" si="15"/>
        <v>11612766</v>
      </c>
      <c r="Q73" s="431">
        <v>4848051</v>
      </c>
      <c r="R73" s="431">
        <v>2010327</v>
      </c>
      <c r="S73" s="431">
        <v>0</v>
      </c>
      <c r="T73" s="431">
        <v>0</v>
      </c>
      <c r="U73" s="431">
        <v>0</v>
      </c>
      <c r="V73" s="431">
        <v>0</v>
      </c>
      <c r="W73" s="431">
        <v>904326</v>
      </c>
      <c r="X73" s="431">
        <v>226912</v>
      </c>
      <c r="Y73" s="431">
        <v>0</v>
      </c>
      <c r="Z73" s="431">
        <v>3630046</v>
      </c>
      <c r="AA73" s="431">
        <v>0</v>
      </c>
      <c r="AB73" s="431">
        <v>-6896</v>
      </c>
      <c r="AC73" s="431">
        <v>1019578</v>
      </c>
      <c r="AD73" s="431">
        <v>37736</v>
      </c>
      <c r="AE73" s="431">
        <v>4058384</v>
      </c>
      <c r="AF73" s="431">
        <v>26244</v>
      </c>
      <c r="AG73" s="431">
        <v>559523</v>
      </c>
      <c r="AH73" s="431">
        <v>611911</v>
      </c>
      <c r="AI73" s="431">
        <v>474421</v>
      </c>
      <c r="AJ73" s="431">
        <v>1348865</v>
      </c>
      <c r="AK73" s="431">
        <v>0</v>
      </c>
      <c r="AL73" s="431">
        <v>3434374</v>
      </c>
      <c r="AM73" s="431">
        <v>41730</v>
      </c>
    </row>
    <row r="74" spans="1:39" s="203" customFormat="1" ht="12" x14ac:dyDescent="0.2">
      <c r="A74" s="181">
        <v>20</v>
      </c>
      <c r="B74" s="199">
        <v>107868</v>
      </c>
      <c r="C74" s="187" t="s">
        <v>2211</v>
      </c>
      <c r="D74" s="446">
        <f t="shared" si="14"/>
        <v>10270651</v>
      </c>
      <c r="E74" s="431">
        <v>955570</v>
      </c>
      <c r="F74" s="431">
        <v>161596</v>
      </c>
      <c r="G74" s="431">
        <v>311627</v>
      </c>
      <c r="H74" s="431"/>
      <c r="I74" s="431">
        <v>1218389</v>
      </c>
      <c r="J74" s="431"/>
      <c r="K74" s="431">
        <v>2452970</v>
      </c>
      <c r="L74" s="431"/>
      <c r="M74" s="431">
        <v>2744986</v>
      </c>
      <c r="N74" s="431">
        <v>2782432</v>
      </c>
      <c r="O74" s="431">
        <v>116304</v>
      </c>
      <c r="P74" s="446">
        <f t="shared" si="15"/>
        <v>10610721</v>
      </c>
      <c r="Q74" s="431">
        <v>1449829</v>
      </c>
      <c r="R74" s="431">
        <v>872755</v>
      </c>
      <c r="S74" s="431">
        <v>0</v>
      </c>
      <c r="T74" s="431">
        <v>0</v>
      </c>
      <c r="U74" s="431">
        <v>0</v>
      </c>
      <c r="V74" s="431">
        <v>0</v>
      </c>
      <c r="W74" s="431">
        <v>5392537</v>
      </c>
      <c r="X74" s="431">
        <v>153698</v>
      </c>
      <c r="Y74" s="431">
        <v>0</v>
      </c>
      <c r="Z74" s="431">
        <v>2838521</v>
      </c>
      <c r="AA74" s="431">
        <v>0</v>
      </c>
      <c r="AB74" s="431">
        <v>-96619</v>
      </c>
      <c r="AC74" s="431">
        <v>674959</v>
      </c>
      <c r="AD74" s="431">
        <v>0</v>
      </c>
      <c r="AE74" s="431">
        <v>1223274</v>
      </c>
      <c r="AF74" s="431">
        <v>16380</v>
      </c>
      <c r="AG74" s="431">
        <v>1674468</v>
      </c>
      <c r="AH74" s="431">
        <v>1352408</v>
      </c>
      <c r="AI74" s="431">
        <v>753490</v>
      </c>
      <c r="AJ74" s="431">
        <v>178108</v>
      </c>
      <c r="AK74" s="431">
        <v>0</v>
      </c>
      <c r="AL74" s="431">
        <v>4737634</v>
      </c>
      <c r="AM74" s="431">
        <v>0</v>
      </c>
    </row>
    <row r="75" spans="1:39" s="203" customFormat="1" ht="12" x14ac:dyDescent="0.2">
      <c r="A75" s="181">
        <v>21</v>
      </c>
      <c r="B75" s="199">
        <v>107920</v>
      </c>
      <c r="C75" s="187" t="s">
        <v>2212</v>
      </c>
      <c r="D75" s="446">
        <f t="shared" si="14"/>
        <v>12248828</v>
      </c>
      <c r="E75" s="431">
        <v>954689</v>
      </c>
      <c r="F75" s="431">
        <v>117501</v>
      </c>
      <c r="G75" s="431">
        <v>335708</v>
      </c>
      <c r="H75" s="431"/>
      <c r="I75" s="431">
        <v>1492805</v>
      </c>
      <c r="J75" s="431"/>
      <c r="K75" s="431">
        <v>1043110</v>
      </c>
      <c r="L75" s="431"/>
      <c r="M75" s="431">
        <v>1786996</v>
      </c>
      <c r="N75" s="431">
        <v>6971228</v>
      </c>
      <c r="O75" s="431">
        <v>0</v>
      </c>
      <c r="P75" s="446">
        <f t="shared" si="15"/>
        <v>13157570</v>
      </c>
      <c r="Q75" s="431">
        <v>1894435</v>
      </c>
      <c r="R75" s="431">
        <v>991941</v>
      </c>
      <c r="S75" s="431">
        <v>0</v>
      </c>
      <c r="T75" s="431">
        <v>0</v>
      </c>
      <c r="U75" s="431">
        <v>0</v>
      </c>
      <c r="V75" s="431">
        <v>0</v>
      </c>
      <c r="W75" s="431">
        <v>10067088</v>
      </c>
      <c r="X75" s="431">
        <v>21629</v>
      </c>
      <c r="Y75" s="431">
        <v>0</v>
      </c>
      <c r="Z75" s="431">
        <v>182477</v>
      </c>
      <c r="AA75" s="431">
        <v>0</v>
      </c>
      <c r="AB75" s="431">
        <v>0</v>
      </c>
      <c r="AC75" s="431">
        <v>728015</v>
      </c>
      <c r="AD75" s="431">
        <v>0</v>
      </c>
      <c r="AE75" s="431">
        <v>2105936</v>
      </c>
      <c r="AF75" s="431">
        <v>0</v>
      </c>
      <c r="AG75" s="431">
        <v>546157</v>
      </c>
      <c r="AH75" s="431">
        <v>195464</v>
      </c>
      <c r="AI75" s="431">
        <v>2221072</v>
      </c>
      <c r="AJ75" s="431">
        <v>3988534</v>
      </c>
      <c r="AK75" s="431">
        <v>0</v>
      </c>
      <c r="AL75" s="431">
        <v>3361593</v>
      </c>
      <c r="AM75" s="431">
        <v>10799</v>
      </c>
    </row>
    <row r="76" spans="1:39" s="203" customFormat="1" ht="12" x14ac:dyDescent="0.2">
      <c r="A76" s="181">
        <v>22</v>
      </c>
      <c r="B76" s="199">
        <v>107975</v>
      </c>
      <c r="C76" s="187" t="s">
        <v>2213</v>
      </c>
      <c r="D76" s="446">
        <f t="shared" si="14"/>
        <v>5432734</v>
      </c>
      <c r="E76" s="431">
        <v>863121</v>
      </c>
      <c r="F76" s="431">
        <v>118743</v>
      </c>
      <c r="G76" s="431">
        <v>332852</v>
      </c>
      <c r="H76" s="431"/>
      <c r="I76" s="431">
        <v>1313898</v>
      </c>
      <c r="J76" s="431"/>
      <c r="K76" s="431">
        <v>998040</v>
      </c>
      <c r="L76" s="431"/>
      <c r="M76" s="431">
        <v>1351875</v>
      </c>
      <c r="N76" s="431">
        <v>820342</v>
      </c>
      <c r="O76" s="431">
        <v>85458</v>
      </c>
      <c r="P76" s="446">
        <f t="shared" si="15"/>
        <v>5162178</v>
      </c>
      <c r="Q76" s="431">
        <v>1575184</v>
      </c>
      <c r="R76" s="431">
        <v>914045</v>
      </c>
      <c r="S76" s="431">
        <v>12312</v>
      </c>
      <c r="T76" s="431">
        <v>0</v>
      </c>
      <c r="U76" s="431">
        <v>0</v>
      </c>
      <c r="V76" s="431">
        <v>0</v>
      </c>
      <c r="W76" s="431">
        <v>444296</v>
      </c>
      <c r="X76" s="431">
        <v>93078</v>
      </c>
      <c r="Y76" s="431">
        <v>0</v>
      </c>
      <c r="Z76" s="431">
        <v>225713</v>
      </c>
      <c r="AA76" s="431">
        <v>1897550</v>
      </c>
      <c r="AB76" s="431">
        <v>0</v>
      </c>
      <c r="AC76" s="431">
        <v>545526</v>
      </c>
      <c r="AD76" s="431">
        <v>3417</v>
      </c>
      <c r="AE76" s="431">
        <v>1098919</v>
      </c>
      <c r="AF76" s="431">
        <v>41218</v>
      </c>
      <c r="AG76" s="431">
        <v>376272</v>
      </c>
      <c r="AH76" s="431">
        <v>275225</v>
      </c>
      <c r="AI76" s="431">
        <v>313494</v>
      </c>
      <c r="AJ76" s="431">
        <v>68552</v>
      </c>
      <c r="AK76" s="431">
        <v>0</v>
      </c>
      <c r="AL76" s="431">
        <v>2439555</v>
      </c>
      <c r="AM76" s="431">
        <v>0</v>
      </c>
    </row>
    <row r="77" spans="1:39" s="203" customFormat="1" ht="22.5" x14ac:dyDescent="0.2">
      <c r="A77" s="181">
        <v>23</v>
      </c>
      <c r="B77" s="199">
        <v>108035</v>
      </c>
      <c r="C77" s="187" t="s">
        <v>2214</v>
      </c>
      <c r="D77" s="446">
        <f t="shared" si="14"/>
        <v>11030395</v>
      </c>
      <c r="E77" s="431">
        <v>4460224</v>
      </c>
      <c r="F77" s="431">
        <v>1968134</v>
      </c>
      <c r="G77" s="431">
        <v>20020</v>
      </c>
      <c r="H77" s="431"/>
      <c r="I77" s="431">
        <v>2359303</v>
      </c>
      <c r="J77" s="431"/>
      <c r="K77" s="431">
        <v>290300</v>
      </c>
      <c r="L77" s="431"/>
      <c r="M77" s="431">
        <v>2415869</v>
      </c>
      <c r="N77" s="431">
        <v>384081</v>
      </c>
      <c r="O77" s="431">
        <v>1120618</v>
      </c>
      <c r="P77" s="446">
        <f t="shared" si="15"/>
        <v>8909650</v>
      </c>
      <c r="Q77" s="431">
        <v>2760523</v>
      </c>
      <c r="R77" s="431">
        <v>1337002</v>
      </c>
      <c r="S77" s="431">
        <v>0</v>
      </c>
      <c r="T77" s="431">
        <v>0</v>
      </c>
      <c r="U77" s="431">
        <v>0</v>
      </c>
      <c r="V77" s="431">
        <v>0</v>
      </c>
      <c r="W77" s="431">
        <v>978165</v>
      </c>
      <c r="X77" s="431">
        <v>114463</v>
      </c>
      <c r="Y77" s="431">
        <v>91000</v>
      </c>
      <c r="Z77" s="431">
        <v>3642634</v>
      </c>
      <c r="AA77" s="431">
        <v>0</v>
      </c>
      <c r="AB77" s="431">
        <v>-14137</v>
      </c>
      <c r="AC77" s="431">
        <v>774503</v>
      </c>
      <c r="AD77" s="431">
        <v>2868</v>
      </c>
      <c r="AE77" s="431">
        <v>2655496</v>
      </c>
      <c r="AF77" s="431">
        <v>0</v>
      </c>
      <c r="AG77" s="431">
        <v>287460</v>
      </c>
      <c r="AH77" s="431">
        <v>493536</v>
      </c>
      <c r="AI77" s="431">
        <v>185129</v>
      </c>
      <c r="AJ77" s="431">
        <v>1210025</v>
      </c>
      <c r="AK77" s="431">
        <v>0</v>
      </c>
      <c r="AL77" s="431">
        <v>3300633</v>
      </c>
      <c r="AM77" s="431">
        <v>0</v>
      </c>
    </row>
    <row r="78" spans="1:39" s="203" customFormat="1" ht="12" x14ac:dyDescent="0.2">
      <c r="A78" s="181">
        <v>24</v>
      </c>
      <c r="B78" s="199">
        <v>108106</v>
      </c>
      <c r="C78" s="187" t="s">
        <v>2215</v>
      </c>
      <c r="D78" s="446">
        <f t="shared" si="14"/>
        <v>19865095</v>
      </c>
      <c r="E78" s="431">
        <v>4691030</v>
      </c>
      <c r="F78" s="431">
        <v>2904266</v>
      </c>
      <c r="G78" s="431">
        <v>0</v>
      </c>
      <c r="H78" s="431"/>
      <c r="I78" s="431">
        <v>2159000</v>
      </c>
      <c r="J78" s="431"/>
      <c r="K78" s="431">
        <v>541630</v>
      </c>
      <c r="L78" s="431"/>
      <c r="M78" s="431">
        <v>7781409</v>
      </c>
      <c r="N78" s="431">
        <v>4692026</v>
      </c>
      <c r="O78" s="431">
        <v>0</v>
      </c>
      <c r="P78" s="446">
        <f t="shared" si="15"/>
        <v>18531958</v>
      </c>
      <c r="Q78" s="431">
        <v>2388287</v>
      </c>
      <c r="R78" s="431">
        <v>3171821</v>
      </c>
      <c r="S78" s="431">
        <v>153107</v>
      </c>
      <c r="T78" s="431">
        <v>0</v>
      </c>
      <c r="U78" s="431">
        <v>0</v>
      </c>
      <c r="V78" s="431">
        <v>0</v>
      </c>
      <c r="W78" s="431">
        <v>3303731</v>
      </c>
      <c r="X78" s="431">
        <v>222345</v>
      </c>
      <c r="Y78" s="431">
        <v>45000</v>
      </c>
      <c r="Z78" s="431">
        <v>7165646</v>
      </c>
      <c r="AA78" s="431">
        <v>2086781</v>
      </c>
      <c r="AB78" s="431">
        <v>-4760</v>
      </c>
      <c r="AC78" s="431">
        <v>1078640</v>
      </c>
      <c r="AD78" s="431">
        <v>81099</v>
      </c>
      <c r="AE78" s="431">
        <v>2352037</v>
      </c>
      <c r="AF78" s="431">
        <v>100625</v>
      </c>
      <c r="AG78" s="431">
        <v>1190279</v>
      </c>
      <c r="AH78" s="431">
        <v>3082323</v>
      </c>
      <c r="AI78" s="431">
        <v>1494861</v>
      </c>
      <c r="AJ78" s="431">
        <v>93587</v>
      </c>
      <c r="AK78" s="431">
        <v>0</v>
      </c>
      <c r="AL78" s="431">
        <v>8961468</v>
      </c>
      <c r="AM78" s="431">
        <v>97039</v>
      </c>
    </row>
    <row r="79" spans="1:39" s="203" customFormat="1" ht="12" x14ac:dyDescent="0.2">
      <c r="A79" s="181">
        <v>25</v>
      </c>
      <c r="B79" s="199">
        <v>108151</v>
      </c>
      <c r="C79" s="187" t="s">
        <v>2216</v>
      </c>
      <c r="D79" s="446">
        <f t="shared" si="14"/>
        <v>4704935</v>
      </c>
      <c r="E79" s="431">
        <v>1341223</v>
      </c>
      <c r="F79" s="431">
        <v>338120</v>
      </c>
      <c r="G79" s="431">
        <v>206465</v>
      </c>
      <c r="H79" s="431"/>
      <c r="I79" s="431">
        <v>1771000</v>
      </c>
      <c r="J79" s="431"/>
      <c r="K79" s="431">
        <v>657350</v>
      </c>
      <c r="L79" s="431"/>
      <c r="M79" s="431">
        <v>683491</v>
      </c>
      <c r="N79" s="431">
        <v>204849</v>
      </c>
      <c r="O79" s="431">
        <v>47022</v>
      </c>
      <c r="P79" s="446">
        <f t="shared" si="15"/>
        <v>4508453</v>
      </c>
      <c r="Q79" s="431">
        <v>1962942</v>
      </c>
      <c r="R79" s="431">
        <v>1228850</v>
      </c>
      <c r="S79" s="431">
        <v>0</v>
      </c>
      <c r="T79" s="431">
        <v>0</v>
      </c>
      <c r="U79" s="431">
        <v>0</v>
      </c>
      <c r="V79" s="431">
        <v>0</v>
      </c>
      <c r="W79" s="431">
        <v>185667</v>
      </c>
      <c r="X79" s="431">
        <v>107994</v>
      </c>
      <c r="Y79" s="431">
        <v>6000</v>
      </c>
      <c r="Z79" s="431">
        <v>1017000</v>
      </c>
      <c r="AA79" s="431">
        <v>0</v>
      </c>
      <c r="AB79" s="431">
        <v>0</v>
      </c>
      <c r="AC79" s="431">
        <v>642829</v>
      </c>
      <c r="AD79" s="431">
        <v>199145</v>
      </c>
      <c r="AE79" s="431">
        <v>1586000</v>
      </c>
      <c r="AF79" s="431">
        <v>0</v>
      </c>
      <c r="AG79" s="431">
        <v>66898</v>
      </c>
      <c r="AH79" s="431">
        <v>430887</v>
      </c>
      <c r="AI79" s="431">
        <v>1002582</v>
      </c>
      <c r="AJ79" s="431">
        <v>105927</v>
      </c>
      <c r="AK79" s="431">
        <v>0</v>
      </c>
      <c r="AL79" s="431">
        <v>444905</v>
      </c>
      <c r="AM79" s="431">
        <v>29280</v>
      </c>
    </row>
    <row r="80" spans="1:39" s="203" customFormat="1" ht="12" x14ac:dyDescent="0.2">
      <c r="A80" s="181">
        <v>26</v>
      </c>
      <c r="B80" s="199">
        <v>108204</v>
      </c>
      <c r="C80" s="187" t="s">
        <v>2217</v>
      </c>
      <c r="D80" s="446">
        <f t="shared" si="14"/>
        <v>5135146</v>
      </c>
      <c r="E80" s="431">
        <v>1339081</v>
      </c>
      <c r="F80" s="431">
        <v>166716</v>
      </c>
      <c r="G80" s="431">
        <v>519162</v>
      </c>
      <c r="H80" s="431"/>
      <c r="I80" s="431">
        <v>2278555</v>
      </c>
      <c r="J80" s="431"/>
      <c r="K80" s="431">
        <v>969160</v>
      </c>
      <c r="L80" s="431"/>
      <c r="M80" s="431">
        <v>548350</v>
      </c>
      <c r="N80" s="431">
        <v>0</v>
      </c>
      <c r="O80" s="431">
        <v>0</v>
      </c>
      <c r="P80" s="446">
        <f t="shared" si="15"/>
        <v>5048419</v>
      </c>
      <c r="Q80" s="431">
        <v>2434626</v>
      </c>
      <c r="R80" s="431">
        <v>1706957</v>
      </c>
      <c r="S80" s="431">
        <v>100000</v>
      </c>
      <c r="T80" s="431">
        <v>0</v>
      </c>
      <c r="U80" s="431">
        <v>0</v>
      </c>
      <c r="V80" s="431">
        <v>0</v>
      </c>
      <c r="W80" s="431">
        <v>0</v>
      </c>
      <c r="X80" s="431">
        <v>77777</v>
      </c>
      <c r="Y80" s="431">
        <v>0</v>
      </c>
      <c r="Z80" s="431">
        <v>609125</v>
      </c>
      <c r="AA80" s="431">
        <v>120000</v>
      </c>
      <c r="AB80" s="431">
        <v>-66</v>
      </c>
      <c r="AC80" s="431">
        <v>717225</v>
      </c>
      <c r="AD80" s="431">
        <v>0</v>
      </c>
      <c r="AE80" s="431">
        <v>1960764</v>
      </c>
      <c r="AF80" s="431">
        <v>0</v>
      </c>
      <c r="AG80" s="431">
        <v>241345</v>
      </c>
      <c r="AH80" s="431">
        <v>449201</v>
      </c>
      <c r="AI80" s="431">
        <v>379086</v>
      </c>
      <c r="AJ80" s="431">
        <v>322348</v>
      </c>
      <c r="AK80" s="431">
        <v>0</v>
      </c>
      <c r="AL80" s="431">
        <v>828130</v>
      </c>
      <c r="AM80" s="431">
        <v>150320</v>
      </c>
    </row>
    <row r="81" spans="1:39" s="203" customFormat="1" ht="12" x14ac:dyDescent="0.2">
      <c r="A81" s="181">
        <v>27</v>
      </c>
      <c r="B81" s="199">
        <v>108222</v>
      </c>
      <c r="C81" s="187" t="s">
        <v>2218</v>
      </c>
      <c r="D81" s="446">
        <f t="shared" si="14"/>
        <v>4438563</v>
      </c>
      <c r="E81" s="431">
        <v>1045976</v>
      </c>
      <c r="F81" s="431">
        <v>208801</v>
      </c>
      <c r="G81" s="431">
        <v>292331</v>
      </c>
      <c r="H81" s="431"/>
      <c r="I81" s="431">
        <v>2060764</v>
      </c>
      <c r="J81" s="431"/>
      <c r="K81" s="431">
        <v>1118770</v>
      </c>
      <c r="L81" s="431"/>
      <c r="M81" s="431">
        <v>28764</v>
      </c>
      <c r="N81" s="431">
        <v>179789</v>
      </c>
      <c r="O81" s="431">
        <v>4500</v>
      </c>
      <c r="P81" s="446">
        <f t="shared" si="15"/>
        <v>4216880</v>
      </c>
      <c r="Q81" s="431">
        <v>2393644</v>
      </c>
      <c r="R81" s="431">
        <v>813267</v>
      </c>
      <c r="S81" s="431">
        <v>0</v>
      </c>
      <c r="T81" s="431">
        <v>0</v>
      </c>
      <c r="U81" s="431">
        <v>0</v>
      </c>
      <c r="V81" s="431">
        <v>0</v>
      </c>
      <c r="W81" s="431">
        <v>344186</v>
      </c>
      <c r="X81" s="431">
        <v>107099</v>
      </c>
      <c r="Y81" s="431">
        <v>0</v>
      </c>
      <c r="Z81" s="431">
        <v>558684</v>
      </c>
      <c r="AA81" s="431">
        <v>0</v>
      </c>
      <c r="AB81" s="431">
        <v>0</v>
      </c>
      <c r="AC81" s="431">
        <v>856183</v>
      </c>
      <c r="AD81" s="431">
        <v>0</v>
      </c>
      <c r="AE81" s="431">
        <v>2027512</v>
      </c>
      <c r="AF81" s="431">
        <v>7796</v>
      </c>
      <c r="AG81" s="431">
        <v>230647</v>
      </c>
      <c r="AH81" s="431">
        <v>368382</v>
      </c>
      <c r="AI81" s="431">
        <v>322311</v>
      </c>
      <c r="AJ81" s="431">
        <v>69152</v>
      </c>
      <c r="AK81" s="431">
        <v>0</v>
      </c>
      <c r="AL81" s="431">
        <v>332397</v>
      </c>
      <c r="AM81" s="431">
        <v>2500</v>
      </c>
    </row>
    <row r="82" spans="1:39" s="203" customFormat="1" ht="12" x14ac:dyDescent="0.2">
      <c r="A82" s="181">
        <v>28</v>
      </c>
      <c r="B82" s="199">
        <v>108240</v>
      </c>
      <c r="C82" s="187" t="s">
        <v>2219</v>
      </c>
      <c r="D82" s="446">
        <f t="shared" si="14"/>
        <v>10279278</v>
      </c>
      <c r="E82" s="431">
        <v>682785</v>
      </c>
      <c r="F82" s="431">
        <v>164816</v>
      </c>
      <c r="G82" s="431">
        <v>345394</v>
      </c>
      <c r="H82" s="431"/>
      <c r="I82" s="431">
        <v>936559</v>
      </c>
      <c r="J82" s="431"/>
      <c r="K82" s="431">
        <v>948370</v>
      </c>
      <c r="L82" s="431"/>
      <c r="M82" s="431">
        <v>1862147</v>
      </c>
      <c r="N82" s="431">
        <v>5849417</v>
      </c>
      <c r="O82" s="431">
        <v>0</v>
      </c>
      <c r="P82" s="446">
        <f t="shared" si="15"/>
        <v>13421223</v>
      </c>
      <c r="Q82" s="431">
        <v>1390831</v>
      </c>
      <c r="R82" s="431">
        <v>1184740</v>
      </c>
      <c r="S82" s="431">
        <v>0</v>
      </c>
      <c r="T82" s="431">
        <v>0</v>
      </c>
      <c r="U82" s="431">
        <v>0</v>
      </c>
      <c r="V82" s="431">
        <v>0</v>
      </c>
      <c r="W82" s="431">
        <v>10809148</v>
      </c>
      <c r="X82" s="431">
        <v>36504</v>
      </c>
      <c r="Y82" s="431">
        <v>0</v>
      </c>
      <c r="Z82" s="431">
        <v>0</v>
      </c>
      <c r="AA82" s="431">
        <v>0</v>
      </c>
      <c r="AB82" s="431">
        <v>0</v>
      </c>
      <c r="AC82" s="431">
        <v>524087</v>
      </c>
      <c r="AD82" s="431">
        <v>0</v>
      </c>
      <c r="AE82" s="431">
        <v>1565509</v>
      </c>
      <c r="AF82" s="431">
        <v>24959</v>
      </c>
      <c r="AG82" s="431">
        <v>45680</v>
      </c>
      <c r="AH82" s="431">
        <v>264220</v>
      </c>
      <c r="AI82" s="431">
        <v>8404067</v>
      </c>
      <c r="AJ82" s="431">
        <v>9920</v>
      </c>
      <c r="AK82" s="431">
        <v>0</v>
      </c>
      <c r="AL82" s="431">
        <v>0</v>
      </c>
      <c r="AM82" s="431">
        <v>2582781</v>
      </c>
    </row>
    <row r="83" spans="1:39" s="203" customFormat="1" ht="22.5" x14ac:dyDescent="0.2">
      <c r="A83" s="181">
        <v>29</v>
      </c>
      <c r="B83" s="199">
        <v>108268</v>
      </c>
      <c r="C83" s="187" t="s">
        <v>2220</v>
      </c>
      <c r="D83" s="446">
        <f t="shared" si="14"/>
        <v>7852883</v>
      </c>
      <c r="E83" s="431">
        <v>2126659</v>
      </c>
      <c r="F83" s="431">
        <v>381327</v>
      </c>
      <c r="G83" s="431">
        <v>813856</v>
      </c>
      <c r="H83" s="431"/>
      <c r="I83" s="431">
        <v>3313378</v>
      </c>
      <c r="J83" s="431"/>
      <c r="K83" s="431">
        <v>663930</v>
      </c>
      <c r="L83" s="431"/>
      <c r="M83" s="431">
        <v>1463801</v>
      </c>
      <c r="N83" s="431">
        <v>285115</v>
      </c>
      <c r="O83" s="431">
        <v>0</v>
      </c>
      <c r="P83" s="446">
        <f t="shared" si="15"/>
        <v>9217042</v>
      </c>
      <c r="Q83" s="431">
        <v>3478265</v>
      </c>
      <c r="R83" s="431">
        <v>1911695</v>
      </c>
      <c r="S83" s="431">
        <v>0</v>
      </c>
      <c r="T83" s="431">
        <v>0</v>
      </c>
      <c r="U83" s="431">
        <v>0</v>
      </c>
      <c r="V83" s="431">
        <v>0</v>
      </c>
      <c r="W83" s="431">
        <v>712045</v>
      </c>
      <c r="X83" s="431">
        <v>292785</v>
      </c>
      <c r="Y83" s="431">
        <v>59142</v>
      </c>
      <c r="Z83" s="431">
        <v>2763110</v>
      </c>
      <c r="AA83" s="431">
        <v>0</v>
      </c>
      <c r="AB83" s="431">
        <v>0</v>
      </c>
      <c r="AC83" s="431">
        <v>1108741</v>
      </c>
      <c r="AD83" s="431">
        <v>30816</v>
      </c>
      <c r="AE83" s="431">
        <v>3369713</v>
      </c>
      <c r="AF83" s="431">
        <v>312663</v>
      </c>
      <c r="AG83" s="431">
        <v>801820</v>
      </c>
      <c r="AH83" s="431">
        <v>404335</v>
      </c>
      <c r="AI83" s="431">
        <v>950325</v>
      </c>
      <c r="AJ83" s="431">
        <v>1624160</v>
      </c>
      <c r="AK83" s="431">
        <v>0</v>
      </c>
      <c r="AL83" s="431">
        <v>549104</v>
      </c>
      <c r="AM83" s="431">
        <v>65365</v>
      </c>
    </row>
    <row r="84" spans="1:39" s="203" customFormat="1" ht="12" x14ac:dyDescent="0.2">
      <c r="A84" s="181">
        <v>30</v>
      </c>
      <c r="B84" s="199">
        <v>108348</v>
      </c>
      <c r="C84" s="187" t="s">
        <v>2221</v>
      </c>
      <c r="D84" s="446">
        <f t="shared" si="14"/>
        <v>10828362</v>
      </c>
      <c r="E84" s="431">
        <v>4995809</v>
      </c>
      <c r="F84" s="431">
        <v>605532</v>
      </c>
      <c r="G84" s="431">
        <v>2229440</v>
      </c>
      <c r="H84" s="431"/>
      <c r="I84" s="431">
        <v>4373512</v>
      </c>
      <c r="J84" s="431"/>
      <c r="K84" s="431">
        <v>559510</v>
      </c>
      <c r="L84" s="431"/>
      <c r="M84" s="431">
        <v>573543</v>
      </c>
      <c r="N84" s="431">
        <v>205988</v>
      </c>
      <c r="O84" s="431">
        <v>120000</v>
      </c>
      <c r="P84" s="446">
        <f t="shared" si="15"/>
        <v>10855465</v>
      </c>
      <c r="Q84" s="431">
        <v>4924789</v>
      </c>
      <c r="R84" s="431">
        <v>3184693</v>
      </c>
      <c r="S84" s="431">
        <v>0</v>
      </c>
      <c r="T84" s="431">
        <v>0</v>
      </c>
      <c r="U84" s="431">
        <v>35000</v>
      </c>
      <c r="V84" s="431">
        <v>0</v>
      </c>
      <c r="W84" s="431">
        <v>878756</v>
      </c>
      <c r="X84" s="431">
        <v>215507</v>
      </c>
      <c r="Y84" s="431">
        <v>36300</v>
      </c>
      <c r="Z84" s="431">
        <v>1580420</v>
      </c>
      <c r="AA84" s="431">
        <v>0</v>
      </c>
      <c r="AB84" s="431">
        <v>0</v>
      </c>
      <c r="AC84" s="431">
        <v>1018355</v>
      </c>
      <c r="AD84" s="431">
        <v>0</v>
      </c>
      <c r="AE84" s="431">
        <v>3895622</v>
      </c>
      <c r="AF84" s="431">
        <v>0</v>
      </c>
      <c r="AG84" s="431">
        <v>383095</v>
      </c>
      <c r="AH84" s="431">
        <v>793117</v>
      </c>
      <c r="AI84" s="431">
        <v>377518</v>
      </c>
      <c r="AJ84" s="431">
        <v>306946</v>
      </c>
      <c r="AK84" s="431">
        <v>0</v>
      </c>
      <c r="AL84" s="431">
        <v>2832604</v>
      </c>
      <c r="AM84" s="431">
        <v>1248208</v>
      </c>
    </row>
    <row r="85" spans="1:39" s="203" customFormat="1" ht="22.5" x14ac:dyDescent="0.2">
      <c r="A85" s="181">
        <v>31</v>
      </c>
      <c r="B85" s="199">
        <v>108366</v>
      </c>
      <c r="C85" s="187" t="s">
        <v>2222</v>
      </c>
      <c r="D85" s="446">
        <f t="shared" si="14"/>
        <v>6969013</v>
      </c>
      <c r="E85" s="431">
        <v>826174</v>
      </c>
      <c r="F85" s="431">
        <v>60834</v>
      </c>
      <c r="G85" s="431">
        <v>338641</v>
      </c>
      <c r="H85" s="431"/>
      <c r="I85" s="431">
        <v>728000</v>
      </c>
      <c r="J85" s="431"/>
      <c r="K85" s="431">
        <v>929220</v>
      </c>
      <c r="L85" s="431"/>
      <c r="M85" s="431">
        <v>719535</v>
      </c>
      <c r="N85" s="431">
        <v>3766084</v>
      </c>
      <c r="O85" s="431">
        <v>0</v>
      </c>
      <c r="P85" s="446">
        <f t="shared" si="15"/>
        <v>7218813</v>
      </c>
      <c r="Q85" s="431">
        <v>984915</v>
      </c>
      <c r="R85" s="431">
        <v>1177241</v>
      </c>
      <c r="S85" s="431">
        <v>0</v>
      </c>
      <c r="T85" s="431">
        <v>0</v>
      </c>
      <c r="U85" s="431">
        <v>0</v>
      </c>
      <c r="V85" s="431">
        <v>0</v>
      </c>
      <c r="W85" s="431">
        <v>3884090</v>
      </c>
      <c r="X85" s="431">
        <v>31457</v>
      </c>
      <c r="Y85" s="431">
        <v>0</v>
      </c>
      <c r="Z85" s="431">
        <v>606580</v>
      </c>
      <c r="AA85" s="431">
        <v>535145</v>
      </c>
      <c r="AB85" s="431">
        <v>-615</v>
      </c>
      <c r="AC85" s="431">
        <v>809828</v>
      </c>
      <c r="AD85" s="431">
        <v>0</v>
      </c>
      <c r="AE85" s="431">
        <v>669991</v>
      </c>
      <c r="AF85" s="431">
        <v>0</v>
      </c>
      <c r="AG85" s="431">
        <v>1230683</v>
      </c>
      <c r="AH85" s="431">
        <v>3494511</v>
      </c>
      <c r="AI85" s="431">
        <v>517220</v>
      </c>
      <c r="AJ85" s="431">
        <v>0</v>
      </c>
      <c r="AK85" s="431">
        <v>0</v>
      </c>
      <c r="AL85" s="431">
        <v>496580</v>
      </c>
      <c r="AM85" s="431">
        <v>0</v>
      </c>
    </row>
    <row r="86" spans="1:39" s="203" customFormat="1" ht="22.5" x14ac:dyDescent="0.2">
      <c r="A86" s="181">
        <v>32</v>
      </c>
      <c r="B86" s="199">
        <v>108400</v>
      </c>
      <c r="C86" s="187" t="s">
        <v>2223</v>
      </c>
      <c r="D86" s="446">
        <f t="shared" si="14"/>
        <v>6835243</v>
      </c>
      <c r="E86" s="431">
        <v>1843290</v>
      </c>
      <c r="F86" s="431">
        <v>643086</v>
      </c>
      <c r="G86" s="431">
        <v>221438</v>
      </c>
      <c r="H86" s="431"/>
      <c r="I86" s="431">
        <v>3020274</v>
      </c>
      <c r="J86" s="431"/>
      <c r="K86" s="431">
        <v>428360</v>
      </c>
      <c r="L86" s="431"/>
      <c r="M86" s="431">
        <v>1003616</v>
      </c>
      <c r="N86" s="431">
        <v>539703</v>
      </c>
      <c r="O86" s="431">
        <v>0</v>
      </c>
      <c r="P86" s="446">
        <f t="shared" si="15"/>
        <v>6912760</v>
      </c>
      <c r="Q86" s="431">
        <v>3518539</v>
      </c>
      <c r="R86" s="431">
        <v>1450676</v>
      </c>
      <c r="S86" s="431">
        <v>0</v>
      </c>
      <c r="T86" s="431">
        <v>0</v>
      </c>
      <c r="U86" s="431">
        <v>0</v>
      </c>
      <c r="V86" s="431">
        <v>0</v>
      </c>
      <c r="W86" s="431">
        <v>955615</v>
      </c>
      <c r="X86" s="431">
        <v>113564</v>
      </c>
      <c r="Y86" s="431">
        <v>42000</v>
      </c>
      <c r="Z86" s="431">
        <v>832366</v>
      </c>
      <c r="AA86" s="431">
        <v>0</v>
      </c>
      <c r="AB86" s="431">
        <v>0</v>
      </c>
      <c r="AC86" s="431">
        <v>1082489</v>
      </c>
      <c r="AD86" s="431">
        <v>0</v>
      </c>
      <c r="AE86" s="431">
        <v>2700210</v>
      </c>
      <c r="AF86" s="431">
        <v>0</v>
      </c>
      <c r="AG86" s="431">
        <v>222099</v>
      </c>
      <c r="AH86" s="431">
        <v>528555</v>
      </c>
      <c r="AI86" s="431">
        <v>236348</v>
      </c>
      <c r="AJ86" s="431">
        <v>1092195</v>
      </c>
      <c r="AK86" s="431">
        <v>0</v>
      </c>
      <c r="AL86" s="431">
        <v>378182</v>
      </c>
      <c r="AM86" s="431">
        <v>672682</v>
      </c>
    </row>
    <row r="87" spans="1:39" s="203" customFormat="1" ht="12" x14ac:dyDescent="0.2">
      <c r="A87" s="181">
        <v>33</v>
      </c>
      <c r="B87" s="199">
        <v>108455</v>
      </c>
      <c r="C87" s="187" t="s">
        <v>2224</v>
      </c>
      <c r="D87" s="446">
        <f t="shared" si="14"/>
        <v>5267515</v>
      </c>
      <c r="E87" s="431">
        <v>1514978</v>
      </c>
      <c r="F87" s="431">
        <v>232763</v>
      </c>
      <c r="G87" s="431">
        <v>306803</v>
      </c>
      <c r="H87" s="431"/>
      <c r="I87" s="431">
        <v>2306109</v>
      </c>
      <c r="J87" s="431"/>
      <c r="K87" s="431">
        <v>1092710</v>
      </c>
      <c r="L87" s="431"/>
      <c r="M87" s="431">
        <v>100505</v>
      </c>
      <c r="N87" s="431">
        <v>253213</v>
      </c>
      <c r="O87" s="431">
        <v>0</v>
      </c>
      <c r="P87" s="446">
        <f t="shared" ref="P87:P117" si="16">IF(SUM(Q87:AB87)=SUM(AC87:AM87),SUM(Q87:AB87),"EROARE ART/CAP")</f>
        <v>5209021</v>
      </c>
      <c r="Q87" s="431">
        <v>2637988</v>
      </c>
      <c r="R87" s="431">
        <v>1613007</v>
      </c>
      <c r="S87" s="431">
        <v>0</v>
      </c>
      <c r="T87" s="431">
        <v>0</v>
      </c>
      <c r="U87" s="431">
        <v>0</v>
      </c>
      <c r="V87" s="431">
        <v>0</v>
      </c>
      <c r="W87" s="431">
        <v>360943</v>
      </c>
      <c r="X87" s="431">
        <v>116577</v>
      </c>
      <c r="Y87" s="431">
        <v>0</v>
      </c>
      <c r="Z87" s="431">
        <v>482006</v>
      </c>
      <c r="AA87" s="431">
        <v>0</v>
      </c>
      <c r="AB87" s="431">
        <v>-1500</v>
      </c>
      <c r="AC87" s="431">
        <v>966564</v>
      </c>
      <c r="AD87" s="431">
        <v>10318</v>
      </c>
      <c r="AE87" s="431">
        <v>2099080</v>
      </c>
      <c r="AF87" s="431">
        <v>83700</v>
      </c>
      <c r="AG87" s="431">
        <v>148220</v>
      </c>
      <c r="AH87" s="431">
        <v>403237</v>
      </c>
      <c r="AI87" s="431">
        <v>215720</v>
      </c>
      <c r="AJ87" s="431">
        <v>112872</v>
      </c>
      <c r="AK87" s="431">
        <v>0</v>
      </c>
      <c r="AL87" s="431">
        <v>626650</v>
      </c>
      <c r="AM87" s="431">
        <v>542660</v>
      </c>
    </row>
    <row r="88" spans="1:39" s="203" customFormat="1" ht="22.5" x14ac:dyDescent="0.2">
      <c r="A88" s="181">
        <v>34</v>
      </c>
      <c r="B88" s="199">
        <v>108473</v>
      </c>
      <c r="C88" s="187" t="s">
        <v>2225</v>
      </c>
      <c r="D88" s="446">
        <f t="shared" si="14"/>
        <v>15889347</v>
      </c>
      <c r="E88" s="431">
        <v>2910849</v>
      </c>
      <c r="F88" s="431">
        <v>848711</v>
      </c>
      <c r="G88" s="431">
        <v>1545165</v>
      </c>
      <c r="H88" s="431"/>
      <c r="I88" s="431">
        <v>9870000</v>
      </c>
      <c r="J88" s="431"/>
      <c r="K88" s="431">
        <v>897100</v>
      </c>
      <c r="L88" s="431"/>
      <c r="M88" s="431">
        <v>1052946</v>
      </c>
      <c r="N88" s="431">
        <v>1158452</v>
      </c>
      <c r="O88" s="431">
        <v>0</v>
      </c>
      <c r="P88" s="446">
        <f t="shared" si="16"/>
        <v>17978730</v>
      </c>
      <c r="Q88" s="431">
        <v>9658000</v>
      </c>
      <c r="R88" s="431">
        <v>3242000</v>
      </c>
      <c r="S88" s="431">
        <v>0</v>
      </c>
      <c r="T88" s="431">
        <v>0</v>
      </c>
      <c r="U88" s="431">
        <v>0</v>
      </c>
      <c r="V88" s="431">
        <v>0</v>
      </c>
      <c r="W88" s="431">
        <v>4081718</v>
      </c>
      <c r="X88" s="431">
        <v>737504</v>
      </c>
      <c r="Y88" s="431">
        <v>60000</v>
      </c>
      <c r="Z88" s="431">
        <v>200000</v>
      </c>
      <c r="AA88" s="431">
        <v>0</v>
      </c>
      <c r="AB88" s="431">
        <v>-492</v>
      </c>
      <c r="AC88" s="431">
        <v>1165000</v>
      </c>
      <c r="AD88" s="431">
        <v>10000</v>
      </c>
      <c r="AE88" s="431">
        <v>8356000</v>
      </c>
      <c r="AF88" s="431">
        <v>160000</v>
      </c>
      <c r="AG88" s="431">
        <v>128000</v>
      </c>
      <c r="AH88" s="431">
        <v>2016012</v>
      </c>
      <c r="AI88" s="431">
        <v>470000</v>
      </c>
      <c r="AJ88" s="431">
        <v>345000</v>
      </c>
      <c r="AK88" s="431">
        <v>0</v>
      </c>
      <c r="AL88" s="431">
        <v>4771948</v>
      </c>
      <c r="AM88" s="431">
        <v>556770</v>
      </c>
    </row>
    <row r="89" spans="1:39" s="203" customFormat="1" ht="22.5" x14ac:dyDescent="0.2">
      <c r="A89" s="181">
        <v>35</v>
      </c>
      <c r="B89" s="199">
        <v>108491</v>
      </c>
      <c r="C89" s="187" t="s">
        <v>2226</v>
      </c>
      <c r="D89" s="446">
        <f t="shared" si="14"/>
        <v>5688767</v>
      </c>
      <c r="E89" s="431">
        <v>1031211</v>
      </c>
      <c r="F89" s="431">
        <v>115872</v>
      </c>
      <c r="G89" s="431">
        <v>315485</v>
      </c>
      <c r="H89" s="431"/>
      <c r="I89" s="431">
        <v>1577076</v>
      </c>
      <c r="J89" s="431"/>
      <c r="K89" s="431">
        <v>1022160</v>
      </c>
      <c r="L89" s="431"/>
      <c r="M89" s="431">
        <v>2052820</v>
      </c>
      <c r="N89" s="431">
        <v>0</v>
      </c>
      <c r="O89" s="431">
        <v>5500</v>
      </c>
      <c r="P89" s="446">
        <f t="shared" si="16"/>
        <v>5576774</v>
      </c>
      <c r="Q89" s="431">
        <v>1767311</v>
      </c>
      <c r="R89" s="431">
        <v>1430332</v>
      </c>
      <c r="S89" s="431">
        <v>0</v>
      </c>
      <c r="T89" s="431">
        <v>0</v>
      </c>
      <c r="U89" s="431">
        <v>0</v>
      </c>
      <c r="V89" s="431">
        <v>0</v>
      </c>
      <c r="W89" s="431">
        <v>0</v>
      </c>
      <c r="X89" s="431">
        <v>98556</v>
      </c>
      <c r="Y89" s="431">
        <v>2000</v>
      </c>
      <c r="Z89" s="431">
        <v>2278575</v>
      </c>
      <c r="AA89" s="431">
        <v>0</v>
      </c>
      <c r="AB89" s="431">
        <v>0</v>
      </c>
      <c r="AC89" s="431">
        <v>490064</v>
      </c>
      <c r="AD89" s="431">
        <v>8785</v>
      </c>
      <c r="AE89" s="431">
        <v>1696170</v>
      </c>
      <c r="AF89" s="431">
        <v>1665</v>
      </c>
      <c r="AG89" s="431">
        <v>397995</v>
      </c>
      <c r="AH89" s="431">
        <v>321920</v>
      </c>
      <c r="AI89" s="431">
        <v>1074780</v>
      </c>
      <c r="AJ89" s="431">
        <v>112247</v>
      </c>
      <c r="AK89" s="431">
        <v>0</v>
      </c>
      <c r="AL89" s="431">
        <v>1391416</v>
      </c>
      <c r="AM89" s="431">
        <v>81732</v>
      </c>
    </row>
    <row r="90" spans="1:39" s="203" customFormat="1" ht="12" x14ac:dyDescent="0.2">
      <c r="A90" s="181">
        <v>36</v>
      </c>
      <c r="B90" s="199">
        <v>108552</v>
      </c>
      <c r="C90" s="187" t="s">
        <v>2227</v>
      </c>
      <c r="D90" s="446">
        <f t="shared" si="14"/>
        <v>3846091</v>
      </c>
      <c r="E90" s="431">
        <v>971724</v>
      </c>
      <c r="F90" s="431">
        <v>149218</v>
      </c>
      <c r="G90" s="431">
        <v>331887</v>
      </c>
      <c r="H90" s="431"/>
      <c r="I90" s="431">
        <v>1725557</v>
      </c>
      <c r="J90" s="431"/>
      <c r="K90" s="431">
        <v>935230</v>
      </c>
      <c r="L90" s="431"/>
      <c r="M90" s="431">
        <v>213580</v>
      </c>
      <c r="N90" s="431">
        <v>0</v>
      </c>
      <c r="O90" s="431">
        <v>0</v>
      </c>
      <c r="P90" s="446">
        <f t="shared" si="16"/>
        <v>5855761</v>
      </c>
      <c r="Q90" s="431">
        <v>2149023</v>
      </c>
      <c r="R90" s="431">
        <v>687063</v>
      </c>
      <c r="S90" s="431">
        <v>0</v>
      </c>
      <c r="T90" s="431">
        <v>0</v>
      </c>
      <c r="U90" s="431">
        <v>0</v>
      </c>
      <c r="V90" s="431">
        <v>0</v>
      </c>
      <c r="W90" s="431">
        <v>2327240</v>
      </c>
      <c r="X90" s="431">
        <v>79133</v>
      </c>
      <c r="Y90" s="431">
        <v>7000</v>
      </c>
      <c r="Z90" s="431">
        <v>606302</v>
      </c>
      <c r="AA90" s="431">
        <v>0</v>
      </c>
      <c r="AB90" s="431">
        <v>0</v>
      </c>
      <c r="AC90" s="431">
        <v>560995</v>
      </c>
      <c r="AD90" s="431">
        <v>61877</v>
      </c>
      <c r="AE90" s="431">
        <v>1652377</v>
      </c>
      <c r="AF90" s="431">
        <v>26784</v>
      </c>
      <c r="AG90" s="431">
        <v>51516</v>
      </c>
      <c r="AH90" s="431">
        <v>285255</v>
      </c>
      <c r="AI90" s="431">
        <v>132099</v>
      </c>
      <c r="AJ90" s="431">
        <v>76112</v>
      </c>
      <c r="AK90" s="431">
        <v>0</v>
      </c>
      <c r="AL90" s="431">
        <v>3008746</v>
      </c>
      <c r="AM90" s="431">
        <v>0</v>
      </c>
    </row>
    <row r="91" spans="1:39" s="203" customFormat="1" ht="12" x14ac:dyDescent="0.2">
      <c r="A91" s="181">
        <v>37</v>
      </c>
      <c r="B91" s="199">
        <v>108598</v>
      </c>
      <c r="C91" s="187" t="s">
        <v>2228</v>
      </c>
      <c r="D91" s="446">
        <f t="shared" si="14"/>
        <v>6922187</v>
      </c>
      <c r="E91" s="431">
        <v>1500704</v>
      </c>
      <c r="F91" s="431">
        <v>307622</v>
      </c>
      <c r="G91" s="431">
        <v>638979</v>
      </c>
      <c r="H91" s="431"/>
      <c r="I91" s="431">
        <v>4060641</v>
      </c>
      <c r="J91" s="431"/>
      <c r="K91" s="431">
        <v>853890</v>
      </c>
      <c r="L91" s="431"/>
      <c r="M91" s="431">
        <v>104582</v>
      </c>
      <c r="N91" s="431">
        <v>332062</v>
      </c>
      <c r="O91" s="431">
        <v>70308</v>
      </c>
      <c r="P91" s="446">
        <f t="shared" si="16"/>
        <v>6922187</v>
      </c>
      <c r="Q91" s="431">
        <v>4449914</v>
      </c>
      <c r="R91" s="431">
        <v>1721609</v>
      </c>
      <c r="S91" s="431">
        <v>0</v>
      </c>
      <c r="T91" s="431">
        <v>0</v>
      </c>
      <c r="U91" s="431">
        <v>0</v>
      </c>
      <c r="V91" s="431">
        <v>100000</v>
      </c>
      <c r="W91" s="431">
        <v>350310</v>
      </c>
      <c r="X91" s="431">
        <v>149238</v>
      </c>
      <c r="Y91" s="431">
        <v>0</v>
      </c>
      <c r="Z91" s="431">
        <v>151116</v>
      </c>
      <c r="AA91" s="431">
        <v>0</v>
      </c>
      <c r="AB91" s="431">
        <v>0</v>
      </c>
      <c r="AC91" s="431">
        <v>1235597</v>
      </c>
      <c r="AD91" s="431">
        <v>27513</v>
      </c>
      <c r="AE91" s="431">
        <v>3567641</v>
      </c>
      <c r="AF91" s="431">
        <v>26600</v>
      </c>
      <c r="AG91" s="431">
        <v>191246</v>
      </c>
      <c r="AH91" s="431">
        <v>652164</v>
      </c>
      <c r="AI91" s="431">
        <v>182284</v>
      </c>
      <c r="AJ91" s="431">
        <v>60000</v>
      </c>
      <c r="AK91" s="431">
        <v>0</v>
      </c>
      <c r="AL91" s="431">
        <v>923312</v>
      </c>
      <c r="AM91" s="431">
        <v>55830</v>
      </c>
    </row>
    <row r="92" spans="1:39" s="203" customFormat="1" ht="22.5" x14ac:dyDescent="0.2">
      <c r="A92" s="181">
        <v>38</v>
      </c>
      <c r="B92" s="199">
        <v>108614</v>
      </c>
      <c r="C92" s="187" t="s">
        <v>2229</v>
      </c>
      <c r="D92" s="446">
        <f t="shared" si="14"/>
        <v>3173405</v>
      </c>
      <c r="E92" s="431">
        <v>687928</v>
      </c>
      <c r="F92" s="431">
        <v>89102</v>
      </c>
      <c r="G92" s="431">
        <v>386880</v>
      </c>
      <c r="H92" s="431"/>
      <c r="I92" s="431">
        <v>904301</v>
      </c>
      <c r="J92" s="431"/>
      <c r="K92" s="431">
        <v>1113910</v>
      </c>
      <c r="L92" s="431"/>
      <c r="M92" s="431">
        <v>388929</v>
      </c>
      <c r="N92" s="431">
        <v>78337</v>
      </c>
      <c r="O92" s="431">
        <v>0</v>
      </c>
      <c r="P92" s="446">
        <f t="shared" si="16"/>
        <v>3085072</v>
      </c>
      <c r="Q92" s="431">
        <v>1172860</v>
      </c>
      <c r="R92" s="431">
        <v>698038</v>
      </c>
      <c r="S92" s="431">
        <v>0</v>
      </c>
      <c r="T92" s="431">
        <v>0</v>
      </c>
      <c r="U92" s="431">
        <v>0</v>
      </c>
      <c r="V92" s="431">
        <v>0</v>
      </c>
      <c r="W92" s="431">
        <v>0</v>
      </c>
      <c r="X92" s="431">
        <v>88760</v>
      </c>
      <c r="Y92" s="431">
        <v>6000</v>
      </c>
      <c r="Z92" s="431">
        <v>1119414</v>
      </c>
      <c r="AA92" s="431">
        <v>0</v>
      </c>
      <c r="AB92" s="431">
        <v>0</v>
      </c>
      <c r="AC92" s="431">
        <v>486721</v>
      </c>
      <c r="AD92" s="431">
        <v>0</v>
      </c>
      <c r="AE92" s="431">
        <v>833747</v>
      </c>
      <c r="AF92" s="431">
        <v>0</v>
      </c>
      <c r="AG92" s="431">
        <v>92680</v>
      </c>
      <c r="AH92" s="431">
        <v>193314</v>
      </c>
      <c r="AI92" s="431">
        <v>90916</v>
      </c>
      <c r="AJ92" s="431">
        <v>489374</v>
      </c>
      <c r="AK92" s="431">
        <v>0</v>
      </c>
      <c r="AL92" s="431">
        <v>898320</v>
      </c>
      <c r="AM92" s="431">
        <v>0</v>
      </c>
    </row>
    <row r="93" spans="1:39" s="203" customFormat="1" ht="22.5" x14ac:dyDescent="0.2">
      <c r="A93" s="181">
        <v>39</v>
      </c>
      <c r="B93" s="199">
        <v>108632</v>
      </c>
      <c r="C93" s="187" t="s">
        <v>2230</v>
      </c>
      <c r="D93" s="446">
        <f t="shared" si="14"/>
        <v>4939486</v>
      </c>
      <c r="E93" s="431">
        <v>944511</v>
      </c>
      <c r="F93" s="431">
        <v>218614</v>
      </c>
      <c r="G93" s="431">
        <v>286542</v>
      </c>
      <c r="H93" s="431"/>
      <c r="I93" s="431">
        <v>2663000</v>
      </c>
      <c r="J93" s="431"/>
      <c r="K93" s="431">
        <v>923090</v>
      </c>
      <c r="L93" s="431"/>
      <c r="M93" s="431">
        <v>174987</v>
      </c>
      <c r="N93" s="431">
        <v>195603</v>
      </c>
      <c r="O93" s="431">
        <v>38295</v>
      </c>
      <c r="P93" s="446">
        <f t="shared" si="16"/>
        <v>4723099</v>
      </c>
      <c r="Q93" s="431">
        <v>2725920</v>
      </c>
      <c r="R93" s="431">
        <v>1205859</v>
      </c>
      <c r="S93" s="431">
        <v>0</v>
      </c>
      <c r="T93" s="431">
        <v>0</v>
      </c>
      <c r="U93" s="431">
        <v>0</v>
      </c>
      <c r="V93" s="431">
        <v>0</v>
      </c>
      <c r="W93" s="431">
        <v>188753</v>
      </c>
      <c r="X93" s="431">
        <v>404989</v>
      </c>
      <c r="Y93" s="431">
        <v>0</v>
      </c>
      <c r="Z93" s="431">
        <v>197578</v>
      </c>
      <c r="AA93" s="431">
        <v>0</v>
      </c>
      <c r="AB93" s="431">
        <v>0</v>
      </c>
      <c r="AC93" s="431">
        <v>703265</v>
      </c>
      <c r="AD93" s="431">
        <v>245908</v>
      </c>
      <c r="AE93" s="431">
        <v>2539000</v>
      </c>
      <c r="AF93" s="431">
        <v>0</v>
      </c>
      <c r="AG93" s="431">
        <v>48653</v>
      </c>
      <c r="AH93" s="431">
        <v>414989</v>
      </c>
      <c r="AI93" s="431">
        <v>300814</v>
      </c>
      <c r="AJ93" s="431">
        <v>176064</v>
      </c>
      <c r="AK93" s="431">
        <v>0</v>
      </c>
      <c r="AL93" s="431">
        <v>294406</v>
      </c>
      <c r="AM93" s="431">
        <v>0</v>
      </c>
    </row>
    <row r="94" spans="1:39" s="203" customFormat="1" ht="12" x14ac:dyDescent="0.2">
      <c r="A94" s="181">
        <v>40</v>
      </c>
      <c r="B94" s="199">
        <v>108669</v>
      </c>
      <c r="C94" s="187" t="s">
        <v>2231</v>
      </c>
      <c r="D94" s="446">
        <f t="shared" si="14"/>
        <v>9096746</v>
      </c>
      <c r="E94" s="431">
        <v>939226</v>
      </c>
      <c r="F94" s="431">
        <v>170990</v>
      </c>
      <c r="G94" s="431">
        <v>316450</v>
      </c>
      <c r="H94" s="431"/>
      <c r="I94" s="431">
        <v>2359877</v>
      </c>
      <c r="J94" s="431"/>
      <c r="K94" s="431">
        <v>5151850</v>
      </c>
      <c r="L94" s="431"/>
      <c r="M94" s="431">
        <v>645793</v>
      </c>
      <c r="N94" s="431">
        <v>0</v>
      </c>
      <c r="O94" s="431">
        <v>0</v>
      </c>
      <c r="P94" s="446">
        <f t="shared" si="16"/>
        <v>9082366</v>
      </c>
      <c r="Q94" s="431">
        <v>2602450</v>
      </c>
      <c r="R94" s="431">
        <v>5792588</v>
      </c>
      <c r="S94" s="431">
        <v>0</v>
      </c>
      <c r="T94" s="431">
        <v>0</v>
      </c>
      <c r="U94" s="431">
        <v>0</v>
      </c>
      <c r="V94" s="431">
        <v>0</v>
      </c>
      <c r="W94" s="431">
        <v>0</v>
      </c>
      <c r="X94" s="431">
        <v>141541</v>
      </c>
      <c r="Y94" s="431">
        <v>0</v>
      </c>
      <c r="Z94" s="431">
        <v>545787</v>
      </c>
      <c r="AA94" s="431">
        <v>0</v>
      </c>
      <c r="AB94" s="431">
        <v>0</v>
      </c>
      <c r="AC94" s="431">
        <v>4685673</v>
      </c>
      <c r="AD94" s="431">
        <v>0</v>
      </c>
      <c r="AE94" s="431">
        <v>1797147</v>
      </c>
      <c r="AF94" s="431">
        <v>0</v>
      </c>
      <c r="AG94" s="431">
        <v>253763</v>
      </c>
      <c r="AH94" s="431">
        <v>641252</v>
      </c>
      <c r="AI94" s="431">
        <v>179473</v>
      </c>
      <c r="AJ94" s="431">
        <v>492805</v>
      </c>
      <c r="AK94" s="431">
        <v>0</v>
      </c>
      <c r="AL94" s="431">
        <v>1032253</v>
      </c>
      <c r="AM94" s="431">
        <v>0</v>
      </c>
    </row>
    <row r="95" spans="1:39" s="203" customFormat="1" ht="12" x14ac:dyDescent="0.2">
      <c r="A95" s="181">
        <v>41</v>
      </c>
      <c r="B95" s="199">
        <v>108696</v>
      </c>
      <c r="C95" s="187" t="s">
        <v>2232</v>
      </c>
      <c r="D95" s="446">
        <f t="shared" si="14"/>
        <v>10256404</v>
      </c>
      <c r="E95" s="431">
        <v>1690251</v>
      </c>
      <c r="F95" s="431">
        <v>258510</v>
      </c>
      <c r="G95" s="431">
        <v>828250</v>
      </c>
      <c r="H95" s="431"/>
      <c r="I95" s="431">
        <v>3291880</v>
      </c>
      <c r="J95" s="431"/>
      <c r="K95" s="431">
        <v>971640</v>
      </c>
      <c r="L95" s="431"/>
      <c r="M95" s="431">
        <v>267396</v>
      </c>
      <c r="N95" s="431">
        <v>4035237</v>
      </c>
      <c r="O95" s="431">
        <v>0</v>
      </c>
      <c r="P95" s="446">
        <f t="shared" si="16"/>
        <v>7005732</v>
      </c>
      <c r="Q95" s="431">
        <v>3460888</v>
      </c>
      <c r="R95" s="431">
        <v>1500445</v>
      </c>
      <c r="S95" s="431">
        <v>0</v>
      </c>
      <c r="T95" s="431">
        <v>0</v>
      </c>
      <c r="U95" s="431">
        <v>0</v>
      </c>
      <c r="V95" s="431">
        <v>0</v>
      </c>
      <c r="W95" s="431">
        <v>0</v>
      </c>
      <c r="X95" s="431">
        <v>102310</v>
      </c>
      <c r="Y95" s="431">
        <v>15000</v>
      </c>
      <c r="Z95" s="431">
        <v>1927089</v>
      </c>
      <c r="AA95" s="431">
        <v>0</v>
      </c>
      <c r="AB95" s="431">
        <v>0</v>
      </c>
      <c r="AC95" s="431">
        <v>652134</v>
      </c>
      <c r="AD95" s="431">
        <v>20453</v>
      </c>
      <c r="AE95" s="431">
        <v>2857426</v>
      </c>
      <c r="AF95" s="431">
        <v>54840</v>
      </c>
      <c r="AG95" s="431">
        <v>173771</v>
      </c>
      <c r="AH95" s="431">
        <v>551084</v>
      </c>
      <c r="AI95" s="431">
        <v>260914</v>
      </c>
      <c r="AJ95" s="431">
        <v>2064886</v>
      </c>
      <c r="AK95" s="431">
        <v>0</v>
      </c>
      <c r="AL95" s="431">
        <v>370224</v>
      </c>
      <c r="AM95" s="431">
        <v>0</v>
      </c>
    </row>
    <row r="96" spans="1:39" s="203" customFormat="1" ht="12" x14ac:dyDescent="0.2">
      <c r="A96" s="181">
        <v>42</v>
      </c>
      <c r="B96" s="199">
        <v>108712</v>
      </c>
      <c r="C96" s="187" t="s">
        <v>2233</v>
      </c>
      <c r="D96" s="446">
        <f t="shared" si="14"/>
        <v>10664548</v>
      </c>
      <c r="E96" s="431">
        <v>2881864</v>
      </c>
      <c r="F96" s="431">
        <v>737674</v>
      </c>
      <c r="G96" s="431">
        <v>717724</v>
      </c>
      <c r="H96" s="431"/>
      <c r="I96" s="431">
        <v>3739763</v>
      </c>
      <c r="J96" s="431"/>
      <c r="K96" s="431">
        <v>521700</v>
      </c>
      <c r="L96" s="431"/>
      <c r="M96" s="431">
        <v>3210641</v>
      </c>
      <c r="N96" s="431">
        <v>287454</v>
      </c>
      <c r="O96" s="431">
        <v>23126</v>
      </c>
      <c r="P96" s="446">
        <f t="shared" si="16"/>
        <v>10718524</v>
      </c>
      <c r="Q96" s="431">
        <v>3873717</v>
      </c>
      <c r="R96" s="431">
        <v>2300673</v>
      </c>
      <c r="S96" s="431">
        <v>0</v>
      </c>
      <c r="T96" s="431">
        <v>0</v>
      </c>
      <c r="U96" s="431">
        <v>0</v>
      </c>
      <c r="V96" s="431">
        <v>10529</v>
      </c>
      <c r="W96" s="431">
        <v>311298</v>
      </c>
      <c r="X96" s="431">
        <v>511332</v>
      </c>
      <c r="Y96" s="431">
        <v>56297</v>
      </c>
      <c r="Z96" s="431">
        <v>3655121</v>
      </c>
      <c r="AA96" s="431">
        <v>0</v>
      </c>
      <c r="AB96" s="431">
        <v>-443</v>
      </c>
      <c r="AC96" s="431">
        <v>1018988</v>
      </c>
      <c r="AD96" s="431">
        <v>13197</v>
      </c>
      <c r="AE96" s="431">
        <v>3672936</v>
      </c>
      <c r="AF96" s="431">
        <v>0</v>
      </c>
      <c r="AG96" s="431">
        <v>1455459</v>
      </c>
      <c r="AH96" s="431">
        <v>879604</v>
      </c>
      <c r="AI96" s="431">
        <v>2942329</v>
      </c>
      <c r="AJ96" s="431">
        <v>165163</v>
      </c>
      <c r="AK96" s="431">
        <v>0</v>
      </c>
      <c r="AL96" s="431">
        <v>544734</v>
      </c>
      <c r="AM96" s="431">
        <v>26114</v>
      </c>
    </row>
    <row r="97" spans="1:39" s="203" customFormat="1" ht="22.5" x14ac:dyDescent="0.2">
      <c r="A97" s="181">
        <v>43</v>
      </c>
      <c r="B97" s="199">
        <v>108794</v>
      </c>
      <c r="C97" s="187" t="s">
        <v>2234</v>
      </c>
      <c r="D97" s="446">
        <f t="shared" si="14"/>
        <v>11151871</v>
      </c>
      <c r="E97" s="431">
        <v>1235962</v>
      </c>
      <c r="F97" s="431">
        <v>147589</v>
      </c>
      <c r="G97" s="431">
        <v>274964</v>
      </c>
      <c r="H97" s="431"/>
      <c r="I97" s="431">
        <v>1230267</v>
      </c>
      <c r="J97" s="431"/>
      <c r="K97" s="431">
        <v>888640</v>
      </c>
      <c r="L97" s="431"/>
      <c r="M97" s="431">
        <v>3039464</v>
      </c>
      <c r="N97" s="431">
        <v>4753538</v>
      </c>
      <c r="O97" s="431">
        <v>4000</v>
      </c>
      <c r="P97" s="446">
        <f t="shared" si="16"/>
        <v>11695056</v>
      </c>
      <c r="Q97" s="431">
        <v>1652067</v>
      </c>
      <c r="R97" s="431">
        <v>1096893</v>
      </c>
      <c r="S97" s="431">
        <v>19642</v>
      </c>
      <c r="T97" s="431">
        <v>0</v>
      </c>
      <c r="U97" s="431">
        <v>0</v>
      </c>
      <c r="V97" s="431">
        <v>0</v>
      </c>
      <c r="W97" s="431">
        <v>7029161</v>
      </c>
      <c r="X97" s="431">
        <v>91235</v>
      </c>
      <c r="Y97" s="431">
        <v>2000</v>
      </c>
      <c r="Z97" s="431">
        <v>1775284</v>
      </c>
      <c r="AA97" s="431">
        <v>28774</v>
      </c>
      <c r="AB97" s="431">
        <v>0</v>
      </c>
      <c r="AC97" s="431">
        <v>1068364</v>
      </c>
      <c r="AD97" s="431">
        <v>70086</v>
      </c>
      <c r="AE97" s="431">
        <v>1127411</v>
      </c>
      <c r="AF97" s="431">
        <v>0</v>
      </c>
      <c r="AG97" s="431">
        <v>1686629</v>
      </c>
      <c r="AH97" s="431">
        <v>175304</v>
      </c>
      <c r="AI97" s="431">
        <v>173588</v>
      </c>
      <c r="AJ97" s="431">
        <v>541898</v>
      </c>
      <c r="AK97" s="431">
        <v>0</v>
      </c>
      <c r="AL97" s="431">
        <v>6732180</v>
      </c>
      <c r="AM97" s="431">
        <v>119596</v>
      </c>
    </row>
    <row r="98" spans="1:39" s="203" customFormat="1" ht="12" x14ac:dyDescent="0.2">
      <c r="A98" s="181">
        <v>44</v>
      </c>
      <c r="B98" s="199">
        <v>108874</v>
      </c>
      <c r="C98" s="187" t="s">
        <v>2235</v>
      </c>
      <c r="D98" s="446">
        <f t="shared" si="14"/>
        <v>3909978</v>
      </c>
      <c r="E98" s="431">
        <v>1183325</v>
      </c>
      <c r="F98" s="431">
        <v>159991</v>
      </c>
      <c r="G98" s="431">
        <v>283647</v>
      </c>
      <c r="H98" s="431"/>
      <c r="I98" s="431">
        <v>1637831</v>
      </c>
      <c r="J98" s="431"/>
      <c r="K98" s="431">
        <v>937500</v>
      </c>
      <c r="L98" s="431"/>
      <c r="M98" s="431">
        <v>126322</v>
      </c>
      <c r="N98" s="431">
        <v>0</v>
      </c>
      <c r="O98" s="431">
        <v>25000</v>
      </c>
      <c r="P98" s="446">
        <f t="shared" si="16"/>
        <v>3893205</v>
      </c>
      <c r="Q98" s="431">
        <v>1941110</v>
      </c>
      <c r="R98" s="431">
        <v>1620959</v>
      </c>
      <c r="S98" s="431">
        <v>0</v>
      </c>
      <c r="T98" s="431">
        <v>0</v>
      </c>
      <c r="U98" s="431">
        <v>0</v>
      </c>
      <c r="V98" s="431">
        <v>0</v>
      </c>
      <c r="W98" s="431">
        <v>0</v>
      </c>
      <c r="X98" s="431">
        <v>120572</v>
      </c>
      <c r="Y98" s="431">
        <v>0</v>
      </c>
      <c r="Z98" s="431">
        <v>210564</v>
      </c>
      <c r="AA98" s="431">
        <v>0</v>
      </c>
      <c r="AB98" s="431">
        <v>0</v>
      </c>
      <c r="AC98" s="431">
        <v>752149</v>
      </c>
      <c r="AD98" s="431">
        <v>0</v>
      </c>
      <c r="AE98" s="431">
        <v>1419167</v>
      </c>
      <c r="AF98" s="431">
        <v>9999</v>
      </c>
      <c r="AG98" s="431">
        <v>145447</v>
      </c>
      <c r="AH98" s="431">
        <v>459626</v>
      </c>
      <c r="AI98" s="431">
        <v>182088</v>
      </c>
      <c r="AJ98" s="431">
        <v>170799</v>
      </c>
      <c r="AK98" s="431">
        <v>0</v>
      </c>
      <c r="AL98" s="431">
        <v>513564</v>
      </c>
      <c r="AM98" s="431">
        <v>240366</v>
      </c>
    </row>
    <row r="99" spans="1:39" s="203" customFormat="1" ht="12" x14ac:dyDescent="0.2">
      <c r="A99" s="181">
        <v>45</v>
      </c>
      <c r="B99" s="199">
        <v>108918</v>
      </c>
      <c r="C99" s="187" t="s">
        <v>2236</v>
      </c>
      <c r="D99" s="446">
        <f t="shared" si="14"/>
        <v>3707575</v>
      </c>
      <c r="E99" s="431">
        <v>903226</v>
      </c>
      <c r="F99" s="431">
        <v>134506</v>
      </c>
      <c r="G99" s="431">
        <v>333816</v>
      </c>
      <c r="H99" s="431"/>
      <c r="I99" s="431">
        <v>1070400</v>
      </c>
      <c r="J99" s="431"/>
      <c r="K99" s="431">
        <v>947640</v>
      </c>
      <c r="L99" s="431"/>
      <c r="M99" s="431">
        <v>494206</v>
      </c>
      <c r="N99" s="431">
        <v>292103</v>
      </c>
      <c r="O99" s="431">
        <v>0</v>
      </c>
      <c r="P99" s="446">
        <f t="shared" si="16"/>
        <v>3502244</v>
      </c>
      <c r="Q99" s="431">
        <v>1319607</v>
      </c>
      <c r="R99" s="431">
        <v>912713</v>
      </c>
      <c r="S99" s="431">
        <v>0</v>
      </c>
      <c r="T99" s="431">
        <v>0</v>
      </c>
      <c r="U99" s="431">
        <v>0</v>
      </c>
      <c r="V99" s="431">
        <v>0</v>
      </c>
      <c r="W99" s="431">
        <v>542504</v>
      </c>
      <c r="X99" s="431">
        <v>64289</v>
      </c>
      <c r="Y99" s="431">
        <v>20000</v>
      </c>
      <c r="Z99" s="431">
        <v>643131</v>
      </c>
      <c r="AA99" s="431">
        <v>0</v>
      </c>
      <c r="AB99" s="431">
        <v>0</v>
      </c>
      <c r="AC99" s="431">
        <v>454760</v>
      </c>
      <c r="AD99" s="431">
        <v>5993</v>
      </c>
      <c r="AE99" s="431">
        <v>1069069</v>
      </c>
      <c r="AF99" s="431">
        <v>17240</v>
      </c>
      <c r="AG99" s="431">
        <v>250943</v>
      </c>
      <c r="AH99" s="431">
        <v>113951</v>
      </c>
      <c r="AI99" s="431">
        <v>371158</v>
      </c>
      <c r="AJ99" s="431">
        <v>89029</v>
      </c>
      <c r="AK99" s="431">
        <v>0</v>
      </c>
      <c r="AL99" s="431">
        <v>1115089</v>
      </c>
      <c r="AM99" s="431">
        <v>15012</v>
      </c>
    </row>
    <row r="100" spans="1:39" s="203" customFormat="1" ht="12" x14ac:dyDescent="0.2">
      <c r="A100" s="181">
        <v>46</v>
      </c>
      <c r="B100" s="199">
        <v>108945</v>
      </c>
      <c r="C100" s="187" t="s">
        <v>2237</v>
      </c>
      <c r="D100" s="446">
        <f t="shared" si="14"/>
        <v>3242331</v>
      </c>
      <c r="E100" s="431">
        <v>1020754</v>
      </c>
      <c r="F100" s="431">
        <v>141897</v>
      </c>
      <c r="G100" s="431">
        <v>295997</v>
      </c>
      <c r="H100" s="431"/>
      <c r="I100" s="431">
        <v>1120645</v>
      </c>
      <c r="J100" s="431"/>
      <c r="K100" s="431">
        <v>884310</v>
      </c>
      <c r="L100" s="431"/>
      <c r="M100" s="431">
        <v>58149</v>
      </c>
      <c r="N100" s="431">
        <v>98473</v>
      </c>
      <c r="O100" s="431">
        <v>60000</v>
      </c>
      <c r="P100" s="446">
        <f t="shared" si="16"/>
        <v>3305652</v>
      </c>
      <c r="Q100" s="431">
        <v>1541505</v>
      </c>
      <c r="R100" s="431">
        <v>896840</v>
      </c>
      <c r="S100" s="431">
        <v>0</v>
      </c>
      <c r="T100" s="431">
        <v>0</v>
      </c>
      <c r="U100" s="431">
        <v>0</v>
      </c>
      <c r="V100" s="431">
        <v>0</v>
      </c>
      <c r="W100" s="431">
        <v>108192</v>
      </c>
      <c r="X100" s="431">
        <v>137957</v>
      </c>
      <c r="Y100" s="431">
        <v>0</v>
      </c>
      <c r="Z100" s="431">
        <v>621158</v>
      </c>
      <c r="AA100" s="431">
        <v>0</v>
      </c>
      <c r="AB100" s="431">
        <v>0</v>
      </c>
      <c r="AC100" s="431">
        <v>626662</v>
      </c>
      <c r="AD100" s="431">
        <v>79236</v>
      </c>
      <c r="AE100" s="431">
        <v>924645</v>
      </c>
      <c r="AF100" s="431">
        <v>0</v>
      </c>
      <c r="AG100" s="431">
        <v>176047</v>
      </c>
      <c r="AH100" s="431">
        <v>423317</v>
      </c>
      <c r="AI100" s="431">
        <v>975745</v>
      </c>
      <c r="AJ100" s="431">
        <v>100000</v>
      </c>
      <c r="AK100" s="431">
        <v>0</v>
      </c>
      <c r="AL100" s="431">
        <v>0</v>
      </c>
      <c r="AM100" s="431">
        <v>0</v>
      </c>
    </row>
    <row r="101" spans="1:39" s="203" customFormat="1" ht="12" x14ac:dyDescent="0.2">
      <c r="A101" s="181">
        <v>47</v>
      </c>
      <c r="B101" s="199">
        <v>109005</v>
      </c>
      <c r="C101" s="187" t="s">
        <v>2238</v>
      </c>
      <c r="D101" s="446">
        <f t="shared" si="14"/>
        <v>6734527</v>
      </c>
      <c r="E101" s="431">
        <v>1231913</v>
      </c>
      <c r="F101" s="431">
        <v>118358</v>
      </c>
      <c r="G101" s="431">
        <v>594772</v>
      </c>
      <c r="H101" s="431"/>
      <c r="I101" s="431">
        <v>1755282</v>
      </c>
      <c r="J101" s="431"/>
      <c r="K101" s="431">
        <v>1011140</v>
      </c>
      <c r="L101" s="431"/>
      <c r="M101" s="431">
        <v>2475115</v>
      </c>
      <c r="N101" s="431">
        <v>261077</v>
      </c>
      <c r="O101" s="431">
        <v>0</v>
      </c>
      <c r="P101" s="446">
        <f t="shared" si="16"/>
        <v>7013570</v>
      </c>
      <c r="Q101" s="431">
        <v>1848638</v>
      </c>
      <c r="R101" s="431">
        <v>1843670</v>
      </c>
      <c r="S101" s="431">
        <v>1102</v>
      </c>
      <c r="T101" s="431">
        <v>0</v>
      </c>
      <c r="U101" s="431">
        <v>0</v>
      </c>
      <c r="V101" s="431">
        <v>0</v>
      </c>
      <c r="W101" s="431">
        <v>673450</v>
      </c>
      <c r="X101" s="431">
        <v>252440</v>
      </c>
      <c r="Y101" s="431">
        <v>53975</v>
      </c>
      <c r="Z101" s="431">
        <v>2340295</v>
      </c>
      <c r="AA101" s="431">
        <v>0</v>
      </c>
      <c r="AB101" s="431">
        <v>0</v>
      </c>
      <c r="AC101" s="431">
        <v>770448</v>
      </c>
      <c r="AD101" s="431">
        <v>1490</v>
      </c>
      <c r="AE101" s="431">
        <v>1828299</v>
      </c>
      <c r="AF101" s="431">
        <v>23570</v>
      </c>
      <c r="AG101" s="431">
        <v>151425</v>
      </c>
      <c r="AH101" s="431">
        <v>557604</v>
      </c>
      <c r="AI101" s="431">
        <v>248846</v>
      </c>
      <c r="AJ101" s="431">
        <v>145020</v>
      </c>
      <c r="AK101" s="431">
        <v>0</v>
      </c>
      <c r="AL101" s="431">
        <v>2613418</v>
      </c>
      <c r="AM101" s="431">
        <v>673450</v>
      </c>
    </row>
    <row r="102" spans="1:39" s="203" customFormat="1" ht="22.5" x14ac:dyDescent="0.2">
      <c r="A102" s="181">
        <v>48</v>
      </c>
      <c r="B102" s="199">
        <v>109041</v>
      </c>
      <c r="C102" s="187" t="s">
        <v>2239</v>
      </c>
      <c r="D102" s="446">
        <f t="shared" si="14"/>
        <v>5732155</v>
      </c>
      <c r="E102" s="431">
        <v>1906083</v>
      </c>
      <c r="F102" s="431">
        <v>220578</v>
      </c>
      <c r="G102" s="431">
        <v>365934</v>
      </c>
      <c r="H102" s="431"/>
      <c r="I102" s="431">
        <v>2198517</v>
      </c>
      <c r="J102" s="431"/>
      <c r="K102" s="431">
        <v>925590</v>
      </c>
      <c r="L102" s="431"/>
      <c r="M102" s="431">
        <v>628722</v>
      </c>
      <c r="N102" s="431">
        <v>73243</v>
      </c>
      <c r="O102" s="431">
        <v>0</v>
      </c>
      <c r="P102" s="446">
        <f t="shared" si="16"/>
        <v>4901284</v>
      </c>
      <c r="Q102" s="431">
        <v>2511359</v>
      </c>
      <c r="R102" s="431">
        <v>1133529</v>
      </c>
      <c r="S102" s="431">
        <v>0</v>
      </c>
      <c r="T102" s="431">
        <v>0</v>
      </c>
      <c r="U102" s="431">
        <v>0</v>
      </c>
      <c r="V102" s="431">
        <v>0</v>
      </c>
      <c r="W102" s="431">
        <v>80788</v>
      </c>
      <c r="X102" s="431">
        <v>144587</v>
      </c>
      <c r="Y102" s="431">
        <v>121000</v>
      </c>
      <c r="Z102" s="431">
        <v>911742</v>
      </c>
      <c r="AA102" s="431">
        <v>0</v>
      </c>
      <c r="AB102" s="431">
        <v>-1721</v>
      </c>
      <c r="AC102" s="431">
        <v>599054</v>
      </c>
      <c r="AD102" s="431">
        <v>3876</v>
      </c>
      <c r="AE102" s="431">
        <v>1932476</v>
      </c>
      <c r="AF102" s="431">
        <v>287</v>
      </c>
      <c r="AG102" s="431">
        <v>298622</v>
      </c>
      <c r="AH102" s="431">
        <v>454172</v>
      </c>
      <c r="AI102" s="431">
        <v>747073</v>
      </c>
      <c r="AJ102" s="431">
        <v>14226</v>
      </c>
      <c r="AK102" s="431">
        <v>0</v>
      </c>
      <c r="AL102" s="431">
        <v>764161</v>
      </c>
      <c r="AM102" s="431">
        <v>87337</v>
      </c>
    </row>
    <row r="103" spans="1:39" s="203" customFormat="1" ht="12" x14ac:dyDescent="0.2">
      <c r="A103" s="181">
        <v>49</v>
      </c>
      <c r="B103" s="199">
        <v>109096</v>
      </c>
      <c r="C103" s="187" t="s">
        <v>2240</v>
      </c>
      <c r="D103" s="446">
        <f t="shared" si="14"/>
        <v>8983595</v>
      </c>
      <c r="E103" s="431">
        <v>2039398</v>
      </c>
      <c r="F103" s="431">
        <v>302407</v>
      </c>
      <c r="G103" s="431">
        <v>953982</v>
      </c>
      <c r="H103" s="431"/>
      <c r="I103" s="431">
        <v>3624512</v>
      </c>
      <c r="J103" s="431"/>
      <c r="K103" s="431">
        <v>791130</v>
      </c>
      <c r="L103" s="431"/>
      <c r="M103" s="431">
        <v>1912033</v>
      </c>
      <c r="N103" s="431">
        <v>616522</v>
      </c>
      <c r="O103" s="431">
        <v>0</v>
      </c>
      <c r="P103" s="446">
        <f t="shared" si="16"/>
        <v>8899599</v>
      </c>
      <c r="Q103" s="431">
        <v>3939693</v>
      </c>
      <c r="R103" s="431">
        <v>1595962</v>
      </c>
      <c r="S103" s="431">
        <v>41500</v>
      </c>
      <c r="T103" s="431">
        <v>0</v>
      </c>
      <c r="U103" s="431">
        <v>0</v>
      </c>
      <c r="V103" s="431">
        <v>0</v>
      </c>
      <c r="W103" s="431">
        <v>691621</v>
      </c>
      <c r="X103" s="431">
        <v>185351</v>
      </c>
      <c r="Y103" s="431">
        <v>152000</v>
      </c>
      <c r="Z103" s="431">
        <v>1332007</v>
      </c>
      <c r="AA103" s="431">
        <v>961465</v>
      </c>
      <c r="AB103" s="431">
        <v>0</v>
      </c>
      <c r="AC103" s="431">
        <v>1094393</v>
      </c>
      <c r="AD103" s="431">
        <v>39077</v>
      </c>
      <c r="AE103" s="431">
        <v>3336491</v>
      </c>
      <c r="AF103" s="431">
        <v>40000</v>
      </c>
      <c r="AG103" s="431">
        <v>302672</v>
      </c>
      <c r="AH103" s="431">
        <v>600321</v>
      </c>
      <c r="AI103" s="431">
        <v>864101</v>
      </c>
      <c r="AJ103" s="431">
        <v>77940</v>
      </c>
      <c r="AK103" s="431">
        <v>0</v>
      </c>
      <c r="AL103" s="431">
        <v>2544604</v>
      </c>
      <c r="AM103" s="431">
        <v>0</v>
      </c>
    </row>
    <row r="104" spans="1:39" s="203" customFormat="1" ht="22.5" x14ac:dyDescent="0.2">
      <c r="A104" s="181">
        <v>50</v>
      </c>
      <c r="B104" s="199">
        <v>109354</v>
      </c>
      <c r="C104" s="187" t="s">
        <v>2241</v>
      </c>
      <c r="D104" s="446">
        <f t="shared" si="14"/>
        <v>9316963</v>
      </c>
      <c r="E104" s="431">
        <v>969403</v>
      </c>
      <c r="F104" s="431">
        <v>131338</v>
      </c>
      <c r="G104" s="431">
        <v>302943</v>
      </c>
      <c r="H104" s="431"/>
      <c r="I104" s="431">
        <v>1184500</v>
      </c>
      <c r="J104" s="431"/>
      <c r="K104" s="431">
        <v>898830</v>
      </c>
      <c r="L104" s="431"/>
      <c r="M104" s="431">
        <v>3074972</v>
      </c>
      <c r="N104" s="431">
        <v>3189258</v>
      </c>
      <c r="O104" s="431">
        <v>0</v>
      </c>
      <c r="P104" s="446">
        <f t="shared" si="16"/>
        <v>13679660</v>
      </c>
      <c r="Q104" s="431">
        <v>1484535</v>
      </c>
      <c r="R104" s="431">
        <v>892858</v>
      </c>
      <c r="S104" s="431">
        <v>11000</v>
      </c>
      <c r="T104" s="431">
        <v>0</v>
      </c>
      <c r="U104" s="431">
        <v>0</v>
      </c>
      <c r="V104" s="431">
        <v>0</v>
      </c>
      <c r="W104" s="431">
        <v>9559413</v>
      </c>
      <c r="X104" s="431">
        <v>125358</v>
      </c>
      <c r="Y104" s="431">
        <v>12000</v>
      </c>
      <c r="Z104" s="431">
        <v>1588614</v>
      </c>
      <c r="AA104" s="431">
        <v>8000</v>
      </c>
      <c r="AB104" s="431">
        <v>-2118</v>
      </c>
      <c r="AC104" s="431">
        <v>808255</v>
      </c>
      <c r="AD104" s="431">
        <v>3285</v>
      </c>
      <c r="AE104" s="431">
        <v>983280</v>
      </c>
      <c r="AF104" s="431">
        <v>0</v>
      </c>
      <c r="AG104" s="431">
        <v>88621</v>
      </c>
      <c r="AH104" s="431">
        <v>306353</v>
      </c>
      <c r="AI104" s="431">
        <v>600211</v>
      </c>
      <c r="AJ104" s="431">
        <v>86496</v>
      </c>
      <c r="AK104" s="431">
        <v>0</v>
      </c>
      <c r="AL104" s="431">
        <v>10803159</v>
      </c>
      <c r="AM104" s="431">
        <v>0</v>
      </c>
    </row>
    <row r="105" spans="1:39" s="203" customFormat="1" ht="12" x14ac:dyDescent="0.2">
      <c r="A105" s="181">
        <v>51</v>
      </c>
      <c r="B105" s="199">
        <v>109425</v>
      </c>
      <c r="C105" s="187" t="s">
        <v>2242</v>
      </c>
      <c r="D105" s="446">
        <f t="shared" si="14"/>
        <v>2987592</v>
      </c>
      <c r="E105" s="431">
        <v>658790</v>
      </c>
      <c r="F105" s="431">
        <v>54339</v>
      </c>
      <c r="G105" s="431">
        <v>373373</v>
      </c>
      <c r="H105" s="431"/>
      <c r="I105" s="431">
        <v>1060002</v>
      </c>
      <c r="J105" s="431"/>
      <c r="K105" s="431">
        <v>1028460</v>
      </c>
      <c r="L105" s="431"/>
      <c r="M105" s="431">
        <v>106795</v>
      </c>
      <c r="N105" s="431">
        <v>87741</v>
      </c>
      <c r="O105" s="431">
        <v>45804</v>
      </c>
      <c r="P105" s="446">
        <f t="shared" si="16"/>
        <v>3205329</v>
      </c>
      <c r="Q105" s="431">
        <v>1406832</v>
      </c>
      <c r="R105" s="431">
        <v>1179019</v>
      </c>
      <c r="S105" s="431">
        <v>0</v>
      </c>
      <c r="T105" s="431">
        <v>0</v>
      </c>
      <c r="U105" s="431">
        <v>0</v>
      </c>
      <c r="V105" s="431">
        <v>0</v>
      </c>
      <c r="W105" s="431">
        <v>0</v>
      </c>
      <c r="X105" s="431">
        <v>40230</v>
      </c>
      <c r="Y105" s="431">
        <v>0</v>
      </c>
      <c r="Z105" s="431">
        <v>579248</v>
      </c>
      <c r="AA105" s="431">
        <v>0</v>
      </c>
      <c r="AB105" s="431">
        <v>0</v>
      </c>
      <c r="AC105" s="431">
        <v>1118025</v>
      </c>
      <c r="AD105" s="431">
        <v>0</v>
      </c>
      <c r="AE105" s="431">
        <v>943037</v>
      </c>
      <c r="AF105" s="431">
        <v>21930</v>
      </c>
      <c r="AG105" s="431">
        <v>113751</v>
      </c>
      <c r="AH105" s="431">
        <v>235653</v>
      </c>
      <c r="AI105" s="431">
        <v>409199</v>
      </c>
      <c r="AJ105" s="431">
        <v>62783</v>
      </c>
      <c r="AK105" s="431">
        <v>0</v>
      </c>
      <c r="AL105" s="431">
        <v>255147</v>
      </c>
      <c r="AM105" s="431">
        <v>45804</v>
      </c>
    </row>
    <row r="106" spans="1:39" s="203" customFormat="1" ht="22.5" x14ac:dyDescent="0.2">
      <c r="A106" s="181">
        <v>52</v>
      </c>
      <c r="B106" s="199">
        <v>109504</v>
      </c>
      <c r="C106" s="187" t="s">
        <v>2243</v>
      </c>
      <c r="D106" s="446">
        <f t="shared" si="14"/>
        <v>8185699</v>
      </c>
      <c r="E106" s="431">
        <v>1577547</v>
      </c>
      <c r="F106" s="431">
        <v>335909</v>
      </c>
      <c r="G106" s="431">
        <v>657406</v>
      </c>
      <c r="H106" s="431"/>
      <c r="I106" s="431">
        <v>2960000</v>
      </c>
      <c r="J106" s="431"/>
      <c r="K106" s="431">
        <v>934020</v>
      </c>
      <c r="L106" s="431"/>
      <c r="M106" s="431">
        <v>714132</v>
      </c>
      <c r="N106" s="431">
        <v>0</v>
      </c>
      <c r="O106" s="431">
        <v>2000000</v>
      </c>
      <c r="P106" s="446">
        <f t="shared" si="16"/>
        <v>8185699</v>
      </c>
      <c r="Q106" s="431">
        <v>3372484</v>
      </c>
      <c r="R106" s="431">
        <v>1478054</v>
      </c>
      <c r="S106" s="431">
        <v>0</v>
      </c>
      <c r="T106" s="431">
        <v>0</v>
      </c>
      <c r="U106" s="431">
        <v>0</v>
      </c>
      <c r="V106" s="431">
        <v>0</v>
      </c>
      <c r="W106" s="431">
        <v>0</v>
      </c>
      <c r="X106" s="431">
        <v>53320</v>
      </c>
      <c r="Y106" s="431">
        <v>0</v>
      </c>
      <c r="Z106" s="431">
        <v>3026499</v>
      </c>
      <c r="AA106" s="431">
        <v>255342</v>
      </c>
      <c r="AB106" s="431">
        <v>0</v>
      </c>
      <c r="AC106" s="431">
        <v>1317638</v>
      </c>
      <c r="AD106" s="431">
        <v>0</v>
      </c>
      <c r="AE106" s="431">
        <v>2408000</v>
      </c>
      <c r="AF106" s="431">
        <v>0</v>
      </c>
      <c r="AG106" s="431">
        <v>1467</v>
      </c>
      <c r="AH106" s="431">
        <v>642203</v>
      </c>
      <c r="AI106" s="431">
        <v>2576252</v>
      </c>
      <c r="AJ106" s="431">
        <v>132674</v>
      </c>
      <c r="AK106" s="431">
        <v>0</v>
      </c>
      <c r="AL106" s="431">
        <v>1007465</v>
      </c>
      <c r="AM106" s="431">
        <v>100000</v>
      </c>
    </row>
    <row r="107" spans="1:39" s="203" customFormat="1" ht="12" x14ac:dyDescent="0.2">
      <c r="A107" s="181">
        <v>53</v>
      </c>
      <c r="B107" s="199">
        <v>106363</v>
      </c>
      <c r="C107" s="187" t="s">
        <v>2244</v>
      </c>
      <c r="D107" s="446">
        <f t="shared" si="14"/>
        <v>4243476</v>
      </c>
      <c r="E107" s="431">
        <v>1886932</v>
      </c>
      <c r="F107" s="431">
        <v>312403</v>
      </c>
      <c r="G107" s="431">
        <v>207217</v>
      </c>
      <c r="H107" s="431"/>
      <c r="I107" s="431">
        <v>960185</v>
      </c>
      <c r="J107" s="431"/>
      <c r="K107" s="431">
        <v>489620</v>
      </c>
      <c r="L107" s="431"/>
      <c r="M107" s="431">
        <v>667033</v>
      </c>
      <c r="N107" s="431">
        <v>228706</v>
      </c>
      <c r="O107" s="431">
        <v>11000</v>
      </c>
      <c r="P107" s="446">
        <f t="shared" si="16"/>
        <v>3652047</v>
      </c>
      <c r="Q107" s="431">
        <v>1383524</v>
      </c>
      <c r="R107" s="431">
        <v>792775</v>
      </c>
      <c r="S107" s="431">
        <v>0</v>
      </c>
      <c r="T107" s="431">
        <v>0</v>
      </c>
      <c r="U107" s="431">
        <v>0</v>
      </c>
      <c r="V107" s="431">
        <v>0</v>
      </c>
      <c r="W107" s="431">
        <v>408312</v>
      </c>
      <c r="X107" s="431">
        <v>76654</v>
      </c>
      <c r="Y107" s="431">
        <v>27500</v>
      </c>
      <c r="Z107" s="431">
        <v>963282</v>
      </c>
      <c r="AA107" s="431">
        <v>0</v>
      </c>
      <c r="AB107" s="431">
        <v>0</v>
      </c>
      <c r="AC107" s="431">
        <v>668077</v>
      </c>
      <c r="AD107" s="431">
        <v>15733</v>
      </c>
      <c r="AE107" s="431">
        <v>1343780</v>
      </c>
      <c r="AF107" s="431">
        <v>326</v>
      </c>
      <c r="AG107" s="431">
        <v>121308</v>
      </c>
      <c r="AH107" s="431">
        <v>233844</v>
      </c>
      <c r="AI107" s="431">
        <v>343715</v>
      </c>
      <c r="AJ107" s="431">
        <v>138527</v>
      </c>
      <c r="AK107" s="431">
        <v>0</v>
      </c>
      <c r="AL107" s="431">
        <v>753237</v>
      </c>
      <c r="AM107" s="431">
        <v>33500</v>
      </c>
    </row>
    <row r="108" spans="1:39" s="203" customFormat="1" ht="12" x14ac:dyDescent="0.2">
      <c r="A108" s="181">
        <v>54</v>
      </c>
      <c r="B108" s="199">
        <v>106407</v>
      </c>
      <c r="C108" s="187" t="s">
        <v>2245</v>
      </c>
      <c r="D108" s="446">
        <f t="shared" si="14"/>
        <v>8355121</v>
      </c>
      <c r="E108" s="431">
        <v>4776850</v>
      </c>
      <c r="F108" s="431">
        <v>1982318</v>
      </c>
      <c r="G108" s="431">
        <v>0</v>
      </c>
      <c r="H108" s="431"/>
      <c r="I108" s="431">
        <v>2248075</v>
      </c>
      <c r="J108" s="431"/>
      <c r="K108" s="431">
        <v>416690</v>
      </c>
      <c r="L108" s="431"/>
      <c r="M108" s="431">
        <v>749642</v>
      </c>
      <c r="N108" s="431">
        <v>154483</v>
      </c>
      <c r="O108" s="431">
        <v>9381</v>
      </c>
      <c r="P108" s="446">
        <f t="shared" si="16"/>
        <v>8587036</v>
      </c>
      <c r="Q108" s="431">
        <v>3024198</v>
      </c>
      <c r="R108" s="431">
        <v>2406014</v>
      </c>
      <c r="S108" s="431">
        <v>30710</v>
      </c>
      <c r="T108" s="431">
        <v>0</v>
      </c>
      <c r="U108" s="431">
        <v>0</v>
      </c>
      <c r="V108" s="431">
        <v>0</v>
      </c>
      <c r="W108" s="431">
        <v>0</v>
      </c>
      <c r="X108" s="431">
        <v>148408</v>
      </c>
      <c r="Y108" s="431">
        <v>529979</v>
      </c>
      <c r="Z108" s="431">
        <v>2257727</v>
      </c>
      <c r="AA108" s="431">
        <v>190000</v>
      </c>
      <c r="AB108" s="431">
        <v>0</v>
      </c>
      <c r="AC108" s="431">
        <v>1777966</v>
      </c>
      <c r="AD108" s="431">
        <v>161776</v>
      </c>
      <c r="AE108" s="431">
        <v>2348833</v>
      </c>
      <c r="AF108" s="431">
        <v>0</v>
      </c>
      <c r="AG108" s="431">
        <v>1439426</v>
      </c>
      <c r="AH108" s="431">
        <v>542789</v>
      </c>
      <c r="AI108" s="431">
        <v>585972</v>
      </c>
      <c r="AJ108" s="431">
        <v>1132612</v>
      </c>
      <c r="AK108" s="431">
        <v>0</v>
      </c>
      <c r="AL108" s="431">
        <v>597662</v>
      </c>
      <c r="AM108" s="431">
        <v>0</v>
      </c>
    </row>
    <row r="109" spans="1:39" s="203" customFormat="1" ht="12" x14ac:dyDescent="0.2">
      <c r="A109" s="181">
        <v>55</v>
      </c>
      <c r="B109" s="199">
        <v>106620</v>
      </c>
      <c r="C109" s="187" t="s">
        <v>2246</v>
      </c>
      <c r="D109" s="446">
        <f t="shared" si="14"/>
        <v>7713610</v>
      </c>
      <c r="E109" s="431">
        <v>1275678</v>
      </c>
      <c r="F109" s="431">
        <v>395126</v>
      </c>
      <c r="G109" s="431">
        <v>225760</v>
      </c>
      <c r="H109" s="431"/>
      <c r="I109" s="431">
        <v>1293286</v>
      </c>
      <c r="J109" s="431"/>
      <c r="K109" s="431">
        <v>1679150</v>
      </c>
      <c r="L109" s="431"/>
      <c r="M109" s="431">
        <v>1638443</v>
      </c>
      <c r="N109" s="431">
        <v>1674599</v>
      </c>
      <c r="O109" s="431">
        <v>152454</v>
      </c>
      <c r="P109" s="446">
        <f t="shared" si="16"/>
        <v>7520096</v>
      </c>
      <c r="Q109" s="431">
        <v>1611309</v>
      </c>
      <c r="R109" s="431">
        <v>798214</v>
      </c>
      <c r="S109" s="431">
        <v>0</v>
      </c>
      <c r="T109" s="431">
        <v>0</v>
      </c>
      <c r="U109" s="431">
        <v>0</v>
      </c>
      <c r="V109" s="431">
        <v>0</v>
      </c>
      <c r="W109" s="431">
        <v>3602825</v>
      </c>
      <c r="X109" s="431">
        <v>54516</v>
      </c>
      <c r="Y109" s="431">
        <v>34999</v>
      </c>
      <c r="Z109" s="431">
        <v>1418233</v>
      </c>
      <c r="AA109" s="431">
        <v>0</v>
      </c>
      <c r="AB109" s="431">
        <v>0</v>
      </c>
      <c r="AC109" s="431">
        <v>1206370</v>
      </c>
      <c r="AD109" s="431">
        <v>8850</v>
      </c>
      <c r="AE109" s="431">
        <v>1225285</v>
      </c>
      <c r="AF109" s="431">
        <v>0</v>
      </c>
      <c r="AG109" s="431">
        <v>111453</v>
      </c>
      <c r="AH109" s="431">
        <v>246709</v>
      </c>
      <c r="AI109" s="431">
        <v>744392</v>
      </c>
      <c r="AJ109" s="431">
        <v>341952</v>
      </c>
      <c r="AK109" s="431">
        <v>0</v>
      </c>
      <c r="AL109" s="431">
        <v>3092472</v>
      </c>
      <c r="AM109" s="431">
        <v>542613</v>
      </c>
    </row>
    <row r="110" spans="1:39" s="203" customFormat="1" ht="12" x14ac:dyDescent="0.2">
      <c r="A110" s="181">
        <v>56</v>
      </c>
      <c r="B110" s="199">
        <v>106648</v>
      </c>
      <c r="C110" s="187" t="s">
        <v>2247</v>
      </c>
      <c r="D110" s="446">
        <f t="shared" si="14"/>
        <v>6164606</v>
      </c>
      <c r="E110" s="431">
        <v>898136</v>
      </c>
      <c r="F110" s="431">
        <v>226603</v>
      </c>
      <c r="G110" s="431">
        <v>325133</v>
      </c>
      <c r="H110" s="431"/>
      <c r="I110" s="431">
        <v>1946582</v>
      </c>
      <c r="J110" s="431"/>
      <c r="K110" s="431">
        <v>1052150</v>
      </c>
      <c r="L110" s="431"/>
      <c r="M110" s="431">
        <v>1859400</v>
      </c>
      <c r="N110" s="431">
        <v>408338</v>
      </c>
      <c r="O110" s="431">
        <v>0</v>
      </c>
      <c r="P110" s="446">
        <f t="shared" si="16"/>
        <v>6078368</v>
      </c>
      <c r="Q110" s="431">
        <v>2467696</v>
      </c>
      <c r="R110" s="431">
        <v>1051063</v>
      </c>
      <c r="S110" s="431">
        <v>0</v>
      </c>
      <c r="T110" s="431">
        <v>0</v>
      </c>
      <c r="U110" s="431">
        <v>150350</v>
      </c>
      <c r="V110" s="431">
        <v>0</v>
      </c>
      <c r="W110" s="431">
        <v>646313</v>
      </c>
      <c r="X110" s="431">
        <v>64150</v>
      </c>
      <c r="Y110" s="431">
        <v>7149</v>
      </c>
      <c r="Z110" s="431">
        <v>1691647</v>
      </c>
      <c r="AA110" s="431">
        <v>0</v>
      </c>
      <c r="AB110" s="431">
        <v>0</v>
      </c>
      <c r="AC110" s="431">
        <v>958496</v>
      </c>
      <c r="AD110" s="431">
        <v>27813</v>
      </c>
      <c r="AE110" s="431">
        <v>1874731</v>
      </c>
      <c r="AF110" s="431">
        <v>8400</v>
      </c>
      <c r="AG110" s="431">
        <v>740216</v>
      </c>
      <c r="AH110" s="431">
        <v>236626</v>
      </c>
      <c r="AI110" s="431">
        <v>118350</v>
      </c>
      <c r="AJ110" s="431">
        <v>609738</v>
      </c>
      <c r="AK110" s="431">
        <v>0</v>
      </c>
      <c r="AL110" s="431">
        <v>1503998</v>
      </c>
      <c r="AM110" s="431">
        <v>0</v>
      </c>
    </row>
    <row r="111" spans="1:39" s="203" customFormat="1" ht="22.5" x14ac:dyDescent="0.2">
      <c r="A111" s="181">
        <v>57</v>
      </c>
      <c r="B111" s="199">
        <v>179604</v>
      </c>
      <c r="C111" s="187" t="s">
        <v>2248</v>
      </c>
      <c r="D111" s="446">
        <f t="shared" si="14"/>
        <v>2161568</v>
      </c>
      <c r="E111" s="431">
        <v>627806</v>
      </c>
      <c r="F111" s="431">
        <v>44787</v>
      </c>
      <c r="G111" s="431">
        <v>406176</v>
      </c>
      <c r="H111" s="431"/>
      <c r="I111" s="431">
        <v>494080</v>
      </c>
      <c r="J111" s="431"/>
      <c r="K111" s="431">
        <v>998060</v>
      </c>
      <c r="L111" s="431"/>
      <c r="M111" s="431">
        <v>41622</v>
      </c>
      <c r="N111" s="431">
        <v>0</v>
      </c>
      <c r="O111" s="431">
        <v>0</v>
      </c>
      <c r="P111" s="446">
        <f t="shared" si="16"/>
        <v>1817888</v>
      </c>
      <c r="Q111" s="431">
        <v>792880</v>
      </c>
      <c r="R111" s="431">
        <v>815926</v>
      </c>
      <c r="S111" s="431">
        <v>0</v>
      </c>
      <c r="T111" s="431">
        <v>0</v>
      </c>
      <c r="U111" s="431">
        <v>0</v>
      </c>
      <c r="V111" s="431">
        <v>0</v>
      </c>
      <c r="W111" s="431">
        <v>0</v>
      </c>
      <c r="X111" s="431">
        <v>34082</v>
      </c>
      <c r="Y111" s="431">
        <v>25000</v>
      </c>
      <c r="Z111" s="431">
        <v>150000</v>
      </c>
      <c r="AA111" s="431">
        <v>0</v>
      </c>
      <c r="AB111" s="431">
        <v>0</v>
      </c>
      <c r="AC111" s="431">
        <v>430474</v>
      </c>
      <c r="AD111" s="431">
        <v>375</v>
      </c>
      <c r="AE111" s="431">
        <v>441244</v>
      </c>
      <c r="AF111" s="431">
        <v>23494</v>
      </c>
      <c r="AG111" s="431">
        <v>78074</v>
      </c>
      <c r="AH111" s="431">
        <v>142785</v>
      </c>
      <c r="AI111" s="431">
        <v>215136</v>
      </c>
      <c r="AJ111" s="431">
        <v>29819</v>
      </c>
      <c r="AK111" s="431">
        <v>0</v>
      </c>
      <c r="AL111" s="431">
        <v>438910</v>
      </c>
      <c r="AM111" s="431">
        <v>17577</v>
      </c>
    </row>
    <row r="112" spans="1:39" s="203" customFormat="1" ht="12" x14ac:dyDescent="0.2">
      <c r="A112" s="181">
        <v>58</v>
      </c>
      <c r="B112" s="199">
        <v>179613</v>
      </c>
      <c r="C112" s="187" t="s">
        <v>2249</v>
      </c>
      <c r="D112" s="446">
        <f t="shared" si="14"/>
        <v>3505278</v>
      </c>
      <c r="E112" s="431">
        <v>694415</v>
      </c>
      <c r="F112" s="431">
        <v>111539</v>
      </c>
      <c r="G112" s="431">
        <v>305838</v>
      </c>
      <c r="H112" s="431"/>
      <c r="I112" s="431">
        <v>1129510</v>
      </c>
      <c r="J112" s="431"/>
      <c r="K112" s="431">
        <v>918770</v>
      </c>
      <c r="L112" s="431"/>
      <c r="M112" s="431">
        <v>762583</v>
      </c>
      <c r="N112" s="431">
        <v>0</v>
      </c>
      <c r="O112" s="431">
        <v>0</v>
      </c>
      <c r="P112" s="446">
        <f t="shared" si="16"/>
        <v>3410572</v>
      </c>
      <c r="Q112" s="431">
        <v>1375362</v>
      </c>
      <c r="R112" s="431">
        <v>560691</v>
      </c>
      <c r="S112" s="431">
        <v>0</v>
      </c>
      <c r="T112" s="431">
        <v>0</v>
      </c>
      <c r="U112" s="431">
        <v>0</v>
      </c>
      <c r="V112" s="431">
        <v>0</v>
      </c>
      <c r="W112" s="431">
        <v>0</v>
      </c>
      <c r="X112" s="431">
        <v>79278</v>
      </c>
      <c r="Y112" s="431">
        <v>22000</v>
      </c>
      <c r="Z112" s="431">
        <v>1373919</v>
      </c>
      <c r="AA112" s="431">
        <v>0</v>
      </c>
      <c r="AB112" s="431">
        <v>-678</v>
      </c>
      <c r="AC112" s="431">
        <v>836840</v>
      </c>
      <c r="AD112" s="431">
        <v>0</v>
      </c>
      <c r="AE112" s="431">
        <v>898350</v>
      </c>
      <c r="AF112" s="431">
        <v>0</v>
      </c>
      <c r="AG112" s="431">
        <v>145925</v>
      </c>
      <c r="AH112" s="431">
        <v>352297</v>
      </c>
      <c r="AI112" s="431">
        <v>271540</v>
      </c>
      <c r="AJ112" s="431">
        <v>799394</v>
      </c>
      <c r="AK112" s="431">
        <v>0</v>
      </c>
      <c r="AL112" s="431">
        <v>91299</v>
      </c>
      <c r="AM112" s="431">
        <v>14927</v>
      </c>
    </row>
    <row r="113" spans="1:39" s="203" customFormat="1" ht="22.5" x14ac:dyDescent="0.2">
      <c r="A113" s="181">
        <v>59</v>
      </c>
      <c r="B113" s="199">
        <v>179622</v>
      </c>
      <c r="C113" s="187" t="s">
        <v>2250</v>
      </c>
      <c r="D113" s="446">
        <f t="shared" si="14"/>
        <v>6763204</v>
      </c>
      <c r="E113" s="431">
        <v>825370</v>
      </c>
      <c r="F113" s="431">
        <v>183965</v>
      </c>
      <c r="G113" s="431">
        <v>331887</v>
      </c>
      <c r="H113" s="431"/>
      <c r="I113" s="431">
        <v>1103717</v>
      </c>
      <c r="J113" s="431"/>
      <c r="K113" s="431">
        <v>976100</v>
      </c>
      <c r="L113" s="431"/>
      <c r="M113" s="431">
        <v>3604297</v>
      </c>
      <c r="N113" s="431">
        <v>238720</v>
      </c>
      <c r="O113" s="431">
        <v>15000</v>
      </c>
      <c r="P113" s="446">
        <f t="shared" si="16"/>
        <v>6238934</v>
      </c>
      <c r="Q113" s="431">
        <v>1461880</v>
      </c>
      <c r="R113" s="431">
        <v>547131</v>
      </c>
      <c r="S113" s="431">
        <v>44150</v>
      </c>
      <c r="T113" s="431">
        <v>0</v>
      </c>
      <c r="U113" s="431">
        <v>0</v>
      </c>
      <c r="V113" s="431">
        <v>0</v>
      </c>
      <c r="W113" s="431">
        <v>608683</v>
      </c>
      <c r="X113" s="431">
        <v>98892</v>
      </c>
      <c r="Y113" s="431">
        <v>6000</v>
      </c>
      <c r="Z113" s="431">
        <v>2908363</v>
      </c>
      <c r="AA113" s="431">
        <v>563835</v>
      </c>
      <c r="AB113" s="431">
        <v>0</v>
      </c>
      <c r="AC113" s="431">
        <v>928733</v>
      </c>
      <c r="AD113" s="431">
        <v>19600</v>
      </c>
      <c r="AE113" s="431">
        <v>1036216</v>
      </c>
      <c r="AF113" s="431">
        <v>112619</v>
      </c>
      <c r="AG113" s="431">
        <v>125891</v>
      </c>
      <c r="AH113" s="431">
        <v>467821</v>
      </c>
      <c r="AI113" s="431">
        <v>130988</v>
      </c>
      <c r="AJ113" s="431">
        <v>679336</v>
      </c>
      <c r="AK113" s="431">
        <v>0</v>
      </c>
      <c r="AL113" s="431">
        <v>2676160</v>
      </c>
      <c r="AM113" s="431">
        <v>61570</v>
      </c>
    </row>
    <row r="114" spans="1:39" s="203" customFormat="1" ht="12" x14ac:dyDescent="0.2">
      <c r="A114" s="181">
        <v>60</v>
      </c>
      <c r="B114" s="199">
        <v>179837</v>
      </c>
      <c r="C114" s="187" t="s">
        <v>2251</v>
      </c>
      <c r="D114" s="446">
        <f t="shared" si="14"/>
        <v>4189785</v>
      </c>
      <c r="E114" s="431">
        <v>823691</v>
      </c>
      <c r="F114" s="431">
        <v>79059</v>
      </c>
      <c r="G114" s="431">
        <v>326098</v>
      </c>
      <c r="H114" s="431"/>
      <c r="I114" s="431">
        <v>1008000</v>
      </c>
      <c r="J114" s="431"/>
      <c r="K114" s="431">
        <v>985440</v>
      </c>
      <c r="L114" s="431"/>
      <c r="M114" s="431">
        <v>1367858</v>
      </c>
      <c r="N114" s="431">
        <v>0</v>
      </c>
      <c r="O114" s="431">
        <v>4796</v>
      </c>
      <c r="P114" s="446">
        <f t="shared" si="16"/>
        <v>4480782</v>
      </c>
      <c r="Q114" s="431">
        <v>1283065</v>
      </c>
      <c r="R114" s="431">
        <v>1131672</v>
      </c>
      <c r="S114" s="431">
        <v>0</v>
      </c>
      <c r="T114" s="431">
        <v>0</v>
      </c>
      <c r="U114" s="431">
        <v>0</v>
      </c>
      <c r="V114" s="431">
        <v>0</v>
      </c>
      <c r="W114" s="431">
        <v>0</v>
      </c>
      <c r="X114" s="431">
        <v>33942</v>
      </c>
      <c r="Y114" s="431">
        <v>98700</v>
      </c>
      <c r="Z114" s="431">
        <v>1933403</v>
      </c>
      <c r="AA114" s="431">
        <v>0</v>
      </c>
      <c r="AB114" s="431">
        <v>0</v>
      </c>
      <c r="AC114" s="431">
        <v>507474</v>
      </c>
      <c r="AD114" s="431">
        <v>922</v>
      </c>
      <c r="AE114" s="431">
        <v>1016081</v>
      </c>
      <c r="AF114" s="431">
        <v>0</v>
      </c>
      <c r="AG114" s="431">
        <v>519002</v>
      </c>
      <c r="AH114" s="431">
        <v>63277</v>
      </c>
      <c r="AI114" s="431">
        <v>166211</v>
      </c>
      <c r="AJ114" s="431">
        <v>102938</v>
      </c>
      <c r="AK114" s="431">
        <v>0</v>
      </c>
      <c r="AL114" s="431">
        <v>2006974</v>
      </c>
      <c r="AM114" s="431">
        <v>97903</v>
      </c>
    </row>
    <row r="115" spans="1:39" s="203" customFormat="1" ht="12" x14ac:dyDescent="0.2">
      <c r="A115" s="181">
        <v>61</v>
      </c>
      <c r="B115" s="199">
        <v>179846</v>
      </c>
      <c r="C115" s="187" t="s">
        <v>2252</v>
      </c>
      <c r="D115" s="446">
        <f t="shared" si="14"/>
        <v>6273262</v>
      </c>
      <c r="E115" s="431">
        <v>2932854</v>
      </c>
      <c r="F115" s="431">
        <v>152735</v>
      </c>
      <c r="G115" s="431">
        <v>309697</v>
      </c>
      <c r="H115" s="431"/>
      <c r="I115" s="431">
        <v>1907475</v>
      </c>
      <c r="J115" s="431"/>
      <c r="K115" s="431">
        <v>922830</v>
      </c>
      <c r="L115" s="431"/>
      <c r="M115" s="431">
        <v>118019</v>
      </c>
      <c r="N115" s="431">
        <v>391946</v>
      </c>
      <c r="O115" s="431">
        <v>138</v>
      </c>
      <c r="P115" s="446">
        <f t="shared" si="16"/>
        <v>6023554</v>
      </c>
      <c r="Q115" s="431">
        <v>2092921</v>
      </c>
      <c r="R115" s="431">
        <v>759455</v>
      </c>
      <c r="S115" s="431">
        <v>0</v>
      </c>
      <c r="T115" s="431">
        <v>0</v>
      </c>
      <c r="U115" s="431">
        <v>0</v>
      </c>
      <c r="V115" s="431">
        <v>0</v>
      </c>
      <c r="W115" s="431">
        <v>2818641</v>
      </c>
      <c r="X115" s="431">
        <v>200213</v>
      </c>
      <c r="Y115" s="431">
        <v>40000</v>
      </c>
      <c r="Z115" s="431">
        <v>122812</v>
      </c>
      <c r="AA115" s="431">
        <v>0</v>
      </c>
      <c r="AB115" s="431">
        <v>-10488</v>
      </c>
      <c r="AC115" s="431">
        <v>508927</v>
      </c>
      <c r="AD115" s="431">
        <v>20761</v>
      </c>
      <c r="AE115" s="431">
        <v>1543915</v>
      </c>
      <c r="AF115" s="431">
        <v>17642</v>
      </c>
      <c r="AG115" s="431">
        <v>738093</v>
      </c>
      <c r="AH115" s="431">
        <v>2703834</v>
      </c>
      <c r="AI115" s="431">
        <v>310830</v>
      </c>
      <c r="AJ115" s="431">
        <v>46987</v>
      </c>
      <c r="AK115" s="431">
        <v>0</v>
      </c>
      <c r="AL115" s="431">
        <v>131198</v>
      </c>
      <c r="AM115" s="431">
        <v>1367</v>
      </c>
    </row>
    <row r="116" spans="1:39" s="203" customFormat="1" ht="12" x14ac:dyDescent="0.2">
      <c r="A116" s="181">
        <v>62</v>
      </c>
      <c r="B116" s="199">
        <v>179855</v>
      </c>
      <c r="C116" s="187" t="s">
        <v>2253</v>
      </c>
      <c r="D116" s="446">
        <f t="shared" si="14"/>
        <v>2839050</v>
      </c>
      <c r="E116" s="431">
        <v>798030</v>
      </c>
      <c r="F116" s="431">
        <v>96290</v>
      </c>
      <c r="G116" s="431">
        <v>385915</v>
      </c>
      <c r="H116" s="431"/>
      <c r="I116" s="431">
        <v>651733</v>
      </c>
      <c r="J116" s="431"/>
      <c r="K116" s="431">
        <v>1023570</v>
      </c>
      <c r="L116" s="431"/>
      <c r="M116" s="431">
        <v>79697</v>
      </c>
      <c r="N116" s="431">
        <v>286020</v>
      </c>
      <c r="O116" s="431">
        <v>0</v>
      </c>
      <c r="P116" s="446">
        <f t="shared" si="16"/>
        <v>2356129</v>
      </c>
      <c r="Q116" s="431">
        <v>913437</v>
      </c>
      <c r="R116" s="431">
        <v>477840</v>
      </c>
      <c r="S116" s="431">
        <v>0</v>
      </c>
      <c r="T116" s="431">
        <v>0</v>
      </c>
      <c r="U116" s="431">
        <v>0</v>
      </c>
      <c r="V116" s="431">
        <v>0</v>
      </c>
      <c r="W116" s="431">
        <v>350776</v>
      </c>
      <c r="X116" s="431">
        <v>34057</v>
      </c>
      <c r="Y116" s="431">
        <v>15000</v>
      </c>
      <c r="Z116" s="431">
        <v>565019</v>
      </c>
      <c r="AA116" s="431">
        <v>0</v>
      </c>
      <c r="AB116" s="431">
        <v>0</v>
      </c>
      <c r="AC116" s="431">
        <v>453286</v>
      </c>
      <c r="AD116" s="431">
        <v>2418</v>
      </c>
      <c r="AE116" s="431">
        <v>613745</v>
      </c>
      <c r="AF116" s="431">
        <v>5183</v>
      </c>
      <c r="AG116" s="431">
        <v>412863</v>
      </c>
      <c r="AH116" s="431">
        <v>75593</v>
      </c>
      <c r="AI116" s="431">
        <v>413522</v>
      </c>
      <c r="AJ116" s="431">
        <v>299778</v>
      </c>
      <c r="AK116" s="431">
        <v>0</v>
      </c>
      <c r="AL116" s="431">
        <v>79741</v>
      </c>
      <c r="AM116" s="431">
        <v>0</v>
      </c>
    </row>
    <row r="117" spans="1:39" s="203" customFormat="1" ht="12" x14ac:dyDescent="0.2">
      <c r="A117" s="181">
        <v>63</v>
      </c>
      <c r="B117" s="199">
        <v>179864</v>
      </c>
      <c r="C117" s="187" t="s">
        <v>2254</v>
      </c>
      <c r="D117" s="446">
        <f t="shared" si="14"/>
        <v>3099344</v>
      </c>
      <c r="E117" s="431">
        <v>736197</v>
      </c>
      <c r="F117" s="431">
        <v>154328</v>
      </c>
      <c r="G117" s="431">
        <v>339605</v>
      </c>
      <c r="H117" s="431"/>
      <c r="I117" s="431">
        <v>752495</v>
      </c>
      <c r="J117" s="431"/>
      <c r="K117" s="431">
        <v>953920</v>
      </c>
      <c r="L117" s="431"/>
      <c r="M117" s="431">
        <v>170837</v>
      </c>
      <c r="N117" s="431">
        <v>485895</v>
      </c>
      <c r="O117" s="431">
        <v>0</v>
      </c>
      <c r="P117" s="446">
        <f t="shared" si="16"/>
        <v>2668645</v>
      </c>
      <c r="Q117" s="431">
        <v>1005910</v>
      </c>
      <c r="R117" s="431">
        <v>703854</v>
      </c>
      <c r="S117" s="431">
        <v>0</v>
      </c>
      <c r="T117" s="431">
        <v>0</v>
      </c>
      <c r="U117" s="431">
        <v>0</v>
      </c>
      <c r="V117" s="431">
        <v>14000</v>
      </c>
      <c r="W117" s="431">
        <v>680510</v>
      </c>
      <c r="X117" s="431">
        <v>190971</v>
      </c>
      <c r="Y117" s="431">
        <v>0</v>
      </c>
      <c r="Z117" s="431">
        <v>73400</v>
      </c>
      <c r="AA117" s="431">
        <v>0</v>
      </c>
      <c r="AB117" s="431">
        <v>0</v>
      </c>
      <c r="AC117" s="431">
        <v>1283201</v>
      </c>
      <c r="AD117" s="431">
        <v>7000</v>
      </c>
      <c r="AE117" s="431">
        <v>619495</v>
      </c>
      <c r="AF117" s="431">
        <v>0</v>
      </c>
      <c r="AG117" s="431">
        <v>15000</v>
      </c>
      <c r="AH117" s="431">
        <v>317971</v>
      </c>
      <c r="AI117" s="431">
        <v>85000</v>
      </c>
      <c r="AJ117" s="431">
        <v>153000</v>
      </c>
      <c r="AK117" s="431">
        <v>0</v>
      </c>
      <c r="AL117" s="431">
        <v>160978</v>
      </c>
      <c r="AM117" s="431">
        <v>27000</v>
      </c>
    </row>
    <row r="118" spans="1:39" s="203" customFormat="1" ht="12" hidden="1" x14ac:dyDescent="0.2">
      <c r="A118" s="181">
        <v>64</v>
      </c>
      <c r="B118" s="199"/>
      <c r="C118" s="187"/>
      <c r="D118" s="446">
        <f t="shared" ref="D118:D143" si="17">E118+SUM(H118:O118)</f>
        <v>0</v>
      </c>
      <c r="E118" s="431"/>
      <c r="F118" s="431"/>
      <c r="G118" s="431"/>
      <c r="H118" s="431"/>
      <c r="I118" s="431"/>
      <c r="J118" s="431"/>
      <c r="K118" s="431"/>
      <c r="L118" s="431"/>
      <c r="M118" s="431"/>
      <c r="N118" s="431"/>
      <c r="O118" s="431"/>
      <c r="P118" s="446">
        <f t="shared" ref="P118:P142" si="18">IF(SUM(Q118:AB118)=SUM(AC118:AM118),SUM(Q118:AB118),"  EROARE ART/CAP")</f>
        <v>0</v>
      </c>
      <c r="Q118" s="431"/>
      <c r="R118" s="431"/>
      <c r="S118" s="431"/>
      <c r="T118" s="431"/>
      <c r="U118" s="431"/>
      <c r="V118" s="431"/>
      <c r="W118" s="431"/>
      <c r="X118" s="431"/>
      <c r="Y118" s="431"/>
      <c r="Z118" s="431"/>
      <c r="AA118" s="431"/>
      <c r="AB118" s="431"/>
      <c r="AC118" s="431"/>
      <c r="AD118" s="431"/>
      <c r="AE118" s="431"/>
      <c r="AF118" s="431"/>
      <c r="AG118" s="431"/>
      <c r="AH118" s="431"/>
      <c r="AI118" s="431"/>
      <c r="AJ118" s="431"/>
      <c r="AK118" s="431"/>
      <c r="AL118" s="431"/>
      <c r="AM118" s="431"/>
    </row>
    <row r="119" spans="1:39" s="203" customFormat="1" ht="12" hidden="1" x14ac:dyDescent="0.2">
      <c r="A119" s="181">
        <v>65</v>
      </c>
      <c r="B119" s="199"/>
      <c r="C119" s="187"/>
      <c r="D119" s="446">
        <f t="shared" si="17"/>
        <v>0</v>
      </c>
      <c r="E119" s="431"/>
      <c r="F119" s="431"/>
      <c r="G119" s="431"/>
      <c r="H119" s="431"/>
      <c r="I119" s="431"/>
      <c r="J119" s="431"/>
      <c r="K119" s="431"/>
      <c r="L119" s="431"/>
      <c r="M119" s="431"/>
      <c r="N119" s="431"/>
      <c r="O119" s="431"/>
      <c r="P119" s="446">
        <f t="shared" si="18"/>
        <v>0</v>
      </c>
      <c r="Q119" s="431"/>
      <c r="R119" s="431"/>
      <c r="S119" s="431"/>
      <c r="T119" s="431"/>
      <c r="U119" s="431"/>
      <c r="V119" s="431"/>
      <c r="W119" s="431"/>
      <c r="X119" s="431"/>
      <c r="Y119" s="431"/>
      <c r="Z119" s="431"/>
      <c r="AA119" s="431"/>
      <c r="AB119" s="431"/>
      <c r="AC119" s="431"/>
      <c r="AD119" s="431"/>
      <c r="AE119" s="431"/>
      <c r="AF119" s="431"/>
      <c r="AG119" s="431"/>
      <c r="AH119" s="431"/>
      <c r="AI119" s="431"/>
      <c r="AJ119" s="431"/>
      <c r="AK119" s="431"/>
      <c r="AL119" s="431"/>
      <c r="AM119" s="431"/>
    </row>
    <row r="120" spans="1:39" s="203" customFormat="1" ht="12" hidden="1" x14ac:dyDescent="0.2">
      <c r="A120" s="181">
        <v>66</v>
      </c>
      <c r="B120" s="199"/>
      <c r="C120" s="187"/>
      <c r="D120" s="446">
        <f t="shared" si="17"/>
        <v>0</v>
      </c>
      <c r="E120" s="431"/>
      <c r="F120" s="431"/>
      <c r="G120" s="431"/>
      <c r="H120" s="431"/>
      <c r="I120" s="431"/>
      <c r="J120" s="431"/>
      <c r="K120" s="431"/>
      <c r="L120" s="431"/>
      <c r="M120" s="431"/>
      <c r="N120" s="431"/>
      <c r="O120" s="431"/>
      <c r="P120" s="446">
        <f t="shared" si="18"/>
        <v>0</v>
      </c>
      <c r="Q120" s="431"/>
      <c r="R120" s="431"/>
      <c r="S120" s="431"/>
      <c r="T120" s="431"/>
      <c r="U120" s="431"/>
      <c r="V120" s="431"/>
      <c r="W120" s="431"/>
      <c r="X120" s="431"/>
      <c r="Y120" s="431"/>
      <c r="Z120" s="431"/>
      <c r="AA120" s="431"/>
      <c r="AB120" s="431"/>
      <c r="AC120" s="431"/>
      <c r="AD120" s="431"/>
      <c r="AE120" s="431"/>
      <c r="AF120" s="431"/>
      <c r="AG120" s="431"/>
      <c r="AH120" s="431"/>
      <c r="AI120" s="431"/>
      <c r="AJ120" s="431"/>
      <c r="AK120" s="431"/>
      <c r="AL120" s="431"/>
      <c r="AM120" s="431"/>
    </row>
    <row r="121" spans="1:39" s="203" customFormat="1" ht="12" hidden="1" x14ac:dyDescent="0.2">
      <c r="A121" s="181">
        <v>67</v>
      </c>
      <c r="B121" s="199"/>
      <c r="C121" s="187"/>
      <c r="D121" s="446">
        <f t="shared" si="17"/>
        <v>0</v>
      </c>
      <c r="E121" s="431"/>
      <c r="F121" s="431"/>
      <c r="G121" s="431"/>
      <c r="H121" s="431"/>
      <c r="I121" s="431"/>
      <c r="J121" s="431"/>
      <c r="K121" s="431"/>
      <c r="L121" s="431"/>
      <c r="M121" s="431"/>
      <c r="N121" s="431"/>
      <c r="O121" s="431"/>
      <c r="P121" s="446">
        <f t="shared" si="18"/>
        <v>0</v>
      </c>
      <c r="Q121" s="431"/>
      <c r="R121" s="431"/>
      <c r="S121" s="431"/>
      <c r="T121" s="431"/>
      <c r="U121" s="431"/>
      <c r="V121" s="431"/>
      <c r="W121" s="431"/>
      <c r="X121" s="431"/>
      <c r="Y121" s="431"/>
      <c r="Z121" s="431"/>
      <c r="AA121" s="431"/>
      <c r="AB121" s="431"/>
      <c r="AC121" s="431"/>
      <c r="AD121" s="431"/>
      <c r="AE121" s="431"/>
      <c r="AF121" s="431"/>
      <c r="AG121" s="431"/>
      <c r="AH121" s="431"/>
      <c r="AI121" s="431"/>
      <c r="AJ121" s="431"/>
      <c r="AK121" s="431"/>
      <c r="AL121" s="431"/>
      <c r="AM121" s="431"/>
    </row>
    <row r="122" spans="1:39" s="203" customFormat="1" ht="12" hidden="1" x14ac:dyDescent="0.2">
      <c r="A122" s="181">
        <v>68</v>
      </c>
      <c r="B122" s="199"/>
      <c r="C122" s="187"/>
      <c r="D122" s="446">
        <f t="shared" si="17"/>
        <v>0</v>
      </c>
      <c r="E122" s="431"/>
      <c r="F122" s="431"/>
      <c r="G122" s="431"/>
      <c r="H122" s="431"/>
      <c r="I122" s="431"/>
      <c r="J122" s="431"/>
      <c r="K122" s="431"/>
      <c r="L122" s="431"/>
      <c r="M122" s="431"/>
      <c r="N122" s="431"/>
      <c r="O122" s="431"/>
      <c r="P122" s="446">
        <f t="shared" si="18"/>
        <v>0</v>
      </c>
      <c r="Q122" s="431"/>
      <c r="R122" s="431"/>
      <c r="S122" s="431"/>
      <c r="T122" s="431"/>
      <c r="U122" s="431"/>
      <c r="V122" s="431"/>
      <c r="W122" s="431"/>
      <c r="X122" s="431"/>
      <c r="Y122" s="431"/>
      <c r="Z122" s="431"/>
      <c r="AA122" s="431"/>
      <c r="AB122" s="431"/>
      <c r="AC122" s="431"/>
      <c r="AD122" s="431"/>
      <c r="AE122" s="431"/>
      <c r="AF122" s="431"/>
      <c r="AG122" s="431"/>
      <c r="AH122" s="431"/>
      <c r="AI122" s="431"/>
      <c r="AJ122" s="431"/>
      <c r="AK122" s="431"/>
      <c r="AL122" s="431"/>
      <c r="AM122" s="431"/>
    </row>
    <row r="123" spans="1:39" s="203" customFormat="1" ht="12" hidden="1" x14ac:dyDescent="0.2">
      <c r="A123" s="181">
        <v>69</v>
      </c>
      <c r="B123" s="199"/>
      <c r="C123" s="187"/>
      <c r="D123" s="446">
        <f t="shared" si="17"/>
        <v>0</v>
      </c>
      <c r="E123" s="431"/>
      <c r="F123" s="431"/>
      <c r="G123" s="431"/>
      <c r="H123" s="431"/>
      <c r="I123" s="431"/>
      <c r="J123" s="431"/>
      <c r="K123" s="431"/>
      <c r="L123" s="431"/>
      <c r="M123" s="431"/>
      <c r="N123" s="431"/>
      <c r="O123" s="431"/>
      <c r="P123" s="446">
        <f t="shared" si="18"/>
        <v>0</v>
      </c>
      <c r="Q123" s="431"/>
      <c r="R123" s="431"/>
      <c r="S123" s="431"/>
      <c r="T123" s="431"/>
      <c r="U123" s="431"/>
      <c r="V123" s="431"/>
      <c r="W123" s="431"/>
      <c r="X123" s="431"/>
      <c r="Y123" s="431"/>
      <c r="Z123" s="431"/>
      <c r="AA123" s="431"/>
      <c r="AB123" s="431"/>
      <c r="AC123" s="431"/>
      <c r="AD123" s="431"/>
      <c r="AE123" s="431"/>
      <c r="AF123" s="431"/>
      <c r="AG123" s="431"/>
      <c r="AH123" s="431"/>
      <c r="AI123" s="431"/>
      <c r="AJ123" s="431"/>
      <c r="AK123" s="431"/>
      <c r="AL123" s="431"/>
      <c r="AM123" s="431"/>
    </row>
    <row r="124" spans="1:39" s="203" customFormat="1" ht="12" hidden="1" x14ac:dyDescent="0.2">
      <c r="A124" s="181">
        <v>70</v>
      </c>
      <c r="B124" s="199"/>
      <c r="C124" s="187"/>
      <c r="D124" s="446">
        <f t="shared" si="17"/>
        <v>0</v>
      </c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46">
        <f t="shared" si="18"/>
        <v>0</v>
      </c>
      <c r="Q124" s="431"/>
      <c r="R124" s="431"/>
      <c r="S124" s="431"/>
      <c r="T124" s="431"/>
      <c r="U124" s="431"/>
      <c r="V124" s="431"/>
      <c r="W124" s="431"/>
      <c r="X124" s="431"/>
      <c r="Y124" s="431"/>
      <c r="Z124" s="431"/>
      <c r="AA124" s="431"/>
      <c r="AB124" s="431"/>
      <c r="AC124" s="431"/>
      <c r="AD124" s="431"/>
      <c r="AE124" s="431"/>
      <c r="AF124" s="431"/>
      <c r="AG124" s="431"/>
      <c r="AH124" s="431"/>
      <c r="AI124" s="431"/>
      <c r="AJ124" s="431"/>
      <c r="AK124" s="431"/>
      <c r="AL124" s="431"/>
      <c r="AM124" s="431"/>
    </row>
    <row r="125" spans="1:39" s="203" customFormat="1" ht="12" hidden="1" x14ac:dyDescent="0.2">
      <c r="A125" s="181">
        <v>71</v>
      </c>
      <c r="B125" s="199"/>
      <c r="C125" s="187"/>
      <c r="D125" s="446">
        <f t="shared" si="17"/>
        <v>0</v>
      </c>
      <c r="E125" s="431"/>
      <c r="F125" s="431"/>
      <c r="G125" s="431"/>
      <c r="H125" s="431"/>
      <c r="I125" s="431"/>
      <c r="J125" s="431"/>
      <c r="K125" s="431"/>
      <c r="L125" s="431"/>
      <c r="M125" s="431"/>
      <c r="N125" s="431"/>
      <c r="O125" s="431"/>
      <c r="P125" s="446">
        <f t="shared" si="18"/>
        <v>0</v>
      </c>
      <c r="Q125" s="431"/>
      <c r="R125" s="431"/>
      <c r="S125" s="431"/>
      <c r="T125" s="431"/>
      <c r="U125" s="431"/>
      <c r="V125" s="431"/>
      <c r="W125" s="431"/>
      <c r="X125" s="431"/>
      <c r="Y125" s="431"/>
      <c r="Z125" s="431"/>
      <c r="AA125" s="431"/>
      <c r="AB125" s="431"/>
      <c r="AC125" s="431"/>
      <c r="AD125" s="431"/>
      <c r="AE125" s="431"/>
      <c r="AF125" s="431"/>
      <c r="AG125" s="431"/>
      <c r="AH125" s="431"/>
      <c r="AI125" s="431"/>
      <c r="AJ125" s="431"/>
      <c r="AK125" s="431"/>
      <c r="AL125" s="431"/>
      <c r="AM125" s="431"/>
    </row>
    <row r="126" spans="1:39" s="203" customFormat="1" ht="12" hidden="1" x14ac:dyDescent="0.2">
      <c r="A126" s="181">
        <v>72</v>
      </c>
      <c r="B126" s="199"/>
      <c r="C126" s="224"/>
      <c r="D126" s="446">
        <f t="shared" si="17"/>
        <v>0</v>
      </c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46">
        <f t="shared" si="18"/>
        <v>0</v>
      </c>
      <c r="Q126" s="431"/>
      <c r="R126" s="431"/>
      <c r="S126" s="431"/>
      <c r="T126" s="431"/>
      <c r="U126" s="431"/>
      <c r="V126" s="431"/>
      <c r="W126" s="431"/>
      <c r="X126" s="431"/>
      <c r="Y126" s="431"/>
      <c r="Z126" s="431"/>
      <c r="AA126" s="431"/>
      <c r="AB126" s="431"/>
      <c r="AC126" s="431"/>
      <c r="AD126" s="431"/>
      <c r="AE126" s="431"/>
      <c r="AF126" s="431"/>
      <c r="AG126" s="431"/>
      <c r="AH126" s="431"/>
      <c r="AI126" s="431"/>
      <c r="AJ126" s="431"/>
      <c r="AK126" s="431"/>
      <c r="AL126" s="431"/>
      <c r="AM126" s="431"/>
    </row>
    <row r="127" spans="1:39" s="203" customFormat="1" ht="12" hidden="1" x14ac:dyDescent="0.2">
      <c r="A127" s="181">
        <v>73</v>
      </c>
      <c r="B127" s="199"/>
      <c r="C127" s="224"/>
      <c r="D127" s="446">
        <f t="shared" si="17"/>
        <v>0</v>
      </c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46">
        <f t="shared" si="18"/>
        <v>0</v>
      </c>
      <c r="Q127" s="431"/>
      <c r="R127" s="431"/>
      <c r="S127" s="431"/>
      <c r="T127" s="431"/>
      <c r="U127" s="431"/>
      <c r="V127" s="431"/>
      <c r="W127" s="431"/>
      <c r="X127" s="431"/>
      <c r="Y127" s="431"/>
      <c r="Z127" s="431"/>
      <c r="AA127" s="431"/>
      <c r="AB127" s="431"/>
      <c r="AC127" s="431"/>
      <c r="AD127" s="431"/>
      <c r="AE127" s="431"/>
      <c r="AF127" s="431"/>
      <c r="AG127" s="431"/>
      <c r="AH127" s="431"/>
      <c r="AI127" s="431"/>
      <c r="AJ127" s="431"/>
      <c r="AK127" s="431"/>
      <c r="AL127" s="431"/>
      <c r="AM127" s="431"/>
    </row>
    <row r="128" spans="1:39" s="203" customFormat="1" ht="12" hidden="1" x14ac:dyDescent="0.2">
      <c r="A128" s="181">
        <v>74</v>
      </c>
      <c r="B128" s="199"/>
      <c r="C128" s="224"/>
      <c r="D128" s="446">
        <f t="shared" si="17"/>
        <v>0</v>
      </c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46">
        <f t="shared" si="18"/>
        <v>0</v>
      </c>
      <c r="Q128" s="431"/>
      <c r="R128" s="431"/>
      <c r="S128" s="431"/>
      <c r="T128" s="431"/>
      <c r="U128" s="431"/>
      <c r="V128" s="431"/>
      <c r="W128" s="431"/>
      <c r="X128" s="431"/>
      <c r="Y128" s="431"/>
      <c r="Z128" s="431"/>
      <c r="AA128" s="431"/>
      <c r="AB128" s="431"/>
      <c r="AC128" s="431"/>
      <c r="AD128" s="431"/>
      <c r="AE128" s="431"/>
      <c r="AF128" s="431"/>
      <c r="AG128" s="431"/>
      <c r="AH128" s="431"/>
      <c r="AI128" s="431"/>
      <c r="AJ128" s="431"/>
      <c r="AK128" s="431"/>
      <c r="AL128" s="431"/>
      <c r="AM128" s="431"/>
    </row>
    <row r="129" spans="1:39" s="203" customFormat="1" ht="12" hidden="1" x14ac:dyDescent="0.2">
      <c r="A129" s="181">
        <v>75</v>
      </c>
      <c r="B129" s="199"/>
      <c r="C129" s="224"/>
      <c r="D129" s="446">
        <f t="shared" si="17"/>
        <v>0</v>
      </c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46">
        <f t="shared" si="18"/>
        <v>0</v>
      </c>
      <c r="Q129" s="431"/>
      <c r="R129" s="431"/>
      <c r="S129" s="431"/>
      <c r="T129" s="431"/>
      <c r="U129" s="431"/>
      <c r="V129" s="431"/>
      <c r="W129" s="431"/>
      <c r="X129" s="431"/>
      <c r="Y129" s="431"/>
      <c r="Z129" s="431"/>
      <c r="AA129" s="431"/>
      <c r="AB129" s="431"/>
      <c r="AC129" s="431"/>
      <c r="AD129" s="431"/>
      <c r="AE129" s="431"/>
      <c r="AF129" s="431"/>
      <c r="AG129" s="431"/>
      <c r="AH129" s="431"/>
      <c r="AI129" s="431"/>
      <c r="AJ129" s="431"/>
      <c r="AK129" s="431"/>
      <c r="AL129" s="431"/>
      <c r="AM129" s="431"/>
    </row>
    <row r="130" spans="1:39" s="155" customFormat="1" ht="12" hidden="1" x14ac:dyDescent="0.2">
      <c r="A130" s="168">
        <v>76</v>
      </c>
      <c r="B130" s="168"/>
      <c r="C130" s="261"/>
      <c r="D130" s="432">
        <f t="shared" si="17"/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42">
        <f t="shared" si="18"/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</row>
    <row r="131" spans="1:39" s="155" customFormat="1" ht="12" hidden="1" x14ac:dyDescent="0.2">
      <c r="A131" s="168">
        <v>77</v>
      </c>
      <c r="B131" s="168"/>
      <c r="C131" s="261"/>
      <c r="D131" s="432">
        <f t="shared" si="17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42">
        <f t="shared" si="18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</row>
    <row r="132" spans="1:39" s="155" customFormat="1" ht="12" hidden="1" x14ac:dyDescent="0.2">
      <c r="A132" s="168">
        <v>78</v>
      </c>
      <c r="B132" s="168"/>
      <c r="C132" s="261"/>
      <c r="D132" s="432">
        <f t="shared" si="17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42">
        <f t="shared" si="18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</row>
    <row r="133" spans="1:39" s="155" customFormat="1" ht="12" hidden="1" x14ac:dyDescent="0.2">
      <c r="A133" s="168">
        <v>79</v>
      </c>
      <c r="B133" s="168"/>
      <c r="C133" s="261"/>
      <c r="D133" s="432">
        <f t="shared" si="17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42">
        <f t="shared" si="18"/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155" customFormat="1" ht="12" hidden="1" x14ac:dyDescent="0.2">
      <c r="A134" s="168">
        <v>80</v>
      </c>
      <c r="B134" s="168"/>
      <c r="C134" s="261"/>
      <c r="D134" s="432">
        <f t="shared" si="17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42">
        <f t="shared" si="18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155" customFormat="1" ht="12" hidden="1" x14ac:dyDescent="0.2">
      <c r="A135" s="168">
        <v>81</v>
      </c>
      <c r="B135" s="168"/>
      <c r="C135" s="261"/>
      <c r="D135" s="432">
        <f t="shared" si="17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42">
        <f t="shared" si="18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155" customFormat="1" ht="12" hidden="1" x14ac:dyDescent="0.2">
      <c r="A136" s="168">
        <v>82</v>
      </c>
      <c r="B136" s="168"/>
      <c r="C136" s="261"/>
      <c r="D136" s="432">
        <f t="shared" si="17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42">
        <f t="shared" si="18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155" customFormat="1" ht="12" hidden="1" x14ac:dyDescent="0.2">
      <c r="A137" s="168">
        <v>83</v>
      </c>
      <c r="B137" s="168"/>
      <c r="C137" s="261"/>
      <c r="D137" s="432">
        <f t="shared" si="17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42">
        <f t="shared" si="18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68"/>
      <c r="C138" s="261"/>
      <c r="D138" s="432">
        <f t="shared" si="17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42">
        <f t="shared" si="18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68"/>
      <c r="C139" s="172"/>
      <c r="D139" s="432">
        <f t="shared" si="17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42">
        <f t="shared" si="18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68"/>
      <c r="C140" s="172"/>
      <c r="D140" s="432">
        <f t="shared" si="17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8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173"/>
      <c r="D141" s="432">
        <f t="shared" si="17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8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7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8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7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C315"/>
  <sheetViews>
    <sheetView zoomScaleNormal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N97" sqref="N97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55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55" s="55" customFormat="1" ht="15.75" x14ac:dyDescent="0.25">
      <c r="A2" s="53"/>
      <c r="B2" s="54" t="s">
        <v>564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55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55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55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55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55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55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55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55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55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55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55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55" s="155" customFormat="1" ht="13.5" customHeight="1" x14ac:dyDescent="0.2">
      <c r="A14" s="153" t="s">
        <v>70</v>
      </c>
      <c r="B14" s="154"/>
      <c r="C14" s="202"/>
      <c r="D14" s="432">
        <f>E14+SUM(H14:O14)</f>
        <v>849465747</v>
      </c>
      <c r="E14" s="432">
        <f>SUM(E15,E16,E33,E54)</f>
        <v>188596139</v>
      </c>
      <c r="F14" s="432">
        <f t="shared" ref="F14:O14" si="0">SUM(F15,F16,F33,F54)</f>
        <v>80898447</v>
      </c>
      <c r="G14" s="432">
        <f t="shared" si="0"/>
        <v>28238139</v>
      </c>
      <c r="H14" s="432">
        <f t="shared" si="0"/>
        <v>33613360</v>
      </c>
      <c r="I14" s="432">
        <f t="shared" si="0"/>
        <v>202375584</v>
      </c>
      <c r="J14" s="432">
        <f t="shared" si="0"/>
        <v>18788849</v>
      </c>
      <c r="K14" s="432">
        <f t="shared" si="0"/>
        <v>167475816</v>
      </c>
      <c r="L14" s="432">
        <f t="shared" si="0"/>
        <v>0</v>
      </c>
      <c r="M14" s="432">
        <f t="shared" si="0"/>
        <v>158184375</v>
      </c>
      <c r="N14" s="432">
        <f t="shared" si="0"/>
        <v>77293100</v>
      </c>
      <c r="O14" s="432">
        <f t="shared" si="0"/>
        <v>3138524</v>
      </c>
      <c r="P14" s="432">
        <f>IF(SUM(Q14:AB14)=SUM(AC14:AM14),SUM(Q14:AB14),"  EROARE ART/CAP")</f>
        <v>823113040</v>
      </c>
      <c r="Q14" s="432">
        <f t="shared" ref="Q14:AM14" si="1">Q15+Q16+Q33+Q54</f>
        <v>242447660</v>
      </c>
      <c r="R14" s="432">
        <f t="shared" si="1"/>
        <v>133437954</v>
      </c>
      <c r="S14" s="432">
        <f t="shared" si="1"/>
        <v>6900789</v>
      </c>
      <c r="T14" s="432">
        <f t="shared" si="1"/>
        <v>4249032</v>
      </c>
      <c r="U14" s="432">
        <f t="shared" si="1"/>
        <v>93192701</v>
      </c>
      <c r="V14" s="432">
        <f t="shared" si="1"/>
        <v>1589584</v>
      </c>
      <c r="W14" s="432">
        <f t="shared" si="1"/>
        <v>150204689</v>
      </c>
      <c r="X14" s="432">
        <f t="shared" si="1"/>
        <v>37502039</v>
      </c>
      <c r="Y14" s="432">
        <f t="shared" si="1"/>
        <v>5294420</v>
      </c>
      <c r="Z14" s="432">
        <f t="shared" si="1"/>
        <v>133513927</v>
      </c>
      <c r="AA14" s="432">
        <f t="shared" si="1"/>
        <v>19062609</v>
      </c>
      <c r="AB14" s="432">
        <f t="shared" si="1"/>
        <v>-4282364</v>
      </c>
      <c r="AC14" s="432">
        <f t="shared" si="1"/>
        <v>89872022</v>
      </c>
      <c r="AD14" s="432">
        <f t="shared" si="1"/>
        <v>9285025</v>
      </c>
      <c r="AE14" s="432">
        <f t="shared" si="1"/>
        <v>201497411</v>
      </c>
      <c r="AF14" s="432">
        <f t="shared" si="1"/>
        <v>17201328</v>
      </c>
      <c r="AG14" s="432">
        <f t="shared" si="1"/>
        <v>51772632</v>
      </c>
      <c r="AH14" s="432">
        <f t="shared" si="1"/>
        <v>144043983</v>
      </c>
      <c r="AI14" s="432">
        <f t="shared" si="1"/>
        <v>73428818</v>
      </c>
      <c r="AJ14" s="432">
        <f t="shared" si="1"/>
        <v>93545431</v>
      </c>
      <c r="AK14" s="432">
        <f t="shared" si="1"/>
        <v>4248012</v>
      </c>
      <c r="AL14" s="432">
        <f t="shared" si="1"/>
        <v>121339060</v>
      </c>
      <c r="AM14" s="432">
        <f t="shared" si="1"/>
        <v>16879318</v>
      </c>
      <c r="AN14" s="203"/>
      <c r="AO14" s="203"/>
      <c r="AP14" s="203"/>
      <c r="AQ14" s="203"/>
      <c r="AR14" s="203"/>
      <c r="AS14" s="203"/>
      <c r="AT14" s="203"/>
      <c r="AU14" s="203"/>
      <c r="AV14" s="203"/>
      <c r="AW14" s="203"/>
      <c r="AX14" s="203"/>
      <c r="AY14" s="203"/>
      <c r="AZ14" s="203"/>
      <c r="BA14" s="203"/>
      <c r="BB14" s="203"/>
      <c r="BC14" s="203"/>
    </row>
    <row r="15" spans="1:55" s="155" customFormat="1" ht="12.75" customHeight="1" x14ac:dyDescent="0.2">
      <c r="A15" s="156" t="s">
        <v>71</v>
      </c>
      <c r="B15" s="157"/>
      <c r="C15" s="158"/>
      <c r="D15" s="432">
        <f>E15+SUM(H15:O15)</f>
        <v>233220335</v>
      </c>
      <c r="E15" s="431">
        <v>34207903</v>
      </c>
      <c r="F15" s="431">
        <v>17171843</v>
      </c>
      <c r="G15" s="431">
        <v>14565157</v>
      </c>
      <c r="H15" s="431">
        <v>33613360</v>
      </c>
      <c r="I15" s="431">
        <v>0</v>
      </c>
      <c r="J15" s="431">
        <v>819000</v>
      </c>
      <c r="K15" s="431">
        <v>54913120</v>
      </c>
      <c r="L15" s="431">
        <v>0</v>
      </c>
      <c r="M15" s="431">
        <v>79190765</v>
      </c>
      <c r="N15" s="431">
        <v>30360365</v>
      </c>
      <c r="O15" s="431">
        <v>115822</v>
      </c>
      <c r="P15" s="432">
        <f t="shared" ref="P15:P78" si="2">IF(SUM(Q15:AB15)=SUM(AC15:AM15),SUM(Q15:AB15),"  EROARE ART/CAP")</f>
        <v>243244443</v>
      </c>
      <c r="Q15" s="431">
        <v>31073712</v>
      </c>
      <c r="R15" s="431">
        <v>32776755</v>
      </c>
      <c r="S15" s="431">
        <v>1446000</v>
      </c>
      <c r="T15" s="431">
        <v>0</v>
      </c>
      <c r="U15" s="431">
        <v>74483624</v>
      </c>
      <c r="V15" s="431">
        <v>0</v>
      </c>
      <c r="W15" s="431">
        <v>87473254</v>
      </c>
      <c r="X15" s="431">
        <v>3723029</v>
      </c>
      <c r="Y15" s="431">
        <v>3134704</v>
      </c>
      <c r="Z15" s="431">
        <v>5804773</v>
      </c>
      <c r="AA15" s="431">
        <v>5099000</v>
      </c>
      <c r="AB15" s="431">
        <v>-1770408</v>
      </c>
      <c r="AC15" s="431">
        <v>11148389</v>
      </c>
      <c r="AD15" s="431">
        <v>1473549</v>
      </c>
      <c r="AE15" s="431">
        <v>14236894</v>
      </c>
      <c r="AF15" s="431">
        <v>10566943</v>
      </c>
      <c r="AG15" s="431">
        <v>16123993</v>
      </c>
      <c r="AH15" s="431">
        <v>88024849</v>
      </c>
      <c r="AI15" s="431">
        <v>561000</v>
      </c>
      <c r="AJ15" s="431">
        <v>65712033</v>
      </c>
      <c r="AK15" s="431">
        <v>0</v>
      </c>
      <c r="AL15" s="431">
        <v>28723917</v>
      </c>
      <c r="AM15" s="431">
        <v>6672876</v>
      </c>
      <c r="AN15" s="203"/>
      <c r="AO15" s="203"/>
      <c r="AP15" s="203"/>
      <c r="AQ15" s="203"/>
      <c r="AR15" s="203"/>
      <c r="AS15" s="203"/>
      <c r="AT15" s="203"/>
      <c r="AU15" s="203"/>
      <c r="AV15" s="203"/>
      <c r="AW15" s="203"/>
      <c r="AX15" s="203"/>
      <c r="AY15" s="203"/>
      <c r="AZ15" s="203"/>
      <c r="BA15" s="203"/>
      <c r="BB15" s="203"/>
      <c r="BC15" s="203"/>
    </row>
    <row r="16" spans="1:55" s="155" customFormat="1" ht="12" x14ac:dyDescent="0.2">
      <c r="A16" s="156" t="s">
        <v>72</v>
      </c>
      <c r="B16" s="157"/>
      <c r="C16" s="159"/>
      <c r="D16" s="432">
        <f>E16+SUM(H16:O16)</f>
        <v>237005366</v>
      </c>
      <c r="E16" s="433">
        <f>SUM(E18:E32)</f>
        <v>94347069</v>
      </c>
      <c r="F16" s="433">
        <f t="shared" ref="F16:O16" si="3">SUM(F18:F32)</f>
        <v>45828682</v>
      </c>
      <c r="G16" s="433">
        <f t="shared" si="3"/>
        <v>1954308</v>
      </c>
      <c r="H16" s="433">
        <f t="shared" si="3"/>
        <v>0</v>
      </c>
      <c r="I16" s="433">
        <f t="shared" si="3"/>
        <v>97897058</v>
      </c>
      <c r="J16" s="433">
        <f t="shared" si="3"/>
        <v>0</v>
      </c>
      <c r="K16" s="433">
        <f t="shared" si="3"/>
        <v>34874860</v>
      </c>
      <c r="L16" s="433">
        <f t="shared" si="3"/>
        <v>0</v>
      </c>
      <c r="M16" s="433">
        <f t="shared" si="3"/>
        <v>3182514</v>
      </c>
      <c r="N16" s="433">
        <f t="shared" si="3"/>
        <v>6512977</v>
      </c>
      <c r="O16" s="433">
        <f t="shared" si="3"/>
        <v>190888</v>
      </c>
      <c r="P16" s="432">
        <f t="shared" si="2"/>
        <v>217720929</v>
      </c>
      <c r="Q16" s="432">
        <f>SUM(Q18:Q32)</f>
        <v>96053077</v>
      </c>
      <c r="R16" s="432">
        <f t="shared" ref="R16:AM16" si="4">SUM(R18:R32)</f>
        <v>44063067</v>
      </c>
      <c r="S16" s="432">
        <f t="shared" si="4"/>
        <v>5079784</v>
      </c>
      <c r="T16" s="432">
        <f t="shared" si="4"/>
        <v>4249032</v>
      </c>
      <c r="U16" s="432">
        <f t="shared" si="4"/>
        <v>18319077</v>
      </c>
      <c r="V16" s="432">
        <f t="shared" si="4"/>
        <v>1387661</v>
      </c>
      <c r="W16" s="432">
        <f t="shared" si="4"/>
        <v>5508485</v>
      </c>
      <c r="X16" s="432">
        <f t="shared" si="4"/>
        <v>12966487</v>
      </c>
      <c r="Y16" s="432">
        <f t="shared" si="4"/>
        <v>607008</v>
      </c>
      <c r="Z16" s="432">
        <f t="shared" si="4"/>
        <v>18491264</v>
      </c>
      <c r="AA16" s="432">
        <f t="shared" si="4"/>
        <v>12676070</v>
      </c>
      <c r="AB16" s="432">
        <f t="shared" si="4"/>
        <v>-1680083</v>
      </c>
      <c r="AC16" s="432">
        <f t="shared" si="4"/>
        <v>19543307</v>
      </c>
      <c r="AD16" s="432">
        <f t="shared" si="4"/>
        <v>4411370</v>
      </c>
      <c r="AE16" s="432">
        <f t="shared" si="4"/>
        <v>87807885</v>
      </c>
      <c r="AF16" s="432">
        <f t="shared" si="4"/>
        <v>3108314</v>
      </c>
      <c r="AG16" s="432">
        <f t="shared" si="4"/>
        <v>25704926</v>
      </c>
      <c r="AH16" s="432">
        <f t="shared" si="4"/>
        <v>23995706</v>
      </c>
      <c r="AI16" s="432">
        <f t="shared" si="4"/>
        <v>31538748</v>
      </c>
      <c r="AJ16" s="432">
        <f t="shared" si="4"/>
        <v>11480187</v>
      </c>
      <c r="AK16" s="432">
        <f t="shared" si="4"/>
        <v>4248012</v>
      </c>
      <c r="AL16" s="432">
        <f t="shared" si="4"/>
        <v>5866573</v>
      </c>
      <c r="AM16" s="432">
        <f t="shared" si="4"/>
        <v>15901</v>
      </c>
      <c r="AN16" s="203"/>
      <c r="AO16" s="203"/>
      <c r="AP16" s="203"/>
      <c r="AQ16" s="203"/>
      <c r="AR16" s="203"/>
      <c r="AS16" s="203"/>
      <c r="AT16" s="203"/>
      <c r="AU16" s="203"/>
      <c r="AV16" s="203"/>
      <c r="AW16" s="203"/>
      <c r="AX16" s="203"/>
      <c r="AY16" s="203"/>
      <c r="AZ16" s="203"/>
      <c r="BA16" s="203"/>
      <c r="BB16" s="203"/>
      <c r="BC16" s="203"/>
    </row>
    <row r="17" spans="1:55" s="155" customFormat="1" ht="22.5" x14ac:dyDescent="0.2">
      <c r="A17" s="277" t="s">
        <v>2306</v>
      </c>
      <c r="B17" s="279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  <c r="AN17" s="203"/>
      <c r="AO17" s="203"/>
      <c r="AP17" s="203"/>
      <c r="AQ17" s="203"/>
      <c r="AR17" s="203"/>
      <c r="AS17" s="203"/>
      <c r="AT17" s="203"/>
      <c r="AU17" s="203"/>
      <c r="AV17" s="203"/>
      <c r="AW17" s="203"/>
      <c r="AX17" s="203"/>
      <c r="AY17" s="203"/>
      <c r="AZ17" s="203"/>
      <c r="BA17" s="203"/>
      <c r="BB17" s="203"/>
      <c r="BC17" s="203"/>
    </row>
    <row r="18" spans="1:55" s="203" customFormat="1" ht="12" x14ac:dyDescent="0.2">
      <c r="A18" s="181">
        <v>1</v>
      </c>
      <c r="B18" s="222">
        <v>109773</v>
      </c>
      <c r="C18" s="221" t="s">
        <v>498</v>
      </c>
      <c r="D18" s="432">
        <f t="shared" ref="D18:D41" si="5">E18+SUM(H18:O18)</f>
        <v>203847242</v>
      </c>
      <c r="E18" s="431">
        <v>84722525</v>
      </c>
      <c r="F18" s="431">
        <v>42127799</v>
      </c>
      <c r="G18" s="431">
        <v>162631</v>
      </c>
      <c r="H18" s="431">
        <v>0</v>
      </c>
      <c r="I18" s="431">
        <v>86659524</v>
      </c>
      <c r="J18" s="431">
        <v>0</v>
      </c>
      <c r="K18" s="431">
        <v>23526570</v>
      </c>
      <c r="L18" s="431">
        <v>0</v>
      </c>
      <c r="M18" s="431">
        <v>3071745</v>
      </c>
      <c r="N18" s="431">
        <v>5722698</v>
      </c>
      <c r="O18" s="431">
        <v>144180</v>
      </c>
      <c r="P18" s="432">
        <f t="shared" si="2"/>
        <v>193420031</v>
      </c>
      <c r="Q18" s="431">
        <v>84047968</v>
      </c>
      <c r="R18" s="431">
        <v>39644317</v>
      </c>
      <c r="S18" s="431">
        <v>5079784</v>
      </c>
      <c r="T18" s="431">
        <v>4249032</v>
      </c>
      <c r="U18" s="431">
        <v>17919077</v>
      </c>
      <c r="V18" s="431">
        <v>1386661</v>
      </c>
      <c r="W18" s="431">
        <v>4755470</v>
      </c>
      <c r="X18" s="431">
        <v>11898720</v>
      </c>
      <c r="Y18" s="431">
        <v>602628</v>
      </c>
      <c r="Z18" s="431">
        <v>12752966</v>
      </c>
      <c r="AA18" s="431">
        <v>12676070</v>
      </c>
      <c r="AB18" s="431">
        <v>-1592662</v>
      </c>
      <c r="AC18" s="431">
        <v>16165702</v>
      </c>
      <c r="AD18" s="431">
        <v>4067043</v>
      </c>
      <c r="AE18" s="431">
        <v>77184365</v>
      </c>
      <c r="AF18" s="431">
        <v>2469224</v>
      </c>
      <c r="AG18" s="431">
        <v>25273229</v>
      </c>
      <c r="AH18" s="431">
        <v>21813480</v>
      </c>
      <c r="AI18" s="431">
        <v>27895263</v>
      </c>
      <c r="AJ18" s="431">
        <v>10534581</v>
      </c>
      <c r="AK18" s="431">
        <v>4248012</v>
      </c>
      <c r="AL18" s="431">
        <v>3753231</v>
      </c>
      <c r="AM18" s="431">
        <v>15901</v>
      </c>
    </row>
    <row r="19" spans="1:55" s="203" customFormat="1" ht="12" x14ac:dyDescent="0.2">
      <c r="A19" s="181">
        <v>2</v>
      </c>
      <c r="B19" s="222">
        <v>110063</v>
      </c>
      <c r="C19" s="221" t="s">
        <v>499</v>
      </c>
      <c r="D19" s="432">
        <f t="shared" si="5"/>
        <v>33158124</v>
      </c>
      <c r="E19" s="431">
        <v>9624544</v>
      </c>
      <c r="F19" s="431">
        <v>3700883</v>
      </c>
      <c r="G19" s="431">
        <v>1791677</v>
      </c>
      <c r="H19" s="431">
        <v>0</v>
      </c>
      <c r="I19" s="431">
        <v>11237534</v>
      </c>
      <c r="J19" s="431">
        <v>0</v>
      </c>
      <c r="K19" s="431">
        <v>11348290</v>
      </c>
      <c r="L19" s="431">
        <v>0</v>
      </c>
      <c r="M19" s="431">
        <v>110769</v>
      </c>
      <c r="N19" s="431">
        <v>790279</v>
      </c>
      <c r="O19" s="431">
        <v>46708</v>
      </c>
      <c r="P19" s="432">
        <f t="shared" si="2"/>
        <v>24300898</v>
      </c>
      <c r="Q19" s="431">
        <v>12005109</v>
      </c>
      <c r="R19" s="431">
        <v>4418750</v>
      </c>
      <c r="S19" s="431">
        <v>0</v>
      </c>
      <c r="T19" s="431">
        <v>0</v>
      </c>
      <c r="U19" s="431">
        <v>400000</v>
      </c>
      <c r="V19" s="431">
        <v>1000</v>
      </c>
      <c r="W19" s="431">
        <v>753015</v>
      </c>
      <c r="X19" s="431">
        <v>1067767</v>
      </c>
      <c r="Y19" s="431">
        <v>4380</v>
      </c>
      <c r="Z19" s="431">
        <v>5738298</v>
      </c>
      <c r="AA19" s="431">
        <v>0</v>
      </c>
      <c r="AB19" s="431">
        <v>-87421</v>
      </c>
      <c r="AC19" s="431">
        <v>3377605</v>
      </c>
      <c r="AD19" s="431">
        <v>344327</v>
      </c>
      <c r="AE19" s="431">
        <v>10623520</v>
      </c>
      <c r="AF19" s="431">
        <v>639090</v>
      </c>
      <c r="AG19" s="431">
        <v>431697</v>
      </c>
      <c r="AH19" s="431">
        <v>2182226</v>
      </c>
      <c r="AI19" s="431">
        <v>3643485</v>
      </c>
      <c r="AJ19" s="431">
        <v>945606</v>
      </c>
      <c r="AK19" s="431">
        <v>0</v>
      </c>
      <c r="AL19" s="431">
        <v>2113342</v>
      </c>
      <c r="AM19" s="431">
        <v>0</v>
      </c>
    </row>
    <row r="20" spans="1:55" s="155" customFormat="1" ht="12" hidden="1" x14ac:dyDescent="0.2">
      <c r="A20" s="146">
        <v>3</v>
      </c>
      <c r="B20" s="146"/>
      <c r="C20" s="206"/>
      <c r="D20" s="432">
        <f t="shared" si="5"/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2">
        <f t="shared" si="2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  <c r="AN20" s="203"/>
      <c r="AO20" s="203"/>
      <c r="AP20" s="203"/>
      <c r="AQ20" s="203"/>
      <c r="AR20" s="203"/>
      <c r="AS20" s="203"/>
      <c r="AT20" s="203"/>
      <c r="AU20" s="203"/>
      <c r="AV20" s="203"/>
      <c r="AW20" s="203"/>
      <c r="AX20" s="203"/>
      <c r="AY20" s="203"/>
      <c r="AZ20" s="203"/>
      <c r="BA20" s="203"/>
      <c r="BB20" s="203"/>
      <c r="BC20" s="203"/>
    </row>
    <row r="21" spans="1:55" s="155" customFormat="1" ht="12" hidden="1" x14ac:dyDescent="0.2">
      <c r="A21" s="146">
        <v>4</v>
      </c>
      <c r="B21" s="146"/>
      <c r="C21" s="206"/>
      <c r="D21" s="432">
        <f t="shared" si="5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2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  <c r="AN21" s="203"/>
      <c r="AO21" s="203"/>
      <c r="AP21" s="203"/>
      <c r="AQ21" s="203"/>
      <c r="AR21" s="203"/>
      <c r="AS21" s="203"/>
      <c r="AT21" s="203"/>
      <c r="AU21" s="203"/>
      <c r="AV21" s="203"/>
      <c r="AW21" s="203"/>
      <c r="AX21" s="203"/>
      <c r="AY21" s="203"/>
      <c r="AZ21" s="203"/>
      <c r="BA21" s="203"/>
      <c r="BB21" s="203"/>
      <c r="BC21" s="203"/>
    </row>
    <row r="22" spans="1:55" s="155" customFormat="1" ht="12" hidden="1" x14ac:dyDescent="0.2">
      <c r="A22" s="146">
        <v>5</v>
      </c>
      <c r="B22" s="146"/>
      <c r="C22" s="206"/>
      <c r="D22" s="432">
        <f t="shared" si="5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2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  <c r="AN22" s="203"/>
      <c r="AO22" s="203"/>
      <c r="AP22" s="203"/>
      <c r="AQ22" s="203"/>
      <c r="AR22" s="203"/>
      <c r="AS22" s="203"/>
      <c r="AT22" s="203"/>
      <c r="AU22" s="203"/>
      <c r="AV22" s="203"/>
      <c r="AW22" s="203"/>
      <c r="AX22" s="203"/>
      <c r="AY22" s="203"/>
      <c r="AZ22" s="203"/>
      <c r="BA22" s="203"/>
      <c r="BB22" s="203"/>
      <c r="BC22" s="203"/>
    </row>
    <row r="23" spans="1:55" s="155" customFormat="1" ht="12" hidden="1" x14ac:dyDescent="0.2">
      <c r="A23" s="146">
        <v>6</v>
      </c>
      <c r="B23" s="146"/>
      <c r="C23" s="206"/>
      <c r="D23" s="432">
        <f t="shared" si="5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2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  <c r="AN23" s="203"/>
      <c r="AO23" s="203"/>
      <c r="AP23" s="203"/>
      <c r="AQ23" s="203"/>
      <c r="AR23" s="203"/>
      <c r="AS23" s="203"/>
      <c r="AT23" s="203"/>
      <c r="AU23" s="203"/>
      <c r="AV23" s="203"/>
      <c r="AW23" s="203"/>
      <c r="AX23" s="203"/>
      <c r="AY23" s="203"/>
      <c r="AZ23" s="203"/>
      <c r="BA23" s="203"/>
      <c r="BB23" s="203"/>
      <c r="BC23" s="203"/>
    </row>
    <row r="24" spans="1:55" s="155" customFormat="1" ht="12" hidden="1" x14ac:dyDescent="0.2">
      <c r="A24" s="146">
        <v>7</v>
      </c>
      <c r="B24" s="146"/>
      <c r="C24" s="206"/>
      <c r="D24" s="432">
        <f t="shared" si="5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2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  <c r="AN24" s="203"/>
      <c r="AO24" s="203"/>
      <c r="AP24" s="203"/>
      <c r="AQ24" s="203"/>
      <c r="AR24" s="203"/>
      <c r="AS24" s="203"/>
      <c r="AT24" s="203"/>
      <c r="AU24" s="203"/>
      <c r="AV24" s="203"/>
      <c r="AW24" s="203"/>
      <c r="AX24" s="203"/>
      <c r="AY24" s="203"/>
      <c r="AZ24" s="203"/>
      <c r="BA24" s="203"/>
      <c r="BB24" s="203"/>
      <c r="BC24" s="203"/>
    </row>
    <row r="25" spans="1:55" s="155" customFormat="1" ht="12" hidden="1" x14ac:dyDescent="0.2">
      <c r="A25" s="146">
        <v>8</v>
      </c>
      <c r="B25" s="146"/>
      <c r="C25" s="206"/>
      <c r="D25" s="432">
        <f t="shared" si="5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2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  <c r="AN25" s="203"/>
      <c r="AO25" s="203"/>
      <c r="AP25" s="203"/>
      <c r="AQ25" s="203"/>
      <c r="AR25" s="203"/>
      <c r="AS25" s="203"/>
      <c r="AT25" s="203"/>
      <c r="AU25" s="203"/>
      <c r="AV25" s="203"/>
      <c r="AW25" s="203"/>
      <c r="AX25" s="203"/>
      <c r="AY25" s="203"/>
      <c r="AZ25" s="203"/>
      <c r="BA25" s="203"/>
      <c r="BB25" s="203"/>
      <c r="BC25" s="203"/>
    </row>
    <row r="26" spans="1:55" s="155" customFormat="1" ht="12" hidden="1" x14ac:dyDescent="0.2">
      <c r="A26" s="146">
        <v>9</v>
      </c>
      <c r="B26" s="146"/>
      <c r="C26" s="206"/>
      <c r="D26" s="432">
        <f t="shared" si="5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2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  <c r="AN26" s="203"/>
      <c r="AO26" s="203"/>
      <c r="AP26" s="203"/>
      <c r="AQ26" s="203"/>
      <c r="AR26" s="203"/>
      <c r="AS26" s="203"/>
      <c r="AT26" s="203"/>
      <c r="AU26" s="203"/>
      <c r="AV26" s="203"/>
      <c r="AW26" s="203"/>
      <c r="AX26" s="203"/>
      <c r="AY26" s="203"/>
      <c r="AZ26" s="203"/>
      <c r="BA26" s="203"/>
      <c r="BB26" s="203"/>
      <c r="BC26" s="203"/>
    </row>
    <row r="27" spans="1:55" s="155" customFormat="1" ht="12" hidden="1" x14ac:dyDescent="0.2">
      <c r="A27" s="146">
        <v>10</v>
      </c>
      <c r="B27" s="146"/>
      <c r="C27" s="206"/>
      <c r="D27" s="432">
        <f t="shared" si="5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2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  <c r="AN27" s="203"/>
      <c r="AO27" s="203"/>
      <c r="AP27" s="203"/>
      <c r="AQ27" s="203"/>
      <c r="AR27" s="203"/>
      <c r="AS27" s="203"/>
      <c r="AT27" s="203"/>
      <c r="AU27" s="203"/>
      <c r="AV27" s="203"/>
      <c r="AW27" s="203"/>
      <c r="AX27" s="203"/>
      <c r="AY27" s="203"/>
      <c r="AZ27" s="203"/>
      <c r="BA27" s="203"/>
      <c r="BB27" s="203"/>
      <c r="BC27" s="203"/>
    </row>
    <row r="28" spans="1:55" s="155" customFormat="1" ht="12" hidden="1" x14ac:dyDescent="0.2">
      <c r="A28" s="146">
        <v>11</v>
      </c>
      <c r="B28" s="146"/>
      <c r="C28" s="206"/>
      <c r="D28" s="432">
        <f t="shared" si="5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2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  <c r="AN28" s="203"/>
      <c r="AO28" s="203"/>
      <c r="AP28" s="203"/>
      <c r="AQ28" s="203"/>
      <c r="AR28" s="203"/>
      <c r="AS28" s="203"/>
      <c r="AT28" s="203"/>
      <c r="AU28" s="203"/>
      <c r="AV28" s="203"/>
      <c r="AW28" s="203"/>
      <c r="AX28" s="203"/>
      <c r="AY28" s="203"/>
      <c r="AZ28" s="203"/>
      <c r="BA28" s="203"/>
      <c r="BB28" s="203"/>
      <c r="BC28" s="203"/>
    </row>
    <row r="29" spans="1:55" s="155" customFormat="1" ht="12" hidden="1" x14ac:dyDescent="0.2">
      <c r="A29" s="146">
        <v>12</v>
      </c>
      <c r="B29" s="146"/>
      <c r="C29" s="206"/>
      <c r="D29" s="432">
        <f t="shared" si="5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2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  <c r="AN29" s="203"/>
      <c r="AO29" s="203"/>
      <c r="AP29" s="203"/>
      <c r="AQ29" s="203"/>
      <c r="AR29" s="203"/>
      <c r="AS29" s="203"/>
      <c r="AT29" s="203"/>
      <c r="AU29" s="203"/>
      <c r="AV29" s="203"/>
      <c r="AW29" s="203"/>
      <c r="AX29" s="203"/>
      <c r="AY29" s="203"/>
      <c r="AZ29" s="203"/>
      <c r="BA29" s="203"/>
      <c r="BB29" s="203"/>
      <c r="BC29" s="203"/>
    </row>
    <row r="30" spans="1:55" s="155" customFormat="1" ht="12" hidden="1" x14ac:dyDescent="0.2">
      <c r="A30" s="146">
        <v>13</v>
      </c>
      <c r="B30" s="146"/>
      <c r="C30" s="206"/>
      <c r="D30" s="432">
        <f t="shared" si="5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2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  <c r="AN30" s="203"/>
      <c r="AO30" s="203"/>
      <c r="AP30" s="203"/>
      <c r="AQ30" s="203"/>
      <c r="AR30" s="203"/>
      <c r="AS30" s="203"/>
      <c r="AT30" s="203"/>
      <c r="AU30" s="203"/>
      <c r="AV30" s="203"/>
      <c r="AW30" s="203"/>
      <c r="AX30" s="203"/>
      <c r="AY30" s="203"/>
      <c r="AZ30" s="203"/>
      <c r="BA30" s="203"/>
      <c r="BB30" s="203"/>
      <c r="BC30" s="203"/>
    </row>
    <row r="31" spans="1:55" s="155" customFormat="1" ht="12" hidden="1" x14ac:dyDescent="0.2">
      <c r="A31" s="146">
        <v>14</v>
      </c>
      <c r="B31" s="146"/>
      <c r="C31" s="206"/>
      <c r="D31" s="432">
        <f t="shared" si="5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2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  <c r="AN31" s="203"/>
      <c r="AO31" s="203"/>
      <c r="AP31" s="203"/>
      <c r="AQ31" s="203"/>
      <c r="AR31" s="203"/>
      <c r="AS31" s="203"/>
      <c r="AT31" s="203"/>
      <c r="AU31" s="203"/>
      <c r="AV31" s="203"/>
      <c r="AW31" s="203"/>
      <c r="AX31" s="203"/>
      <c r="AY31" s="203"/>
      <c r="AZ31" s="203"/>
      <c r="BA31" s="203"/>
      <c r="BB31" s="203"/>
      <c r="BC31" s="203"/>
    </row>
    <row r="32" spans="1:55" s="155" customFormat="1" ht="12" hidden="1" x14ac:dyDescent="0.2">
      <c r="A32" s="146">
        <v>15</v>
      </c>
      <c r="B32" s="146"/>
      <c r="C32" s="207"/>
      <c r="D32" s="432">
        <f t="shared" si="5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2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  <c r="AN32" s="203"/>
      <c r="AO32" s="203"/>
      <c r="AP32" s="203"/>
      <c r="AQ32" s="203"/>
      <c r="AR32" s="203"/>
      <c r="AS32" s="203"/>
      <c r="AT32" s="203"/>
      <c r="AU32" s="203"/>
      <c r="AV32" s="203"/>
      <c r="AW32" s="203"/>
      <c r="AX32" s="203"/>
      <c r="AY32" s="203"/>
      <c r="AZ32" s="203"/>
      <c r="BA32" s="203"/>
      <c r="BB32" s="203"/>
      <c r="BC32" s="203"/>
    </row>
    <row r="33" spans="1:55" s="155" customFormat="1" ht="12" x14ac:dyDescent="0.2">
      <c r="A33" s="164" t="s">
        <v>75</v>
      </c>
      <c r="B33" s="164"/>
      <c r="C33" s="208"/>
      <c r="D33" s="432">
        <f t="shared" si="5"/>
        <v>51638954</v>
      </c>
      <c r="E33" s="432">
        <f>SUM(E34:E42)</f>
        <v>10193382</v>
      </c>
      <c r="F33" s="432">
        <f t="shared" ref="F33:O33" si="6">SUM(F34:F42)</f>
        <v>3741928</v>
      </c>
      <c r="G33" s="432">
        <f t="shared" si="6"/>
        <v>1360809</v>
      </c>
      <c r="H33" s="432">
        <f t="shared" si="6"/>
        <v>0</v>
      </c>
      <c r="I33" s="432">
        <f t="shared" si="6"/>
        <v>18995203</v>
      </c>
      <c r="J33" s="432">
        <f t="shared" si="6"/>
        <v>1210000</v>
      </c>
      <c r="K33" s="432">
        <f t="shared" si="6"/>
        <v>9918390</v>
      </c>
      <c r="L33" s="432">
        <f t="shared" si="6"/>
        <v>0</v>
      </c>
      <c r="M33" s="432">
        <f t="shared" si="6"/>
        <v>3847340</v>
      </c>
      <c r="N33" s="432">
        <f t="shared" si="6"/>
        <v>7404214</v>
      </c>
      <c r="O33" s="432">
        <f t="shared" si="6"/>
        <v>70425</v>
      </c>
      <c r="P33" s="432">
        <f t="shared" si="2"/>
        <v>47393930</v>
      </c>
      <c r="Q33" s="432">
        <f>SUM(Q34:Q42)</f>
        <v>20582001</v>
      </c>
      <c r="R33" s="432">
        <f t="shared" ref="R33:AM33" si="7">SUM(R34:R42)</f>
        <v>6941868</v>
      </c>
      <c r="S33" s="432">
        <f t="shared" si="7"/>
        <v>30717</v>
      </c>
      <c r="T33" s="432">
        <f t="shared" si="7"/>
        <v>0</v>
      </c>
      <c r="U33" s="432">
        <f t="shared" si="7"/>
        <v>390000</v>
      </c>
      <c r="V33" s="432">
        <f t="shared" si="7"/>
        <v>0</v>
      </c>
      <c r="W33" s="432">
        <f t="shared" si="7"/>
        <v>11248331</v>
      </c>
      <c r="X33" s="432">
        <f t="shared" si="7"/>
        <v>2105424</v>
      </c>
      <c r="Y33" s="432">
        <f t="shared" si="7"/>
        <v>85490</v>
      </c>
      <c r="Z33" s="432">
        <f t="shared" si="7"/>
        <v>5979518</v>
      </c>
      <c r="AA33" s="432">
        <f t="shared" si="7"/>
        <v>108059</v>
      </c>
      <c r="AB33" s="432">
        <f t="shared" si="7"/>
        <v>-77478</v>
      </c>
      <c r="AC33" s="432">
        <f t="shared" si="7"/>
        <v>4408988</v>
      </c>
      <c r="AD33" s="432">
        <f t="shared" si="7"/>
        <v>898499</v>
      </c>
      <c r="AE33" s="432">
        <f t="shared" si="7"/>
        <v>25772642</v>
      </c>
      <c r="AF33" s="432">
        <f t="shared" si="7"/>
        <v>2392147</v>
      </c>
      <c r="AG33" s="432">
        <f t="shared" si="7"/>
        <v>1205239</v>
      </c>
      <c r="AH33" s="432">
        <f t="shared" si="7"/>
        <v>3497548</v>
      </c>
      <c r="AI33" s="432">
        <f t="shared" si="7"/>
        <v>3500344</v>
      </c>
      <c r="AJ33" s="432">
        <f t="shared" si="7"/>
        <v>782438</v>
      </c>
      <c r="AK33" s="432">
        <f t="shared" si="7"/>
        <v>0</v>
      </c>
      <c r="AL33" s="432">
        <f>SUM(AL34:AL42)</f>
        <v>4765340</v>
      </c>
      <c r="AM33" s="432">
        <f t="shared" si="7"/>
        <v>170745</v>
      </c>
      <c r="AN33" s="203"/>
      <c r="AO33" s="203"/>
      <c r="AP33" s="203"/>
      <c r="AQ33" s="203"/>
      <c r="AR33" s="203"/>
      <c r="AS33" s="203"/>
      <c r="AT33" s="203"/>
      <c r="AU33" s="203"/>
      <c r="AV33" s="203"/>
      <c r="AW33" s="203"/>
      <c r="AX33" s="203"/>
      <c r="AY33" s="203"/>
      <c r="AZ33" s="203"/>
      <c r="BA33" s="203"/>
      <c r="BB33" s="203"/>
      <c r="BC33" s="203"/>
    </row>
    <row r="34" spans="1:55" s="155" customFormat="1" ht="12" x14ac:dyDescent="0.2">
      <c r="A34" s="146">
        <v>1</v>
      </c>
      <c r="B34" s="222">
        <v>109924</v>
      </c>
      <c r="C34" s="243" t="s">
        <v>500</v>
      </c>
      <c r="D34" s="432">
        <f t="shared" si="5"/>
        <v>21225049</v>
      </c>
      <c r="E34" s="431">
        <v>2846968</v>
      </c>
      <c r="F34" s="431">
        <v>1096650</v>
      </c>
      <c r="G34" s="431">
        <v>573898</v>
      </c>
      <c r="H34" s="431">
        <v>0</v>
      </c>
      <c r="I34" s="431">
        <v>5330381</v>
      </c>
      <c r="J34" s="431">
        <v>800000</v>
      </c>
      <c r="K34" s="431">
        <v>4042950</v>
      </c>
      <c r="L34" s="431">
        <v>0</v>
      </c>
      <c r="M34" s="431">
        <v>1197150</v>
      </c>
      <c r="N34" s="431">
        <v>7007600</v>
      </c>
      <c r="O34" s="431">
        <v>0</v>
      </c>
      <c r="P34" s="432">
        <f t="shared" si="2"/>
        <v>20861158</v>
      </c>
      <c r="Q34" s="431">
        <v>5784891</v>
      </c>
      <c r="R34" s="431">
        <v>2322843</v>
      </c>
      <c r="S34" s="431">
        <v>0</v>
      </c>
      <c r="T34" s="431">
        <v>0</v>
      </c>
      <c r="U34" s="431">
        <v>370000</v>
      </c>
      <c r="V34" s="431">
        <v>0</v>
      </c>
      <c r="W34" s="431">
        <v>10730190</v>
      </c>
      <c r="X34" s="431">
        <v>256233</v>
      </c>
      <c r="Y34" s="431">
        <v>0</v>
      </c>
      <c r="Z34" s="431">
        <v>1386624</v>
      </c>
      <c r="AA34" s="431">
        <v>52000</v>
      </c>
      <c r="AB34" s="431">
        <v>-41623</v>
      </c>
      <c r="AC34" s="431">
        <v>1286729</v>
      </c>
      <c r="AD34" s="431">
        <v>221618</v>
      </c>
      <c r="AE34" s="431">
        <v>13415400</v>
      </c>
      <c r="AF34" s="431">
        <v>2181732</v>
      </c>
      <c r="AG34" s="431">
        <v>561176</v>
      </c>
      <c r="AH34" s="431">
        <v>422410</v>
      </c>
      <c r="AI34" s="431">
        <v>813267</v>
      </c>
      <c r="AJ34" s="431">
        <v>183762</v>
      </c>
      <c r="AK34" s="431">
        <v>0</v>
      </c>
      <c r="AL34" s="431">
        <v>1604319</v>
      </c>
      <c r="AM34" s="431">
        <v>170745</v>
      </c>
      <c r="AN34" s="203"/>
      <c r="AO34" s="203"/>
      <c r="AP34" s="203"/>
      <c r="AQ34" s="203"/>
      <c r="AR34" s="203"/>
      <c r="AS34" s="203"/>
      <c r="AT34" s="203"/>
      <c r="AU34" s="203"/>
      <c r="AV34" s="203"/>
      <c r="AW34" s="203"/>
      <c r="AX34" s="203"/>
      <c r="AY34" s="203"/>
      <c r="AZ34" s="203"/>
      <c r="BA34" s="203"/>
      <c r="BB34" s="203"/>
      <c r="BC34" s="203"/>
    </row>
    <row r="35" spans="1:55" s="155" customFormat="1" ht="12" x14ac:dyDescent="0.2">
      <c r="A35" s="146">
        <v>2</v>
      </c>
      <c r="B35" s="222">
        <v>110116</v>
      </c>
      <c r="C35" s="243" t="s">
        <v>501</v>
      </c>
      <c r="D35" s="432">
        <f t="shared" si="5"/>
        <v>15520144</v>
      </c>
      <c r="E35" s="431">
        <v>3881309</v>
      </c>
      <c r="F35" s="431">
        <v>1441900</v>
      </c>
      <c r="G35" s="431">
        <v>333322</v>
      </c>
      <c r="H35" s="431">
        <v>0</v>
      </c>
      <c r="I35" s="431">
        <v>8806648</v>
      </c>
      <c r="J35" s="431">
        <v>0</v>
      </c>
      <c r="K35" s="431">
        <v>2689030</v>
      </c>
      <c r="L35" s="431">
        <v>0</v>
      </c>
      <c r="M35" s="431">
        <v>122669</v>
      </c>
      <c r="N35" s="431">
        <v>0</v>
      </c>
      <c r="O35" s="431">
        <v>20488</v>
      </c>
      <c r="P35" s="432">
        <f t="shared" si="2"/>
        <v>13530413</v>
      </c>
      <c r="Q35" s="431">
        <v>9428218</v>
      </c>
      <c r="R35" s="431">
        <v>2546573</v>
      </c>
      <c r="S35" s="431">
        <v>0</v>
      </c>
      <c r="T35" s="431">
        <v>0</v>
      </c>
      <c r="U35" s="431">
        <v>20000</v>
      </c>
      <c r="V35" s="431">
        <v>0</v>
      </c>
      <c r="W35" s="431">
        <v>0</v>
      </c>
      <c r="X35" s="431">
        <v>972872</v>
      </c>
      <c r="Y35" s="431">
        <v>57890</v>
      </c>
      <c r="Z35" s="431">
        <v>520576</v>
      </c>
      <c r="AA35" s="431">
        <v>0</v>
      </c>
      <c r="AB35" s="431">
        <v>-15716</v>
      </c>
      <c r="AC35" s="431">
        <v>1403371</v>
      </c>
      <c r="AD35" s="431">
        <v>430464</v>
      </c>
      <c r="AE35" s="431">
        <v>7696068</v>
      </c>
      <c r="AF35" s="431">
        <v>169716</v>
      </c>
      <c r="AG35" s="431">
        <v>321120</v>
      </c>
      <c r="AH35" s="431">
        <v>1915226</v>
      </c>
      <c r="AI35" s="431">
        <v>673973</v>
      </c>
      <c r="AJ35" s="431">
        <v>300708</v>
      </c>
      <c r="AK35" s="431">
        <v>0</v>
      </c>
      <c r="AL35" s="431">
        <v>619767</v>
      </c>
      <c r="AM35" s="431">
        <v>0</v>
      </c>
      <c r="AN35" s="203"/>
      <c r="AO35" s="203"/>
      <c r="AP35" s="203"/>
      <c r="AQ35" s="203"/>
      <c r="AR35" s="203"/>
      <c r="AS35" s="203"/>
      <c r="AT35" s="203"/>
      <c r="AU35" s="203"/>
      <c r="AV35" s="203"/>
      <c r="AW35" s="203"/>
      <c r="AX35" s="203"/>
      <c r="AY35" s="203"/>
      <c r="AZ35" s="203"/>
      <c r="BA35" s="203"/>
      <c r="BB35" s="203"/>
      <c r="BC35" s="203"/>
    </row>
    <row r="36" spans="1:55" s="155" customFormat="1" ht="12" x14ac:dyDescent="0.2">
      <c r="A36" s="146">
        <v>3</v>
      </c>
      <c r="B36" s="222">
        <v>110232</v>
      </c>
      <c r="C36" s="243" t="s">
        <v>502</v>
      </c>
      <c r="D36" s="432">
        <f t="shared" si="5"/>
        <v>14893761</v>
      </c>
      <c r="E36" s="431">
        <v>3465105</v>
      </c>
      <c r="F36" s="431">
        <v>1203378</v>
      </c>
      <c r="G36" s="431">
        <v>453589</v>
      </c>
      <c r="H36" s="431">
        <v>0</v>
      </c>
      <c r="I36" s="431">
        <v>4858174</v>
      </c>
      <c r="J36" s="431">
        <v>410000</v>
      </c>
      <c r="K36" s="431">
        <v>3186410</v>
      </c>
      <c r="L36" s="431">
        <v>0</v>
      </c>
      <c r="M36" s="431">
        <v>2527521</v>
      </c>
      <c r="N36" s="431">
        <v>396614</v>
      </c>
      <c r="O36" s="431">
        <v>49937</v>
      </c>
      <c r="P36" s="432">
        <f t="shared" si="2"/>
        <v>13002359</v>
      </c>
      <c r="Q36" s="431">
        <v>5368892</v>
      </c>
      <c r="R36" s="431">
        <v>2072452</v>
      </c>
      <c r="S36" s="431">
        <v>30717</v>
      </c>
      <c r="T36" s="431">
        <v>0</v>
      </c>
      <c r="U36" s="431">
        <v>0</v>
      </c>
      <c r="V36" s="431">
        <v>0</v>
      </c>
      <c r="W36" s="431">
        <v>518141</v>
      </c>
      <c r="X36" s="431">
        <v>876319</v>
      </c>
      <c r="Y36" s="431">
        <v>27600</v>
      </c>
      <c r="Z36" s="431">
        <v>4072318</v>
      </c>
      <c r="AA36" s="431">
        <v>56059</v>
      </c>
      <c r="AB36" s="431">
        <v>-20139</v>
      </c>
      <c r="AC36" s="431">
        <v>1718888</v>
      </c>
      <c r="AD36" s="431">
        <v>246417</v>
      </c>
      <c r="AE36" s="431">
        <v>4661174</v>
      </c>
      <c r="AF36" s="431">
        <v>40699</v>
      </c>
      <c r="AG36" s="431">
        <v>322943</v>
      </c>
      <c r="AH36" s="431">
        <v>1159912</v>
      </c>
      <c r="AI36" s="431">
        <v>2013104</v>
      </c>
      <c r="AJ36" s="431">
        <v>297968</v>
      </c>
      <c r="AK36" s="431">
        <v>0</v>
      </c>
      <c r="AL36" s="431">
        <v>2541254</v>
      </c>
      <c r="AM36" s="431">
        <v>0</v>
      </c>
      <c r="AN36" s="203"/>
      <c r="AO36" s="203"/>
      <c r="AP36" s="203"/>
      <c r="AQ36" s="203"/>
      <c r="AR36" s="203"/>
      <c r="AS36" s="203"/>
      <c r="AT36" s="203"/>
      <c r="AU36" s="203"/>
      <c r="AV36" s="203"/>
      <c r="AW36" s="203"/>
      <c r="AX36" s="203"/>
      <c r="AY36" s="203"/>
      <c r="AZ36" s="203"/>
      <c r="BA36" s="203"/>
      <c r="BB36" s="203"/>
      <c r="BC36" s="203"/>
    </row>
    <row r="37" spans="1:55" s="155" customFormat="1" ht="12" hidden="1" x14ac:dyDescent="0.2">
      <c r="A37" s="146">
        <v>4</v>
      </c>
      <c r="B37" s="181"/>
      <c r="C37" s="172"/>
      <c r="D37" s="432">
        <f t="shared" si="5"/>
        <v>0</v>
      </c>
      <c r="E37" s="435"/>
      <c r="F37" s="435"/>
      <c r="G37" s="435"/>
      <c r="H37" s="435"/>
      <c r="I37" s="435"/>
      <c r="J37" s="435"/>
      <c r="K37" s="435"/>
      <c r="L37" s="435"/>
      <c r="M37" s="435"/>
      <c r="N37" s="435"/>
      <c r="O37" s="435"/>
      <c r="P37" s="432">
        <f t="shared" si="2"/>
        <v>0</v>
      </c>
      <c r="Q37" s="435"/>
      <c r="R37" s="435"/>
      <c r="S37" s="435"/>
      <c r="T37" s="435"/>
      <c r="U37" s="435"/>
      <c r="V37" s="431"/>
      <c r="W37" s="431"/>
      <c r="X37" s="431"/>
      <c r="Y37" s="431"/>
      <c r="Z37" s="431"/>
      <c r="AA37" s="431"/>
      <c r="AB37" s="431"/>
      <c r="AC37" s="445"/>
      <c r="AD37" s="435"/>
      <c r="AE37" s="435"/>
      <c r="AF37" s="435"/>
      <c r="AG37" s="435"/>
      <c r="AH37" s="435"/>
      <c r="AI37" s="435"/>
      <c r="AJ37" s="435"/>
      <c r="AK37" s="435"/>
      <c r="AL37" s="435"/>
      <c r="AM37" s="435"/>
      <c r="AN37" s="203"/>
      <c r="AO37" s="203"/>
      <c r="AP37" s="203"/>
      <c r="AQ37" s="203"/>
      <c r="AR37" s="203"/>
      <c r="AS37" s="203"/>
      <c r="AT37" s="203"/>
      <c r="AU37" s="203"/>
      <c r="AV37" s="203"/>
      <c r="AW37" s="203"/>
      <c r="AX37" s="203"/>
      <c r="AY37" s="203"/>
      <c r="AZ37" s="203"/>
      <c r="BA37" s="203"/>
      <c r="BB37" s="203"/>
      <c r="BC37" s="203"/>
    </row>
    <row r="38" spans="1:55" s="155" customFormat="1" ht="12" hidden="1" x14ac:dyDescent="0.2">
      <c r="A38" s="146">
        <v>5</v>
      </c>
      <c r="B38" s="146"/>
      <c r="C38" s="172"/>
      <c r="D38" s="432">
        <f t="shared" si="5"/>
        <v>0</v>
      </c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2">
        <f t="shared" si="2"/>
        <v>0</v>
      </c>
      <c r="Q38" s="435"/>
      <c r="R38" s="435"/>
      <c r="S38" s="435"/>
      <c r="T38" s="435"/>
      <c r="U38" s="435"/>
      <c r="V38" s="431"/>
      <c r="W38" s="431"/>
      <c r="X38" s="431"/>
      <c r="Y38" s="431"/>
      <c r="Z38" s="435"/>
      <c r="AA38" s="431"/>
      <c r="AB38" s="431"/>
      <c r="AC38" s="445"/>
      <c r="AD38" s="435"/>
      <c r="AE38" s="435"/>
      <c r="AF38" s="435"/>
      <c r="AG38" s="435"/>
      <c r="AH38" s="435"/>
      <c r="AI38" s="435"/>
      <c r="AJ38" s="435"/>
      <c r="AK38" s="435"/>
      <c r="AL38" s="435"/>
      <c r="AM38" s="435"/>
      <c r="AN38" s="203"/>
      <c r="AO38" s="203"/>
      <c r="AP38" s="203"/>
      <c r="AQ38" s="203"/>
      <c r="AR38" s="203"/>
      <c r="AS38" s="203"/>
      <c r="AT38" s="203"/>
      <c r="AU38" s="203"/>
      <c r="AV38" s="203"/>
      <c r="AW38" s="203"/>
      <c r="AX38" s="203"/>
      <c r="AY38" s="203"/>
      <c r="AZ38" s="203"/>
      <c r="BA38" s="203"/>
      <c r="BB38" s="203"/>
      <c r="BC38" s="203"/>
    </row>
    <row r="39" spans="1:55" s="155" customFormat="1" ht="12" hidden="1" x14ac:dyDescent="0.2">
      <c r="A39" s="146">
        <v>6</v>
      </c>
      <c r="B39" s="146"/>
      <c r="C39" s="172"/>
      <c r="D39" s="432">
        <f t="shared" si="5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2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  <c r="AN39" s="203"/>
      <c r="AO39" s="203"/>
      <c r="AP39" s="203"/>
      <c r="AQ39" s="203"/>
      <c r="AR39" s="203"/>
      <c r="AS39" s="203"/>
      <c r="AT39" s="203"/>
      <c r="AU39" s="203"/>
      <c r="AV39" s="203"/>
      <c r="AW39" s="203"/>
      <c r="AX39" s="203"/>
      <c r="AY39" s="203"/>
      <c r="AZ39" s="203"/>
      <c r="BA39" s="203"/>
      <c r="BB39" s="203"/>
      <c r="BC39" s="203"/>
    </row>
    <row r="40" spans="1:55" s="155" customFormat="1" ht="12" hidden="1" x14ac:dyDescent="0.2">
      <c r="A40" s="146">
        <v>7</v>
      </c>
      <c r="B40" s="146"/>
      <c r="C40" s="182"/>
      <c r="D40" s="432">
        <f t="shared" si="5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2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  <c r="AN40" s="203"/>
      <c r="AO40" s="203"/>
      <c r="AP40" s="203"/>
      <c r="AQ40" s="203"/>
      <c r="AR40" s="203"/>
      <c r="AS40" s="203"/>
      <c r="AT40" s="203"/>
      <c r="AU40" s="203"/>
      <c r="AV40" s="203"/>
      <c r="AW40" s="203"/>
      <c r="AX40" s="203"/>
      <c r="AY40" s="203"/>
      <c r="AZ40" s="203"/>
      <c r="BA40" s="203"/>
      <c r="BB40" s="203"/>
      <c r="BC40" s="203"/>
    </row>
    <row r="41" spans="1:55" s="155" customFormat="1" ht="12" hidden="1" x14ac:dyDescent="0.2">
      <c r="A41" s="146">
        <v>8</v>
      </c>
      <c r="B41" s="146"/>
      <c r="C41" s="173"/>
      <c r="D41" s="432">
        <f t="shared" si="5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2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  <c r="AN41" s="203"/>
      <c r="AO41" s="203"/>
      <c r="AP41" s="203"/>
      <c r="AQ41" s="203"/>
      <c r="AR41" s="203"/>
      <c r="AS41" s="203"/>
      <c r="AT41" s="203"/>
      <c r="AU41" s="203"/>
      <c r="AV41" s="203"/>
      <c r="AW41" s="203"/>
      <c r="AX41" s="203"/>
      <c r="AY41" s="203"/>
      <c r="AZ41" s="203"/>
      <c r="BA41" s="203"/>
      <c r="BB41" s="203"/>
      <c r="BC41" s="203"/>
    </row>
    <row r="42" spans="1:55" s="155" customFormat="1" ht="12" hidden="1" x14ac:dyDescent="0.2">
      <c r="A42" s="146">
        <v>9</v>
      </c>
      <c r="B42" s="146"/>
      <c r="C42" s="206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2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  <c r="AN42" s="203"/>
      <c r="AO42" s="203"/>
      <c r="AP42" s="203"/>
      <c r="AQ42" s="203"/>
      <c r="AR42" s="203"/>
      <c r="AS42" s="203"/>
      <c r="AT42" s="203"/>
      <c r="AU42" s="203"/>
      <c r="AV42" s="203"/>
      <c r="AW42" s="203"/>
      <c r="AX42" s="203"/>
      <c r="AY42" s="203"/>
      <c r="AZ42" s="203"/>
      <c r="BA42" s="203"/>
      <c r="BB42" s="203"/>
      <c r="BC42" s="203"/>
    </row>
    <row r="43" spans="1:55" s="155" customFormat="1" ht="12" hidden="1" x14ac:dyDescent="0.2">
      <c r="A43" s="146">
        <v>10</v>
      </c>
      <c r="B43" s="146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2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  <c r="AN43" s="203"/>
      <c r="AO43" s="203"/>
      <c r="AP43" s="203"/>
      <c r="AQ43" s="203"/>
      <c r="AR43" s="203"/>
      <c r="AS43" s="203"/>
      <c r="AT43" s="203"/>
      <c r="AU43" s="203"/>
      <c r="AV43" s="203"/>
      <c r="AW43" s="203"/>
      <c r="AX43" s="203"/>
      <c r="AY43" s="203"/>
      <c r="AZ43" s="203"/>
      <c r="BA43" s="203"/>
      <c r="BB43" s="203"/>
      <c r="BC43" s="203"/>
    </row>
    <row r="44" spans="1:55" s="155" customFormat="1" ht="12" hidden="1" x14ac:dyDescent="0.2">
      <c r="A44" s="146">
        <v>11</v>
      </c>
      <c r="B44" s="146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2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  <c r="AN44" s="203"/>
      <c r="AO44" s="203"/>
      <c r="AP44" s="203"/>
      <c r="AQ44" s="203"/>
      <c r="AR44" s="203"/>
      <c r="AS44" s="203"/>
      <c r="AT44" s="203"/>
      <c r="AU44" s="203"/>
      <c r="AV44" s="203"/>
      <c r="AW44" s="203"/>
      <c r="AX44" s="203"/>
      <c r="AY44" s="203"/>
      <c r="AZ44" s="203"/>
      <c r="BA44" s="203"/>
      <c r="BB44" s="203"/>
      <c r="BC44" s="203"/>
    </row>
    <row r="45" spans="1:55" s="155" customFormat="1" ht="12" hidden="1" x14ac:dyDescent="0.2">
      <c r="A45" s="146">
        <v>12</v>
      </c>
      <c r="B45" s="146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2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  <c r="AN45" s="203"/>
      <c r="AO45" s="203"/>
      <c r="AP45" s="203"/>
      <c r="AQ45" s="203"/>
      <c r="AR45" s="203"/>
      <c r="AS45" s="203"/>
      <c r="AT45" s="203"/>
      <c r="AU45" s="203"/>
      <c r="AV45" s="203"/>
      <c r="AW45" s="203"/>
      <c r="AX45" s="203"/>
      <c r="AY45" s="203"/>
      <c r="AZ45" s="203"/>
      <c r="BA45" s="203"/>
      <c r="BB45" s="203"/>
      <c r="BC45" s="203"/>
    </row>
    <row r="46" spans="1:55" s="155" customFormat="1" ht="12" hidden="1" x14ac:dyDescent="0.2">
      <c r="A46" s="146">
        <v>13</v>
      </c>
      <c r="B46" s="146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2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  <c r="AN46" s="203"/>
      <c r="AO46" s="203"/>
      <c r="AP46" s="203"/>
      <c r="AQ46" s="203"/>
      <c r="AR46" s="203"/>
      <c r="AS46" s="203"/>
      <c r="AT46" s="203"/>
      <c r="AU46" s="203"/>
      <c r="AV46" s="203"/>
      <c r="AW46" s="203"/>
      <c r="AX46" s="203"/>
      <c r="AY46" s="203"/>
      <c r="AZ46" s="203"/>
      <c r="BA46" s="203"/>
      <c r="BB46" s="203"/>
      <c r="BC46" s="203"/>
    </row>
    <row r="47" spans="1:55" s="155" customFormat="1" ht="12" hidden="1" x14ac:dyDescent="0.2">
      <c r="A47" s="146">
        <v>14</v>
      </c>
      <c r="B47" s="146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2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  <c r="AN47" s="203"/>
      <c r="AO47" s="203"/>
      <c r="AP47" s="203"/>
      <c r="AQ47" s="203"/>
      <c r="AR47" s="203"/>
      <c r="AS47" s="203"/>
      <c r="AT47" s="203"/>
      <c r="AU47" s="203"/>
      <c r="AV47" s="203"/>
      <c r="AW47" s="203"/>
      <c r="AX47" s="203"/>
      <c r="AY47" s="203"/>
      <c r="AZ47" s="203"/>
      <c r="BA47" s="203"/>
      <c r="BB47" s="203"/>
      <c r="BC47" s="203"/>
    </row>
    <row r="48" spans="1:55" s="155" customFormat="1" ht="12" hidden="1" x14ac:dyDescent="0.2">
      <c r="A48" s="146">
        <v>15</v>
      </c>
      <c r="B48" s="146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2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  <c r="AN48" s="203"/>
      <c r="AO48" s="203"/>
      <c r="AP48" s="203"/>
      <c r="AQ48" s="203"/>
      <c r="AR48" s="203"/>
      <c r="AS48" s="203"/>
      <c r="AT48" s="203"/>
      <c r="AU48" s="203"/>
      <c r="AV48" s="203"/>
      <c r="AW48" s="203"/>
      <c r="AX48" s="203"/>
      <c r="AY48" s="203"/>
      <c r="AZ48" s="203"/>
      <c r="BA48" s="203"/>
      <c r="BB48" s="203"/>
      <c r="BC48" s="203"/>
    </row>
    <row r="49" spans="1:55" s="155" customFormat="1" ht="12" hidden="1" x14ac:dyDescent="0.2">
      <c r="A49" s="146">
        <v>16</v>
      </c>
      <c r="B49" s="146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2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  <c r="AN49" s="203"/>
      <c r="AO49" s="203"/>
      <c r="AP49" s="203"/>
      <c r="AQ49" s="203"/>
      <c r="AR49" s="203"/>
      <c r="AS49" s="203"/>
      <c r="AT49" s="203"/>
      <c r="AU49" s="203"/>
      <c r="AV49" s="203"/>
      <c r="AW49" s="203"/>
      <c r="AX49" s="203"/>
      <c r="AY49" s="203"/>
      <c r="AZ49" s="203"/>
      <c r="BA49" s="203"/>
      <c r="BB49" s="203"/>
      <c r="BC49" s="203"/>
    </row>
    <row r="50" spans="1:55" s="155" customFormat="1" ht="12" hidden="1" x14ac:dyDescent="0.2">
      <c r="A50" s="146">
        <v>17</v>
      </c>
      <c r="B50" s="146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2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  <c r="AN50" s="203"/>
      <c r="AO50" s="203"/>
      <c r="AP50" s="203"/>
      <c r="AQ50" s="203"/>
      <c r="AR50" s="203"/>
      <c r="AS50" s="203"/>
      <c r="AT50" s="203"/>
      <c r="AU50" s="203"/>
      <c r="AV50" s="203"/>
      <c r="AW50" s="203"/>
      <c r="AX50" s="203"/>
      <c r="AY50" s="203"/>
      <c r="AZ50" s="203"/>
      <c r="BA50" s="203"/>
      <c r="BB50" s="203"/>
      <c r="BC50" s="203"/>
    </row>
    <row r="51" spans="1:55" s="155" customFormat="1" ht="12" hidden="1" x14ac:dyDescent="0.2">
      <c r="A51" s="146">
        <v>18</v>
      </c>
      <c r="B51" s="146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2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  <c r="AN51" s="203"/>
      <c r="AO51" s="203"/>
      <c r="AP51" s="203"/>
      <c r="AQ51" s="203"/>
      <c r="AR51" s="203"/>
      <c r="AS51" s="203"/>
      <c r="AT51" s="203"/>
      <c r="AU51" s="203"/>
      <c r="AV51" s="203"/>
      <c r="AW51" s="203"/>
      <c r="AX51" s="203"/>
      <c r="AY51" s="203"/>
      <c r="AZ51" s="203"/>
      <c r="BA51" s="203"/>
      <c r="BB51" s="203"/>
      <c r="BC51" s="203"/>
    </row>
    <row r="52" spans="1:55" s="155" customFormat="1" ht="12" hidden="1" x14ac:dyDescent="0.2">
      <c r="A52" s="146">
        <v>19</v>
      </c>
      <c r="B52" s="146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2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  <c r="AN52" s="203"/>
      <c r="AO52" s="203"/>
      <c r="AP52" s="203"/>
      <c r="AQ52" s="203"/>
      <c r="AR52" s="203"/>
      <c r="AS52" s="203"/>
      <c r="AT52" s="203"/>
      <c r="AU52" s="203"/>
      <c r="AV52" s="203"/>
      <c r="AW52" s="203"/>
      <c r="AX52" s="203"/>
      <c r="AY52" s="203"/>
      <c r="AZ52" s="203"/>
      <c r="BA52" s="203"/>
      <c r="BB52" s="203"/>
      <c r="BC52" s="203"/>
    </row>
    <row r="53" spans="1:55" s="155" customFormat="1" ht="12" hidden="1" x14ac:dyDescent="0.2">
      <c r="A53" s="146">
        <v>20</v>
      </c>
      <c r="B53" s="146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2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  <c r="AN53" s="203"/>
      <c r="AO53" s="203"/>
      <c r="AP53" s="203"/>
      <c r="AQ53" s="203"/>
      <c r="AR53" s="203"/>
      <c r="AS53" s="203"/>
      <c r="AT53" s="203"/>
      <c r="AU53" s="203"/>
      <c r="AV53" s="203"/>
      <c r="AW53" s="203"/>
      <c r="AX53" s="203"/>
      <c r="AY53" s="203"/>
      <c r="AZ53" s="203"/>
      <c r="BA53" s="203"/>
      <c r="BB53" s="203"/>
      <c r="BC53" s="203"/>
    </row>
    <row r="54" spans="1:55" s="155" customFormat="1" ht="12.75" customHeight="1" x14ac:dyDescent="0.2">
      <c r="A54" s="164" t="s">
        <v>76</v>
      </c>
      <c r="B54" s="164"/>
      <c r="C54" s="208"/>
      <c r="D54" s="432">
        <f t="shared" ref="D54:D117" si="8">E54+SUM(H54:O54)</f>
        <v>327601092</v>
      </c>
      <c r="E54" s="432">
        <f>SUM(E55:E143)</f>
        <v>49847785</v>
      </c>
      <c r="F54" s="432">
        <f t="shared" ref="F54:O54" si="9">SUM(F55:F143)</f>
        <v>14155994</v>
      </c>
      <c r="G54" s="432">
        <f t="shared" si="9"/>
        <v>10357865</v>
      </c>
      <c r="H54" s="432">
        <f t="shared" si="9"/>
        <v>0</v>
      </c>
      <c r="I54" s="432">
        <f t="shared" si="9"/>
        <v>85483323</v>
      </c>
      <c r="J54" s="432">
        <f t="shared" si="9"/>
        <v>16759849</v>
      </c>
      <c r="K54" s="432">
        <f t="shared" si="9"/>
        <v>67769446</v>
      </c>
      <c r="L54" s="432">
        <f t="shared" si="9"/>
        <v>0</v>
      </c>
      <c r="M54" s="432">
        <f t="shared" si="9"/>
        <v>71963756</v>
      </c>
      <c r="N54" s="432">
        <f t="shared" si="9"/>
        <v>33015544</v>
      </c>
      <c r="O54" s="432">
        <f t="shared" si="9"/>
        <v>2761389</v>
      </c>
      <c r="P54" s="432">
        <f t="shared" si="2"/>
        <v>314753738</v>
      </c>
      <c r="Q54" s="432">
        <f>SUM(Q55:Q143)</f>
        <v>94738870</v>
      </c>
      <c r="R54" s="432">
        <f t="shared" ref="R54:AM54" si="10">SUM(R55:R143)</f>
        <v>49656264</v>
      </c>
      <c r="S54" s="432">
        <f t="shared" si="10"/>
        <v>344288</v>
      </c>
      <c r="T54" s="432">
        <f t="shared" si="10"/>
        <v>0</v>
      </c>
      <c r="U54" s="432">
        <f t="shared" si="10"/>
        <v>0</v>
      </c>
      <c r="V54" s="432">
        <f t="shared" si="10"/>
        <v>201923</v>
      </c>
      <c r="W54" s="432">
        <f t="shared" si="10"/>
        <v>45974619</v>
      </c>
      <c r="X54" s="432">
        <f t="shared" si="10"/>
        <v>18707099</v>
      </c>
      <c r="Y54" s="432">
        <f t="shared" si="10"/>
        <v>1467218</v>
      </c>
      <c r="Z54" s="432">
        <f t="shared" si="10"/>
        <v>103238372</v>
      </c>
      <c r="AA54" s="432">
        <f t="shared" si="10"/>
        <v>1179480</v>
      </c>
      <c r="AB54" s="432">
        <f t="shared" si="10"/>
        <v>-754395</v>
      </c>
      <c r="AC54" s="432">
        <f t="shared" si="10"/>
        <v>54771338</v>
      </c>
      <c r="AD54" s="432">
        <f t="shared" si="10"/>
        <v>2501607</v>
      </c>
      <c r="AE54" s="432">
        <f t="shared" si="10"/>
        <v>73679990</v>
      </c>
      <c r="AF54" s="432">
        <f t="shared" si="10"/>
        <v>1133924</v>
      </c>
      <c r="AG54" s="432">
        <f t="shared" si="10"/>
        <v>8738474</v>
      </c>
      <c r="AH54" s="432">
        <f t="shared" si="10"/>
        <v>28525880</v>
      </c>
      <c r="AI54" s="432">
        <f t="shared" si="10"/>
        <v>37828726</v>
      </c>
      <c r="AJ54" s="432">
        <f t="shared" si="10"/>
        <v>15570773</v>
      </c>
      <c r="AK54" s="432">
        <f t="shared" si="10"/>
        <v>0</v>
      </c>
      <c r="AL54" s="432">
        <f>SUM(AL55:AL143)</f>
        <v>81983230</v>
      </c>
      <c r="AM54" s="432">
        <f t="shared" si="10"/>
        <v>10019796</v>
      </c>
      <c r="AN54" s="203"/>
      <c r="AO54" s="203"/>
      <c r="AP54" s="203"/>
      <c r="AQ54" s="203"/>
      <c r="AR54" s="203"/>
      <c r="AS54" s="203"/>
      <c r="AT54" s="203"/>
      <c r="AU54" s="203"/>
      <c r="AV54" s="203"/>
      <c r="AW54" s="203"/>
      <c r="AX54" s="203"/>
      <c r="AY54" s="203"/>
      <c r="AZ54" s="203"/>
      <c r="BA54" s="203"/>
      <c r="BB54" s="203"/>
      <c r="BC54" s="203"/>
    </row>
    <row r="55" spans="1:55" s="155" customFormat="1" ht="12" x14ac:dyDescent="0.2">
      <c r="A55" s="168">
        <v>1</v>
      </c>
      <c r="B55" s="223">
        <v>110296</v>
      </c>
      <c r="C55" s="243" t="s">
        <v>503</v>
      </c>
      <c r="D55" s="432">
        <f t="shared" si="8"/>
        <v>9050092</v>
      </c>
      <c r="E55" s="431">
        <v>821644</v>
      </c>
      <c r="F55" s="431">
        <v>185715</v>
      </c>
      <c r="G55" s="431">
        <v>161478</v>
      </c>
      <c r="H55" s="431">
        <v>0</v>
      </c>
      <c r="I55" s="431">
        <v>2174271</v>
      </c>
      <c r="J55" s="431">
        <v>200000</v>
      </c>
      <c r="K55" s="431">
        <v>1038600</v>
      </c>
      <c r="L55" s="431">
        <v>0</v>
      </c>
      <c r="M55" s="431">
        <v>1216009</v>
      </c>
      <c r="N55" s="431">
        <v>3599568</v>
      </c>
      <c r="O55" s="431">
        <v>0</v>
      </c>
      <c r="P55" s="432">
        <f t="shared" si="2"/>
        <v>5350880</v>
      </c>
      <c r="Q55" s="431">
        <v>2392863</v>
      </c>
      <c r="R55" s="431">
        <v>1379444</v>
      </c>
      <c r="S55" s="431">
        <v>0</v>
      </c>
      <c r="T55" s="431">
        <v>0</v>
      </c>
      <c r="U55" s="431">
        <v>0</v>
      </c>
      <c r="V55" s="431">
        <v>0</v>
      </c>
      <c r="W55" s="431">
        <v>50000</v>
      </c>
      <c r="X55" s="431">
        <v>386941</v>
      </c>
      <c r="Y55" s="431">
        <v>0</v>
      </c>
      <c r="Z55" s="431">
        <v>1141632</v>
      </c>
      <c r="AA55" s="431">
        <v>0</v>
      </c>
      <c r="AB55" s="431">
        <v>0</v>
      </c>
      <c r="AC55" s="431">
        <v>870950</v>
      </c>
      <c r="AD55" s="431">
        <v>44982</v>
      </c>
      <c r="AE55" s="431">
        <v>1675944</v>
      </c>
      <c r="AF55" s="431">
        <v>27830</v>
      </c>
      <c r="AG55" s="431">
        <v>111067</v>
      </c>
      <c r="AH55" s="431">
        <v>665864</v>
      </c>
      <c r="AI55" s="431">
        <v>310426</v>
      </c>
      <c r="AJ55" s="431">
        <v>96634</v>
      </c>
      <c r="AK55" s="431">
        <v>0</v>
      </c>
      <c r="AL55" s="431">
        <v>1547183</v>
      </c>
      <c r="AM55" s="431">
        <v>0</v>
      </c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</row>
    <row r="56" spans="1:55" s="155" customFormat="1" ht="12" x14ac:dyDescent="0.2">
      <c r="A56" s="168">
        <v>2</v>
      </c>
      <c r="B56" s="223">
        <v>110535</v>
      </c>
      <c r="C56" s="243" t="s">
        <v>504</v>
      </c>
      <c r="D56" s="432">
        <f t="shared" si="8"/>
        <v>5937583</v>
      </c>
      <c r="E56" s="431">
        <v>819870</v>
      </c>
      <c r="F56" s="431">
        <v>99094</v>
      </c>
      <c r="G56" s="431">
        <v>213438</v>
      </c>
      <c r="H56" s="431">
        <v>0</v>
      </c>
      <c r="I56" s="431">
        <v>1834552</v>
      </c>
      <c r="J56" s="431">
        <v>300000</v>
      </c>
      <c r="K56" s="431">
        <v>1091450</v>
      </c>
      <c r="L56" s="431">
        <v>0</v>
      </c>
      <c r="M56" s="431">
        <v>1889427</v>
      </c>
      <c r="N56" s="431">
        <v>0</v>
      </c>
      <c r="O56" s="431">
        <v>2284</v>
      </c>
      <c r="P56" s="432">
        <f t="shared" si="2"/>
        <v>5481087</v>
      </c>
      <c r="Q56" s="431">
        <v>1982516</v>
      </c>
      <c r="R56" s="431">
        <v>937565</v>
      </c>
      <c r="S56" s="431">
        <v>0</v>
      </c>
      <c r="T56" s="431">
        <v>0</v>
      </c>
      <c r="U56" s="431">
        <v>0</v>
      </c>
      <c r="V56" s="431">
        <v>0</v>
      </c>
      <c r="W56" s="431">
        <v>0</v>
      </c>
      <c r="X56" s="431">
        <v>508452</v>
      </c>
      <c r="Y56" s="431">
        <v>11000</v>
      </c>
      <c r="Z56" s="431">
        <v>2098830</v>
      </c>
      <c r="AA56" s="431">
        <v>0</v>
      </c>
      <c r="AB56" s="431">
        <v>-57276</v>
      </c>
      <c r="AC56" s="431">
        <v>1304089</v>
      </c>
      <c r="AD56" s="431">
        <v>0</v>
      </c>
      <c r="AE56" s="431">
        <v>1177594</v>
      </c>
      <c r="AF56" s="431">
        <v>63834</v>
      </c>
      <c r="AG56" s="431">
        <v>32027</v>
      </c>
      <c r="AH56" s="431">
        <v>810225</v>
      </c>
      <c r="AI56" s="431">
        <v>119222</v>
      </c>
      <c r="AJ56" s="431">
        <v>1822288</v>
      </c>
      <c r="AK56" s="431">
        <v>0</v>
      </c>
      <c r="AL56" s="431">
        <v>151808</v>
      </c>
      <c r="AM56" s="431">
        <v>0</v>
      </c>
      <c r="AN56" s="203"/>
      <c r="AO56" s="203"/>
      <c r="AP56" s="203"/>
      <c r="AQ56" s="203"/>
      <c r="AR56" s="203"/>
      <c r="AS56" s="203"/>
      <c r="AT56" s="203"/>
      <c r="AU56" s="203"/>
      <c r="AV56" s="203"/>
      <c r="AW56" s="203"/>
      <c r="AX56" s="203"/>
      <c r="AY56" s="203"/>
      <c r="AZ56" s="203"/>
      <c r="BA56" s="203"/>
      <c r="BB56" s="203"/>
      <c r="BC56" s="203"/>
    </row>
    <row r="57" spans="1:55" s="155" customFormat="1" ht="12" x14ac:dyDescent="0.2">
      <c r="A57" s="168">
        <v>3</v>
      </c>
      <c r="B57" s="223">
        <v>110456</v>
      </c>
      <c r="C57" s="243" t="s">
        <v>505</v>
      </c>
      <c r="D57" s="432">
        <f t="shared" si="8"/>
        <v>2488655</v>
      </c>
      <c r="E57" s="431">
        <v>408825</v>
      </c>
      <c r="F57" s="431">
        <v>56823</v>
      </c>
      <c r="G57" s="431">
        <v>173542</v>
      </c>
      <c r="H57" s="431">
        <v>0</v>
      </c>
      <c r="I57" s="431">
        <v>719939</v>
      </c>
      <c r="J57" s="431">
        <v>200000</v>
      </c>
      <c r="K57" s="431">
        <v>1146390</v>
      </c>
      <c r="L57" s="431">
        <v>0</v>
      </c>
      <c r="M57" s="431">
        <v>10649</v>
      </c>
      <c r="N57" s="431">
        <v>0</v>
      </c>
      <c r="O57" s="431">
        <v>2852</v>
      </c>
      <c r="P57" s="432">
        <f t="shared" si="2"/>
        <v>1728835</v>
      </c>
      <c r="Q57" s="431">
        <v>877744</v>
      </c>
      <c r="R57" s="431">
        <v>365360</v>
      </c>
      <c r="S57" s="431">
        <v>0</v>
      </c>
      <c r="T57" s="431">
        <v>0</v>
      </c>
      <c r="U57" s="431">
        <v>0</v>
      </c>
      <c r="V57" s="431">
        <v>0</v>
      </c>
      <c r="W57" s="431">
        <v>0</v>
      </c>
      <c r="X57" s="431">
        <v>123057</v>
      </c>
      <c r="Y57" s="431">
        <v>4000</v>
      </c>
      <c r="Z57" s="431">
        <v>358674</v>
      </c>
      <c r="AA57" s="431">
        <v>0</v>
      </c>
      <c r="AB57" s="431">
        <v>0</v>
      </c>
      <c r="AC57" s="431">
        <v>607389</v>
      </c>
      <c r="AD57" s="431">
        <v>2061</v>
      </c>
      <c r="AE57" s="431">
        <v>595096</v>
      </c>
      <c r="AF57" s="431">
        <v>0</v>
      </c>
      <c r="AG57" s="431">
        <v>116262</v>
      </c>
      <c r="AH57" s="431">
        <v>222860</v>
      </c>
      <c r="AI57" s="431">
        <v>46845</v>
      </c>
      <c r="AJ57" s="431">
        <v>0</v>
      </c>
      <c r="AK57" s="431">
        <v>0</v>
      </c>
      <c r="AL57" s="431">
        <v>138322</v>
      </c>
      <c r="AM57" s="431">
        <v>0</v>
      </c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</row>
    <row r="58" spans="1:55" s="155" customFormat="1" ht="12" x14ac:dyDescent="0.2">
      <c r="A58" s="168">
        <v>4</v>
      </c>
      <c r="B58" s="223">
        <v>110571</v>
      </c>
      <c r="C58" s="243" t="s">
        <v>506</v>
      </c>
      <c r="D58" s="432">
        <f t="shared" si="8"/>
        <v>12377546</v>
      </c>
      <c r="E58" s="431">
        <v>645633</v>
      </c>
      <c r="F58" s="431">
        <v>94813</v>
      </c>
      <c r="G58" s="431">
        <v>138026</v>
      </c>
      <c r="H58" s="431">
        <v>0</v>
      </c>
      <c r="I58" s="431">
        <v>1303623</v>
      </c>
      <c r="J58" s="431">
        <v>399000</v>
      </c>
      <c r="K58" s="431">
        <v>1451750</v>
      </c>
      <c r="L58" s="431">
        <v>0</v>
      </c>
      <c r="M58" s="431">
        <v>8296719</v>
      </c>
      <c r="N58" s="431">
        <v>280821</v>
      </c>
      <c r="O58" s="431">
        <v>0</v>
      </c>
      <c r="P58" s="432">
        <f t="shared" si="2"/>
        <v>12204965</v>
      </c>
      <c r="Q58" s="431">
        <v>1306650</v>
      </c>
      <c r="R58" s="431">
        <v>710424</v>
      </c>
      <c r="S58" s="431">
        <v>0</v>
      </c>
      <c r="T58" s="431">
        <v>0</v>
      </c>
      <c r="U58" s="431">
        <v>0</v>
      </c>
      <c r="V58" s="431">
        <v>0</v>
      </c>
      <c r="W58" s="431">
        <v>378371</v>
      </c>
      <c r="X58" s="431">
        <v>524366</v>
      </c>
      <c r="Y58" s="431">
        <v>5000</v>
      </c>
      <c r="Z58" s="431">
        <v>9280154</v>
      </c>
      <c r="AA58" s="431">
        <v>0</v>
      </c>
      <c r="AB58" s="431">
        <v>0</v>
      </c>
      <c r="AC58" s="431">
        <v>663865</v>
      </c>
      <c r="AD58" s="431">
        <v>58075</v>
      </c>
      <c r="AE58" s="431">
        <v>865274</v>
      </c>
      <c r="AF58" s="431">
        <v>0</v>
      </c>
      <c r="AG58" s="431">
        <v>24370</v>
      </c>
      <c r="AH58" s="431">
        <v>681418</v>
      </c>
      <c r="AI58" s="431">
        <v>4508212</v>
      </c>
      <c r="AJ58" s="431">
        <v>19000</v>
      </c>
      <c r="AK58" s="431">
        <v>0</v>
      </c>
      <c r="AL58" s="431">
        <v>5289314</v>
      </c>
      <c r="AM58" s="431">
        <v>95437</v>
      </c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</row>
    <row r="59" spans="1:55" s="155" customFormat="1" ht="12" x14ac:dyDescent="0.2">
      <c r="A59" s="168">
        <v>5</v>
      </c>
      <c r="B59" s="223">
        <v>110688</v>
      </c>
      <c r="C59" s="243" t="s">
        <v>507</v>
      </c>
      <c r="D59" s="432">
        <f t="shared" si="8"/>
        <v>2993901</v>
      </c>
      <c r="E59" s="431">
        <v>460000</v>
      </c>
      <c r="F59" s="431">
        <v>47415</v>
      </c>
      <c r="G59" s="431">
        <v>173621</v>
      </c>
      <c r="H59" s="431">
        <v>0</v>
      </c>
      <c r="I59" s="431">
        <v>837632</v>
      </c>
      <c r="J59" s="431">
        <v>331000</v>
      </c>
      <c r="K59" s="431">
        <v>1140590</v>
      </c>
      <c r="L59" s="431">
        <v>0</v>
      </c>
      <c r="M59" s="431">
        <v>224679</v>
      </c>
      <c r="N59" s="431">
        <v>0</v>
      </c>
      <c r="O59" s="431">
        <v>0</v>
      </c>
      <c r="P59" s="432">
        <f t="shared" si="2"/>
        <v>2637601</v>
      </c>
      <c r="Q59" s="431">
        <v>1003918</v>
      </c>
      <c r="R59" s="431">
        <v>410870</v>
      </c>
      <c r="S59" s="431">
        <v>0</v>
      </c>
      <c r="T59" s="431">
        <v>0</v>
      </c>
      <c r="U59" s="431">
        <v>0</v>
      </c>
      <c r="V59" s="431">
        <v>0</v>
      </c>
      <c r="W59" s="431">
        <v>0</v>
      </c>
      <c r="X59" s="431">
        <v>107608</v>
      </c>
      <c r="Y59" s="431">
        <v>0</v>
      </c>
      <c r="Z59" s="431">
        <v>1116591</v>
      </c>
      <c r="AA59" s="431">
        <v>0</v>
      </c>
      <c r="AB59" s="431">
        <v>-1386</v>
      </c>
      <c r="AC59" s="431">
        <v>991050</v>
      </c>
      <c r="AD59" s="431">
        <v>6545</v>
      </c>
      <c r="AE59" s="431">
        <v>732695</v>
      </c>
      <c r="AF59" s="431">
        <v>129576</v>
      </c>
      <c r="AG59" s="431">
        <v>326</v>
      </c>
      <c r="AH59" s="431">
        <v>210125</v>
      </c>
      <c r="AI59" s="431">
        <v>37133</v>
      </c>
      <c r="AJ59" s="431">
        <v>197138</v>
      </c>
      <c r="AK59" s="431">
        <v>0</v>
      </c>
      <c r="AL59" s="431">
        <v>333013</v>
      </c>
      <c r="AM59" s="431">
        <v>0</v>
      </c>
      <c r="AN59" s="203"/>
      <c r="AO59" s="203"/>
      <c r="AP59" s="203"/>
      <c r="AQ59" s="203"/>
      <c r="AR59" s="203"/>
      <c r="AS59" s="203"/>
      <c r="AT59" s="203"/>
      <c r="AU59" s="203"/>
      <c r="AV59" s="203"/>
      <c r="AW59" s="203"/>
      <c r="AX59" s="203"/>
      <c r="AY59" s="203"/>
      <c r="AZ59" s="203"/>
      <c r="BA59" s="203"/>
      <c r="BB59" s="203"/>
      <c r="BC59" s="203"/>
    </row>
    <row r="60" spans="1:55" s="155" customFormat="1" ht="12" x14ac:dyDescent="0.2">
      <c r="A60" s="168">
        <v>6</v>
      </c>
      <c r="B60" s="223">
        <v>110740</v>
      </c>
      <c r="C60" s="243" t="s">
        <v>508</v>
      </c>
      <c r="D60" s="432">
        <f t="shared" si="8"/>
        <v>2676041</v>
      </c>
      <c r="E60" s="431">
        <v>459129</v>
      </c>
      <c r="F60" s="431">
        <v>84453</v>
      </c>
      <c r="G60" s="431">
        <v>169626</v>
      </c>
      <c r="H60" s="431">
        <v>0</v>
      </c>
      <c r="I60" s="431">
        <v>671025</v>
      </c>
      <c r="J60" s="431">
        <v>260000</v>
      </c>
      <c r="K60" s="431">
        <v>1241030</v>
      </c>
      <c r="L60" s="431">
        <v>0</v>
      </c>
      <c r="M60" s="431">
        <v>44857</v>
      </c>
      <c r="N60" s="431">
        <v>0</v>
      </c>
      <c r="O60" s="431">
        <v>0</v>
      </c>
      <c r="P60" s="432">
        <f t="shared" si="2"/>
        <v>2455886</v>
      </c>
      <c r="Q60" s="431">
        <v>978350</v>
      </c>
      <c r="R60" s="431">
        <v>789175</v>
      </c>
      <c r="S60" s="431">
        <v>0</v>
      </c>
      <c r="T60" s="431">
        <v>0</v>
      </c>
      <c r="U60" s="431">
        <v>0</v>
      </c>
      <c r="V60" s="431">
        <v>0</v>
      </c>
      <c r="W60" s="431">
        <v>0</v>
      </c>
      <c r="X60" s="431">
        <v>107502</v>
      </c>
      <c r="Y60" s="431">
        <v>0</v>
      </c>
      <c r="Z60" s="431">
        <v>580943</v>
      </c>
      <c r="AA60" s="431">
        <v>0</v>
      </c>
      <c r="AB60" s="431">
        <v>-84</v>
      </c>
      <c r="AC60" s="431">
        <v>897734</v>
      </c>
      <c r="AD60" s="431">
        <v>5605</v>
      </c>
      <c r="AE60" s="431">
        <v>578483</v>
      </c>
      <c r="AF60" s="431">
        <v>20748</v>
      </c>
      <c r="AG60" s="431">
        <v>5072</v>
      </c>
      <c r="AH60" s="431">
        <v>177386</v>
      </c>
      <c r="AI60" s="431">
        <v>48415</v>
      </c>
      <c r="AJ60" s="431">
        <v>117893</v>
      </c>
      <c r="AK60" s="431">
        <v>0</v>
      </c>
      <c r="AL60" s="431">
        <v>584550</v>
      </c>
      <c r="AM60" s="431">
        <v>20000</v>
      </c>
      <c r="AN60" s="203"/>
      <c r="AO60" s="203"/>
      <c r="AP60" s="203"/>
      <c r="AQ60" s="203"/>
      <c r="AR60" s="203"/>
      <c r="AS60" s="203"/>
      <c r="AT60" s="203"/>
      <c r="AU60" s="203"/>
      <c r="AV60" s="203"/>
      <c r="AW60" s="203"/>
      <c r="AX60" s="203"/>
      <c r="AY60" s="203"/>
      <c r="AZ60" s="203"/>
      <c r="BA60" s="203"/>
      <c r="BB60" s="203"/>
      <c r="BC60" s="203"/>
    </row>
    <row r="61" spans="1:55" s="155" customFormat="1" ht="12" x14ac:dyDescent="0.2">
      <c r="A61" s="168">
        <v>7</v>
      </c>
      <c r="B61" s="223">
        <v>110820</v>
      </c>
      <c r="C61" s="243" t="s">
        <v>509</v>
      </c>
      <c r="D61" s="432">
        <f t="shared" si="8"/>
        <v>3603443</v>
      </c>
      <c r="E61" s="431">
        <v>1171062</v>
      </c>
      <c r="F61" s="431">
        <v>411158</v>
      </c>
      <c r="G61" s="431">
        <v>110666</v>
      </c>
      <c r="H61" s="431">
        <v>0</v>
      </c>
      <c r="I61" s="431">
        <v>1796546</v>
      </c>
      <c r="J61" s="431">
        <v>450000</v>
      </c>
      <c r="K61" s="431">
        <v>171160</v>
      </c>
      <c r="L61" s="431">
        <v>0</v>
      </c>
      <c r="M61" s="431">
        <v>13532</v>
      </c>
      <c r="N61" s="431">
        <v>0</v>
      </c>
      <c r="O61" s="431">
        <v>1143</v>
      </c>
      <c r="P61" s="432">
        <f t="shared" si="2"/>
        <v>3148674</v>
      </c>
      <c r="Q61" s="431">
        <v>1603280</v>
      </c>
      <c r="R61" s="431">
        <v>404743</v>
      </c>
      <c r="S61" s="431">
        <v>0</v>
      </c>
      <c r="T61" s="431">
        <v>0</v>
      </c>
      <c r="U61" s="431">
        <v>0</v>
      </c>
      <c r="V61" s="431">
        <v>0</v>
      </c>
      <c r="W61" s="431">
        <v>0</v>
      </c>
      <c r="X61" s="431">
        <v>565928</v>
      </c>
      <c r="Y61" s="431">
        <v>17000</v>
      </c>
      <c r="Z61" s="431">
        <v>665381</v>
      </c>
      <c r="AA61" s="431">
        <v>0</v>
      </c>
      <c r="AB61" s="431">
        <v>-107658</v>
      </c>
      <c r="AC61" s="431">
        <v>678930</v>
      </c>
      <c r="AD61" s="431">
        <v>17455</v>
      </c>
      <c r="AE61" s="431">
        <v>1086949</v>
      </c>
      <c r="AF61" s="431">
        <v>0</v>
      </c>
      <c r="AG61" s="431">
        <v>58993</v>
      </c>
      <c r="AH61" s="431">
        <v>837616</v>
      </c>
      <c r="AI61" s="431">
        <v>129525</v>
      </c>
      <c r="AJ61" s="431">
        <v>0</v>
      </c>
      <c r="AK61" s="431">
        <v>0</v>
      </c>
      <c r="AL61" s="431">
        <v>339206</v>
      </c>
      <c r="AM61" s="431">
        <v>0</v>
      </c>
      <c r="AN61" s="203"/>
      <c r="AO61" s="203"/>
      <c r="AP61" s="203"/>
      <c r="AQ61" s="203"/>
      <c r="AR61" s="203"/>
      <c r="AS61" s="203"/>
      <c r="AT61" s="203"/>
      <c r="AU61" s="203"/>
      <c r="AV61" s="203"/>
      <c r="AW61" s="203"/>
      <c r="AX61" s="203"/>
      <c r="AY61" s="203"/>
      <c r="AZ61" s="203"/>
      <c r="BA61" s="203"/>
      <c r="BB61" s="203"/>
      <c r="BC61" s="203"/>
    </row>
    <row r="62" spans="1:55" s="155" customFormat="1" ht="12" x14ac:dyDescent="0.2">
      <c r="A62" s="168">
        <v>8</v>
      </c>
      <c r="B62" s="223">
        <v>110875</v>
      </c>
      <c r="C62" s="243" t="s">
        <v>510</v>
      </c>
      <c r="D62" s="432">
        <f t="shared" si="8"/>
        <v>6635966</v>
      </c>
      <c r="E62" s="431">
        <v>651240</v>
      </c>
      <c r="F62" s="431">
        <v>105687</v>
      </c>
      <c r="G62" s="431">
        <v>152993</v>
      </c>
      <c r="H62" s="431">
        <v>0</v>
      </c>
      <c r="I62" s="431">
        <v>1264758</v>
      </c>
      <c r="J62" s="431">
        <v>363410</v>
      </c>
      <c r="K62" s="431">
        <v>1406650</v>
      </c>
      <c r="L62" s="431">
        <v>0</v>
      </c>
      <c r="M62" s="431">
        <v>1760036</v>
      </c>
      <c r="N62" s="431">
        <v>1189872</v>
      </c>
      <c r="O62" s="431">
        <v>0</v>
      </c>
      <c r="P62" s="432">
        <f t="shared" si="2"/>
        <v>7129989</v>
      </c>
      <c r="Q62" s="431">
        <v>1639366</v>
      </c>
      <c r="R62" s="431">
        <v>667349</v>
      </c>
      <c r="S62" s="431">
        <v>0</v>
      </c>
      <c r="T62" s="431">
        <v>0</v>
      </c>
      <c r="U62" s="431">
        <v>0</v>
      </c>
      <c r="V62" s="431">
        <v>0</v>
      </c>
      <c r="W62" s="431">
        <v>2909498</v>
      </c>
      <c r="X62" s="431">
        <v>252476</v>
      </c>
      <c r="Y62" s="431">
        <v>7360</v>
      </c>
      <c r="Z62" s="431">
        <v>1653940</v>
      </c>
      <c r="AA62" s="431">
        <v>0</v>
      </c>
      <c r="AB62" s="431">
        <v>0</v>
      </c>
      <c r="AC62" s="431">
        <v>776536</v>
      </c>
      <c r="AD62" s="431">
        <v>20192</v>
      </c>
      <c r="AE62" s="431">
        <v>902866</v>
      </c>
      <c r="AF62" s="431">
        <v>23282</v>
      </c>
      <c r="AG62" s="431">
        <v>399997</v>
      </c>
      <c r="AH62" s="431">
        <v>462957</v>
      </c>
      <c r="AI62" s="431">
        <v>1576815</v>
      </c>
      <c r="AJ62" s="431">
        <v>0</v>
      </c>
      <c r="AK62" s="431">
        <v>0</v>
      </c>
      <c r="AL62" s="431">
        <v>2967344</v>
      </c>
      <c r="AM62" s="431">
        <v>0</v>
      </c>
      <c r="AN62" s="203"/>
      <c r="AO62" s="203"/>
      <c r="AP62" s="203"/>
      <c r="AQ62" s="203"/>
      <c r="AR62" s="203"/>
      <c r="AS62" s="203"/>
      <c r="AT62" s="203"/>
      <c r="AU62" s="203"/>
      <c r="AV62" s="203"/>
      <c r="AW62" s="203"/>
      <c r="AX62" s="203"/>
      <c r="AY62" s="203"/>
      <c r="AZ62" s="203"/>
      <c r="BA62" s="203"/>
      <c r="BB62" s="203"/>
      <c r="BC62" s="203"/>
    </row>
    <row r="63" spans="1:55" s="155" customFormat="1" ht="12" x14ac:dyDescent="0.2">
      <c r="A63" s="168">
        <v>9</v>
      </c>
      <c r="B63" s="223">
        <v>110946</v>
      </c>
      <c r="C63" s="243" t="s">
        <v>511</v>
      </c>
      <c r="D63" s="432">
        <f t="shared" si="8"/>
        <v>4403672</v>
      </c>
      <c r="E63" s="431">
        <v>669298</v>
      </c>
      <c r="F63" s="431">
        <v>89030</v>
      </c>
      <c r="G63" s="431">
        <v>128179</v>
      </c>
      <c r="H63" s="431">
        <v>0</v>
      </c>
      <c r="I63" s="431">
        <v>1151963</v>
      </c>
      <c r="J63" s="431">
        <v>300000</v>
      </c>
      <c r="K63" s="431">
        <v>986400</v>
      </c>
      <c r="L63" s="431">
        <v>0</v>
      </c>
      <c r="M63" s="431">
        <v>931854</v>
      </c>
      <c r="N63" s="431">
        <v>364157</v>
      </c>
      <c r="O63" s="431">
        <v>0</v>
      </c>
      <c r="P63" s="432">
        <f t="shared" si="2"/>
        <v>4739695</v>
      </c>
      <c r="Q63" s="431">
        <v>1279676</v>
      </c>
      <c r="R63" s="431">
        <v>1139439</v>
      </c>
      <c r="S63" s="431">
        <v>0</v>
      </c>
      <c r="T63" s="431">
        <v>0</v>
      </c>
      <c r="U63" s="431">
        <v>0</v>
      </c>
      <c r="V63" s="431">
        <v>0</v>
      </c>
      <c r="W63" s="431">
        <v>524401</v>
      </c>
      <c r="X63" s="431">
        <v>298392</v>
      </c>
      <c r="Y63" s="431">
        <v>35000</v>
      </c>
      <c r="Z63" s="431">
        <v>1462787</v>
      </c>
      <c r="AA63" s="431">
        <v>0</v>
      </c>
      <c r="AB63" s="431">
        <v>0</v>
      </c>
      <c r="AC63" s="431">
        <v>851530</v>
      </c>
      <c r="AD63" s="431">
        <v>39709</v>
      </c>
      <c r="AE63" s="431">
        <v>1404869</v>
      </c>
      <c r="AF63" s="431">
        <v>24154</v>
      </c>
      <c r="AG63" s="431">
        <v>57541</v>
      </c>
      <c r="AH63" s="431">
        <v>357195</v>
      </c>
      <c r="AI63" s="431">
        <v>216074</v>
      </c>
      <c r="AJ63" s="431">
        <v>0</v>
      </c>
      <c r="AK63" s="431">
        <v>0</v>
      </c>
      <c r="AL63" s="431">
        <v>1788623</v>
      </c>
      <c r="AM63" s="431">
        <v>0</v>
      </c>
      <c r="AN63" s="203"/>
      <c r="AO63" s="203"/>
      <c r="AP63" s="203"/>
      <c r="AQ63" s="203"/>
      <c r="AR63" s="203"/>
      <c r="AS63" s="203"/>
      <c r="AT63" s="203"/>
      <c r="AU63" s="203"/>
      <c r="AV63" s="203"/>
      <c r="AW63" s="203"/>
      <c r="AX63" s="203"/>
      <c r="AY63" s="203"/>
      <c r="AZ63" s="203"/>
      <c r="BA63" s="203"/>
      <c r="BB63" s="203"/>
      <c r="BC63" s="203"/>
    </row>
    <row r="64" spans="1:55" s="155" customFormat="1" ht="12" x14ac:dyDescent="0.2">
      <c r="A64" s="168">
        <v>10</v>
      </c>
      <c r="B64" s="223">
        <v>111006</v>
      </c>
      <c r="C64" s="243" t="s">
        <v>512</v>
      </c>
      <c r="D64" s="432">
        <f t="shared" si="8"/>
        <v>9142035</v>
      </c>
      <c r="E64" s="431">
        <v>718800</v>
      </c>
      <c r="F64" s="431">
        <v>128258</v>
      </c>
      <c r="G64" s="431">
        <v>159815</v>
      </c>
      <c r="H64" s="431">
        <v>0</v>
      </c>
      <c r="I64" s="431">
        <v>1455589</v>
      </c>
      <c r="J64" s="431">
        <v>0</v>
      </c>
      <c r="K64" s="431">
        <v>1043230</v>
      </c>
      <c r="L64" s="431">
        <v>0</v>
      </c>
      <c r="M64" s="431">
        <v>1979121</v>
      </c>
      <c r="N64" s="431">
        <v>3945295</v>
      </c>
      <c r="O64" s="431">
        <v>0</v>
      </c>
      <c r="P64" s="432">
        <f t="shared" si="2"/>
        <v>11010193</v>
      </c>
      <c r="Q64" s="431">
        <v>1732210</v>
      </c>
      <c r="R64" s="431">
        <v>746514</v>
      </c>
      <c r="S64" s="431">
        <v>0</v>
      </c>
      <c r="T64" s="431">
        <v>0</v>
      </c>
      <c r="U64" s="431">
        <v>0</v>
      </c>
      <c r="V64" s="431">
        <v>0</v>
      </c>
      <c r="W64" s="431">
        <v>7477598</v>
      </c>
      <c r="X64" s="431">
        <v>237446</v>
      </c>
      <c r="Y64" s="431">
        <v>5625</v>
      </c>
      <c r="Z64" s="431">
        <v>810800</v>
      </c>
      <c r="AA64" s="431">
        <v>0</v>
      </c>
      <c r="AB64" s="431">
        <v>0</v>
      </c>
      <c r="AC64" s="431">
        <v>856015</v>
      </c>
      <c r="AD64" s="431">
        <v>0</v>
      </c>
      <c r="AE64" s="431">
        <v>1162530</v>
      </c>
      <c r="AF64" s="431">
        <v>0</v>
      </c>
      <c r="AG64" s="431">
        <v>49640</v>
      </c>
      <c r="AH64" s="431">
        <v>498193</v>
      </c>
      <c r="AI64" s="431">
        <v>1271995</v>
      </c>
      <c r="AJ64" s="431">
        <v>2049080</v>
      </c>
      <c r="AK64" s="431">
        <v>0</v>
      </c>
      <c r="AL64" s="431">
        <v>5122065</v>
      </c>
      <c r="AM64" s="431">
        <v>675</v>
      </c>
      <c r="AN64" s="203"/>
      <c r="AO64" s="203"/>
      <c r="AP64" s="203"/>
      <c r="AQ64" s="203"/>
      <c r="AR64" s="203"/>
      <c r="AS64" s="203"/>
      <c r="AT64" s="203"/>
      <c r="AU64" s="203"/>
      <c r="AV64" s="203"/>
      <c r="AW64" s="203"/>
      <c r="AX64" s="203"/>
      <c r="AY64" s="203"/>
      <c r="AZ64" s="203"/>
      <c r="BA64" s="203"/>
      <c r="BB64" s="203"/>
      <c r="BC64" s="203"/>
    </row>
    <row r="65" spans="1:55" s="155" customFormat="1" ht="12" x14ac:dyDescent="0.2">
      <c r="A65" s="168">
        <v>11</v>
      </c>
      <c r="B65" s="223">
        <v>111097</v>
      </c>
      <c r="C65" s="243" t="s">
        <v>513</v>
      </c>
      <c r="D65" s="432">
        <f t="shared" si="8"/>
        <v>3311127</v>
      </c>
      <c r="E65" s="431">
        <v>697852</v>
      </c>
      <c r="F65" s="431">
        <v>95499</v>
      </c>
      <c r="G65" s="431">
        <v>144928</v>
      </c>
      <c r="H65" s="431">
        <v>0</v>
      </c>
      <c r="I65" s="431">
        <v>1267774</v>
      </c>
      <c r="J65" s="431">
        <v>200000</v>
      </c>
      <c r="K65" s="431">
        <v>1103640</v>
      </c>
      <c r="L65" s="431">
        <v>0</v>
      </c>
      <c r="M65" s="431">
        <v>40739</v>
      </c>
      <c r="N65" s="431">
        <v>0</v>
      </c>
      <c r="O65" s="431">
        <v>1122</v>
      </c>
      <c r="P65" s="432">
        <f t="shared" si="2"/>
        <v>3283792</v>
      </c>
      <c r="Q65" s="431">
        <v>1483097</v>
      </c>
      <c r="R65" s="431">
        <v>1050854</v>
      </c>
      <c r="S65" s="431">
        <v>0</v>
      </c>
      <c r="T65" s="431">
        <v>0</v>
      </c>
      <c r="U65" s="431">
        <v>0</v>
      </c>
      <c r="V65" s="431">
        <v>0</v>
      </c>
      <c r="W65" s="431">
        <v>0</v>
      </c>
      <c r="X65" s="431">
        <v>278657</v>
      </c>
      <c r="Y65" s="431">
        <v>50510</v>
      </c>
      <c r="Z65" s="431">
        <v>420674</v>
      </c>
      <c r="AA65" s="431">
        <v>0</v>
      </c>
      <c r="AB65" s="431">
        <v>0</v>
      </c>
      <c r="AC65" s="431">
        <v>795511</v>
      </c>
      <c r="AD65" s="431">
        <v>115406</v>
      </c>
      <c r="AE65" s="431">
        <v>1131202</v>
      </c>
      <c r="AF65" s="431">
        <v>26981</v>
      </c>
      <c r="AG65" s="431">
        <v>158117</v>
      </c>
      <c r="AH65" s="431">
        <v>351035</v>
      </c>
      <c r="AI65" s="431">
        <v>81000</v>
      </c>
      <c r="AJ65" s="431">
        <v>85846</v>
      </c>
      <c r="AK65" s="431">
        <v>0</v>
      </c>
      <c r="AL65" s="431">
        <v>538694</v>
      </c>
      <c r="AM65" s="431">
        <v>0</v>
      </c>
      <c r="AN65" s="203"/>
      <c r="AO65" s="203"/>
      <c r="AP65" s="203"/>
      <c r="AQ65" s="203"/>
      <c r="AR65" s="203"/>
      <c r="AS65" s="203"/>
      <c r="AT65" s="203"/>
      <c r="AU65" s="203"/>
      <c r="AV65" s="203"/>
      <c r="AW65" s="203"/>
      <c r="AX65" s="203"/>
      <c r="AY65" s="203"/>
      <c r="AZ65" s="203"/>
      <c r="BA65" s="203"/>
      <c r="BB65" s="203"/>
      <c r="BC65" s="203"/>
    </row>
    <row r="66" spans="1:55" s="155" customFormat="1" ht="12" x14ac:dyDescent="0.2">
      <c r="A66" s="168">
        <v>12</v>
      </c>
      <c r="B66" s="223">
        <v>111220</v>
      </c>
      <c r="C66" s="243" t="s">
        <v>514</v>
      </c>
      <c r="D66" s="432">
        <f t="shared" si="8"/>
        <v>2185790</v>
      </c>
      <c r="E66" s="431">
        <v>347255</v>
      </c>
      <c r="F66" s="431">
        <v>32826</v>
      </c>
      <c r="G66" s="431">
        <v>187385</v>
      </c>
      <c r="H66" s="431">
        <v>0</v>
      </c>
      <c r="I66" s="431">
        <v>460627</v>
      </c>
      <c r="J66" s="431">
        <v>0</v>
      </c>
      <c r="K66" s="431">
        <v>1227450</v>
      </c>
      <c r="L66" s="431">
        <v>0</v>
      </c>
      <c r="M66" s="431">
        <v>150458</v>
      </c>
      <c r="N66" s="431">
        <v>0</v>
      </c>
      <c r="O66" s="431">
        <v>0</v>
      </c>
      <c r="P66" s="432">
        <f t="shared" si="2"/>
        <v>1844473</v>
      </c>
      <c r="Q66" s="431">
        <v>701418</v>
      </c>
      <c r="R66" s="431">
        <v>239660</v>
      </c>
      <c r="S66" s="431">
        <v>0</v>
      </c>
      <c r="T66" s="431">
        <v>0</v>
      </c>
      <c r="U66" s="431">
        <v>0</v>
      </c>
      <c r="V66" s="431">
        <v>6636</v>
      </c>
      <c r="W66" s="431">
        <v>0</v>
      </c>
      <c r="X66" s="431">
        <v>47438</v>
      </c>
      <c r="Y66" s="431">
        <v>0</v>
      </c>
      <c r="Z66" s="431">
        <v>849681</v>
      </c>
      <c r="AA66" s="431">
        <v>0</v>
      </c>
      <c r="AB66" s="431">
        <v>-360</v>
      </c>
      <c r="AC66" s="431">
        <v>756063</v>
      </c>
      <c r="AD66" s="431">
        <v>12468</v>
      </c>
      <c r="AE66" s="431">
        <v>424863</v>
      </c>
      <c r="AF66" s="431">
        <v>22411</v>
      </c>
      <c r="AG66" s="431">
        <v>11057</v>
      </c>
      <c r="AH66" s="431">
        <v>131712</v>
      </c>
      <c r="AI66" s="431">
        <v>11067</v>
      </c>
      <c r="AJ66" s="431">
        <v>26000</v>
      </c>
      <c r="AK66" s="431">
        <v>0</v>
      </c>
      <c r="AL66" s="431">
        <v>413549</v>
      </c>
      <c r="AM66" s="431">
        <v>35283</v>
      </c>
      <c r="AN66" s="203"/>
      <c r="AO66" s="203"/>
      <c r="AP66" s="203"/>
      <c r="AQ66" s="203"/>
      <c r="AR66" s="203"/>
      <c r="AS66" s="203"/>
      <c r="AT66" s="203"/>
      <c r="AU66" s="203"/>
      <c r="AV66" s="203"/>
      <c r="AW66" s="203"/>
      <c r="AX66" s="203"/>
      <c r="AY66" s="203"/>
      <c r="AZ66" s="203"/>
      <c r="BA66" s="203"/>
      <c r="BB66" s="203"/>
      <c r="BC66" s="203"/>
    </row>
    <row r="67" spans="1:55" s="155" customFormat="1" ht="12" x14ac:dyDescent="0.2">
      <c r="A67" s="168">
        <v>13</v>
      </c>
      <c r="B67" s="223">
        <v>111275</v>
      </c>
      <c r="C67" s="243" t="s">
        <v>515</v>
      </c>
      <c r="D67" s="432">
        <f t="shared" si="8"/>
        <v>10194450</v>
      </c>
      <c r="E67" s="431">
        <v>1396255</v>
      </c>
      <c r="F67" s="431">
        <v>338530</v>
      </c>
      <c r="G67" s="431">
        <v>528450</v>
      </c>
      <c r="H67" s="431">
        <v>0</v>
      </c>
      <c r="I67" s="431">
        <v>3121583</v>
      </c>
      <c r="J67" s="431">
        <v>300000</v>
      </c>
      <c r="K67" s="431">
        <v>1302370</v>
      </c>
      <c r="L67" s="431">
        <v>0</v>
      </c>
      <c r="M67" s="431">
        <v>2973145</v>
      </c>
      <c r="N67" s="431">
        <v>1088601</v>
      </c>
      <c r="O67" s="431">
        <v>12496</v>
      </c>
      <c r="P67" s="432">
        <f t="shared" si="2"/>
        <v>11387725</v>
      </c>
      <c r="Q67" s="431">
        <v>3172792</v>
      </c>
      <c r="R67" s="431">
        <v>1399277</v>
      </c>
      <c r="S67" s="431">
        <v>0</v>
      </c>
      <c r="T67" s="431">
        <v>0</v>
      </c>
      <c r="U67" s="431">
        <v>0</v>
      </c>
      <c r="V67" s="431">
        <v>38440</v>
      </c>
      <c r="W67" s="431">
        <v>3060595</v>
      </c>
      <c r="X67" s="431">
        <v>503786</v>
      </c>
      <c r="Y67" s="431">
        <v>13170</v>
      </c>
      <c r="Z67" s="431">
        <v>3199665</v>
      </c>
      <c r="AA67" s="431">
        <v>0</v>
      </c>
      <c r="AB67" s="431">
        <v>0</v>
      </c>
      <c r="AC67" s="431">
        <v>923797</v>
      </c>
      <c r="AD67" s="431">
        <v>92705</v>
      </c>
      <c r="AE67" s="431">
        <v>2693969</v>
      </c>
      <c r="AF67" s="431">
        <v>32228</v>
      </c>
      <c r="AG67" s="431">
        <v>50348</v>
      </c>
      <c r="AH67" s="431">
        <v>685085</v>
      </c>
      <c r="AI67" s="431">
        <v>475589</v>
      </c>
      <c r="AJ67" s="431">
        <v>171921</v>
      </c>
      <c r="AK67" s="431">
        <v>0</v>
      </c>
      <c r="AL67" s="431">
        <v>6262083</v>
      </c>
      <c r="AM67" s="431">
        <v>0</v>
      </c>
      <c r="AN67" s="203"/>
      <c r="AO67" s="203"/>
      <c r="AP67" s="203"/>
      <c r="AQ67" s="203"/>
      <c r="AR67" s="203"/>
      <c r="AS67" s="203"/>
      <c r="AT67" s="203"/>
      <c r="AU67" s="203"/>
      <c r="AV67" s="203"/>
      <c r="AW67" s="203"/>
      <c r="AX67" s="203"/>
      <c r="AY67" s="203"/>
      <c r="AZ67" s="203"/>
      <c r="BA67" s="203"/>
      <c r="BB67" s="203"/>
      <c r="BC67" s="203"/>
    </row>
    <row r="68" spans="1:55" s="155" customFormat="1" ht="12" x14ac:dyDescent="0.2">
      <c r="A68" s="168">
        <v>14</v>
      </c>
      <c r="B68" s="223">
        <v>111417</v>
      </c>
      <c r="C68" s="243" t="s">
        <v>516</v>
      </c>
      <c r="D68" s="432">
        <f t="shared" si="8"/>
        <v>3965284</v>
      </c>
      <c r="E68" s="431">
        <v>541533</v>
      </c>
      <c r="F68" s="431">
        <v>93521</v>
      </c>
      <c r="G68" s="431">
        <v>163654</v>
      </c>
      <c r="H68" s="431">
        <v>0</v>
      </c>
      <c r="I68" s="431">
        <v>964448</v>
      </c>
      <c r="J68" s="431">
        <v>399433</v>
      </c>
      <c r="K68" s="431">
        <v>1137320</v>
      </c>
      <c r="L68" s="431">
        <v>0</v>
      </c>
      <c r="M68" s="431">
        <v>822157</v>
      </c>
      <c r="N68" s="431">
        <v>97017</v>
      </c>
      <c r="O68" s="431">
        <v>3376</v>
      </c>
      <c r="P68" s="432">
        <f t="shared" si="2"/>
        <v>3646786</v>
      </c>
      <c r="Q68" s="431">
        <v>1093550</v>
      </c>
      <c r="R68" s="431">
        <v>494115</v>
      </c>
      <c r="S68" s="431">
        <v>0</v>
      </c>
      <c r="T68" s="431">
        <v>0</v>
      </c>
      <c r="U68" s="431">
        <v>0</v>
      </c>
      <c r="V68" s="431">
        <v>0</v>
      </c>
      <c r="W68" s="431">
        <v>414295</v>
      </c>
      <c r="X68" s="431">
        <v>284726</v>
      </c>
      <c r="Y68" s="431">
        <v>4988</v>
      </c>
      <c r="Z68" s="431">
        <v>1377454</v>
      </c>
      <c r="AA68" s="431">
        <v>0</v>
      </c>
      <c r="AB68" s="431">
        <v>-22342</v>
      </c>
      <c r="AC68" s="431">
        <v>833811</v>
      </c>
      <c r="AD68" s="431">
        <v>7403</v>
      </c>
      <c r="AE68" s="431">
        <v>1218930</v>
      </c>
      <c r="AF68" s="431">
        <v>18561</v>
      </c>
      <c r="AG68" s="431">
        <v>8386</v>
      </c>
      <c r="AH68" s="431">
        <v>281060</v>
      </c>
      <c r="AI68" s="431">
        <v>191713</v>
      </c>
      <c r="AJ68" s="431">
        <v>19126</v>
      </c>
      <c r="AK68" s="431">
        <v>0</v>
      </c>
      <c r="AL68" s="431">
        <v>1050331</v>
      </c>
      <c r="AM68" s="431">
        <v>17465</v>
      </c>
      <c r="AN68" s="203"/>
      <c r="AO68" s="203"/>
      <c r="AP68" s="203"/>
      <c r="AQ68" s="203"/>
      <c r="AR68" s="203"/>
      <c r="AS68" s="203"/>
      <c r="AT68" s="203"/>
      <c r="AU68" s="203"/>
      <c r="AV68" s="203"/>
      <c r="AW68" s="203"/>
      <c r="AX68" s="203"/>
      <c r="AY68" s="203"/>
      <c r="AZ68" s="203"/>
      <c r="BA68" s="203"/>
      <c r="BB68" s="203"/>
      <c r="BC68" s="203"/>
    </row>
    <row r="69" spans="1:55" s="155" customFormat="1" ht="12" x14ac:dyDescent="0.2">
      <c r="A69" s="168">
        <v>15</v>
      </c>
      <c r="B69" s="223">
        <v>111444</v>
      </c>
      <c r="C69" s="243" t="s">
        <v>517</v>
      </c>
      <c r="D69" s="432">
        <f t="shared" si="8"/>
        <v>6329737</v>
      </c>
      <c r="E69" s="431">
        <v>1068981</v>
      </c>
      <c r="F69" s="431">
        <v>282175</v>
      </c>
      <c r="G69" s="431">
        <v>104569</v>
      </c>
      <c r="H69" s="431">
        <v>0</v>
      </c>
      <c r="I69" s="431">
        <v>3582431</v>
      </c>
      <c r="J69" s="431">
        <v>700000</v>
      </c>
      <c r="K69" s="431">
        <v>920080</v>
      </c>
      <c r="L69" s="431">
        <v>0</v>
      </c>
      <c r="M69" s="431">
        <v>53730</v>
      </c>
      <c r="N69" s="431">
        <v>0</v>
      </c>
      <c r="O69" s="431">
        <v>4515</v>
      </c>
      <c r="P69" s="432">
        <f t="shared" si="2"/>
        <v>5615125</v>
      </c>
      <c r="Q69" s="431">
        <v>3668096</v>
      </c>
      <c r="R69" s="431">
        <v>962342</v>
      </c>
      <c r="S69" s="431">
        <v>0</v>
      </c>
      <c r="T69" s="431">
        <v>0</v>
      </c>
      <c r="U69" s="431">
        <v>0</v>
      </c>
      <c r="V69" s="431">
        <v>0</v>
      </c>
      <c r="W69" s="431">
        <v>0</v>
      </c>
      <c r="X69" s="431">
        <v>478539</v>
      </c>
      <c r="Y69" s="431">
        <v>21925</v>
      </c>
      <c r="Z69" s="431">
        <v>499504</v>
      </c>
      <c r="AA69" s="431">
        <v>0</v>
      </c>
      <c r="AB69" s="431">
        <v>-15281</v>
      </c>
      <c r="AC69" s="431">
        <v>1168400</v>
      </c>
      <c r="AD69" s="431">
        <v>106317</v>
      </c>
      <c r="AE69" s="431">
        <v>2806959</v>
      </c>
      <c r="AF69" s="431">
        <v>25900</v>
      </c>
      <c r="AG69" s="431">
        <v>38168</v>
      </c>
      <c r="AH69" s="431">
        <v>827423</v>
      </c>
      <c r="AI69" s="431">
        <v>142454</v>
      </c>
      <c r="AJ69" s="431">
        <v>0</v>
      </c>
      <c r="AK69" s="431">
        <v>0</v>
      </c>
      <c r="AL69" s="431">
        <v>499504</v>
      </c>
      <c r="AM69" s="431">
        <v>0</v>
      </c>
      <c r="AN69" s="203"/>
      <c r="AO69" s="203"/>
      <c r="AP69" s="203"/>
      <c r="AQ69" s="203"/>
      <c r="AR69" s="203"/>
      <c r="AS69" s="203"/>
      <c r="AT69" s="203"/>
      <c r="AU69" s="203"/>
      <c r="AV69" s="203"/>
      <c r="AW69" s="203"/>
      <c r="AX69" s="203"/>
      <c r="AY69" s="203"/>
      <c r="AZ69" s="203"/>
      <c r="BA69" s="203"/>
      <c r="BB69" s="203"/>
      <c r="BC69" s="203"/>
    </row>
    <row r="70" spans="1:55" s="155" customFormat="1" ht="12" x14ac:dyDescent="0.2">
      <c r="A70" s="168">
        <v>16</v>
      </c>
      <c r="B70" s="223">
        <v>111480</v>
      </c>
      <c r="C70" s="243" t="s">
        <v>518</v>
      </c>
      <c r="D70" s="432">
        <f t="shared" si="8"/>
        <v>7035659</v>
      </c>
      <c r="E70" s="431">
        <v>1089700</v>
      </c>
      <c r="F70" s="431">
        <v>122512</v>
      </c>
      <c r="G70" s="431">
        <v>167893</v>
      </c>
      <c r="H70" s="431">
        <v>0</v>
      </c>
      <c r="I70" s="431">
        <v>1539643</v>
      </c>
      <c r="J70" s="431">
        <v>593174</v>
      </c>
      <c r="K70" s="431">
        <v>935280</v>
      </c>
      <c r="L70" s="431">
        <v>0</v>
      </c>
      <c r="M70" s="431">
        <v>1458967</v>
      </c>
      <c r="N70" s="431">
        <v>1417895</v>
      </c>
      <c r="O70" s="431">
        <v>1000</v>
      </c>
      <c r="P70" s="432">
        <f t="shared" si="2"/>
        <v>7087017</v>
      </c>
      <c r="Q70" s="431">
        <v>1632867</v>
      </c>
      <c r="R70" s="431">
        <v>1060377</v>
      </c>
      <c r="S70" s="431">
        <v>0</v>
      </c>
      <c r="T70" s="431">
        <v>0</v>
      </c>
      <c r="U70" s="431">
        <v>0</v>
      </c>
      <c r="V70" s="431">
        <v>0</v>
      </c>
      <c r="W70" s="431">
        <v>1681020</v>
      </c>
      <c r="X70" s="431">
        <v>421805</v>
      </c>
      <c r="Y70" s="431">
        <v>13966</v>
      </c>
      <c r="Z70" s="431">
        <v>2278358</v>
      </c>
      <c r="AA70" s="431">
        <v>0</v>
      </c>
      <c r="AB70" s="431">
        <v>-1376</v>
      </c>
      <c r="AC70" s="431">
        <v>1686905</v>
      </c>
      <c r="AD70" s="431">
        <v>51612</v>
      </c>
      <c r="AE70" s="431">
        <v>2238308</v>
      </c>
      <c r="AF70" s="431">
        <v>21349</v>
      </c>
      <c r="AG70" s="431">
        <v>160900</v>
      </c>
      <c r="AH70" s="431">
        <v>627544</v>
      </c>
      <c r="AI70" s="431">
        <v>1503492</v>
      </c>
      <c r="AJ70" s="431">
        <v>80259</v>
      </c>
      <c r="AK70" s="431">
        <v>0</v>
      </c>
      <c r="AL70" s="431">
        <v>716648</v>
      </c>
      <c r="AM70" s="431">
        <v>0</v>
      </c>
      <c r="AN70" s="203"/>
      <c r="AO70" s="203"/>
      <c r="AP70" s="203"/>
      <c r="AQ70" s="203"/>
      <c r="AR70" s="203"/>
      <c r="AS70" s="203"/>
      <c r="AT70" s="203"/>
      <c r="AU70" s="203"/>
      <c r="AV70" s="203"/>
      <c r="AW70" s="203"/>
      <c r="AX70" s="203"/>
      <c r="AY70" s="203"/>
      <c r="AZ70" s="203"/>
      <c r="BA70" s="203"/>
      <c r="BB70" s="203"/>
      <c r="BC70" s="203"/>
    </row>
    <row r="71" spans="1:55" s="155" customFormat="1" ht="12" x14ac:dyDescent="0.2">
      <c r="A71" s="168">
        <v>17</v>
      </c>
      <c r="B71" s="223">
        <v>111550</v>
      </c>
      <c r="C71" s="243" t="s">
        <v>519</v>
      </c>
      <c r="D71" s="432">
        <f t="shared" si="8"/>
        <v>3924241</v>
      </c>
      <c r="E71" s="431">
        <v>855504</v>
      </c>
      <c r="F71" s="431">
        <v>158852</v>
      </c>
      <c r="G71" s="431">
        <v>130156</v>
      </c>
      <c r="H71" s="431">
        <v>0</v>
      </c>
      <c r="I71" s="431">
        <v>1459167</v>
      </c>
      <c r="J71" s="431">
        <v>0</v>
      </c>
      <c r="K71" s="431">
        <v>1022000</v>
      </c>
      <c r="L71" s="431">
        <v>0</v>
      </c>
      <c r="M71" s="431">
        <v>207908</v>
      </c>
      <c r="N71" s="431">
        <v>379662</v>
      </c>
      <c r="O71" s="431">
        <v>0</v>
      </c>
      <c r="P71" s="432">
        <f t="shared" si="2"/>
        <v>3766448</v>
      </c>
      <c r="Q71" s="431">
        <v>1749014</v>
      </c>
      <c r="R71" s="431">
        <v>711110</v>
      </c>
      <c r="S71" s="431">
        <v>0</v>
      </c>
      <c r="T71" s="431">
        <v>0</v>
      </c>
      <c r="U71" s="431">
        <v>0</v>
      </c>
      <c r="V71" s="431">
        <v>0</v>
      </c>
      <c r="W71" s="431">
        <v>541125</v>
      </c>
      <c r="X71" s="431">
        <v>329484</v>
      </c>
      <c r="Y71" s="431">
        <v>0</v>
      </c>
      <c r="Z71" s="431">
        <v>454466</v>
      </c>
      <c r="AA71" s="431">
        <v>0</v>
      </c>
      <c r="AB71" s="431">
        <v>-18751</v>
      </c>
      <c r="AC71" s="431">
        <v>956011</v>
      </c>
      <c r="AD71" s="431">
        <v>16456</v>
      </c>
      <c r="AE71" s="431">
        <v>1670436</v>
      </c>
      <c r="AF71" s="431">
        <v>45515</v>
      </c>
      <c r="AG71" s="431">
        <v>105650</v>
      </c>
      <c r="AH71" s="431">
        <v>497267</v>
      </c>
      <c r="AI71" s="431">
        <v>415385</v>
      </c>
      <c r="AJ71" s="431">
        <v>41426</v>
      </c>
      <c r="AK71" s="431">
        <v>0</v>
      </c>
      <c r="AL71" s="431">
        <v>0</v>
      </c>
      <c r="AM71" s="431">
        <v>18302</v>
      </c>
      <c r="AN71" s="203"/>
      <c r="AO71" s="203"/>
      <c r="AP71" s="203"/>
      <c r="AQ71" s="203"/>
      <c r="AR71" s="203"/>
      <c r="AS71" s="203"/>
      <c r="AT71" s="203"/>
      <c r="AU71" s="203"/>
      <c r="AV71" s="203"/>
      <c r="AW71" s="203"/>
      <c r="AX71" s="203"/>
      <c r="AY71" s="203"/>
      <c r="AZ71" s="203"/>
      <c r="BA71" s="203"/>
      <c r="BB71" s="203"/>
      <c r="BC71" s="203"/>
    </row>
    <row r="72" spans="1:55" s="155" customFormat="1" ht="12" x14ac:dyDescent="0.2">
      <c r="A72" s="168">
        <v>18</v>
      </c>
      <c r="B72" s="223">
        <v>112904</v>
      </c>
      <c r="C72" s="243" t="s">
        <v>520</v>
      </c>
      <c r="D72" s="432">
        <f t="shared" si="8"/>
        <v>3661475</v>
      </c>
      <c r="E72" s="431">
        <v>589122</v>
      </c>
      <c r="F72" s="431">
        <v>97852</v>
      </c>
      <c r="G72" s="431">
        <v>135160</v>
      </c>
      <c r="H72" s="431">
        <v>0</v>
      </c>
      <c r="I72" s="431">
        <v>521323</v>
      </c>
      <c r="J72" s="431">
        <v>49870</v>
      </c>
      <c r="K72" s="431">
        <v>1083896</v>
      </c>
      <c r="L72" s="431">
        <v>0</v>
      </c>
      <c r="M72" s="431">
        <v>619458</v>
      </c>
      <c r="N72" s="431">
        <v>738810</v>
      </c>
      <c r="O72" s="431">
        <v>58996</v>
      </c>
      <c r="P72" s="432">
        <f t="shared" si="2"/>
        <v>3346150</v>
      </c>
      <c r="Q72" s="431">
        <v>778548</v>
      </c>
      <c r="R72" s="431">
        <v>1051932</v>
      </c>
      <c r="S72" s="431">
        <v>0</v>
      </c>
      <c r="T72" s="431">
        <v>0</v>
      </c>
      <c r="U72" s="431">
        <v>0</v>
      </c>
      <c r="V72" s="431">
        <v>0</v>
      </c>
      <c r="W72" s="431">
        <v>1036576</v>
      </c>
      <c r="X72" s="431">
        <v>67336</v>
      </c>
      <c r="Y72" s="431">
        <v>0</v>
      </c>
      <c r="Z72" s="431">
        <v>415635</v>
      </c>
      <c r="AA72" s="431">
        <v>0</v>
      </c>
      <c r="AB72" s="431">
        <v>-3877</v>
      </c>
      <c r="AC72" s="431">
        <v>1020489</v>
      </c>
      <c r="AD72" s="431">
        <v>382912</v>
      </c>
      <c r="AE72" s="431">
        <v>484760</v>
      </c>
      <c r="AF72" s="431">
        <v>24008</v>
      </c>
      <c r="AG72" s="431">
        <v>0</v>
      </c>
      <c r="AH72" s="431">
        <v>74708</v>
      </c>
      <c r="AI72" s="431">
        <v>975062</v>
      </c>
      <c r="AJ72" s="431">
        <v>86865</v>
      </c>
      <c r="AK72" s="431">
        <v>0</v>
      </c>
      <c r="AL72" s="431">
        <v>297346</v>
      </c>
      <c r="AM72" s="431">
        <v>0</v>
      </c>
      <c r="AN72" s="203"/>
      <c r="AO72" s="203"/>
      <c r="AP72" s="203"/>
      <c r="AQ72" s="203"/>
      <c r="AR72" s="203"/>
      <c r="AS72" s="203"/>
      <c r="AT72" s="203"/>
      <c r="AU72" s="203"/>
      <c r="AV72" s="203"/>
      <c r="AW72" s="203"/>
      <c r="AX72" s="203"/>
      <c r="AY72" s="203"/>
      <c r="AZ72" s="203"/>
      <c r="BA72" s="203"/>
      <c r="BB72" s="203"/>
      <c r="BC72" s="203"/>
    </row>
    <row r="73" spans="1:55" s="155" customFormat="1" ht="12" x14ac:dyDescent="0.2">
      <c r="A73" s="168">
        <v>19</v>
      </c>
      <c r="B73" s="223">
        <v>111587</v>
      </c>
      <c r="C73" s="243" t="s">
        <v>521</v>
      </c>
      <c r="D73" s="432">
        <f t="shared" si="8"/>
        <v>5200405</v>
      </c>
      <c r="E73" s="431">
        <v>539591</v>
      </c>
      <c r="F73" s="431">
        <v>40149</v>
      </c>
      <c r="G73" s="431">
        <v>163654</v>
      </c>
      <c r="H73" s="431">
        <v>0</v>
      </c>
      <c r="I73" s="431">
        <v>760265</v>
      </c>
      <c r="J73" s="431">
        <v>347720</v>
      </c>
      <c r="K73" s="431">
        <v>1642270</v>
      </c>
      <c r="L73" s="431">
        <v>0</v>
      </c>
      <c r="M73" s="431">
        <v>1488431</v>
      </c>
      <c r="N73" s="431">
        <v>402948</v>
      </c>
      <c r="O73" s="431">
        <v>19180</v>
      </c>
      <c r="P73" s="432">
        <f t="shared" si="2"/>
        <v>4711930</v>
      </c>
      <c r="Q73" s="431">
        <v>973669</v>
      </c>
      <c r="R73" s="431">
        <v>897958</v>
      </c>
      <c r="S73" s="431">
        <v>0</v>
      </c>
      <c r="T73" s="431">
        <v>0</v>
      </c>
      <c r="U73" s="431">
        <v>0</v>
      </c>
      <c r="V73" s="431">
        <v>0</v>
      </c>
      <c r="W73" s="431">
        <v>526116</v>
      </c>
      <c r="X73" s="431">
        <v>224769</v>
      </c>
      <c r="Y73" s="431">
        <v>60000</v>
      </c>
      <c r="Z73" s="431">
        <v>2035575</v>
      </c>
      <c r="AA73" s="431">
        <v>0</v>
      </c>
      <c r="AB73" s="431">
        <v>-6157</v>
      </c>
      <c r="AC73" s="431">
        <v>763704</v>
      </c>
      <c r="AD73" s="431">
        <v>21899</v>
      </c>
      <c r="AE73" s="431">
        <v>1012765</v>
      </c>
      <c r="AF73" s="431">
        <v>23901</v>
      </c>
      <c r="AG73" s="431">
        <v>58782</v>
      </c>
      <c r="AH73" s="431">
        <v>386078</v>
      </c>
      <c r="AI73" s="431">
        <v>1681104</v>
      </c>
      <c r="AJ73" s="431">
        <v>26187</v>
      </c>
      <c r="AK73" s="431">
        <v>0</v>
      </c>
      <c r="AL73" s="431">
        <v>717510</v>
      </c>
      <c r="AM73" s="431">
        <v>20000</v>
      </c>
      <c r="AN73" s="203"/>
      <c r="AO73" s="203"/>
      <c r="AP73" s="203"/>
      <c r="AQ73" s="203"/>
      <c r="AR73" s="203"/>
      <c r="AS73" s="203"/>
      <c r="AT73" s="203"/>
      <c r="AU73" s="203"/>
      <c r="AV73" s="203"/>
      <c r="AW73" s="203"/>
      <c r="AX73" s="203"/>
      <c r="AY73" s="203"/>
      <c r="AZ73" s="203"/>
      <c r="BA73" s="203"/>
      <c r="BB73" s="203"/>
      <c r="BC73" s="203"/>
    </row>
    <row r="74" spans="1:55" s="155" customFormat="1" ht="12" x14ac:dyDescent="0.2">
      <c r="A74" s="168">
        <v>20</v>
      </c>
      <c r="B74" s="223">
        <v>111685</v>
      </c>
      <c r="C74" s="243" t="s">
        <v>522</v>
      </c>
      <c r="D74" s="432">
        <f t="shared" si="8"/>
        <v>5971092</v>
      </c>
      <c r="E74" s="431">
        <v>598001</v>
      </c>
      <c r="F74" s="431">
        <v>85547</v>
      </c>
      <c r="G74" s="431">
        <v>157761</v>
      </c>
      <c r="H74" s="431">
        <v>0</v>
      </c>
      <c r="I74" s="431">
        <v>1403343</v>
      </c>
      <c r="J74" s="431">
        <v>450000</v>
      </c>
      <c r="K74" s="431">
        <v>1429210</v>
      </c>
      <c r="L74" s="431">
        <v>0</v>
      </c>
      <c r="M74" s="431">
        <v>2052720</v>
      </c>
      <c r="N74" s="431">
        <v>37818</v>
      </c>
      <c r="O74" s="431">
        <v>0</v>
      </c>
      <c r="P74" s="432">
        <f t="shared" si="2"/>
        <v>5756578</v>
      </c>
      <c r="Q74" s="431">
        <v>1526376</v>
      </c>
      <c r="R74" s="431">
        <v>808030</v>
      </c>
      <c r="S74" s="431">
        <v>0</v>
      </c>
      <c r="T74" s="431">
        <v>0</v>
      </c>
      <c r="U74" s="431">
        <v>0</v>
      </c>
      <c r="V74" s="431">
        <v>0</v>
      </c>
      <c r="W74" s="431">
        <v>232419</v>
      </c>
      <c r="X74" s="431">
        <v>250548</v>
      </c>
      <c r="Y74" s="431">
        <v>0</v>
      </c>
      <c r="Z74" s="431">
        <v>2940905</v>
      </c>
      <c r="AA74" s="431">
        <v>0</v>
      </c>
      <c r="AB74" s="431">
        <v>-1700</v>
      </c>
      <c r="AC74" s="431">
        <v>550963</v>
      </c>
      <c r="AD74" s="431">
        <v>0</v>
      </c>
      <c r="AE74" s="431">
        <v>1078159</v>
      </c>
      <c r="AF74" s="431">
        <v>0</v>
      </c>
      <c r="AG74" s="431">
        <v>85474</v>
      </c>
      <c r="AH74" s="431">
        <v>415979</v>
      </c>
      <c r="AI74" s="431">
        <v>506466</v>
      </c>
      <c r="AJ74" s="431">
        <v>22000</v>
      </c>
      <c r="AK74" s="431">
        <v>0</v>
      </c>
      <c r="AL74" s="431">
        <v>3095975</v>
      </c>
      <c r="AM74" s="431">
        <v>1562</v>
      </c>
      <c r="AN74" s="203"/>
      <c r="AO74" s="203"/>
      <c r="AP74" s="203"/>
      <c r="AQ74" s="203"/>
      <c r="AR74" s="203"/>
      <c r="AS74" s="203"/>
      <c r="AT74" s="203"/>
      <c r="AU74" s="203"/>
      <c r="AV74" s="203"/>
      <c r="AW74" s="203"/>
      <c r="AX74" s="203"/>
      <c r="AY74" s="203"/>
      <c r="AZ74" s="203"/>
      <c r="BA74" s="203"/>
      <c r="BB74" s="203"/>
      <c r="BC74" s="203"/>
    </row>
    <row r="75" spans="1:55" s="155" customFormat="1" ht="12" x14ac:dyDescent="0.2">
      <c r="A75" s="168">
        <v>21</v>
      </c>
      <c r="B75" s="223">
        <v>111783</v>
      </c>
      <c r="C75" s="243" t="s">
        <v>523</v>
      </c>
      <c r="D75" s="432">
        <f t="shared" si="8"/>
        <v>4502937</v>
      </c>
      <c r="E75" s="431">
        <v>861132</v>
      </c>
      <c r="F75" s="431">
        <v>256265</v>
      </c>
      <c r="G75" s="431">
        <v>117323</v>
      </c>
      <c r="H75" s="431">
        <v>0</v>
      </c>
      <c r="I75" s="431">
        <v>1424059</v>
      </c>
      <c r="J75" s="431">
        <v>250000</v>
      </c>
      <c r="K75" s="431">
        <v>975970</v>
      </c>
      <c r="L75" s="431">
        <v>0</v>
      </c>
      <c r="M75" s="431">
        <v>890445</v>
      </c>
      <c r="N75" s="431"/>
      <c r="O75" s="431">
        <v>101331</v>
      </c>
      <c r="P75" s="432">
        <f t="shared" si="2"/>
        <v>4464931</v>
      </c>
      <c r="Q75" s="431">
        <v>1834469</v>
      </c>
      <c r="R75" s="431">
        <v>789909</v>
      </c>
      <c r="S75" s="431">
        <v>0</v>
      </c>
      <c r="T75" s="431">
        <v>0</v>
      </c>
      <c r="U75" s="431">
        <v>0</v>
      </c>
      <c r="V75" s="431">
        <v>0</v>
      </c>
      <c r="W75" s="431">
        <v>0</v>
      </c>
      <c r="X75" s="431">
        <v>455747</v>
      </c>
      <c r="Y75" s="431">
        <v>482908</v>
      </c>
      <c r="Z75" s="431">
        <v>964274</v>
      </c>
      <c r="AA75" s="431">
        <v>0</v>
      </c>
      <c r="AB75" s="431">
        <v>-62376</v>
      </c>
      <c r="AC75" s="431">
        <v>1171241</v>
      </c>
      <c r="AD75" s="431">
        <v>25336</v>
      </c>
      <c r="AE75" s="431">
        <v>958847</v>
      </c>
      <c r="AF75" s="431">
        <v>28142</v>
      </c>
      <c r="AG75" s="431">
        <v>25000</v>
      </c>
      <c r="AH75" s="431">
        <v>881285</v>
      </c>
      <c r="AI75" s="431">
        <v>59624</v>
      </c>
      <c r="AJ75" s="431">
        <v>435276</v>
      </c>
      <c r="AK75" s="431">
        <v>0</v>
      </c>
      <c r="AL75" s="431">
        <v>422352</v>
      </c>
      <c r="AM75" s="431">
        <v>457828</v>
      </c>
      <c r="AN75" s="203"/>
      <c r="AO75" s="203"/>
      <c r="AP75" s="203"/>
      <c r="AQ75" s="203"/>
      <c r="AR75" s="203"/>
      <c r="AS75" s="203"/>
      <c r="AT75" s="203"/>
      <c r="AU75" s="203"/>
      <c r="AV75" s="203"/>
      <c r="AW75" s="203"/>
      <c r="AX75" s="203"/>
      <c r="AY75" s="203"/>
      <c r="AZ75" s="203"/>
      <c r="BA75" s="203"/>
      <c r="BB75" s="203"/>
      <c r="BC75" s="203"/>
    </row>
    <row r="76" spans="1:55" s="155" customFormat="1" ht="12" x14ac:dyDescent="0.2">
      <c r="A76" s="168">
        <v>22</v>
      </c>
      <c r="B76" s="223">
        <v>111818</v>
      </c>
      <c r="C76" s="243" t="s">
        <v>524</v>
      </c>
      <c r="D76" s="432">
        <f t="shared" si="8"/>
        <v>3845528</v>
      </c>
      <c r="E76" s="431">
        <v>316846</v>
      </c>
      <c r="F76" s="431">
        <v>33789</v>
      </c>
      <c r="G76" s="431">
        <v>188393</v>
      </c>
      <c r="H76" s="431">
        <v>0</v>
      </c>
      <c r="I76" s="431">
        <v>305886</v>
      </c>
      <c r="J76" s="431">
        <v>0</v>
      </c>
      <c r="K76" s="431">
        <v>1213290</v>
      </c>
      <c r="L76" s="431">
        <v>0</v>
      </c>
      <c r="M76" s="431">
        <v>1918734</v>
      </c>
      <c r="N76" s="431">
        <v>90772</v>
      </c>
      <c r="O76" s="431">
        <v>0</v>
      </c>
      <c r="P76" s="432">
        <f t="shared" si="2"/>
        <v>4445547</v>
      </c>
      <c r="Q76" s="431">
        <v>506144</v>
      </c>
      <c r="R76" s="431">
        <v>379453</v>
      </c>
      <c r="S76" s="431">
        <v>0</v>
      </c>
      <c r="T76" s="431">
        <v>0</v>
      </c>
      <c r="U76" s="431">
        <v>0</v>
      </c>
      <c r="V76" s="431">
        <v>0</v>
      </c>
      <c r="W76" s="431">
        <v>1456154</v>
      </c>
      <c r="X76" s="431">
        <v>129553</v>
      </c>
      <c r="Y76" s="431">
        <v>159901</v>
      </c>
      <c r="Z76" s="431">
        <v>1815483</v>
      </c>
      <c r="AA76" s="431">
        <v>0</v>
      </c>
      <c r="AB76" s="431">
        <v>-1141</v>
      </c>
      <c r="AC76" s="431">
        <v>542737</v>
      </c>
      <c r="AD76" s="431">
        <v>130</v>
      </c>
      <c r="AE76" s="431">
        <v>171544</v>
      </c>
      <c r="AF76" s="431">
        <v>0</v>
      </c>
      <c r="AG76" s="431">
        <v>458101</v>
      </c>
      <c r="AH76" s="431">
        <v>248990</v>
      </c>
      <c r="AI76" s="431">
        <v>1433104</v>
      </c>
      <c r="AJ76" s="431">
        <v>0</v>
      </c>
      <c r="AK76" s="431">
        <v>0</v>
      </c>
      <c r="AL76" s="431">
        <v>1437588</v>
      </c>
      <c r="AM76" s="431">
        <v>153353</v>
      </c>
      <c r="AN76" s="203"/>
      <c r="AO76" s="203"/>
      <c r="AP76" s="203"/>
      <c r="AQ76" s="203"/>
      <c r="AR76" s="203"/>
      <c r="AS76" s="203"/>
      <c r="AT76" s="203"/>
      <c r="AU76" s="203"/>
      <c r="AV76" s="203"/>
      <c r="AW76" s="203"/>
      <c r="AX76" s="203"/>
      <c r="AY76" s="203"/>
      <c r="AZ76" s="203"/>
      <c r="BA76" s="203"/>
      <c r="BB76" s="203"/>
      <c r="BC76" s="203"/>
    </row>
    <row r="77" spans="1:55" s="155" customFormat="1" ht="12" x14ac:dyDescent="0.2">
      <c r="A77" s="168">
        <v>23</v>
      </c>
      <c r="B77" s="223">
        <v>111863</v>
      </c>
      <c r="C77" s="243" t="s">
        <v>525</v>
      </c>
      <c r="D77" s="432">
        <f t="shared" si="8"/>
        <v>10174329</v>
      </c>
      <c r="E77" s="431">
        <v>2808804</v>
      </c>
      <c r="F77" s="431">
        <v>1172605</v>
      </c>
      <c r="G77" s="431">
        <v>129912</v>
      </c>
      <c r="H77" s="431">
        <v>0</v>
      </c>
      <c r="I77" s="431">
        <v>2342636</v>
      </c>
      <c r="J77" s="431">
        <v>449000</v>
      </c>
      <c r="K77" s="431">
        <v>509160</v>
      </c>
      <c r="L77" s="431">
        <v>0</v>
      </c>
      <c r="M77" s="431">
        <v>3697736</v>
      </c>
      <c r="N77" s="431">
        <v>366429</v>
      </c>
      <c r="O77" s="431">
        <v>564</v>
      </c>
      <c r="P77" s="432">
        <f t="shared" si="2"/>
        <v>9693985</v>
      </c>
      <c r="Q77" s="431">
        <v>2324357</v>
      </c>
      <c r="R77" s="431">
        <v>1644387</v>
      </c>
      <c r="S77" s="431">
        <v>0</v>
      </c>
      <c r="T77" s="431">
        <v>0</v>
      </c>
      <c r="U77" s="431">
        <v>0</v>
      </c>
      <c r="V77" s="431">
        <v>0</v>
      </c>
      <c r="W77" s="431">
        <v>495141</v>
      </c>
      <c r="X77" s="431">
        <v>580692</v>
      </c>
      <c r="Y77" s="431">
        <v>40110</v>
      </c>
      <c r="Z77" s="431">
        <v>4651003</v>
      </c>
      <c r="AA77" s="431">
        <v>0</v>
      </c>
      <c r="AB77" s="431">
        <v>-41705</v>
      </c>
      <c r="AC77" s="431">
        <v>1510728</v>
      </c>
      <c r="AD77" s="431">
        <v>80062</v>
      </c>
      <c r="AE77" s="431">
        <v>2376168</v>
      </c>
      <c r="AF77" s="431">
        <v>52774</v>
      </c>
      <c r="AG77" s="431">
        <v>13300</v>
      </c>
      <c r="AH77" s="431">
        <v>745969</v>
      </c>
      <c r="AI77" s="431">
        <v>1045921</v>
      </c>
      <c r="AJ77" s="431">
        <v>3748513</v>
      </c>
      <c r="AK77" s="431">
        <v>0</v>
      </c>
      <c r="AL77" s="431">
        <v>111080</v>
      </c>
      <c r="AM77" s="431">
        <v>9470</v>
      </c>
      <c r="AN77" s="203"/>
      <c r="AO77" s="203"/>
      <c r="AP77" s="203"/>
      <c r="AQ77" s="203"/>
      <c r="AR77" s="203"/>
      <c r="AS77" s="203"/>
      <c r="AT77" s="203"/>
      <c r="AU77" s="203"/>
      <c r="AV77" s="203"/>
      <c r="AW77" s="203"/>
      <c r="AX77" s="203"/>
      <c r="AY77" s="203"/>
      <c r="AZ77" s="203"/>
      <c r="BA77" s="203"/>
      <c r="BB77" s="203"/>
      <c r="BC77" s="203"/>
    </row>
    <row r="78" spans="1:55" s="155" customFormat="1" ht="12" x14ac:dyDescent="0.2">
      <c r="A78" s="168">
        <v>24</v>
      </c>
      <c r="B78" s="223">
        <v>111916</v>
      </c>
      <c r="C78" s="243" t="s">
        <v>526</v>
      </c>
      <c r="D78" s="432">
        <f t="shared" si="8"/>
        <v>2524485</v>
      </c>
      <c r="E78" s="431">
        <v>378771</v>
      </c>
      <c r="F78" s="431">
        <v>53013</v>
      </c>
      <c r="G78" s="431">
        <v>190250</v>
      </c>
      <c r="H78" s="431">
        <v>0</v>
      </c>
      <c r="I78" s="431">
        <v>725451</v>
      </c>
      <c r="J78" s="431">
        <v>70000</v>
      </c>
      <c r="K78" s="431">
        <v>1309630</v>
      </c>
      <c r="L78" s="431">
        <v>0</v>
      </c>
      <c r="M78" s="431">
        <v>40067</v>
      </c>
      <c r="N78" s="431">
        <v>0</v>
      </c>
      <c r="O78" s="431">
        <v>566</v>
      </c>
      <c r="P78" s="432">
        <f t="shared" si="2"/>
        <v>2396596</v>
      </c>
      <c r="Q78" s="431">
        <v>971321</v>
      </c>
      <c r="R78" s="431">
        <v>565278</v>
      </c>
      <c r="S78" s="431">
        <v>0</v>
      </c>
      <c r="T78" s="431">
        <v>0</v>
      </c>
      <c r="U78" s="431">
        <v>0</v>
      </c>
      <c r="V78" s="431">
        <v>0</v>
      </c>
      <c r="W78" s="431">
        <v>0</v>
      </c>
      <c r="X78" s="431">
        <v>170112</v>
      </c>
      <c r="Y78" s="431">
        <v>38500</v>
      </c>
      <c r="Z78" s="431">
        <v>652663</v>
      </c>
      <c r="AA78" s="431">
        <v>0</v>
      </c>
      <c r="AB78" s="431">
        <v>-1278</v>
      </c>
      <c r="AC78" s="431">
        <v>787140</v>
      </c>
      <c r="AD78" s="431">
        <v>3000</v>
      </c>
      <c r="AE78" s="431">
        <v>446017</v>
      </c>
      <c r="AF78" s="431">
        <v>0</v>
      </c>
      <c r="AG78" s="431">
        <v>198111</v>
      </c>
      <c r="AH78" s="431">
        <v>348490</v>
      </c>
      <c r="AI78" s="431">
        <v>112054</v>
      </c>
      <c r="AJ78" s="431">
        <v>13530</v>
      </c>
      <c r="AK78" s="431">
        <v>0</v>
      </c>
      <c r="AL78" s="431">
        <v>478254</v>
      </c>
      <c r="AM78" s="431">
        <v>10000</v>
      </c>
      <c r="AN78" s="203"/>
      <c r="AO78" s="203"/>
      <c r="AP78" s="203"/>
      <c r="AQ78" s="203"/>
      <c r="AR78" s="203"/>
      <c r="AS78" s="203"/>
      <c r="AT78" s="203"/>
      <c r="AU78" s="203"/>
      <c r="AV78" s="203"/>
      <c r="AW78" s="203"/>
      <c r="AX78" s="203"/>
      <c r="AY78" s="203"/>
      <c r="AZ78" s="203"/>
      <c r="BA78" s="203"/>
      <c r="BB78" s="203"/>
      <c r="BC78" s="203"/>
    </row>
    <row r="79" spans="1:55" s="155" customFormat="1" ht="12" x14ac:dyDescent="0.2">
      <c r="A79" s="168">
        <v>25</v>
      </c>
      <c r="B79" s="223">
        <v>111989</v>
      </c>
      <c r="C79" s="243" t="s">
        <v>527</v>
      </c>
      <c r="D79" s="432">
        <f t="shared" si="8"/>
        <v>3768967</v>
      </c>
      <c r="E79" s="431">
        <v>384373</v>
      </c>
      <c r="F79" s="431">
        <v>54493</v>
      </c>
      <c r="G79" s="431">
        <v>173501</v>
      </c>
      <c r="H79" s="431">
        <v>0</v>
      </c>
      <c r="I79" s="431">
        <v>1192050</v>
      </c>
      <c r="J79" s="431">
        <v>463159</v>
      </c>
      <c r="K79" s="431">
        <v>1178050</v>
      </c>
      <c r="L79" s="431">
        <v>0</v>
      </c>
      <c r="M79" s="431">
        <v>551335</v>
      </c>
      <c r="N79" s="431">
        <v>0</v>
      </c>
      <c r="O79" s="431">
        <v>0</v>
      </c>
      <c r="P79" s="432">
        <f t="shared" ref="P79:P142" si="11">IF(SUM(Q79:AB79)=SUM(AC79:AM79),SUM(Q79:AB79),"  EROARE ART/CAP")</f>
        <v>3512718</v>
      </c>
      <c r="Q79" s="431">
        <v>1372745</v>
      </c>
      <c r="R79" s="431">
        <v>717211</v>
      </c>
      <c r="S79" s="431">
        <v>0</v>
      </c>
      <c r="T79" s="431">
        <v>0</v>
      </c>
      <c r="U79" s="431">
        <v>0</v>
      </c>
      <c r="V79" s="431">
        <v>0</v>
      </c>
      <c r="W79" s="431">
        <v>0</v>
      </c>
      <c r="X79" s="431">
        <v>154069</v>
      </c>
      <c r="Y79" s="431">
        <v>0</v>
      </c>
      <c r="Z79" s="431">
        <v>1269521</v>
      </c>
      <c r="AA79" s="431">
        <v>0</v>
      </c>
      <c r="AB79" s="431">
        <v>-828</v>
      </c>
      <c r="AC79" s="431">
        <v>896938</v>
      </c>
      <c r="AD79" s="431">
        <v>20000</v>
      </c>
      <c r="AE79" s="431">
        <v>1472251</v>
      </c>
      <c r="AF79" s="431">
        <v>0</v>
      </c>
      <c r="AG79" s="431">
        <v>19872</v>
      </c>
      <c r="AH79" s="431">
        <v>263976</v>
      </c>
      <c r="AI79" s="431">
        <v>30000</v>
      </c>
      <c r="AJ79" s="431">
        <v>40000</v>
      </c>
      <c r="AK79" s="431">
        <v>0</v>
      </c>
      <c r="AL79" s="431">
        <v>769681</v>
      </c>
      <c r="AM79" s="431">
        <v>0</v>
      </c>
      <c r="AN79" s="203"/>
      <c r="AO79" s="203"/>
      <c r="AP79" s="203"/>
      <c r="AQ79" s="203"/>
      <c r="AR79" s="203"/>
      <c r="AS79" s="203"/>
      <c r="AT79" s="203"/>
      <c r="AU79" s="203"/>
      <c r="AV79" s="203"/>
      <c r="AW79" s="203"/>
      <c r="AX79" s="203"/>
      <c r="AY79" s="203"/>
      <c r="AZ79" s="203"/>
      <c r="BA79" s="203"/>
      <c r="BB79" s="203"/>
      <c r="BC79" s="203"/>
    </row>
    <row r="80" spans="1:55" s="155" customFormat="1" ht="12" x14ac:dyDescent="0.2">
      <c r="A80" s="168">
        <v>26</v>
      </c>
      <c r="B80" s="223">
        <v>112030</v>
      </c>
      <c r="C80" s="243" t="s">
        <v>528</v>
      </c>
      <c r="D80" s="432">
        <f t="shared" si="8"/>
        <v>3749288</v>
      </c>
      <c r="E80" s="431">
        <v>647911</v>
      </c>
      <c r="F80" s="431">
        <v>71096</v>
      </c>
      <c r="G80" s="431">
        <v>148923</v>
      </c>
      <c r="H80" s="431">
        <v>0</v>
      </c>
      <c r="I80" s="431">
        <v>1895731</v>
      </c>
      <c r="J80" s="431">
        <v>0</v>
      </c>
      <c r="K80" s="431">
        <v>1155630</v>
      </c>
      <c r="L80" s="431">
        <v>0</v>
      </c>
      <c r="M80" s="431">
        <v>50016</v>
      </c>
      <c r="N80" s="431">
        <v>0</v>
      </c>
      <c r="O80" s="431">
        <v>0</v>
      </c>
      <c r="P80" s="432">
        <f t="shared" si="11"/>
        <v>3958245</v>
      </c>
      <c r="Q80" s="431">
        <v>2010679</v>
      </c>
      <c r="R80" s="431">
        <v>563597</v>
      </c>
      <c r="S80" s="431">
        <v>0</v>
      </c>
      <c r="T80" s="431">
        <v>0</v>
      </c>
      <c r="U80" s="431">
        <v>0</v>
      </c>
      <c r="V80" s="431">
        <v>0</v>
      </c>
      <c r="W80" s="431">
        <v>0</v>
      </c>
      <c r="X80" s="431">
        <v>353965</v>
      </c>
      <c r="Y80" s="431">
        <v>22000</v>
      </c>
      <c r="Z80" s="431">
        <v>1008356</v>
      </c>
      <c r="AA80" s="431">
        <v>0</v>
      </c>
      <c r="AB80" s="431">
        <v>-352</v>
      </c>
      <c r="AC80" s="431">
        <v>1014930</v>
      </c>
      <c r="AD80" s="431">
        <v>4743</v>
      </c>
      <c r="AE80" s="431">
        <v>1333897</v>
      </c>
      <c r="AF80" s="431">
        <v>43468</v>
      </c>
      <c r="AG80" s="431">
        <v>3392</v>
      </c>
      <c r="AH80" s="431">
        <v>686736</v>
      </c>
      <c r="AI80" s="431">
        <v>311228</v>
      </c>
      <c r="AJ80" s="431">
        <v>24533</v>
      </c>
      <c r="AK80" s="431">
        <v>0</v>
      </c>
      <c r="AL80" s="431">
        <v>535318</v>
      </c>
      <c r="AM80" s="431">
        <v>0</v>
      </c>
      <c r="AN80" s="203"/>
      <c r="AO80" s="203"/>
      <c r="AP80" s="203"/>
      <c r="AQ80" s="203"/>
      <c r="AR80" s="203"/>
      <c r="AS80" s="203"/>
      <c r="AT80" s="203"/>
      <c r="AU80" s="203"/>
      <c r="AV80" s="203"/>
      <c r="AW80" s="203"/>
      <c r="AX80" s="203"/>
      <c r="AY80" s="203"/>
      <c r="AZ80" s="203"/>
      <c r="BA80" s="203"/>
      <c r="BB80" s="203"/>
      <c r="BC80" s="203"/>
    </row>
    <row r="81" spans="1:55" s="155" customFormat="1" ht="12" x14ac:dyDescent="0.2">
      <c r="A81" s="168">
        <v>27</v>
      </c>
      <c r="B81" s="223">
        <v>112076</v>
      </c>
      <c r="C81" s="243" t="s">
        <v>529</v>
      </c>
      <c r="D81" s="432">
        <f t="shared" si="8"/>
        <v>4538621</v>
      </c>
      <c r="E81" s="431">
        <v>657316</v>
      </c>
      <c r="F81" s="431">
        <v>154563</v>
      </c>
      <c r="G81" s="431">
        <v>153807</v>
      </c>
      <c r="H81" s="431">
        <v>0</v>
      </c>
      <c r="I81" s="431">
        <v>1616377</v>
      </c>
      <c r="J81" s="431">
        <v>0</v>
      </c>
      <c r="K81" s="431">
        <v>1099770</v>
      </c>
      <c r="L81" s="431">
        <v>0</v>
      </c>
      <c r="M81" s="431">
        <v>877232</v>
      </c>
      <c r="N81" s="431">
        <v>287926</v>
      </c>
      <c r="O81" s="431">
        <v>0</v>
      </c>
      <c r="P81" s="432">
        <f t="shared" si="11"/>
        <v>4447915</v>
      </c>
      <c r="Q81" s="431">
        <v>1599773</v>
      </c>
      <c r="R81" s="431">
        <v>718474</v>
      </c>
      <c r="S81" s="431">
        <v>0</v>
      </c>
      <c r="T81" s="431">
        <v>0</v>
      </c>
      <c r="U81" s="431">
        <v>0</v>
      </c>
      <c r="V81" s="431">
        <v>0</v>
      </c>
      <c r="W81" s="431">
        <v>533926</v>
      </c>
      <c r="X81" s="431">
        <v>461550</v>
      </c>
      <c r="Y81" s="431">
        <v>26000</v>
      </c>
      <c r="Z81" s="431">
        <v>1108192</v>
      </c>
      <c r="AA81" s="431">
        <v>0</v>
      </c>
      <c r="AB81" s="431">
        <v>0</v>
      </c>
      <c r="AC81" s="431">
        <v>778311</v>
      </c>
      <c r="AD81" s="431">
        <v>16664</v>
      </c>
      <c r="AE81" s="431">
        <v>1767360</v>
      </c>
      <c r="AF81" s="431">
        <v>0</v>
      </c>
      <c r="AG81" s="431">
        <v>71759</v>
      </c>
      <c r="AH81" s="431">
        <v>564443</v>
      </c>
      <c r="AI81" s="431">
        <v>239181</v>
      </c>
      <c r="AJ81" s="431">
        <v>25891</v>
      </c>
      <c r="AK81" s="431">
        <v>0</v>
      </c>
      <c r="AL81" s="431">
        <v>983306</v>
      </c>
      <c r="AM81" s="431">
        <v>1000</v>
      </c>
      <c r="AN81" s="203"/>
      <c r="AO81" s="203"/>
      <c r="AP81" s="203"/>
      <c r="AQ81" s="203"/>
      <c r="AR81" s="203"/>
      <c r="AS81" s="203"/>
      <c r="AT81" s="203"/>
      <c r="AU81" s="203"/>
      <c r="AV81" s="203"/>
      <c r="AW81" s="203"/>
      <c r="AX81" s="203"/>
      <c r="AY81" s="203"/>
      <c r="AZ81" s="203"/>
      <c r="BA81" s="203"/>
      <c r="BB81" s="203"/>
      <c r="BC81" s="203"/>
    </row>
    <row r="82" spans="1:55" s="155" customFormat="1" ht="12" x14ac:dyDescent="0.2">
      <c r="A82" s="168">
        <v>28</v>
      </c>
      <c r="B82" s="223">
        <v>112129</v>
      </c>
      <c r="C82" s="243" t="s">
        <v>530</v>
      </c>
      <c r="D82" s="432">
        <f t="shared" si="8"/>
        <v>3697172</v>
      </c>
      <c r="E82" s="431">
        <v>567373</v>
      </c>
      <c r="F82" s="431">
        <v>258553</v>
      </c>
      <c r="G82" s="431">
        <v>134151</v>
      </c>
      <c r="H82" s="431">
        <v>0</v>
      </c>
      <c r="I82" s="431">
        <v>756536</v>
      </c>
      <c r="J82" s="431">
        <v>200000</v>
      </c>
      <c r="K82" s="431">
        <v>872390</v>
      </c>
      <c r="L82" s="431">
        <v>0</v>
      </c>
      <c r="M82" s="431">
        <v>1194167</v>
      </c>
      <c r="N82" s="431">
        <v>106706</v>
      </c>
      <c r="O82" s="431">
        <v>0</v>
      </c>
      <c r="P82" s="432">
        <f t="shared" si="11"/>
        <v>3691892</v>
      </c>
      <c r="Q82" s="431">
        <v>938376</v>
      </c>
      <c r="R82" s="431">
        <v>520879</v>
      </c>
      <c r="S82" s="431">
        <v>0</v>
      </c>
      <c r="T82" s="431">
        <v>0</v>
      </c>
      <c r="U82" s="431">
        <v>0</v>
      </c>
      <c r="V82" s="431">
        <v>0</v>
      </c>
      <c r="W82" s="431">
        <v>196206</v>
      </c>
      <c r="X82" s="431">
        <v>178717</v>
      </c>
      <c r="Y82" s="431">
        <v>19969</v>
      </c>
      <c r="Z82" s="431">
        <v>1842975</v>
      </c>
      <c r="AA82" s="431">
        <v>0</v>
      </c>
      <c r="AB82" s="431">
        <v>-5230</v>
      </c>
      <c r="AC82" s="431">
        <v>937973</v>
      </c>
      <c r="AD82" s="431">
        <v>2655</v>
      </c>
      <c r="AE82" s="431">
        <v>522791</v>
      </c>
      <c r="AF82" s="431">
        <v>0</v>
      </c>
      <c r="AG82" s="431">
        <v>241199</v>
      </c>
      <c r="AH82" s="431">
        <v>237512</v>
      </c>
      <c r="AI82" s="431">
        <v>232944</v>
      </c>
      <c r="AJ82" s="431">
        <v>0</v>
      </c>
      <c r="AK82" s="431">
        <v>0</v>
      </c>
      <c r="AL82" s="431">
        <v>1516818</v>
      </c>
      <c r="AM82" s="431">
        <v>0</v>
      </c>
      <c r="AN82" s="203"/>
      <c r="AO82" s="203"/>
      <c r="AP82" s="203"/>
      <c r="AQ82" s="203"/>
      <c r="AR82" s="203"/>
      <c r="AS82" s="203"/>
      <c r="AT82" s="203"/>
      <c r="AU82" s="203"/>
      <c r="AV82" s="203"/>
      <c r="AW82" s="203"/>
      <c r="AX82" s="203"/>
      <c r="AY82" s="203"/>
      <c r="AZ82" s="203"/>
      <c r="BA82" s="203"/>
      <c r="BB82" s="203"/>
      <c r="BC82" s="203"/>
    </row>
    <row r="83" spans="1:55" s="155" customFormat="1" ht="12" x14ac:dyDescent="0.2">
      <c r="A83" s="168">
        <v>29</v>
      </c>
      <c r="B83" s="223">
        <v>112245</v>
      </c>
      <c r="C83" s="243" t="s">
        <v>531</v>
      </c>
      <c r="D83" s="432">
        <f t="shared" si="8"/>
        <v>7779485</v>
      </c>
      <c r="E83" s="431">
        <v>1087746</v>
      </c>
      <c r="F83" s="431">
        <v>212300</v>
      </c>
      <c r="G83" s="431">
        <v>125193</v>
      </c>
      <c r="H83" s="431">
        <v>0</v>
      </c>
      <c r="I83" s="431">
        <v>1692044</v>
      </c>
      <c r="J83" s="431">
        <v>600000</v>
      </c>
      <c r="K83" s="431">
        <v>1281090</v>
      </c>
      <c r="L83" s="431">
        <v>0</v>
      </c>
      <c r="M83" s="431">
        <v>308840</v>
      </c>
      <c r="N83" s="431">
        <v>352434</v>
      </c>
      <c r="O83" s="431">
        <v>2457331</v>
      </c>
      <c r="P83" s="432">
        <f t="shared" si="11"/>
        <v>8261973</v>
      </c>
      <c r="Q83" s="431">
        <v>2032641</v>
      </c>
      <c r="R83" s="431">
        <v>1931781</v>
      </c>
      <c r="S83" s="431">
        <v>339117</v>
      </c>
      <c r="T83" s="431">
        <v>0</v>
      </c>
      <c r="U83" s="431">
        <v>0</v>
      </c>
      <c r="V83" s="431">
        <v>0</v>
      </c>
      <c r="W83" s="431">
        <v>3388604</v>
      </c>
      <c r="X83" s="431">
        <v>447391</v>
      </c>
      <c r="Y83" s="431">
        <v>0</v>
      </c>
      <c r="Z83" s="431">
        <v>124000</v>
      </c>
      <c r="AA83" s="431">
        <v>0</v>
      </c>
      <c r="AB83" s="431">
        <v>-1561</v>
      </c>
      <c r="AC83" s="431">
        <v>1484995</v>
      </c>
      <c r="AD83" s="431">
        <v>78613</v>
      </c>
      <c r="AE83" s="431">
        <v>1277836</v>
      </c>
      <c r="AF83" s="431">
        <v>15838</v>
      </c>
      <c r="AG83" s="431">
        <v>708493</v>
      </c>
      <c r="AH83" s="431">
        <v>602205</v>
      </c>
      <c r="AI83" s="431">
        <v>506122</v>
      </c>
      <c r="AJ83" s="431">
        <v>2840806</v>
      </c>
      <c r="AK83" s="431">
        <v>0</v>
      </c>
      <c r="AL83" s="431">
        <v>697065</v>
      </c>
      <c r="AM83" s="431">
        <v>50000</v>
      </c>
      <c r="AN83" s="203"/>
      <c r="AO83" s="203"/>
      <c r="AP83" s="203"/>
      <c r="AQ83" s="203"/>
      <c r="AR83" s="203"/>
      <c r="AS83" s="203"/>
      <c r="AT83" s="203"/>
      <c r="AU83" s="203"/>
      <c r="AV83" s="203"/>
      <c r="AW83" s="203"/>
      <c r="AX83" s="203"/>
      <c r="AY83" s="203"/>
      <c r="AZ83" s="203"/>
      <c r="BA83" s="203"/>
      <c r="BB83" s="203"/>
      <c r="BC83" s="203"/>
    </row>
    <row r="84" spans="1:55" s="155" customFormat="1" ht="12" x14ac:dyDescent="0.2">
      <c r="A84" s="168">
        <v>30</v>
      </c>
      <c r="B84" s="223">
        <v>112263</v>
      </c>
      <c r="C84" s="243" t="s">
        <v>532</v>
      </c>
      <c r="D84" s="432">
        <f t="shared" si="8"/>
        <v>2334954</v>
      </c>
      <c r="E84" s="431">
        <v>420258</v>
      </c>
      <c r="F84" s="431">
        <v>41880</v>
      </c>
      <c r="G84" s="431">
        <v>182380</v>
      </c>
      <c r="H84" s="431">
        <v>0</v>
      </c>
      <c r="I84" s="431">
        <v>637153</v>
      </c>
      <c r="J84" s="431">
        <v>49653</v>
      </c>
      <c r="K84" s="431">
        <v>1218850</v>
      </c>
      <c r="L84" s="431">
        <v>0</v>
      </c>
      <c r="M84" s="431">
        <v>9040</v>
      </c>
      <c r="N84" s="431">
        <v>0</v>
      </c>
      <c r="O84" s="431">
        <v>0</v>
      </c>
      <c r="P84" s="432">
        <f t="shared" si="11"/>
        <v>1620308</v>
      </c>
      <c r="Q84" s="431">
        <v>902141</v>
      </c>
      <c r="R84" s="431">
        <v>379919</v>
      </c>
      <c r="S84" s="431">
        <v>0</v>
      </c>
      <c r="T84" s="431">
        <v>0</v>
      </c>
      <c r="U84" s="431">
        <v>0</v>
      </c>
      <c r="V84" s="431">
        <v>0</v>
      </c>
      <c r="W84" s="431">
        <v>0</v>
      </c>
      <c r="X84" s="431">
        <v>125678</v>
      </c>
      <c r="Y84" s="431">
        <v>0</v>
      </c>
      <c r="Z84" s="431">
        <v>237845</v>
      </c>
      <c r="AA84" s="431">
        <v>0</v>
      </c>
      <c r="AB84" s="431">
        <v>-25275</v>
      </c>
      <c r="AC84" s="431">
        <v>605071</v>
      </c>
      <c r="AD84" s="431">
        <v>22964</v>
      </c>
      <c r="AE84" s="431">
        <v>486808</v>
      </c>
      <c r="AF84" s="431">
        <v>0</v>
      </c>
      <c r="AG84" s="431">
        <v>119190</v>
      </c>
      <c r="AH84" s="431">
        <v>239051</v>
      </c>
      <c r="AI84" s="431">
        <v>9253</v>
      </c>
      <c r="AJ84" s="431">
        <v>0</v>
      </c>
      <c r="AK84" s="431">
        <v>0</v>
      </c>
      <c r="AL84" s="431">
        <v>137971</v>
      </c>
      <c r="AM84" s="431">
        <v>0</v>
      </c>
      <c r="AN84" s="203"/>
      <c r="AO84" s="203"/>
      <c r="AP84" s="203"/>
      <c r="AQ84" s="203"/>
      <c r="AR84" s="203"/>
      <c r="AS84" s="203"/>
      <c r="AT84" s="203"/>
      <c r="AU84" s="203"/>
      <c r="AV84" s="203"/>
      <c r="AW84" s="203"/>
      <c r="AX84" s="203"/>
      <c r="AY84" s="203"/>
      <c r="AZ84" s="203"/>
      <c r="BA84" s="203"/>
      <c r="BB84" s="203"/>
      <c r="BC84" s="203"/>
    </row>
    <row r="85" spans="1:55" s="155" customFormat="1" ht="12" x14ac:dyDescent="0.2">
      <c r="A85" s="168">
        <v>31</v>
      </c>
      <c r="B85" s="223">
        <v>112334</v>
      </c>
      <c r="C85" s="243" t="s">
        <v>533</v>
      </c>
      <c r="D85" s="432">
        <f t="shared" si="8"/>
        <v>2604066</v>
      </c>
      <c r="E85" s="431">
        <v>478447</v>
      </c>
      <c r="F85" s="431">
        <v>102643</v>
      </c>
      <c r="G85" s="431">
        <v>166640</v>
      </c>
      <c r="H85" s="431">
        <v>0</v>
      </c>
      <c r="I85" s="431">
        <v>829828</v>
      </c>
      <c r="J85" s="431">
        <v>200000</v>
      </c>
      <c r="K85" s="431">
        <v>1087460</v>
      </c>
      <c r="L85" s="431">
        <v>0</v>
      </c>
      <c r="M85" s="431">
        <v>8331</v>
      </c>
      <c r="N85" s="431">
        <v>0</v>
      </c>
      <c r="O85" s="431">
        <v>0</v>
      </c>
      <c r="P85" s="432">
        <f t="shared" si="11"/>
        <v>2030588</v>
      </c>
      <c r="Q85" s="431">
        <v>898013</v>
      </c>
      <c r="R85" s="431">
        <v>573200</v>
      </c>
      <c r="S85" s="431">
        <v>0</v>
      </c>
      <c r="T85" s="431">
        <v>0</v>
      </c>
      <c r="U85" s="431">
        <v>0</v>
      </c>
      <c r="V85" s="431">
        <v>0</v>
      </c>
      <c r="W85" s="431">
        <v>35000</v>
      </c>
      <c r="X85" s="431">
        <v>299801</v>
      </c>
      <c r="Y85" s="431">
        <v>0</v>
      </c>
      <c r="Z85" s="431">
        <v>243639</v>
      </c>
      <c r="AA85" s="431">
        <v>0</v>
      </c>
      <c r="AB85" s="431">
        <v>-19065</v>
      </c>
      <c r="AC85" s="431">
        <v>729828</v>
      </c>
      <c r="AD85" s="431">
        <v>42047</v>
      </c>
      <c r="AE85" s="431">
        <v>601144</v>
      </c>
      <c r="AF85" s="431">
        <v>0</v>
      </c>
      <c r="AG85" s="431">
        <v>21632</v>
      </c>
      <c r="AH85" s="431">
        <v>310660</v>
      </c>
      <c r="AI85" s="431">
        <v>40631</v>
      </c>
      <c r="AJ85" s="431">
        <v>14133</v>
      </c>
      <c r="AK85" s="431">
        <v>0</v>
      </c>
      <c r="AL85" s="431">
        <v>270513</v>
      </c>
      <c r="AM85" s="431">
        <v>0</v>
      </c>
      <c r="AN85" s="203"/>
      <c r="AO85" s="203"/>
      <c r="AP85" s="203"/>
      <c r="AQ85" s="203"/>
      <c r="AR85" s="203"/>
      <c r="AS85" s="203"/>
      <c r="AT85" s="203"/>
      <c r="AU85" s="203"/>
      <c r="AV85" s="203"/>
      <c r="AW85" s="203"/>
      <c r="AX85" s="203"/>
      <c r="AY85" s="203"/>
      <c r="AZ85" s="203"/>
      <c r="BA85" s="203"/>
      <c r="BB85" s="203"/>
      <c r="BC85" s="203"/>
    </row>
    <row r="86" spans="1:55" s="155" customFormat="1" ht="12" x14ac:dyDescent="0.2">
      <c r="A86" s="168">
        <v>32</v>
      </c>
      <c r="B86" s="223">
        <v>112370</v>
      </c>
      <c r="C86" s="243" t="s">
        <v>534</v>
      </c>
      <c r="D86" s="432">
        <f t="shared" si="8"/>
        <v>8086642</v>
      </c>
      <c r="E86" s="431">
        <v>579491</v>
      </c>
      <c r="F86" s="431">
        <v>112622</v>
      </c>
      <c r="G86" s="431">
        <v>147914</v>
      </c>
      <c r="H86" s="431">
        <v>0</v>
      </c>
      <c r="I86" s="431">
        <v>1274224</v>
      </c>
      <c r="J86" s="431">
        <v>529000</v>
      </c>
      <c r="K86" s="431">
        <v>993410</v>
      </c>
      <c r="L86" s="431">
        <v>0</v>
      </c>
      <c r="M86" s="431">
        <v>1176852</v>
      </c>
      <c r="N86" s="431">
        <v>3533665</v>
      </c>
      <c r="O86" s="431">
        <v>0</v>
      </c>
      <c r="P86" s="432">
        <f t="shared" si="11"/>
        <v>8706650</v>
      </c>
      <c r="Q86" s="431">
        <v>1391464</v>
      </c>
      <c r="R86" s="431">
        <v>529147</v>
      </c>
      <c r="S86" s="431">
        <v>0</v>
      </c>
      <c r="T86" s="431">
        <v>0</v>
      </c>
      <c r="U86" s="431">
        <v>0</v>
      </c>
      <c r="V86" s="431">
        <v>0</v>
      </c>
      <c r="W86" s="431">
        <v>4708283</v>
      </c>
      <c r="X86" s="431">
        <v>262824</v>
      </c>
      <c r="Y86" s="431">
        <v>64171</v>
      </c>
      <c r="Z86" s="431">
        <v>1765799</v>
      </c>
      <c r="AA86" s="431">
        <v>0</v>
      </c>
      <c r="AB86" s="431">
        <v>-15038</v>
      </c>
      <c r="AC86" s="431">
        <v>572419</v>
      </c>
      <c r="AD86" s="431">
        <v>45655</v>
      </c>
      <c r="AE86" s="431">
        <v>930211</v>
      </c>
      <c r="AF86" s="431">
        <v>24210</v>
      </c>
      <c r="AG86" s="431">
        <v>80760</v>
      </c>
      <c r="AH86" s="431">
        <v>365481</v>
      </c>
      <c r="AI86" s="431">
        <v>1221334</v>
      </c>
      <c r="AJ86" s="431">
        <v>30962</v>
      </c>
      <c r="AK86" s="431">
        <v>0</v>
      </c>
      <c r="AL86" s="431">
        <v>1162667</v>
      </c>
      <c r="AM86" s="431">
        <v>4272951</v>
      </c>
      <c r="AN86" s="203"/>
      <c r="AO86" s="203"/>
      <c r="AP86" s="203"/>
      <c r="AQ86" s="203"/>
      <c r="AR86" s="203"/>
      <c r="AS86" s="203"/>
      <c r="AT86" s="203"/>
      <c r="AU86" s="203"/>
      <c r="AV86" s="203"/>
      <c r="AW86" s="203"/>
      <c r="AX86" s="203"/>
      <c r="AY86" s="203"/>
      <c r="AZ86" s="203"/>
      <c r="BA86" s="203"/>
      <c r="BB86" s="203"/>
      <c r="BC86" s="203"/>
    </row>
    <row r="87" spans="1:55" s="155" customFormat="1" ht="12" x14ac:dyDescent="0.2">
      <c r="A87" s="168">
        <v>33</v>
      </c>
      <c r="B87" s="223">
        <v>112469</v>
      </c>
      <c r="C87" s="243" t="s">
        <v>535</v>
      </c>
      <c r="D87" s="432">
        <f t="shared" si="8"/>
        <v>8107972</v>
      </c>
      <c r="E87" s="431">
        <v>4045079</v>
      </c>
      <c r="F87" s="431">
        <v>3384005</v>
      </c>
      <c r="G87" s="431">
        <v>0</v>
      </c>
      <c r="H87" s="431">
        <v>0</v>
      </c>
      <c r="I87" s="431">
        <v>3513984</v>
      </c>
      <c r="J87" s="431">
        <v>0</v>
      </c>
      <c r="K87" s="431">
        <v>67420</v>
      </c>
      <c r="L87" s="431">
        <v>0</v>
      </c>
      <c r="M87" s="431">
        <v>62639</v>
      </c>
      <c r="N87" s="431">
        <v>418284</v>
      </c>
      <c r="O87" s="431">
        <v>566</v>
      </c>
      <c r="P87" s="432">
        <f t="shared" si="11"/>
        <v>10801283</v>
      </c>
      <c r="Q87" s="431">
        <v>3546439</v>
      </c>
      <c r="R87" s="431">
        <v>968555</v>
      </c>
      <c r="S87" s="431">
        <v>0</v>
      </c>
      <c r="T87" s="431">
        <v>0</v>
      </c>
      <c r="U87" s="431">
        <v>0</v>
      </c>
      <c r="V87" s="431">
        <v>0</v>
      </c>
      <c r="W87" s="431">
        <v>689621</v>
      </c>
      <c r="X87" s="431">
        <v>374645</v>
      </c>
      <c r="Y87" s="431">
        <v>14950</v>
      </c>
      <c r="Z87" s="431">
        <v>5211950</v>
      </c>
      <c r="AA87" s="431">
        <v>0</v>
      </c>
      <c r="AB87" s="431">
        <v>-4877</v>
      </c>
      <c r="AC87" s="431">
        <v>1373553</v>
      </c>
      <c r="AD87" s="431">
        <v>101346</v>
      </c>
      <c r="AE87" s="431">
        <v>3117093</v>
      </c>
      <c r="AF87" s="431">
        <v>30141</v>
      </c>
      <c r="AG87" s="431">
        <v>47865</v>
      </c>
      <c r="AH87" s="431">
        <v>597013</v>
      </c>
      <c r="AI87" s="431">
        <v>416383</v>
      </c>
      <c r="AJ87" s="431">
        <v>111701</v>
      </c>
      <c r="AK87" s="431">
        <v>0</v>
      </c>
      <c r="AL87" s="431">
        <v>5006188</v>
      </c>
      <c r="AM87" s="431">
        <v>0</v>
      </c>
      <c r="AN87" s="203"/>
      <c r="AO87" s="203"/>
      <c r="AP87" s="203"/>
      <c r="AQ87" s="203"/>
      <c r="AR87" s="203"/>
      <c r="AS87" s="203"/>
      <c r="AT87" s="203"/>
      <c r="AU87" s="203"/>
      <c r="AV87" s="203"/>
      <c r="AW87" s="203"/>
      <c r="AX87" s="203"/>
      <c r="AY87" s="203"/>
      <c r="AZ87" s="203"/>
      <c r="BA87" s="203"/>
      <c r="BB87" s="203"/>
      <c r="BC87" s="203"/>
    </row>
    <row r="88" spans="1:55" s="155" customFormat="1" ht="12" x14ac:dyDescent="0.2">
      <c r="A88" s="168">
        <v>34</v>
      </c>
      <c r="B88" s="223">
        <v>112548</v>
      </c>
      <c r="C88" s="243" t="s">
        <v>536</v>
      </c>
      <c r="D88" s="432">
        <f t="shared" si="8"/>
        <v>8824890</v>
      </c>
      <c r="E88" s="431">
        <v>1422077</v>
      </c>
      <c r="F88" s="431">
        <v>218025</v>
      </c>
      <c r="G88" s="431">
        <v>534019</v>
      </c>
      <c r="H88" s="431">
        <v>0</v>
      </c>
      <c r="I88" s="431">
        <v>3045050</v>
      </c>
      <c r="J88" s="431">
        <v>400000</v>
      </c>
      <c r="K88" s="431">
        <v>1152840</v>
      </c>
      <c r="L88" s="431">
        <v>0</v>
      </c>
      <c r="M88" s="431">
        <v>1152424</v>
      </c>
      <c r="N88" s="431">
        <v>1652499</v>
      </c>
      <c r="O88" s="431">
        <v>0</v>
      </c>
      <c r="P88" s="432">
        <f t="shared" si="11"/>
        <v>6698828</v>
      </c>
      <c r="Q88" s="431">
        <v>3163398</v>
      </c>
      <c r="R88" s="431">
        <v>871527</v>
      </c>
      <c r="S88" s="431">
        <v>0</v>
      </c>
      <c r="T88" s="431">
        <v>0</v>
      </c>
      <c r="U88" s="431">
        <v>0</v>
      </c>
      <c r="V88" s="431">
        <v>0</v>
      </c>
      <c r="W88" s="431">
        <v>0</v>
      </c>
      <c r="X88" s="431">
        <v>593879</v>
      </c>
      <c r="Y88" s="431">
        <v>10680</v>
      </c>
      <c r="Z88" s="431">
        <v>2059344</v>
      </c>
      <c r="AA88" s="431">
        <v>0</v>
      </c>
      <c r="AB88" s="431">
        <v>0</v>
      </c>
      <c r="AC88" s="431">
        <v>1115703</v>
      </c>
      <c r="AD88" s="431">
        <v>16680</v>
      </c>
      <c r="AE88" s="431">
        <v>2353211</v>
      </c>
      <c r="AF88" s="431">
        <v>24416</v>
      </c>
      <c r="AG88" s="431">
        <v>76322</v>
      </c>
      <c r="AH88" s="431">
        <v>950458</v>
      </c>
      <c r="AI88" s="431">
        <v>338442</v>
      </c>
      <c r="AJ88" s="431">
        <v>0</v>
      </c>
      <c r="AK88" s="431">
        <v>0</v>
      </c>
      <c r="AL88" s="431">
        <v>1719803</v>
      </c>
      <c r="AM88" s="431">
        <v>103793</v>
      </c>
      <c r="AN88" s="203"/>
      <c r="AO88" s="203"/>
      <c r="AP88" s="203"/>
      <c r="AQ88" s="203"/>
      <c r="AR88" s="203"/>
      <c r="AS88" s="203"/>
      <c r="AT88" s="203"/>
      <c r="AU88" s="203"/>
      <c r="AV88" s="203"/>
      <c r="AW88" s="203"/>
      <c r="AX88" s="203"/>
      <c r="AY88" s="203"/>
      <c r="AZ88" s="203"/>
      <c r="BA88" s="203"/>
      <c r="BB88" s="203"/>
      <c r="BC88" s="203"/>
    </row>
    <row r="89" spans="1:55" s="155" customFormat="1" ht="12" x14ac:dyDescent="0.2">
      <c r="A89" s="168">
        <v>35</v>
      </c>
      <c r="B89" s="223">
        <v>112600</v>
      </c>
      <c r="C89" s="243" t="s">
        <v>537</v>
      </c>
      <c r="D89" s="432">
        <f t="shared" si="8"/>
        <v>3619682</v>
      </c>
      <c r="E89" s="431">
        <v>526942</v>
      </c>
      <c r="F89" s="431">
        <v>51003</v>
      </c>
      <c r="G89" s="431">
        <v>155784</v>
      </c>
      <c r="H89" s="431">
        <v>0</v>
      </c>
      <c r="I89" s="431">
        <v>1038274</v>
      </c>
      <c r="J89" s="431">
        <v>400000</v>
      </c>
      <c r="K89" s="431">
        <v>1109810</v>
      </c>
      <c r="L89" s="431">
        <v>0</v>
      </c>
      <c r="M89" s="431">
        <v>273765</v>
      </c>
      <c r="N89" s="431">
        <v>270891</v>
      </c>
      <c r="O89" s="431">
        <v>0</v>
      </c>
      <c r="P89" s="432">
        <f t="shared" si="11"/>
        <v>3480439</v>
      </c>
      <c r="Q89" s="431">
        <v>1204345</v>
      </c>
      <c r="R89" s="431">
        <v>463374</v>
      </c>
      <c r="S89" s="431">
        <v>0</v>
      </c>
      <c r="T89" s="431">
        <v>0</v>
      </c>
      <c r="U89" s="431">
        <v>0</v>
      </c>
      <c r="V89" s="431">
        <v>0</v>
      </c>
      <c r="W89" s="431">
        <v>527135</v>
      </c>
      <c r="X89" s="431">
        <v>224706</v>
      </c>
      <c r="Y89" s="431">
        <v>24896</v>
      </c>
      <c r="Z89" s="431">
        <v>1037221</v>
      </c>
      <c r="AA89" s="431">
        <v>0</v>
      </c>
      <c r="AB89" s="431">
        <v>-1238</v>
      </c>
      <c r="AC89" s="431">
        <v>623973</v>
      </c>
      <c r="AD89" s="431">
        <v>38430</v>
      </c>
      <c r="AE89" s="431">
        <v>1303641</v>
      </c>
      <c r="AF89" s="431">
        <v>0</v>
      </c>
      <c r="AG89" s="431">
        <v>30194</v>
      </c>
      <c r="AH89" s="431">
        <v>371501</v>
      </c>
      <c r="AI89" s="431">
        <v>165414</v>
      </c>
      <c r="AJ89" s="431">
        <v>67615</v>
      </c>
      <c r="AK89" s="431">
        <v>0</v>
      </c>
      <c r="AL89" s="431">
        <v>879671</v>
      </c>
      <c r="AM89" s="431">
        <v>0</v>
      </c>
      <c r="AN89" s="203"/>
      <c r="AO89" s="203"/>
      <c r="AP89" s="203"/>
      <c r="AQ89" s="203"/>
      <c r="AR89" s="203"/>
      <c r="AS89" s="203"/>
      <c r="AT89" s="203"/>
      <c r="AU89" s="203"/>
      <c r="AV89" s="203"/>
      <c r="AW89" s="203"/>
      <c r="AX89" s="203"/>
      <c r="AY89" s="203"/>
      <c r="AZ89" s="203"/>
      <c r="BA89" s="203"/>
      <c r="BB89" s="203"/>
      <c r="BC89" s="203"/>
    </row>
    <row r="90" spans="1:55" s="155" customFormat="1" ht="12" x14ac:dyDescent="0.2">
      <c r="A90" s="168">
        <v>36</v>
      </c>
      <c r="B90" s="223">
        <v>112664</v>
      </c>
      <c r="C90" s="243" t="s">
        <v>538</v>
      </c>
      <c r="D90" s="432">
        <f t="shared" si="8"/>
        <v>5527083</v>
      </c>
      <c r="E90" s="431">
        <v>854944</v>
      </c>
      <c r="F90" s="431">
        <v>317847</v>
      </c>
      <c r="G90" s="431">
        <v>133063</v>
      </c>
      <c r="H90" s="431">
        <v>0</v>
      </c>
      <c r="I90" s="431">
        <v>1340995</v>
      </c>
      <c r="J90" s="431">
        <v>115714</v>
      </c>
      <c r="K90" s="431">
        <v>1233530</v>
      </c>
      <c r="L90" s="431">
        <v>0</v>
      </c>
      <c r="M90" s="431">
        <v>992325</v>
      </c>
      <c r="N90" s="431">
        <v>987310</v>
      </c>
      <c r="O90" s="431">
        <v>2265</v>
      </c>
      <c r="P90" s="432">
        <f t="shared" si="11"/>
        <v>5748105</v>
      </c>
      <c r="Q90" s="431">
        <v>1521980</v>
      </c>
      <c r="R90" s="431">
        <v>1248272</v>
      </c>
      <c r="S90" s="431">
        <v>0</v>
      </c>
      <c r="T90" s="431">
        <v>0</v>
      </c>
      <c r="U90" s="431">
        <v>0</v>
      </c>
      <c r="V90" s="431">
        <v>109000</v>
      </c>
      <c r="W90" s="431">
        <v>1426425</v>
      </c>
      <c r="X90" s="431">
        <v>328292</v>
      </c>
      <c r="Y90" s="431">
        <v>11930</v>
      </c>
      <c r="Z90" s="431">
        <v>1255991</v>
      </c>
      <c r="AA90" s="431">
        <v>0</v>
      </c>
      <c r="AB90" s="431">
        <v>-153785</v>
      </c>
      <c r="AC90" s="431">
        <v>1113056</v>
      </c>
      <c r="AD90" s="431">
        <v>0</v>
      </c>
      <c r="AE90" s="431">
        <v>1007327</v>
      </c>
      <c r="AF90" s="431">
        <v>0</v>
      </c>
      <c r="AG90" s="431">
        <v>216971</v>
      </c>
      <c r="AH90" s="431">
        <v>514178</v>
      </c>
      <c r="AI90" s="431">
        <v>137657</v>
      </c>
      <c r="AJ90" s="431">
        <v>0</v>
      </c>
      <c r="AK90" s="431">
        <v>0</v>
      </c>
      <c r="AL90" s="431">
        <v>2758916</v>
      </c>
      <c r="AM90" s="431">
        <v>0</v>
      </c>
      <c r="AN90" s="203"/>
      <c r="AO90" s="203"/>
      <c r="AP90" s="203"/>
      <c r="AQ90" s="203"/>
      <c r="AR90" s="203"/>
      <c r="AS90" s="203"/>
      <c r="AT90" s="203"/>
      <c r="AU90" s="203"/>
      <c r="AV90" s="203"/>
      <c r="AW90" s="203"/>
      <c r="AX90" s="203"/>
      <c r="AY90" s="203"/>
      <c r="AZ90" s="203"/>
      <c r="BA90" s="203"/>
      <c r="BB90" s="203"/>
      <c r="BC90" s="203"/>
    </row>
    <row r="91" spans="1:55" s="155" customFormat="1" ht="12" x14ac:dyDescent="0.2">
      <c r="A91" s="168">
        <v>37</v>
      </c>
      <c r="B91" s="223">
        <v>110027</v>
      </c>
      <c r="C91" s="243" t="s">
        <v>539</v>
      </c>
      <c r="D91" s="432">
        <f t="shared" si="8"/>
        <v>2796263</v>
      </c>
      <c r="E91" s="431">
        <v>478472</v>
      </c>
      <c r="F91" s="431">
        <v>78601</v>
      </c>
      <c r="G91" s="431">
        <v>173543</v>
      </c>
      <c r="H91" s="431">
        <v>0</v>
      </c>
      <c r="I91" s="431">
        <v>856026</v>
      </c>
      <c r="J91" s="431">
        <v>38000</v>
      </c>
      <c r="K91" s="431">
        <v>1170200</v>
      </c>
      <c r="L91" s="431">
        <v>0</v>
      </c>
      <c r="M91" s="431">
        <v>112245</v>
      </c>
      <c r="N91" s="431">
        <v>141320</v>
      </c>
      <c r="O91" s="431">
        <v>0</v>
      </c>
      <c r="P91" s="432">
        <f t="shared" si="11"/>
        <v>2593180</v>
      </c>
      <c r="Q91" s="431">
        <v>1086378</v>
      </c>
      <c r="R91" s="431">
        <v>849293</v>
      </c>
      <c r="S91" s="431">
        <v>0</v>
      </c>
      <c r="T91" s="431">
        <v>0</v>
      </c>
      <c r="U91" s="431">
        <v>0</v>
      </c>
      <c r="V91" s="431">
        <v>0</v>
      </c>
      <c r="W91" s="431">
        <v>131475</v>
      </c>
      <c r="X91" s="431">
        <v>65035</v>
      </c>
      <c r="Y91" s="431">
        <v>0</v>
      </c>
      <c r="Z91" s="431">
        <v>460999</v>
      </c>
      <c r="AA91" s="431">
        <v>0</v>
      </c>
      <c r="AB91" s="431">
        <v>0</v>
      </c>
      <c r="AC91" s="431">
        <v>612663</v>
      </c>
      <c r="AD91" s="431">
        <v>61832</v>
      </c>
      <c r="AE91" s="431">
        <v>745833</v>
      </c>
      <c r="AF91" s="431">
        <v>23861</v>
      </c>
      <c r="AG91" s="431">
        <v>284691</v>
      </c>
      <c r="AH91" s="431">
        <v>144265</v>
      </c>
      <c r="AI91" s="431">
        <v>130181</v>
      </c>
      <c r="AJ91" s="431">
        <v>79893</v>
      </c>
      <c r="AK91" s="431">
        <v>0</v>
      </c>
      <c r="AL91" s="431">
        <v>501961</v>
      </c>
      <c r="AM91" s="431">
        <v>8000</v>
      </c>
      <c r="AN91" s="203"/>
      <c r="AO91" s="203"/>
      <c r="AP91" s="203"/>
      <c r="AQ91" s="203"/>
      <c r="AR91" s="203"/>
      <c r="AS91" s="203"/>
      <c r="AT91" s="203"/>
      <c r="AU91" s="203"/>
      <c r="AV91" s="203"/>
      <c r="AW91" s="203"/>
      <c r="AX91" s="203"/>
      <c r="AY91" s="203"/>
      <c r="AZ91" s="203"/>
      <c r="BA91" s="203"/>
      <c r="BB91" s="203"/>
      <c r="BC91" s="203"/>
    </row>
    <row r="92" spans="1:55" s="155" customFormat="1" ht="12" x14ac:dyDescent="0.2">
      <c r="A92" s="168">
        <v>38</v>
      </c>
      <c r="B92" s="223">
        <v>112744</v>
      </c>
      <c r="C92" s="243" t="s">
        <v>540</v>
      </c>
      <c r="D92" s="432">
        <f t="shared" si="8"/>
        <v>3297910</v>
      </c>
      <c r="E92" s="431">
        <v>554928</v>
      </c>
      <c r="F92" s="431">
        <v>65574</v>
      </c>
      <c r="G92" s="431">
        <v>163654</v>
      </c>
      <c r="H92" s="431">
        <v>0</v>
      </c>
      <c r="I92" s="431">
        <v>892951</v>
      </c>
      <c r="J92" s="431">
        <v>0</v>
      </c>
      <c r="K92" s="431">
        <v>1236270</v>
      </c>
      <c r="L92" s="431">
        <v>0</v>
      </c>
      <c r="M92" s="431">
        <v>613761</v>
      </c>
      <c r="N92" s="431">
        <v>0</v>
      </c>
      <c r="O92" s="431">
        <v>0</v>
      </c>
      <c r="P92" s="432">
        <f t="shared" si="11"/>
        <v>2977712</v>
      </c>
      <c r="Q92" s="431">
        <v>980950</v>
      </c>
      <c r="R92" s="431">
        <v>426053</v>
      </c>
      <c r="S92" s="431">
        <v>0</v>
      </c>
      <c r="T92" s="431">
        <v>0</v>
      </c>
      <c r="U92" s="431">
        <v>0</v>
      </c>
      <c r="V92" s="431">
        <v>0</v>
      </c>
      <c r="W92" s="431">
        <v>0</v>
      </c>
      <c r="X92" s="431">
        <v>244138</v>
      </c>
      <c r="Y92" s="431">
        <v>0</v>
      </c>
      <c r="Z92" s="431">
        <v>1326571</v>
      </c>
      <c r="AA92" s="431">
        <v>0</v>
      </c>
      <c r="AB92" s="431">
        <v>0</v>
      </c>
      <c r="AC92" s="431">
        <v>697549</v>
      </c>
      <c r="AD92" s="431">
        <v>0</v>
      </c>
      <c r="AE92" s="431">
        <v>629662</v>
      </c>
      <c r="AF92" s="431">
        <v>0</v>
      </c>
      <c r="AG92" s="431">
        <v>0</v>
      </c>
      <c r="AH92" s="431">
        <v>332342</v>
      </c>
      <c r="AI92" s="431">
        <v>479708</v>
      </c>
      <c r="AJ92" s="431">
        <v>30851</v>
      </c>
      <c r="AK92" s="431">
        <v>0</v>
      </c>
      <c r="AL92" s="431">
        <v>807600</v>
      </c>
      <c r="AM92" s="431">
        <v>0</v>
      </c>
      <c r="AN92" s="203"/>
      <c r="AO92" s="203"/>
      <c r="AP92" s="203"/>
      <c r="AQ92" s="203"/>
      <c r="AR92" s="203"/>
      <c r="AS92" s="203"/>
      <c r="AT92" s="203"/>
      <c r="AU92" s="203"/>
      <c r="AV92" s="203"/>
      <c r="AW92" s="203"/>
      <c r="AX92" s="203"/>
      <c r="AY92" s="203"/>
      <c r="AZ92" s="203"/>
      <c r="BA92" s="203"/>
      <c r="BB92" s="203"/>
      <c r="BC92" s="203"/>
    </row>
    <row r="93" spans="1:55" s="155" customFormat="1" ht="12" x14ac:dyDescent="0.2">
      <c r="A93" s="168">
        <v>39</v>
      </c>
      <c r="B93" s="223">
        <v>112771</v>
      </c>
      <c r="C93" s="243" t="s">
        <v>541</v>
      </c>
      <c r="D93" s="432">
        <f t="shared" si="8"/>
        <v>3900683</v>
      </c>
      <c r="E93" s="431">
        <v>839081</v>
      </c>
      <c r="F93" s="431">
        <v>179648</v>
      </c>
      <c r="G93" s="431">
        <v>139035</v>
      </c>
      <c r="H93" s="431">
        <v>0</v>
      </c>
      <c r="I93" s="431">
        <v>1197622</v>
      </c>
      <c r="J93" s="431">
        <v>827742</v>
      </c>
      <c r="K93" s="431">
        <v>1013700</v>
      </c>
      <c r="L93" s="431">
        <v>0</v>
      </c>
      <c r="M93" s="431">
        <v>22538</v>
      </c>
      <c r="N93" s="431">
        <v>0</v>
      </c>
      <c r="O93" s="431">
        <v>0</v>
      </c>
      <c r="P93" s="432">
        <f t="shared" si="11"/>
        <v>3511322</v>
      </c>
      <c r="Q93" s="431">
        <v>1241448</v>
      </c>
      <c r="R93" s="431">
        <v>699799</v>
      </c>
      <c r="S93" s="431">
        <v>0</v>
      </c>
      <c r="T93" s="431">
        <v>0</v>
      </c>
      <c r="U93" s="431">
        <v>0</v>
      </c>
      <c r="V93" s="431">
        <v>0</v>
      </c>
      <c r="W93" s="431">
        <v>0</v>
      </c>
      <c r="X93" s="431">
        <v>457723</v>
      </c>
      <c r="Y93" s="431">
        <v>6110</v>
      </c>
      <c r="Z93" s="431">
        <v>1113063</v>
      </c>
      <c r="AA93" s="431">
        <v>0</v>
      </c>
      <c r="AB93" s="431">
        <v>-6821</v>
      </c>
      <c r="AC93" s="431">
        <v>678750</v>
      </c>
      <c r="AD93" s="431">
        <v>44106</v>
      </c>
      <c r="AE93" s="431">
        <v>904539</v>
      </c>
      <c r="AF93" s="431">
        <v>21447</v>
      </c>
      <c r="AG93" s="431">
        <v>61916</v>
      </c>
      <c r="AH93" s="431">
        <v>460377</v>
      </c>
      <c r="AI93" s="431">
        <v>198500</v>
      </c>
      <c r="AJ93" s="431">
        <v>36400</v>
      </c>
      <c r="AK93" s="431">
        <v>0</v>
      </c>
      <c r="AL93" s="431">
        <v>1105287</v>
      </c>
      <c r="AM93" s="431">
        <v>0</v>
      </c>
      <c r="AN93" s="203"/>
      <c r="AO93" s="203"/>
      <c r="AP93" s="203"/>
      <c r="AQ93" s="203"/>
      <c r="AR93" s="203"/>
      <c r="AS93" s="203"/>
      <c r="AT93" s="203"/>
      <c r="AU93" s="203"/>
      <c r="AV93" s="203"/>
      <c r="AW93" s="203"/>
      <c r="AX93" s="203"/>
      <c r="AY93" s="203"/>
      <c r="AZ93" s="203"/>
      <c r="BA93" s="203"/>
      <c r="BB93" s="203"/>
      <c r="BC93" s="203"/>
    </row>
    <row r="94" spans="1:55" s="155" customFormat="1" ht="12" x14ac:dyDescent="0.2">
      <c r="A94" s="168">
        <v>40</v>
      </c>
      <c r="B94" s="223">
        <v>112806</v>
      </c>
      <c r="C94" s="243" t="s">
        <v>542</v>
      </c>
      <c r="D94" s="432">
        <f t="shared" si="8"/>
        <v>3251782</v>
      </c>
      <c r="E94" s="431">
        <v>530822</v>
      </c>
      <c r="F94" s="431">
        <v>32094</v>
      </c>
      <c r="G94" s="431">
        <v>154775</v>
      </c>
      <c r="H94" s="431">
        <v>0</v>
      </c>
      <c r="I94" s="431">
        <v>527993</v>
      </c>
      <c r="J94" s="431">
        <v>400000</v>
      </c>
      <c r="K94" s="431">
        <v>1055400</v>
      </c>
      <c r="L94" s="431">
        <v>0</v>
      </c>
      <c r="M94" s="431">
        <v>736436</v>
      </c>
      <c r="N94" s="431">
        <v>0</v>
      </c>
      <c r="O94" s="431">
        <v>1131</v>
      </c>
      <c r="P94" s="432">
        <f t="shared" si="11"/>
        <v>4325390</v>
      </c>
      <c r="Q94" s="431">
        <v>797958</v>
      </c>
      <c r="R94" s="431">
        <v>556846</v>
      </c>
      <c r="S94" s="431">
        <v>0</v>
      </c>
      <c r="T94" s="431">
        <v>0</v>
      </c>
      <c r="U94" s="431">
        <v>0</v>
      </c>
      <c r="V94" s="431">
        <v>0</v>
      </c>
      <c r="W94" s="431">
        <v>0</v>
      </c>
      <c r="X94" s="431">
        <v>284725</v>
      </c>
      <c r="Y94" s="431">
        <v>39356</v>
      </c>
      <c r="Z94" s="431">
        <v>2654501</v>
      </c>
      <c r="AA94" s="431">
        <v>0</v>
      </c>
      <c r="AB94" s="431">
        <v>-7996</v>
      </c>
      <c r="AC94" s="431">
        <v>896986</v>
      </c>
      <c r="AD94" s="431">
        <v>80810</v>
      </c>
      <c r="AE94" s="431">
        <v>356478</v>
      </c>
      <c r="AF94" s="431">
        <v>0</v>
      </c>
      <c r="AG94" s="431">
        <v>38356</v>
      </c>
      <c r="AH94" s="431">
        <v>362651</v>
      </c>
      <c r="AI94" s="431">
        <v>161173</v>
      </c>
      <c r="AJ94" s="431">
        <v>59363</v>
      </c>
      <c r="AK94" s="431">
        <v>0</v>
      </c>
      <c r="AL94" s="431">
        <v>2369573</v>
      </c>
      <c r="AM94" s="431">
        <v>0</v>
      </c>
      <c r="AN94" s="203"/>
      <c r="AO94" s="203"/>
      <c r="AP94" s="203"/>
      <c r="AQ94" s="203"/>
      <c r="AR94" s="203"/>
      <c r="AS94" s="203"/>
      <c r="AT94" s="203"/>
      <c r="AU94" s="203"/>
      <c r="AV94" s="203"/>
      <c r="AW94" s="203"/>
      <c r="AX94" s="203"/>
      <c r="AY94" s="203"/>
      <c r="AZ94" s="203"/>
      <c r="BA94" s="203"/>
      <c r="BB94" s="203"/>
      <c r="BC94" s="203"/>
    </row>
    <row r="95" spans="1:55" s="155" customFormat="1" ht="12" x14ac:dyDescent="0.2">
      <c r="A95" s="168">
        <v>41</v>
      </c>
      <c r="B95" s="223">
        <v>112879</v>
      </c>
      <c r="C95" s="243" t="s">
        <v>543</v>
      </c>
      <c r="D95" s="432">
        <f t="shared" si="8"/>
        <v>6351812</v>
      </c>
      <c r="E95" s="431">
        <v>1290180</v>
      </c>
      <c r="F95" s="431">
        <v>119629</v>
      </c>
      <c r="G95" s="431">
        <v>356506</v>
      </c>
      <c r="H95" s="431">
        <v>0</v>
      </c>
      <c r="I95" s="431">
        <v>2320874</v>
      </c>
      <c r="J95" s="431">
        <v>520000</v>
      </c>
      <c r="K95" s="431">
        <v>1260520</v>
      </c>
      <c r="L95" s="431">
        <v>0</v>
      </c>
      <c r="M95" s="431">
        <v>957410</v>
      </c>
      <c r="N95" s="431">
        <v>0</v>
      </c>
      <c r="O95" s="431">
        <v>2828</v>
      </c>
      <c r="P95" s="432">
        <f t="shared" si="11"/>
        <v>5326136</v>
      </c>
      <c r="Q95" s="431">
        <v>2224993</v>
      </c>
      <c r="R95" s="431">
        <v>866251</v>
      </c>
      <c r="S95" s="431">
        <v>0</v>
      </c>
      <c r="T95" s="431">
        <v>0</v>
      </c>
      <c r="U95" s="431">
        <v>0</v>
      </c>
      <c r="V95" s="431">
        <v>0</v>
      </c>
      <c r="W95" s="431">
        <v>0</v>
      </c>
      <c r="X95" s="431">
        <v>629628</v>
      </c>
      <c r="Y95" s="431">
        <v>0</v>
      </c>
      <c r="Z95" s="431">
        <v>1387023</v>
      </c>
      <c r="AA95" s="431">
        <v>224000</v>
      </c>
      <c r="AB95" s="431">
        <v>-5759</v>
      </c>
      <c r="AC95" s="431">
        <v>862418</v>
      </c>
      <c r="AD95" s="431">
        <v>2052</v>
      </c>
      <c r="AE95" s="431">
        <v>1438825</v>
      </c>
      <c r="AF95" s="431">
        <v>0</v>
      </c>
      <c r="AG95" s="431">
        <v>181621</v>
      </c>
      <c r="AH95" s="431">
        <v>1036068</v>
      </c>
      <c r="AI95" s="431">
        <v>102381</v>
      </c>
      <c r="AJ95" s="431">
        <v>628809</v>
      </c>
      <c r="AK95" s="431">
        <v>0</v>
      </c>
      <c r="AL95" s="431">
        <v>1073962</v>
      </c>
      <c r="AM95" s="431">
        <v>0</v>
      </c>
      <c r="AN95" s="203"/>
      <c r="AO95" s="203"/>
      <c r="AP95" s="203"/>
      <c r="AQ95" s="203"/>
      <c r="AR95" s="203"/>
      <c r="AS95" s="203"/>
      <c r="AT95" s="203"/>
      <c r="AU95" s="203"/>
      <c r="AV95" s="203"/>
      <c r="AW95" s="203"/>
      <c r="AX95" s="203"/>
      <c r="AY95" s="203"/>
      <c r="AZ95" s="203"/>
      <c r="BA95" s="203"/>
      <c r="BB95" s="203"/>
      <c r="BC95" s="203"/>
    </row>
    <row r="96" spans="1:55" s="155" customFormat="1" ht="12" x14ac:dyDescent="0.2">
      <c r="A96" s="168">
        <v>42</v>
      </c>
      <c r="B96" s="223">
        <v>112959</v>
      </c>
      <c r="C96" s="243" t="s">
        <v>544</v>
      </c>
      <c r="D96" s="432">
        <f t="shared" si="8"/>
        <v>4053242</v>
      </c>
      <c r="E96" s="431">
        <v>450496</v>
      </c>
      <c r="F96" s="431">
        <v>44221</v>
      </c>
      <c r="G96" s="431">
        <v>169547</v>
      </c>
      <c r="H96" s="431">
        <v>0</v>
      </c>
      <c r="I96" s="431">
        <v>679552</v>
      </c>
      <c r="J96" s="431">
        <v>0</v>
      </c>
      <c r="K96" s="431">
        <v>1372220</v>
      </c>
      <c r="L96" s="431">
        <v>0</v>
      </c>
      <c r="M96" s="431">
        <v>1350927</v>
      </c>
      <c r="N96" s="431">
        <v>200047</v>
      </c>
      <c r="O96" s="431"/>
      <c r="P96" s="432">
        <f t="shared" si="11"/>
        <v>3761519</v>
      </c>
      <c r="Q96" s="431">
        <v>927884</v>
      </c>
      <c r="R96" s="431">
        <v>580647</v>
      </c>
      <c r="S96" s="431">
        <v>0</v>
      </c>
      <c r="T96" s="431">
        <v>0</v>
      </c>
      <c r="U96" s="431">
        <v>0</v>
      </c>
      <c r="V96" s="431">
        <v>0</v>
      </c>
      <c r="W96" s="431">
        <v>770084</v>
      </c>
      <c r="X96" s="431">
        <v>98882</v>
      </c>
      <c r="Y96" s="431">
        <v>0</v>
      </c>
      <c r="Z96" s="431">
        <v>1384262</v>
      </c>
      <c r="AA96" s="431">
        <v>0</v>
      </c>
      <c r="AB96" s="431">
        <v>-240</v>
      </c>
      <c r="AC96" s="431">
        <v>625164</v>
      </c>
      <c r="AD96" s="431">
        <v>0</v>
      </c>
      <c r="AE96" s="431">
        <v>522544</v>
      </c>
      <c r="AF96" s="431">
        <v>0</v>
      </c>
      <c r="AG96" s="431">
        <v>136852</v>
      </c>
      <c r="AH96" s="431">
        <v>254169</v>
      </c>
      <c r="AI96" s="431">
        <v>59980</v>
      </c>
      <c r="AJ96" s="431">
        <v>8464</v>
      </c>
      <c r="AK96" s="431">
        <v>0</v>
      </c>
      <c r="AL96" s="431">
        <v>2154346</v>
      </c>
      <c r="AM96" s="431">
        <v>0</v>
      </c>
      <c r="AN96" s="203"/>
      <c r="AO96" s="203"/>
      <c r="AP96" s="203"/>
      <c r="AQ96" s="203"/>
      <c r="AR96" s="203"/>
      <c r="AS96" s="203"/>
      <c r="AT96" s="203"/>
      <c r="AU96" s="203"/>
      <c r="AV96" s="203"/>
      <c r="AW96" s="203"/>
      <c r="AX96" s="203"/>
      <c r="AY96" s="203"/>
      <c r="AZ96" s="203"/>
      <c r="BA96" s="203"/>
      <c r="BB96" s="203"/>
      <c r="BC96" s="203"/>
    </row>
    <row r="97" spans="1:55" s="155" customFormat="1" ht="12" x14ac:dyDescent="0.2">
      <c r="A97" s="168">
        <v>43</v>
      </c>
      <c r="B97" s="223">
        <v>112995</v>
      </c>
      <c r="C97" s="243" t="s">
        <v>545</v>
      </c>
      <c r="D97" s="432">
        <f t="shared" si="8"/>
        <v>4320026</v>
      </c>
      <c r="E97" s="431">
        <v>716102</v>
      </c>
      <c r="F97" s="431">
        <v>240201</v>
      </c>
      <c r="G97" s="431">
        <v>153807</v>
      </c>
      <c r="H97" s="431">
        <v>0</v>
      </c>
      <c r="I97" s="431">
        <v>1690522</v>
      </c>
      <c r="J97" s="431">
        <v>200000</v>
      </c>
      <c r="K97" s="431">
        <v>1148040</v>
      </c>
      <c r="L97" s="431">
        <v>0</v>
      </c>
      <c r="M97" s="431">
        <v>234614</v>
      </c>
      <c r="N97" s="431">
        <v>330748</v>
      </c>
      <c r="O97" s="431">
        <v>0</v>
      </c>
      <c r="P97" s="432">
        <f t="shared" si="11"/>
        <v>3755150</v>
      </c>
      <c r="Q97" s="431">
        <v>1898866</v>
      </c>
      <c r="R97" s="431">
        <v>1054339</v>
      </c>
      <c r="S97" s="431">
        <v>0</v>
      </c>
      <c r="T97" s="431">
        <v>0</v>
      </c>
      <c r="U97" s="431">
        <v>0</v>
      </c>
      <c r="V97" s="431">
        <v>0</v>
      </c>
      <c r="W97" s="431">
        <v>344451</v>
      </c>
      <c r="X97" s="431">
        <v>209424</v>
      </c>
      <c r="Y97" s="431">
        <v>0</v>
      </c>
      <c r="Z97" s="431">
        <v>248070</v>
      </c>
      <c r="AA97" s="431">
        <v>0</v>
      </c>
      <c r="AB97" s="431">
        <v>0</v>
      </c>
      <c r="AC97" s="431">
        <v>776435</v>
      </c>
      <c r="AD97" s="431">
        <v>8534</v>
      </c>
      <c r="AE97" s="431">
        <v>1401597</v>
      </c>
      <c r="AF97" s="431">
        <v>23402</v>
      </c>
      <c r="AG97" s="431">
        <v>158567</v>
      </c>
      <c r="AH97" s="431">
        <v>353685</v>
      </c>
      <c r="AI97" s="431">
        <v>161683</v>
      </c>
      <c r="AJ97" s="431">
        <v>37879</v>
      </c>
      <c r="AK97" s="431">
        <v>0</v>
      </c>
      <c r="AL97" s="431">
        <v>833368</v>
      </c>
      <c r="AM97" s="431">
        <v>0</v>
      </c>
      <c r="AN97" s="203"/>
      <c r="AO97" s="203"/>
      <c r="AP97" s="203"/>
      <c r="AQ97" s="203"/>
      <c r="AR97" s="203"/>
      <c r="AS97" s="203"/>
      <c r="AT97" s="203"/>
      <c r="AU97" s="203"/>
      <c r="AV97" s="203"/>
      <c r="AW97" s="203"/>
      <c r="AX97" s="203"/>
      <c r="AY97" s="203"/>
      <c r="AZ97" s="203"/>
      <c r="BA97" s="203"/>
      <c r="BB97" s="203"/>
      <c r="BC97" s="203"/>
    </row>
    <row r="98" spans="1:55" s="155" customFormat="1" ht="12" x14ac:dyDescent="0.2">
      <c r="A98" s="168">
        <v>44</v>
      </c>
      <c r="B98" s="223">
        <v>113153</v>
      </c>
      <c r="C98" s="243" t="s">
        <v>546</v>
      </c>
      <c r="D98" s="432">
        <f t="shared" si="8"/>
        <v>4000189</v>
      </c>
      <c r="E98" s="431">
        <v>485481</v>
      </c>
      <c r="F98" s="431">
        <v>66811</v>
      </c>
      <c r="G98" s="431">
        <v>167649</v>
      </c>
      <c r="H98" s="431">
        <v>0</v>
      </c>
      <c r="I98" s="431">
        <v>547789</v>
      </c>
      <c r="J98" s="431">
        <v>0</v>
      </c>
      <c r="K98" s="431">
        <v>1137060</v>
      </c>
      <c r="L98" s="431">
        <v>0</v>
      </c>
      <c r="M98" s="431">
        <v>1411235</v>
      </c>
      <c r="N98" s="431">
        <v>418624</v>
      </c>
      <c r="O98" s="431">
        <v>0</v>
      </c>
      <c r="P98" s="432">
        <f t="shared" si="11"/>
        <v>3830619</v>
      </c>
      <c r="Q98" s="431">
        <v>761589</v>
      </c>
      <c r="R98" s="431">
        <v>562181</v>
      </c>
      <c r="S98" s="431">
        <v>0</v>
      </c>
      <c r="T98" s="431">
        <v>0</v>
      </c>
      <c r="U98" s="431">
        <v>0</v>
      </c>
      <c r="V98" s="431">
        <v>0</v>
      </c>
      <c r="W98" s="431">
        <v>852061</v>
      </c>
      <c r="X98" s="431">
        <v>195509</v>
      </c>
      <c r="Y98" s="431">
        <v>1870</v>
      </c>
      <c r="Z98" s="431">
        <v>1527091</v>
      </c>
      <c r="AA98" s="431">
        <v>0</v>
      </c>
      <c r="AB98" s="431">
        <v>-69682</v>
      </c>
      <c r="AC98" s="431">
        <v>782197</v>
      </c>
      <c r="AD98" s="431">
        <v>0</v>
      </c>
      <c r="AE98" s="431">
        <v>1090180</v>
      </c>
      <c r="AF98" s="431">
        <v>0</v>
      </c>
      <c r="AG98" s="431">
        <v>60920</v>
      </c>
      <c r="AH98" s="431">
        <v>380721</v>
      </c>
      <c r="AI98" s="431">
        <v>1238441</v>
      </c>
      <c r="AJ98" s="431">
        <v>0</v>
      </c>
      <c r="AK98" s="431">
        <v>0</v>
      </c>
      <c r="AL98" s="431">
        <v>278160</v>
      </c>
      <c r="AM98" s="431">
        <v>0</v>
      </c>
      <c r="AN98" s="203"/>
      <c r="AO98" s="203"/>
      <c r="AP98" s="203"/>
      <c r="AQ98" s="203"/>
      <c r="AR98" s="203"/>
      <c r="AS98" s="203"/>
      <c r="AT98" s="203"/>
      <c r="AU98" s="203"/>
      <c r="AV98" s="203"/>
      <c r="AW98" s="203"/>
      <c r="AX98" s="203"/>
      <c r="AY98" s="203"/>
      <c r="AZ98" s="203"/>
      <c r="BA98" s="203"/>
      <c r="BB98" s="203"/>
      <c r="BC98" s="203"/>
    </row>
    <row r="99" spans="1:55" s="155" customFormat="1" ht="12" x14ac:dyDescent="0.2">
      <c r="A99" s="168">
        <v>45</v>
      </c>
      <c r="B99" s="223">
        <v>113206</v>
      </c>
      <c r="C99" s="243" t="s">
        <v>547</v>
      </c>
      <c r="D99" s="432">
        <f t="shared" si="8"/>
        <v>3606740</v>
      </c>
      <c r="E99" s="431">
        <v>532930</v>
      </c>
      <c r="F99" s="431">
        <v>80776</v>
      </c>
      <c r="G99" s="431">
        <v>176528</v>
      </c>
      <c r="H99" s="431">
        <v>0</v>
      </c>
      <c r="I99" s="431">
        <v>621485</v>
      </c>
      <c r="J99" s="431">
        <v>0</v>
      </c>
      <c r="K99" s="431">
        <v>1269870</v>
      </c>
      <c r="L99" s="431">
        <v>0</v>
      </c>
      <c r="M99" s="431">
        <v>938990</v>
      </c>
      <c r="N99" s="431">
        <v>243465</v>
      </c>
      <c r="O99" s="431">
        <v>0</v>
      </c>
      <c r="P99" s="432">
        <f t="shared" si="11"/>
        <v>3215829</v>
      </c>
      <c r="Q99" s="431">
        <v>830549</v>
      </c>
      <c r="R99" s="431">
        <v>504811</v>
      </c>
      <c r="S99" s="431">
        <v>0</v>
      </c>
      <c r="T99" s="431">
        <v>0</v>
      </c>
      <c r="U99" s="431">
        <v>0</v>
      </c>
      <c r="V99" s="431">
        <v>0</v>
      </c>
      <c r="W99" s="431">
        <v>326196</v>
      </c>
      <c r="X99" s="431">
        <v>213488</v>
      </c>
      <c r="Y99" s="431">
        <v>0</v>
      </c>
      <c r="Z99" s="431">
        <v>1340785</v>
      </c>
      <c r="AA99" s="431">
        <v>0</v>
      </c>
      <c r="AB99" s="431">
        <v>0</v>
      </c>
      <c r="AC99" s="431">
        <v>1008198</v>
      </c>
      <c r="AD99" s="431">
        <v>13315</v>
      </c>
      <c r="AE99" s="431">
        <v>698851</v>
      </c>
      <c r="AF99" s="431">
        <v>23344</v>
      </c>
      <c r="AG99" s="431">
        <v>12498</v>
      </c>
      <c r="AH99" s="431">
        <v>292872</v>
      </c>
      <c r="AI99" s="431">
        <v>108876</v>
      </c>
      <c r="AJ99" s="431">
        <v>73089</v>
      </c>
      <c r="AK99" s="431">
        <v>0</v>
      </c>
      <c r="AL99" s="431">
        <v>984786</v>
      </c>
      <c r="AM99" s="431">
        <v>0</v>
      </c>
      <c r="AN99" s="203"/>
      <c r="AO99" s="203"/>
      <c r="AP99" s="203"/>
      <c r="AQ99" s="203"/>
      <c r="AR99" s="203"/>
      <c r="AS99" s="203"/>
      <c r="AT99" s="203"/>
      <c r="AU99" s="203"/>
      <c r="AV99" s="203"/>
      <c r="AW99" s="203"/>
      <c r="AX99" s="203"/>
      <c r="AY99" s="203"/>
      <c r="AZ99" s="203"/>
      <c r="BA99" s="203"/>
      <c r="BB99" s="203"/>
      <c r="BC99" s="203"/>
    </row>
    <row r="100" spans="1:55" s="155" customFormat="1" ht="12" x14ac:dyDescent="0.2">
      <c r="A100" s="168">
        <v>46</v>
      </c>
      <c r="B100" s="223">
        <v>113233</v>
      </c>
      <c r="C100" s="243" t="s">
        <v>548</v>
      </c>
      <c r="D100" s="432">
        <f t="shared" si="8"/>
        <v>4358616</v>
      </c>
      <c r="E100" s="431">
        <v>686114</v>
      </c>
      <c r="F100" s="431">
        <v>155104</v>
      </c>
      <c r="G100" s="431">
        <v>119300</v>
      </c>
      <c r="H100" s="431">
        <v>0</v>
      </c>
      <c r="I100" s="431">
        <v>1013291</v>
      </c>
      <c r="J100" s="431">
        <v>500000</v>
      </c>
      <c r="K100" s="431">
        <v>957160</v>
      </c>
      <c r="L100" s="431">
        <v>0</v>
      </c>
      <c r="M100" s="431">
        <v>114511</v>
      </c>
      <c r="N100" s="431">
        <v>1087540</v>
      </c>
      <c r="O100" s="431">
        <v>0</v>
      </c>
      <c r="P100" s="432">
        <f t="shared" si="11"/>
        <v>4768447</v>
      </c>
      <c r="Q100" s="431">
        <v>1141623</v>
      </c>
      <c r="R100" s="431">
        <v>1028660</v>
      </c>
      <c r="S100" s="431">
        <v>0</v>
      </c>
      <c r="T100" s="431">
        <v>0</v>
      </c>
      <c r="U100" s="431">
        <v>0</v>
      </c>
      <c r="V100" s="431">
        <v>0</v>
      </c>
      <c r="W100" s="431">
        <v>1947772</v>
      </c>
      <c r="X100" s="431">
        <v>276635</v>
      </c>
      <c r="Y100" s="431">
        <v>10000</v>
      </c>
      <c r="Z100" s="431">
        <v>395634</v>
      </c>
      <c r="AA100" s="431">
        <v>0</v>
      </c>
      <c r="AB100" s="431">
        <v>-31877</v>
      </c>
      <c r="AC100" s="431">
        <v>597929</v>
      </c>
      <c r="AD100" s="431">
        <v>29815</v>
      </c>
      <c r="AE100" s="431">
        <v>763170</v>
      </c>
      <c r="AF100" s="431">
        <v>29340</v>
      </c>
      <c r="AG100" s="431">
        <v>31171</v>
      </c>
      <c r="AH100" s="431">
        <v>407301</v>
      </c>
      <c r="AI100" s="431">
        <v>273902</v>
      </c>
      <c r="AJ100" s="431">
        <v>109576</v>
      </c>
      <c r="AK100" s="431">
        <v>0</v>
      </c>
      <c r="AL100" s="431">
        <v>2526243</v>
      </c>
      <c r="AM100" s="431">
        <v>0</v>
      </c>
      <c r="AN100" s="203"/>
      <c r="AO100" s="203"/>
      <c r="AP100" s="203"/>
      <c r="AQ100" s="203"/>
      <c r="AR100" s="203"/>
      <c r="AS100" s="203"/>
      <c r="AT100" s="203"/>
      <c r="AU100" s="203"/>
      <c r="AV100" s="203"/>
      <c r="AW100" s="203"/>
      <c r="AX100" s="203"/>
      <c r="AY100" s="203"/>
      <c r="AZ100" s="203"/>
      <c r="BA100" s="203"/>
      <c r="BB100" s="203"/>
      <c r="BC100" s="203"/>
    </row>
    <row r="101" spans="1:55" s="155" customFormat="1" ht="12" x14ac:dyDescent="0.2">
      <c r="A101" s="168">
        <v>47</v>
      </c>
      <c r="B101" s="223">
        <v>113395</v>
      </c>
      <c r="C101" s="243" t="s">
        <v>549</v>
      </c>
      <c r="D101" s="432">
        <f t="shared" si="8"/>
        <v>5882182</v>
      </c>
      <c r="E101" s="431">
        <v>621812</v>
      </c>
      <c r="F101" s="431">
        <v>102463</v>
      </c>
      <c r="G101" s="431">
        <v>134151</v>
      </c>
      <c r="H101" s="431">
        <v>0</v>
      </c>
      <c r="I101" s="431">
        <v>1808255</v>
      </c>
      <c r="J101" s="431">
        <v>700000</v>
      </c>
      <c r="K101" s="431">
        <v>1080900</v>
      </c>
      <c r="L101" s="431">
        <v>0</v>
      </c>
      <c r="M101" s="431">
        <v>1671215</v>
      </c>
      <c r="N101" s="431">
        <v>0</v>
      </c>
      <c r="O101" s="431">
        <v>0</v>
      </c>
      <c r="P101" s="432">
        <f t="shared" si="11"/>
        <v>5636677</v>
      </c>
      <c r="Q101" s="431">
        <v>1931199</v>
      </c>
      <c r="R101" s="431">
        <v>854894</v>
      </c>
      <c r="S101" s="431">
        <v>0</v>
      </c>
      <c r="T101" s="431">
        <v>0</v>
      </c>
      <c r="U101" s="431">
        <v>0</v>
      </c>
      <c r="V101" s="431">
        <v>0</v>
      </c>
      <c r="W101" s="431">
        <v>0</v>
      </c>
      <c r="X101" s="431">
        <v>388006</v>
      </c>
      <c r="Y101" s="431">
        <v>1729</v>
      </c>
      <c r="Z101" s="431">
        <v>2460849</v>
      </c>
      <c r="AA101" s="431">
        <v>0</v>
      </c>
      <c r="AB101" s="431">
        <v>0</v>
      </c>
      <c r="AC101" s="431">
        <v>1053284</v>
      </c>
      <c r="AD101" s="431">
        <v>0</v>
      </c>
      <c r="AE101" s="431">
        <v>1284984</v>
      </c>
      <c r="AF101" s="431">
        <v>28368</v>
      </c>
      <c r="AG101" s="431">
        <v>56952</v>
      </c>
      <c r="AH101" s="431">
        <v>597354</v>
      </c>
      <c r="AI101" s="431">
        <v>1694670</v>
      </c>
      <c r="AJ101" s="431">
        <v>238574</v>
      </c>
      <c r="AK101" s="431">
        <v>0</v>
      </c>
      <c r="AL101" s="431">
        <v>682090</v>
      </c>
      <c r="AM101" s="431">
        <v>401</v>
      </c>
      <c r="AN101" s="203"/>
      <c r="AO101" s="203"/>
      <c r="AP101" s="203"/>
      <c r="AQ101" s="203"/>
      <c r="AR101" s="203"/>
      <c r="AS101" s="203"/>
      <c r="AT101" s="203"/>
      <c r="AU101" s="203"/>
      <c r="AV101" s="203"/>
      <c r="AW101" s="203"/>
      <c r="AX101" s="203"/>
      <c r="AY101" s="203"/>
      <c r="AZ101" s="203"/>
      <c r="BA101" s="203"/>
      <c r="BB101" s="203"/>
      <c r="BC101" s="203"/>
    </row>
    <row r="102" spans="1:55" s="155" customFormat="1" ht="12" x14ac:dyDescent="0.2">
      <c r="A102" s="168">
        <v>48</v>
      </c>
      <c r="B102" s="223">
        <v>113466</v>
      </c>
      <c r="C102" s="243" t="s">
        <v>550</v>
      </c>
      <c r="D102" s="432">
        <f t="shared" si="8"/>
        <v>7887917</v>
      </c>
      <c r="E102" s="431">
        <v>552445</v>
      </c>
      <c r="F102" s="431">
        <v>66891</v>
      </c>
      <c r="G102" s="431">
        <v>167649</v>
      </c>
      <c r="H102" s="431">
        <v>0</v>
      </c>
      <c r="I102" s="431">
        <v>771738</v>
      </c>
      <c r="J102" s="431">
        <v>0</v>
      </c>
      <c r="K102" s="431">
        <v>1299850</v>
      </c>
      <c r="L102" s="431">
        <v>0</v>
      </c>
      <c r="M102" s="431">
        <v>1518199</v>
      </c>
      <c r="N102" s="431">
        <v>3736864</v>
      </c>
      <c r="O102" s="431">
        <v>8821</v>
      </c>
      <c r="P102" s="432">
        <f t="shared" si="11"/>
        <v>6571295</v>
      </c>
      <c r="Q102" s="431">
        <v>989319</v>
      </c>
      <c r="R102" s="431">
        <v>766294</v>
      </c>
      <c r="S102" s="431">
        <v>0</v>
      </c>
      <c r="T102" s="431">
        <v>0</v>
      </c>
      <c r="U102" s="431">
        <v>0</v>
      </c>
      <c r="V102" s="431">
        <v>0</v>
      </c>
      <c r="W102" s="431">
        <v>3373155</v>
      </c>
      <c r="X102" s="431">
        <v>204244</v>
      </c>
      <c r="Y102" s="431">
        <v>6479</v>
      </c>
      <c r="Z102" s="431">
        <v>1235277</v>
      </c>
      <c r="AA102" s="431">
        <v>0</v>
      </c>
      <c r="AB102" s="431">
        <v>-3473</v>
      </c>
      <c r="AC102" s="431">
        <v>794067</v>
      </c>
      <c r="AD102" s="431">
        <v>46291</v>
      </c>
      <c r="AE102" s="431">
        <v>1110185</v>
      </c>
      <c r="AF102" s="431">
        <v>23680</v>
      </c>
      <c r="AG102" s="431">
        <v>152508</v>
      </c>
      <c r="AH102" s="431">
        <v>201423</v>
      </c>
      <c r="AI102" s="431">
        <v>249660</v>
      </c>
      <c r="AJ102" s="431">
        <v>103142</v>
      </c>
      <c r="AK102" s="431">
        <v>0</v>
      </c>
      <c r="AL102" s="431">
        <v>1010946</v>
      </c>
      <c r="AM102" s="431">
        <v>2879393</v>
      </c>
      <c r="AN102" s="203"/>
      <c r="AO102" s="203"/>
      <c r="AP102" s="203"/>
      <c r="AQ102" s="203"/>
      <c r="AR102" s="203"/>
      <c r="AS102" s="203"/>
      <c r="AT102" s="203"/>
      <c r="AU102" s="203"/>
      <c r="AV102" s="203"/>
      <c r="AW102" s="203"/>
      <c r="AX102" s="203"/>
      <c r="AY102" s="203"/>
      <c r="AZ102" s="203"/>
      <c r="BA102" s="203"/>
      <c r="BB102" s="203"/>
      <c r="BC102" s="203"/>
    </row>
    <row r="103" spans="1:55" s="155" customFormat="1" ht="12" x14ac:dyDescent="0.2">
      <c r="A103" s="168">
        <v>49</v>
      </c>
      <c r="B103" s="223">
        <v>113493</v>
      </c>
      <c r="C103" s="243" t="s">
        <v>551</v>
      </c>
      <c r="D103" s="432">
        <f t="shared" si="8"/>
        <v>6094348</v>
      </c>
      <c r="E103" s="431">
        <v>595680</v>
      </c>
      <c r="F103" s="431">
        <v>95718</v>
      </c>
      <c r="G103" s="431">
        <v>153807</v>
      </c>
      <c r="H103" s="431">
        <v>0</v>
      </c>
      <c r="I103" s="431">
        <v>1693414</v>
      </c>
      <c r="J103" s="431">
        <v>300000</v>
      </c>
      <c r="K103" s="431">
        <v>1126320</v>
      </c>
      <c r="L103" s="431">
        <v>0</v>
      </c>
      <c r="M103" s="431">
        <v>1756654</v>
      </c>
      <c r="N103" s="431">
        <v>595429</v>
      </c>
      <c r="O103" s="431">
        <v>26851</v>
      </c>
      <c r="P103" s="432">
        <f t="shared" si="11"/>
        <v>5659488</v>
      </c>
      <c r="Q103" s="431">
        <v>1958657</v>
      </c>
      <c r="R103" s="431">
        <v>870593</v>
      </c>
      <c r="S103" s="431">
        <v>0</v>
      </c>
      <c r="T103" s="431">
        <v>0</v>
      </c>
      <c r="U103" s="431">
        <v>0</v>
      </c>
      <c r="V103" s="431">
        <v>40000</v>
      </c>
      <c r="W103" s="431">
        <v>0</v>
      </c>
      <c r="X103" s="431">
        <v>527125</v>
      </c>
      <c r="Y103" s="431">
        <v>11910</v>
      </c>
      <c r="Z103" s="431">
        <v>1479983</v>
      </c>
      <c r="AA103" s="431">
        <v>776691</v>
      </c>
      <c r="AB103" s="431">
        <v>-5471</v>
      </c>
      <c r="AC103" s="431">
        <v>921742</v>
      </c>
      <c r="AD103" s="431">
        <v>58839</v>
      </c>
      <c r="AE103" s="431">
        <v>785780</v>
      </c>
      <c r="AF103" s="431">
        <v>0</v>
      </c>
      <c r="AG103" s="431">
        <v>23486</v>
      </c>
      <c r="AH103" s="431">
        <v>1256642</v>
      </c>
      <c r="AI103" s="431">
        <v>1707500</v>
      </c>
      <c r="AJ103" s="431">
        <v>68865</v>
      </c>
      <c r="AK103" s="431">
        <v>0</v>
      </c>
      <c r="AL103" s="431">
        <v>59943</v>
      </c>
      <c r="AM103" s="431">
        <v>776691</v>
      </c>
      <c r="AN103" s="203"/>
      <c r="AO103" s="203"/>
      <c r="AP103" s="203"/>
      <c r="AQ103" s="203"/>
      <c r="AR103" s="203"/>
      <c r="AS103" s="203"/>
      <c r="AT103" s="203"/>
      <c r="AU103" s="203"/>
      <c r="AV103" s="203"/>
      <c r="AW103" s="203"/>
      <c r="AX103" s="203"/>
      <c r="AY103" s="203"/>
      <c r="AZ103" s="203"/>
      <c r="BA103" s="203"/>
      <c r="BB103" s="203"/>
      <c r="BC103" s="203"/>
    </row>
    <row r="104" spans="1:55" s="155" customFormat="1" ht="12" x14ac:dyDescent="0.2">
      <c r="A104" s="168">
        <v>50</v>
      </c>
      <c r="B104" s="223">
        <v>109826</v>
      </c>
      <c r="C104" s="243" t="s">
        <v>552</v>
      </c>
      <c r="D104" s="432">
        <f t="shared" si="8"/>
        <v>15954506</v>
      </c>
      <c r="E104" s="431">
        <v>4449970</v>
      </c>
      <c r="F104" s="431">
        <v>2476290</v>
      </c>
      <c r="G104" s="431">
        <v>225542</v>
      </c>
      <c r="H104" s="431">
        <v>0</v>
      </c>
      <c r="I104" s="431">
        <v>7288301</v>
      </c>
      <c r="J104" s="431">
        <v>720317</v>
      </c>
      <c r="K104" s="431">
        <v>1060000</v>
      </c>
      <c r="L104" s="431">
        <v>0</v>
      </c>
      <c r="M104" s="431">
        <v>1831745</v>
      </c>
      <c r="N104" s="431">
        <v>584950</v>
      </c>
      <c r="O104" s="431">
        <v>19223</v>
      </c>
      <c r="P104" s="432">
        <f t="shared" si="11"/>
        <v>15032214</v>
      </c>
      <c r="Q104" s="431">
        <v>6838173</v>
      </c>
      <c r="R104" s="431">
        <v>2333443</v>
      </c>
      <c r="S104" s="431">
        <v>0</v>
      </c>
      <c r="T104" s="431">
        <v>0</v>
      </c>
      <c r="U104" s="431">
        <v>0</v>
      </c>
      <c r="V104" s="431">
        <v>0</v>
      </c>
      <c r="W104" s="431">
        <v>722261</v>
      </c>
      <c r="X104" s="431">
        <v>909781</v>
      </c>
      <c r="Y104" s="431">
        <v>170440</v>
      </c>
      <c r="Z104" s="431">
        <v>4070002</v>
      </c>
      <c r="AA104" s="431">
        <v>0</v>
      </c>
      <c r="AB104" s="431">
        <v>-11886</v>
      </c>
      <c r="AC104" s="431">
        <v>1224166</v>
      </c>
      <c r="AD104" s="431">
        <v>73378</v>
      </c>
      <c r="AE104" s="431">
        <v>6228188</v>
      </c>
      <c r="AF104" s="431">
        <v>34200</v>
      </c>
      <c r="AG104" s="431">
        <v>510787</v>
      </c>
      <c r="AH104" s="431">
        <v>1467751</v>
      </c>
      <c r="AI104" s="431">
        <v>1756944</v>
      </c>
      <c r="AJ104" s="431">
        <v>76089</v>
      </c>
      <c r="AK104" s="431">
        <v>0</v>
      </c>
      <c r="AL104" s="431">
        <v>2938450</v>
      </c>
      <c r="AM104" s="431">
        <v>722261</v>
      </c>
      <c r="AN104" s="203"/>
      <c r="AO104" s="203"/>
      <c r="AP104" s="203"/>
      <c r="AQ104" s="203"/>
      <c r="AR104" s="203"/>
      <c r="AS104" s="203"/>
      <c r="AT104" s="203"/>
      <c r="AU104" s="203"/>
      <c r="AV104" s="203"/>
      <c r="AW104" s="203"/>
      <c r="AX104" s="203"/>
      <c r="AY104" s="203"/>
      <c r="AZ104" s="203"/>
      <c r="BA104" s="203"/>
      <c r="BB104" s="203"/>
      <c r="BC104" s="203"/>
    </row>
    <row r="105" spans="1:55" s="155" customFormat="1" ht="12" x14ac:dyDescent="0.2">
      <c r="A105" s="168">
        <v>51</v>
      </c>
      <c r="B105" s="223">
        <v>113625</v>
      </c>
      <c r="C105" s="243" t="s">
        <v>553</v>
      </c>
      <c r="D105" s="432">
        <f t="shared" si="8"/>
        <v>7390101</v>
      </c>
      <c r="E105" s="431">
        <v>837171</v>
      </c>
      <c r="F105" s="431">
        <v>137696</v>
      </c>
      <c r="G105" s="431">
        <v>132174</v>
      </c>
      <c r="H105" s="431">
        <v>0</v>
      </c>
      <c r="I105" s="431">
        <v>2035442</v>
      </c>
      <c r="J105" s="431">
        <v>320000</v>
      </c>
      <c r="K105" s="431">
        <v>1185500</v>
      </c>
      <c r="L105" s="431">
        <v>0</v>
      </c>
      <c r="M105" s="431">
        <v>912171</v>
      </c>
      <c r="N105" s="431">
        <v>2096412</v>
      </c>
      <c r="O105" s="431">
        <v>3405</v>
      </c>
      <c r="P105" s="432">
        <f t="shared" si="11"/>
        <v>7100599</v>
      </c>
      <c r="Q105" s="431">
        <v>1949363</v>
      </c>
      <c r="R105" s="431">
        <v>1525870</v>
      </c>
      <c r="S105" s="431">
        <v>5171</v>
      </c>
      <c r="T105" s="431">
        <v>0</v>
      </c>
      <c r="U105" s="431">
        <v>0</v>
      </c>
      <c r="V105" s="431">
        <v>0</v>
      </c>
      <c r="W105" s="431">
        <v>2484344</v>
      </c>
      <c r="X105" s="431">
        <v>386948</v>
      </c>
      <c r="Y105" s="431">
        <v>0</v>
      </c>
      <c r="Z105" s="431">
        <v>708210</v>
      </c>
      <c r="AA105" s="431">
        <v>45589</v>
      </c>
      <c r="AB105" s="431">
        <v>-4896</v>
      </c>
      <c r="AC105" s="431">
        <v>1268586</v>
      </c>
      <c r="AD105" s="431">
        <v>0</v>
      </c>
      <c r="AE105" s="431">
        <v>2125325</v>
      </c>
      <c r="AF105" s="431">
        <v>0</v>
      </c>
      <c r="AG105" s="431">
        <v>2118398</v>
      </c>
      <c r="AH105" s="431">
        <v>533039</v>
      </c>
      <c r="AI105" s="431">
        <v>517554</v>
      </c>
      <c r="AJ105" s="431">
        <v>93000</v>
      </c>
      <c r="AK105" s="431">
        <v>0</v>
      </c>
      <c r="AL105" s="431">
        <v>394697</v>
      </c>
      <c r="AM105" s="431">
        <v>50000</v>
      </c>
      <c r="AN105" s="203"/>
      <c r="AO105" s="203"/>
      <c r="AP105" s="203"/>
      <c r="AQ105" s="203"/>
      <c r="AR105" s="203"/>
      <c r="AS105" s="203"/>
      <c r="AT105" s="203"/>
      <c r="AU105" s="203"/>
      <c r="AV105" s="203"/>
      <c r="AW105" s="203"/>
      <c r="AX105" s="203"/>
      <c r="AY105" s="203"/>
      <c r="AZ105" s="203"/>
      <c r="BA105" s="203"/>
      <c r="BB105" s="203"/>
      <c r="BC105" s="203"/>
    </row>
    <row r="106" spans="1:55" s="155" customFormat="1" ht="12" x14ac:dyDescent="0.2">
      <c r="A106" s="168">
        <v>52</v>
      </c>
      <c r="B106" s="223">
        <v>113698</v>
      </c>
      <c r="C106" s="243" t="s">
        <v>554</v>
      </c>
      <c r="D106" s="432">
        <f t="shared" si="8"/>
        <v>4297948</v>
      </c>
      <c r="E106" s="431">
        <v>638060</v>
      </c>
      <c r="F106" s="431">
        <v>290738</v>
      </c>
      <c r="G106" s="431">
        <v>183390</v>
      </c>
      <c r="H106" s="431">
        <v>0</v>
      </c>
      <c r="I106" s="431">
        <v>669062</v>
      </c>
      <c r="J106" s="431">
        <v>350000</v>
      </c>
      <c r="K106" s="431">
        <v>1211450</v>
      </c>
      <c r="L106" s="431">
        <v>0</v>
      </c>
      <c r="M106" s="431">
        <v>1429376</v>
      </c>
      <c r="N106" s="431">
        <v>0</v>
      </c>
      <c r="O106" s="431">
        <v>0</v>
      </c>
      <c r="P106" s="432">
        <f t="shared" si="11"/>
        <v>3402219</v>
      </c>
      <c r="Q106" s="431">
        <v>851959</v>
      </c>
      <c r="R106" s="431">
        <v>526730</v>
      </c>
      <c r="S106" s="431">
        <v>0</v>
      </c>
      <c r="T106" s="431">
        <v>0</v>
      </c>
      <c r="U106" s="431">
        <v>0</v>
      </c>
      <c r="V106" s="431">
        <v>0</v>
      </c>
      <c r="W106" s="431">
        <v>0</v>
      </c>
      <c r="X106" s="431">
        <v>86318</v>
      </c>
      <c r="Y106" s="431">
        <v>14607</v>
      </c>
      <c r="Z106" s="431">
        <v>1943190</v>
      </c>
      <c r="AA106" s="431">
        <v>0</v>
      </c>
      <c r="AB106" s="431">
        <v>-20585</v>
      </c>
      <c r="AC106" s="431">
        <v>652466</v>
      </c>
      <c r="AD106" s="431">
        <v>0</v>
      </c>
      <c r="AE106" s="431">
        <v>574015</v>
      </c>
      <c r="AF106" s="431">
        <v>0</v>
      </c>
      <c r="AG106" s="431">
        <v>16116</v>
      </c>
      <c r="AH106" s="431">
        <v>130329</v>
      </c>
      <c r="AI106" s="431">
        <v>39979</v>
      </c>
      <c r="AJ106" s="431">
        <v>12500</v>
      </c>
      <c r="AK106" s="431">
        <v>0</v>
      </c>
      <c r="AL106" s="431">
        <v>1976814</v>
      </c>
      <c r="AM106" s="431">
        <v>0</v>
      </c>
      <c r="AN106" s="203"/>
      <c r="AO106" s="203"/>
      <c r="AP106" s="203"/>
      <c r="AQ106" s="203"/>
      <c r="AR106" s="203"/>
      <c r="AS106" s="203"/>
      <c r="AT106" s="203"/>
      <c r="AU106" s="203"/>
      <c r="AV106" s="203"/>
      <c r="AW106" s="203"/>
      <c r="AX106" s="203"/>
      <c r="AY106" s="203"/>
      <c r="AZ106" s="203"/>
      <c r="BA106" s="203"/>
      <c r="BB106" s="203"/>
      <c r="BC106" s="203"/>
    </row>
    <row r="107" spans="1:55" s="155" customFormat="1" ht="12" x14ac:dyDescent="0.2">
      <c r="A107" s="168">
        <v>53</v>
      </c>
      <c r="B107" s="223">
        <v>113518</v>
      </c>
      <c r="C107" s="243" t="s">
        <v>555</v>
      </c>
      <c r="D107" s="432">
        <f t="shared" si="8"/>
        <v>4779216</v>
      </c>
      <c r="E107" s="431">
        <v>413557</v>
      </c>
      <c r="F107" s="431">
        <v>41299</v>
      </c>
      <c r="G107" s="431">
        <v>177538</v>
      </c>
      <c r="H107" s="431">
        <v>0</v>
      </c>
      <c r="I107" s="431">
        <v>764834</v>
      </c>
      <c r="J107" s="431">
        <v>250000</v>
      </c>
      <c r="K107" s="431">
        <v>1139390</v>
      </c>
      <c r="L107" s="431">
        <v>0</v>
      </c>
      <c r="M107" s="431">
        <v>2211435</v>
      </c>
      <c r="N107" s="431">
        <v>0</v>
      </c>
      <c r="O107" s="431">
        <v>0</v>
      </c>
      <c r="P107" s="432">
        <f t="shared" si="11"/>
        <v>4288963</v>
      </c>
      <c r="Q107" s="431">
        <v>989613</v>
      </c>
      <c r="R107" s="431">
        <v>460042</v>
      </c>
      <c r="S107" s="431">
        <v>0</v>
      </c>
      <c r="T107" s="431">
        <v>0</v>
      </c>
      <c r="U107" s="431">
        <v>0</v>
      </c>
      <c r="V107" s="431">
        <v>0</v>
      </c>
      <c r="W107" s="431">
        <v>0</v>
      </c>
      <c r="X107" s="431">
        <v>143832</v>
      </c>
      <c r="Y107" s="431">
        <v>0</v>
      </c>
      <c r="Z107" s="431">
        <v>2696152</v>
      </c>
      <c r="AA107" s="431">
        <v>0</v>
      </c>
      <c r="AB107" s="431">
        <v>-676</v>
      </c>
      <c r="AC107" s="431">
        <v>663783</v>
      </c>
      <c r="AD107" s="431">
        <v>0</v>
      </c>
      <c r="AE107" s="431">
        <v>613210</v>
      </c>
      <c r="AF107" s="431">
        <v>0</v>
      </c>
      <c r="AG107" s="431">
        <v>10684</v>
      </c>
      <c r="AH107" s="431">
        <v>195200</v>
      </c>
      <c r="AI107" s="431">
        <v>174784</v>
      </c>
      <c r="AJ107" s="431">
        <v>27991</v>
      </c>
      <c r="AK107" s="431">
        <v>0</v>
      </c>
      <c r="AL107" s="431">
        <v>2603311</v>
      </c>
      <c r="AM107" s="431">
        <v>0</v>
      </c>
      <c r="AN107" s="203"/>
      <c r="AO107" s="203"/>
      <c r="AP107" s="203"/>
      <c r="AQ107" s="203"/>
      <c r="AR107" s="203"/>
      <c r="AS107" s="203"/>
      <c r="AT107" s="203"/>
      <c r="AU107" s="203"/>
      <c r="AV107" s="203"/>
      <c r="AW107" s="203"/>
      <c r="AX107" s="203"/>
      <c r="AY107" s="203"/>
      <c r="AZ107" s="203"/>
      <c r="BA107" s="203"/>
      <c r="BB107" s="203"/>
      <c r="BC107" s="203"/>
    </row>
    <row r="108" spans="1:55" s="155" customFormat="1" ht="12" x14ac:dyDescent="0.2">
      <c r="A108" s="168">
        <v>54</v>
      </c>
      <c r="B108" s="223">
        <v>113607</v>
      </c>
      <c r="C108" s="243" t="s">
        <v>556</v>
      </c>
      <c r="D108" s="432">
        <f t="shared" si="8"/>
        <v>4172563</v>
      </c>
      <c r="E108" s="431">
        <v>933247</v>
      </c>
      <c r="F108" s="431">
        <v>204265</v>
      </c>
      <c r="G108" s="431">
        <v>126161</v>
      </c>
      <c r="H108" s="431">
        <v>0</v>
      </c>
      <c r="I108" s="431">
        <v>461954</v>
      </c>
      <c r="J108" s="431">
        <v>0</v>
      </c>
      <c r="K108" s="431">
        <v>901000</v>
      </c>
      <c r="L108" s="431">
        <v>0</v>
      </c>
      <c r="M108" s="431">
        <v>478726</v>
      </c>
      <c r="N108" s="431">
        <v>1397636</v>
      </c>
      <c r="O108" s="431">
        <v>0</v>
      </c>
      <c r="P108" s="432">
        <f t="shared" si="11"/>
        <v>4087499</v>
      </c>
      <c r="Q108" s="431">
        <v>620714</v>
      </c>
      <c r="R108" s="431">
        <v>642175</v>
      </c>
      <c r="S108" s="431">
        <v>0</v>
      </c>
      <c r="T108" s="431">
        <v>0</v>
      </c>
      <c r="U108" s="431">
        <v>0</v>
      </c>
      <c r="V108" s="431">
        <v>0</v>
      </c>
      <c r="W108" s="431">
        <v>1988055</v>
      </c>
      <c r="X108" s="431">
        <v>109525</v>
      </c>
      <c r="Y108" s="431">
        <v>1260</v>
      </c>
      <c r="Z108" s="431">
        <v>725770</v>
      </c>
      <c r="AA108" s="431">
        <v>0</v>
      </c>
      <c r="AB108" s="431">
        <v>0</v>
      </c>
      <c r="AC108" s="431">
        <v>2211014</v>
      </c>
      <c r="AD108" s="431">
        <v>400834</v>
      </c>
      <c r="AE108" s="431">
        <v>381390</v>
      </c>
      <c r="AF108" s="431">
        <v>0</v>
      </c>
      <c r="AG108" s="431">
        <v>240655</v>
      </c>
      <c r="AH108" s="431">
        <v>127811</v>
      </c>
      <c r="AI108" s="431">
        <v>266365</v>
      </c>
      <c r="AJ108" s="431">
        <v>164313</v>
      </c>
      <c r="AK108" s="431">
        <v>0</v>
      </c>
      <c r="AL108" s="431">
        <v>258445</v>
      </c>
      <c r="AM108" s="431">
        <v>36672</v>
      </c>
      <c r="AN108" s="203"/>
      <c r="AO108" s="203"/>
      <c r="AP108" s="203"/>
      <c r="AQ108" s="203"/>
      <c r="AR108" s="203"/>
      <c r="AS108" s="203"/>
      <c r="AT108" s="203"/>
      <c r="AU108" s="203"/>
      <c r="AV108" s="203"/>
      <c r="AW108" s="203"/>
      <c r="AX108" s="203"/>
      <c r="AY108" s="203"/>
      <c r="AZ108" s="203"/>
      <c r="BA108" s="203"/>
      <c r="BB108" s="203"/>
      <c r="BC108" s="203"/>
    </row>
    <row r="109" spans="1:55" s="155" customFormat="1" ht="12" x14ac:dyDescent="0.2">
      <c r="A109" s="168">
        <v>55</v>
      </c>
      <c r="B109" s="223">
        <v>113732</v>
      </c>
      <c r="C109" s="243" t="s">
        <v>557</v>
      </c>
      <c r="D109" s="432">
        <f t="shared" si="8"/>
        <v>4253866</v>
      </c>
      <c r="E109" s="431">
        <v>621203</v>
      </c>
      <c r="F109" s="431">
        <v>124828</v>
      </c>
      <c r="G109" s="431">
        <v>143919</v>
      </c>
      <c r="H109" s="431">
        <v>0</v>
      </c>
      <c r="I109" s="431">
        <v>1608654</v>
      </c>
      <c r="J109" s="431">
        <v>547425</v>
      </c>
      <c r="K109" s="431">
        <v>1104540</v>
      </c>
      <c r="L109" s="431">
        <v>0</v>
      </c>
      <c r="M109" s="431">
        <v>369782</v>
      </c>
      <c r="N109" s="431">
        <v>0</v>
      </c>
      <c r="O109" s="431">
        <v>2262</v>
      </c>
      <c r="P109" s="432">
        <f t="shared" si="11"/>
        <v>3636235</v>
      </c>
      <c r="Q109" s="431">
        <v>1812778</v>
      </c>
      <c r="R109" s="431">
        <v>904976</v>
      </c>
      <c r="S109" s="431">
        <v>0</v>
      </c>
      <c r="T109" s="431">
        <v>0</v>
      </c>
      <c r="U109" s="431">
        <v>0</v>
      </c>
      <c r="V109" s="431">
        <v>0</v>
      </c>
      <c r="W109" s="431">
        <v>0</v>
      </c>
      <c r="X109" s="431">
        <v>399070</v>
      </c>
      <c r="Y109" s="431">
        <v>11572</v>
      </c>
      <c r="Z109" s="431">
        <v>510589</v>
      </c>
      <c r="AA109" s="431">
        <v>0</v>
      </c>
      <c r="AB109" s="431">
        <v>-2750</v>
      </c>
      <c r="AC109" s="431">
        <v>754476</v>
      </c>
      <c r="AD109" s="431">
        <v>3000</v>
      </c>
      <c r="AE109" s="431">
        <v>1341754</v>
      </c>
      <c r="AF109" s="431">
        <v>22017</v>
      </c>
      <c r="AG109" s="431">
        <v>0</v>
      </c>
      <c r="AH109" s="431">
        <v>461821</v>
      </c>
      <c r="AI109" s="431">
        <v>249929</v>
      </c>
      <c r="AJ109" s="431">
        <v>41760</v>
      </c>
      <c r="AK109" s="431">
        <v>0</v>
      </c>
      <c r="AL109" s="431">
        <v>634941</v>
      </c>
      <c r="AM109" s="431">
        <v>126537</v>
      </c>
      <c r="AN109" s="203"/>
      <c r="AO109" s="203"/>
      <c r="AP109" s="203"/>
      <c r="AQ109" s="203"/>
      <c r="AR109" s="203"/>
      <c r="AS109" s="203"/>
      <c r="AT109" s="203"/>
      <c r="AU109" s="203"/>
      <c r="AV109" s="203"/>
      <c r="AW109" s="203"/>
      <c r="AX109" s="203"/>
      <c r="AY109" s="203"/>
      <c r="AZ109" s="203"/>
      <c r="BA109" s="203"/>
      <c r="BB109" s="203"/>
      <c r="BC109" s="203"/>
    </row>
    <row r="110" spans="1:55" s="155" customFormat="1" ht="12" x14ac:dyDescent="0.2">
      <c r="A110" s="168">
        <v>56</v>
      </c>
      <c r="B110" s="223">
        <v>113849</v>
      </c>
      <c r="C110" s="243" t="s">
        <v>558</v>
      </c>
      <c r="D110" s="432">
        <f t="shared" si="8"/>
        <v>3019882</v>
      </c>
      <c r="E110" s="431">
        <v>536358</v>
      </c>
      <c r="F110" s="431">
        <v>69795</v>
      </c>
      <c r="G110" s="431">
        <v>158770</v>
      </c>
      <c r="H110" s="431">
        <v>0</v>
      </c>
      <c r="I110" s="431">
        <v>1045635</v>
      </c>
      <c r="J110" s="431">
        <v>299447</v>
      </c>
      <c r="K110" s="431">
        <v>1098180</v>
      </c>
      <c r="L110" s="431">
        <v>0</v>
      </c>
      <c r="M110" s="431">
        <v>40262</v>
      </c>
      <c r="N110" s="431">
        <v>0</v>
      </c>
      <c r="O110" s="431">
        <v>0</v>
      </c>
      <c r="P110" s="432">
        <f t="shared" si="11"/>
        <v>2823661</v>
      </c>
      <c r="Q110" s="431">
        <v>1155506</v>
      </c>
      <c r="R110" s="431">
        <v>902311</v>
      </c>
      <c r="S110" s="431">
        <v>0</v>
      </c>
      <c r="T110" s="431">
        <v>0</v>
      </c>
      <c r="U110" s="431">
        <v>0</v>
      </c>
      <c r="V110" s="431">
        <v>0</v>
      </c>
      <c r="W110" s="431">
        <v>0</v>
      </c>
      <c r="X110" s="431">
        <v>361258</v>
      </c>
      <c r="Y110" s="431">
        <v>4064</v>
      </c>
      <c r="Z110" s="431">
        <v>401222</v>
      </c>
      <c r="AA110" s="431">
        <v>0</v>
      </c>
      <c r="AB110" s="431">
        <v>-700</v>
      </c>
      <c r="AC110" s="431">
        <v>815866</v>
      </c>
      <c r="AD110" s="431">
        <v>1000</v>
      </c>
      <c r="AE110" s="431">
        <v>618643</v>
      </c>
      <c r="AF110" s="431">
        <v>22879</v>
      </c>
      <c r="AG110" s="431">
        <v>53174</v>
      </c>
      <c r="AH110" s="431">
        <v>572145</v>
      </c>
      <c r="AI110" s="431">
        <v>68662</v>
      </c>
      <c r="AJ110" s="431">
        <v>102070</v>
      </c>
      <c r="AK110" s="431">
        <v>0</v>
      </c>
      <c r="AL110" s="431">
        <v>569222</v>
      </c>
      <c r="AM110" s="431">
        <v>0</v>
      </c>
      <c r="AN110" s="203"/>
      <c r="AO110" s="203"/>
      <c r="AP110" s="203"/>
      <c r="AQ110" s="203"/>
      <c r="AR110" s="203"/>
      <c r="AS110" s="203"/>
      <c r="AT110" s="203"/>
      <c r="AU110" s="203"/>
      <c r="AV110" s="203"/>
      <c r="AW110" s="203"/>
      <c r="AX110" s="203"/>
      <c r="AY110" s="203"/>
      <c r="AZ110" s="203"/>
      <c r="BA110" s="203"/>
      <c r="BB110" s="203"/>
      <c r="BC110" s="203"/>
    </row>
    <row r="111" spans="1:55" s="155" customFormat="1" ht="12" x14ac:dyDescent="0.2">
      <c r="A111" s="168">
        <v>57</v>
      </c>
      <c r="B111" s="223">
        <v>113894</v>
      </c>
      <c r="C111" s="243" t="s">
        <v>559</v>
      </c>
      <c r="D111" s="432">
        <f t="shared" si="8"/>
        <v>7451658</v>
      </c>
      <c r="E111" s="431">
        <v>582117</v>
      </c>
      <c r="F111" s="431">
        <v>94477</v>
      </c>
      <c r="G111" s="431">
        <v>155784</v>
      </c>
      <c r="H111" s="431">
        <v>0</v>
      </c>
      <c r="I111" s="431">
        <v>893930</v>
      </c>
      <c r="J111" s="431">
        <v>416785</v>
      </c>
      <c r="K111" s="431">
        <v>1149740</v>
      </c>
      <c r="L111" s="431">
        <v>0</v>
      </c>
      <c r="M111" s="431">
        <v>4406259</v>
      </c>
      <c r="N111" s="431">
        <v>0</v>
      </c>
      <c r="O111" s="431">
        <v>2827</v>
      </c>
      <c r="P111" s="432">
        <f t="shared" si="11"/>
        <v>7333659</v>
      </c>
      <c r="Q111" s="431">
        <v>1081683</v>
      </c>
      <c r="R111" s="431">
        <v>390986</v>
      </c>
      <c r="S111" s="431">
        <v>0</v>
      </c>
      <c r="T111" s="431">
        <v>0</v>
      </c>
      <c r="U111" s="431">
        <v>0</v>
      </c>
      <c r="V111" s="431">
        <v>0</v>
      </c>
      <c r="W111" s="431">
        <v>0</v>
      </c>
      <c r="X111" s="431">
        <v>211682</v>
      </c>
      <c r="Y111" s="431">
        <v>0</v>
      </c>
      <c r="Z111" s="431">
        <v>5523731</v>
      </c>
      <c r="AA111" s="431">
        <v>133200</v>
      </c>
      <c r="AB111" s="431">
        <v>-7623</v>
      </c>
      <c r="AC111" s="431">
        <v>666256</v>
      </c>
      <c r="AD111" s="431">
        <v>23589</v>
      </c>
      <c r="AE111" s="431">
        <v>691038</v>
      </c>
      <c r="AF111" s="431">
        <v>16177</v>
      </c>
      <c r="AG111" s="431">
        <v>461980</v>
      </c>
      <c r="AH111" s="431">
        <v>279942</v>
      </c>
      <c r="AI111" s="431">
        <v>118178</v>
      </c>
      <c r="AJ111" s="431">
        <v>53123</v>
      </c>
      <c r="AK111" s="431">
        <v>0</v>
      </c>
      <c r="AL111" s="431">
        <v>5023376</v>
      </c>
      <c r="AM111" s="431">
        <v>0</v>
      </c>
      <c r="AN111" s="203"/>
      <c r="AO111" s="203"/>
      <c r="AP111" s="203"/>
      <c r="AQ111" s="203"/>
      <c r="AR111" s="203"/>
      <c r="AS111" s="203"/>
      <c r="AT111" s="203"/>
      <c r="AU111" s="203"/>
      <c r="AV111" s="203"/>
      <c r="AW111" s="203"/>
      <c r="AX111" s="203"/>
      <c r="AY111" s="203"/>
      <c r="AZ111" s="203"/>
      <c r="BA111" s="203"/>
      <c r="BB111" s="203"/>
      <c r="BC111" s="203"/>
    </row>
    <row r="112" spans="1:55" s="155" customFormat="1" ht="12" x14ac:dyDescent="0.2">
      <c r="A112" s="168">
        <v>58</v>
      </c>
      <c r="B112" s="223">
        <v>113929</v>
      </c>
      <c r="C112" s="243" t="s">
        <v>560</v>
      </c>
      <c r="D112" s="432">
        <f t="shared" si="8"/>
        <v>9125241</v>
      </c>
      <c r="E112" s="431">
        <v>606492</v>
      </c>
      <c r="F112" s="431">
        <v>59151</v>
      </c>
      <c r="G112" s="431">
        <v>136049</v>
      </c>
      <c r="H112" s="431">
        <v>0</v>
      </c>
      <c r="I112" s="431">
        <v>1078004</v>
      </c>
      <c r="J112" s="431">
        <v>300000</v>
      </c>
      <c r="K112" s="431">
        <v>1079240</v>
      </c>
      <c r="L112" s="431">
        <v>0</v>
      </c>
      <c r="M112" s="431">
        <v>5837499</v>
      </c>
      <c r="N112" s="431">
        <v>221179</v>
      </c>
      <c r="O112" s="431">
        <v>2827</v>
      </c>
      <c r="P112" s="432">
        <f t="shared" si="11"/>
        <v>8773097</v>
      </c>
      <c r="Q112" s="431">
        <v>1137850</v>
      </c>
      <c r="R112" s="431">
        <v>950624</v>
      </c>
      <c r="S112" s="431">
        <v>0</v>
      </c>
      <c r="T112" s="431">
        <v>0</v>
      </c>
      <c r="U112" s="431">
        <v>0</v>
      </c>
      <c r="V112" s="431">
        <v>0</v>
      </c>
      <c r="W112" s="431">
        <v>283293</v>
      </c>
      <c r="X112" s="431">
        <v>389613</v>
      </c>
      <c r="Y112" s="431">
        <v>7920</v>
      </c>
      <c r="Z112" s="431">
        <v>6004576</v>
      </c>
      <c r="AA112" s="431">
        <v>0</v>
      </c>
      <c r="AB112" s="431">
        <v>-779</v>
      </c>
      <c r="AC112" s="431">
        <v>612765</v>
      </c>
      <c r="AD112" s="431">
        <v>17939</v>
      </c>
      <c r="AE112" s="431">
        <v>1163310</v>
      </c>
      <c r="AF112" s="431">
        <v>39143</v>
      </c>
      <c r="AG112" s="431">
        <v>19525</v>
      </c>
      <c r="AH112" s="431">
        <v>444672</v>
      </c>
      <c r="AI112" s="431">
        <v>5695743</v>
      </c>
      <c r="AJ112" s="431">
        <v>169208</v>
      </c>
      <c r="AK112" s="431">
        <v>0</v>
      </c>
      <c r="AL112" s="431">
        <v>610792</v>
      </c>
      <c r="AM112" s="431">
        <v>0</v>
      </c>
      <c r="AN112" s="203"/>
      <c r="AO112" s="203"/>
      <c r="AP112" s="203"/>
      <c r="AQ112" s="203"/>
      <c r="AR112" s="203"/>
      <c r="AS112" s="203"/>
      <c r="AT112" s="203"/>
      <c r="AU112" s="203"/>
      <c r="AV112" s="203"/>
      <c r="AW112" s="203"/>
      <c r="AX112" s="203"/>
      <c r="AY112" s="203"/>
      <c r="AZ112" s="203"/>
      <c r="BA112" s="203"/>
      <c r="BB112" s="203"/>
      <c r="BC112" s="203"/>
    </row>
    <row r="113" spans="1:55" s="155" customFormat="1" ht="12" x14ac:dyDescent="0.2">
      <c r="A113" s="168">
        <v>59</v>
      </c>
      <c r="B113" s="223">
        <v>113974</v>
      </c>
      <c r="C113" s="243" t="s">
        <v>561</v>
      </c>
      <c r="D113" s="432">
        <f t="shared" si="8"/>
        <v>4049400</v>
      </c>
      <c r="E113" s="431">
        <v>445212</v>
      </c>
      <c r="F113" s="431">
        <v>68172</v>
      </c>
      <c r="G113" s="431">
        <v>185408</v>
      </c>
      <c r="H113" s="431">
        <v>0</v>
      </c>
      <c r="I113" s="431">
        <v>1027046</v>
      </c>
      <c r="J113" s="431">
        <v>500000</v>
      </c>
      <c r="K113" s="431">
        <v>1222820</v>
      </c>
      <c r="L113" s="431">
        <v>0</v>
      </c>
      <c r="M113" s="431">
        <v>832695</v>
      </c>
      <c r="N113" s="431">
        <v>0</v>
      </c>
      <c r="O113" s="431">
        <v>21627</v>
      </c>
      <c r="P113" s="432">
        <f t="shared" si="11"/>
        <v>3968050</v>
      </c>
      <c r="Q113" s="431">
        <v>1344584</v>
      </c>
      <c r="R113" s="431">
        <v>1173223</v>
      </c>
      <c r="S113" s="431">
        <v>0</v>
      </c>
      <c r="T113" s="431">
        <v>0</v>
      </c>
      <c r="U113" s="431">
        <v>0</v>
      </c>
      <c r="V113" s="431">
        <v>0</v>
      </c>
      <c r="W113" s="431">
        <v>0</v>
      </c>
      <c r="X113" s="431">
        <v>177167</v>
      </c>
      <c r="Y113" s="431">
        <v>0</v>
      </c>
      <c r="Z113" s="431">
        <v>1275664</v>
      </c>
      <c r="AA113" s="431">
        <v>0</v>
      </c>
      <c r="AB113" s="431">
        <v>-2588</v>
      </c>
      <c r="AC113" s="431">
        <v>720774</v>
      </c>
      <c r="AD113" s="431">
        <v>121444</v>
      </c>
      <c r="AE113" s="431">
        <v>816009</v>
      </c>
      <c r="AF113" s="431">
        <v>26480</v>
      </c>
      <c r="AG113" s="431">
        <v>38648</v>
      </c>
      <c r="AH113" s="431">
        <v>282324</v>
      </c>
      <c r="AI113" s="431">
        <v>94991</v>
      </c>
      <c r="AJ113" s="431">
        <v>30000</v>
      </c>
      <c r="AK113" s="431">
        <v>0</v>
      </c>
      <c r="AL113" s="431">
        <v>1684658</v>
      </c>
      <c r="AM113" s="431">
        <v>152722</v>
      </c>
      <c r="AN113" s="203"/>
      <c r="AO113" s="203"/>
      <c r="AP113" s="203"/>
      <c r="AQ113" s="203"/>
      <c r="AR113" s="203"/>
      <c r="AS113" s="203"/>
      <c r="AT113" s="203"/>
      <c r="AU113" s="203"/>
      <c r="AV113" s="203"/>
      <c r="AW113" s="203"/>
      <c r="AX113" s="203"/>
      <c r="AY113" s="203"/>
      <c r="AZ113" s="203"/>
      <c r="BA113" s="203"/>
      <c r="BB113" s="203"/>
      <c r="BC113" s="203"/>
    </row>
    <row r="114" spans="1:55" s="155" customFormat="1" ht="12" x14ac:dyDescent="0.2">
      <c r="A114" s="168">
        <v>60</v>
      </c>
      <c r="B114" s="223">
        <v>114060</v>
      </c>
      <c r="C114" s="243" t="s">
        <v>562</v>
      </c>
      <c r="D114" s="432">
        <f t="shared" si="8"/>
        <v>3189947</v>
      </c>
      <c r="E114" s="431">
        <v>406226</v>
      </c>
      <c r="F114" s="431">
        <v>52700</v>
      </c>
      <c r="G114" s="431">
        <v>181413</v>
      </c>
      <c r="H114" s="431">
        <v>0</v>
      </c>
      <c r="I114" s="431">
        <v>1037486</v>
      </c>
      <c r="J114" s="431">
        <v>0</v>
      </c>
      <c r="K114" s="431">
        <v>1298140</v>
      </c>
      <c r="L114" s="431">
        <v>0</v>
      </c>
      <c r="M114" s="431">
        <v>96145</v>
      </c>
      <c r="N114" s="431">
        <v>351950</v>
      </c>
      <c r="O114" s="431">
        <v>0</v>
      </c>
      <c r="P114" s="432">
        <f t="shared" si="11"/>
        <v>2651615</v>
      </c>
      <c r="Q114" s="431">
        <v>1091430</v>
      </c>
      <c r="R114" s="431">
        <v>514002</v>
      </c>
      <c r="S114" s="431">
        <v>0</v>
      </c>
      <c r="T114" s="431">
        <v>0</v>
      </c>
      <c r="U114" s="431">
        <v>0</v>
      </c>
      <c r="V114" s="431">
        <v>0</v>
      </c>
      <c r="W114" s="431">
        <v>462963</v>
      </c>
      <c r="X114" s="431">
        <v>387232</v>
      </c>
      <c r="Y114" s="431">
        <v>4712</v>
      </c>
      <c r="Z114" s="431">
        <v>191522</v>
      </c>
      <c r="AA114" s="431">
        <v>0</v>
      </c>
      <c r="AB114" s="431">
        <v>-246</v>
      </c>
      <c r="AC114" s="431">
        <v>758065</v>
      </c>
      <c r="AD114" s="431">
        <v>14702</v>
      </c>
      <c r="AE114" s="431">
        <v>1118919</v>
      </c>
      <c r="AF114" s="431">
        <v>0</v>
      </c>
      <c r="AG114" s="431">
        <v>3787</v>
      </c>
      <c r="AH114" s="431">
        <v>510143</v>
      </c>
      <c r="AI114" s="431">
        <v>44211</v>
      </c>
      <c r="AJ114" s="431">
        <v>41788</v>
      </c>
      <c r="AK114" s="431">
        <v>0</v>
      </c>
      <c r="AL114" s="431">
        <v>160000</v>
      </c>
      <c r="AM114" s="431">
        <v>0</v>
      </c>
      <c r="AN114" s="203"/>
      <c r="AO114" s="203"/>
      <c r="AP114" s="203"/>
      <c r="AQ114" s="203"/>
      <c r="AR114" s="203"/>
      <c r="AS114" s="203"/>
      <c r="AT114" s="203"/>
      <c r="AU114" s="203"/>
      <c r="AV114" s="203"/>
      <c r="AW114" s="203"/>
      <c r="AX114" s="203"/>
      <c r="AY114" s="203"/>
      <c r="AZ114" s="203"/>
      <c r="BA114" s="203"/>
      <c r="BB114" s="203"/>
      <c r="BC114" s="203"/>
    </row>
    <row r="115" spans="1:55" s="155" customFormat="1" ht="12" x14ac:dyDescent="0.2">
      <c r="A115" s="168">
        <v>61</v>
      </c>
      <c r="B115" s="223">
        <v>114079</v>
      </c>
      <c r="C115" s="243" t="s">
        <v>563</v>
      </c>
      <c r="D115" s="432">
        <f t="shared" si="8"/>
        <v>5340759</v>
      </c>
      <c r="E115" s="431">
        <v>456824</v>
      </c>
      <c r="F115" s="431">
        <v>64241</v>
      </c>
      <c r="G115" s="431">
        <v>175519</v>
      </c>
      <c r="H115" s="431">
        <v>0</v>
      </c>
      <c r="I115" s="431">
        <v>1030683</v>
      </c>
      <c r="J115" s="431">
        <v>0</v>
      </c>
      <c r="K115" s="431">
        <v>1212870</v>
      </c>
      <c r="L115" s="431">
        <v>0</v>
      </c>
      <c r="M115" s="431">
        <v>2640382</v>
      </c>
      <c r="N115" s="431">
        <v>0</v>
      </c>
      <c r="O115" s="431">
        <v>0</v>
      </c>
      <c r="P115" s="432">
        <f t="shared" si="11"/>
        <v>5429331</v>
      </c>
      <c r="Q115" s="431">
        <v>1299519</v>
      </c>
      <c r="R115" s="431">
        <v>619720</v>
      </c>
      <c r="S115" s="431">
        <v>0</v>
      </c>
      <c r="T115" s="431">
        <v>0</v>
      </c>
      <c r="U115" s="431">
        <v>0</v>
      </c>
      <c r="V115" s="431">
        <v>7847</v>
      </c>
      <c r="W115" s="431">
        <v>0</v>
      </c>
      <c r="X115" s="431">
        <v>209234</v>
      </c>
      <c r="Y115" s="431">
        <v>9630</v>
      </c>
      <c r="Z115" s="431">
        <v>3283731</v>
      </c>
      <c r="AA115" s="431">
        <v>0</v>
      </c>
      <c r="AB115" s="431">
        <v>-350</v>
      </c>
      <c r="AC115" s="431">
        <v>903401</v>
      </c>
      <c r="AD115" s="431">
        <v>0</v>
      </c>
      <c r="AE115" s="431">
        <v>1206764</v>
      </c>
      <c r="AF115" s="431">
        <v>50319</v>
      </c>
      <c r="AG115" s="431">
        <v>200844</v>
      </c>
      <c r="AH115" s="431">
        <v>311155</v>
      </c>
      <c r="AI115" s="431">
        <v>1687445</v>
      </c>
      <c r="AJ115" s="431">
        <v>1069403</v>
      </c>
      <c r="AK115" s="431">
        <v>0</v>
      </c>
      <c r="AL115" s="431">
        <v>0</v>
      </c>
      <c r="AM115" s="431">
        <v>0</v>
      </c>
      <c r="AN115" s="203"/>
      <c r="AO115" s="203"/>
      <c r="AP115" s="203"/>
      <c r="AQ115" s="203"/>
      <c r="AR115" s="203"/>
      <c r="AS115" s="203"/>
      <c r="AT115" s="203"/>
      <c r="AU115" s="203"/>
      <c r="AV115" s="203"/>
      <c r="AW115" s="203"/>
      <c r="AX115" s="203"/>
      <c r="AY115" s="203"/>
      <c r="AZ115" s="203"/>
      <c r="BA115" s="203"/>
      <c r="BB115" s="203"/>
      <c r="BC115" s="203"/>
    </row>
    <row r="116" spans="1:55" s="155" customFormat="1" ht="12" hidden="1" x14ac:dyDescent="0.2">
      <c r="A116" s="168">
        <v>62</v>
      </c>
      <c r="B116" s="168"/>
      <c r="C116" s="172"/>
      <c r="D116" s="432">
        <f t="shared" si="8"/>
        <v>0</v>
      </c>
      <c r="E116" s="431"/>
      <c r="F116" s="431"/>
      <c r="G116" s="431"/>
      <c r="H116" s="431"/>
      <c r="I116" s="431"/>
      <c r="J116" s="431"/>
      <c r="K116" s="431"/>
      <c r="L116" s="431"/>
      <c r="M116" s="431"/>
      <c r="N116" s="431"/>
      <c r="O116" s="431"/>
      <c r="P116" s="432">
        <f t="shared" si="11"/>
        <v>0</v>
      </c>
      <c r="Q116" s="431"/>
      <c r="R116" s="431"/>
      <c r="S116" s="431"/>
      <c r="T116" s="431"/>
      <c r="U116" s="431"/>
      <c r="V116" s="431"/>
      <c r="W116" s="431"/>
      <c r="X116" s="431"/>
      <c r="Y116" s="431"/>
      <c r="Z116" s="468"/>
      <c r="AA116" s="431"/>
      <c r="AB116" s="431"/>
      <c r="AC116" s="468"/>
      <c r="AD116" s="431"/>
      <c r="AE116" s="431"/>
      <c r="AF116" s="431"/>
      <c r="AG116" s="431"/>
      <c r="AH116" s="431"/>
      <c r="AI116" s="468"/>
      <c r="AJ116" s="468"/>
      <c r="AK116" s="431"/>
      <c r="AL116" s="431"/>
      <c r="AM116" s="431"/>
      <c r="AN116" s="203"/>
      <c r="AO116" s="203"/>
      <c r="AP116" s="203"/>
      <c r="AQ116" s="203"/>
      <c r="AR116" s="203"/>
      <c r="AS116" s="203"/>
      <c r="AT116" s="203"/>
      <c r="AU116" s="203"/>
      <c r="AV116" s="203"/>
      <c r="AW116" s="203"/>
      <c r="AX116" s="203"/>
      <c r="AY116" s="203"/>
      <c r="AZ116" s="203"/>
      <c r="BA116" s="203"/>
      <c r="BB116" s="203"/>
      <c r="BC116" s="203"/>
    </row>
    <row r="117" spans="1:55" s="155" customFormat="1" ht="12" hidden="1" x14ac:dyDescent="0.2">
      <c r="A117" s="168">
        <v>63</v>
      </c>
      <c r="B117" s="168"/>
      <c r="C117" s="182"/>
      <c r="D117" s="432">
        <f t="shared" si="8"/>
        <v>0</v>
      </c>
      <c r="E117" s="431"/>
      <c r="F117" s="431"/>
      <c r="G117" s="431"/>
      <c r="H117" s="431"/>
      <c r="I117" s="431"/>
      <c r="J117" s="431"/>
      <c r="K117" s="431"/>
      <c r="L117" s="431"/>
      <c r="M117" s="431"/>
      <c r="N117" s="431"/>
      <c r="O117" s="431"/>
      <c r="P117" s="432">
        <f t="shared" si="11"/>
        <v>0</v>
      </c>
      <c r="Q117" s="431"/>
      <c r="R117" s="431"/>
      <c r="S117" s="431"/>
      <c r="T117" s="431"/>
      <c r="U117" s="431"/>
      <c r="V117" s="431"/>
      <c r="W117" s="431"/>
      <c r="X117" s="431"/>
      <c r="Y117" s="431"/>
      <c r="Z117" s="468"/>
      <c r="AA117" s="431"/>
      <c r="AB117" s="431"/>
      <c r="AC117" s="468"/>
      <c r="AD117" s="431"/>
      <c r="AE117" s="431"/>
      <c r="AF117" s="431"/>
      <c r="AG117" s="431"/>
      <c r="AH117" s="431"/>
      <c r="AI117" s="468"/>
      <c r="AJ117" s="468"/>
      <c r="AK117" s="431"/>
      <c r="AL117" s="431"/>
      <c r="AM117" s="431"/>
      <c r="AN117" s="203"/>
      <c r="AO117" s="203"/>
      <c r="AP117" s="203"/>
      <c r="AQ117" s="203"/>
      <c r="AR117" s="203"/>
      <c r="AS117" s="203"/>
      <c r="AT117" s="203"/>
      <c r="AU117" s="203"/>
      <c r="AV117" s="203"/>
      <c r="AW117" s="203"/>
      <c r="AX117" s="203"/>
      <c r="AY117" s="203"/>
      <c r="AZ117" s="203"/>
      <c r="BA117" s="203"/>
      <c r="BB117" s="203"/>
      <c r="BC117" s="203"/>
    </row>
    <row r="118" spans="1:55" s="155" customFormat="1" ht="12" hidden="1" x14ac:dyDescent="0.2">
      <c r="A118" s="168">
        <v>64</v>
      </c>
      <c r="B118" s="168"/>
      <c r="C118" s="172"/>
      <c r="D118" s="432">
        <f t="shared" ref="D118:D143" si="12">E118+SUM(H118:O118)</f>
        <v>0</v>
      </c>
      <c r="E118" s="431"/>
      <c r="F118" s="431"/>
      <c r="G118" s="431"/>
      <c r="H118" s="431"/>
      <c r="I118" s="431"/>
      <c r="J118" s="431"/>
      <c r="K118" s="431"/>
      <c r="L118" s="431"/>
      <c r="M118" s="431"/>
      <c r="N118" s="431"/>
      <c r="O118" s="431"/>
      <c r="P118" s="432">
        <f t="shared" si="11"/>
        <v>0</v>
      </c>
      <c r="Q118" s="431"/>
      <c r="R118" s="431"/>
      <c r="S118" s="431"/>
      <c r="T118" s="431"/>
      <c r="U118" s="431"/>
      <c r="V118" s="431"/>
      <c r="W118" s="431"/>
      <c r="X118" s="431"/>
      <c r="Y118" s="431"/>
      <c r="Z118" s="468"/>
      <c r="AA118" s="431"/>
      <c r="AB118" s="431"/>
      <c r="AC118" s="468"/>
      <c r="AD118" s="431"/>
      <c r="AE118" s="431"/>
      <c r="AF118" s="431"/>
      <c r="AG118" s="431"/>
      <c r="AH118" s="431"/>
      <c r="AI118" s="468"/>
      <c r="AJ118" s="468"/>
      <c r="AK118" s="431"/>
      <c r="AL118" s="431"/>
      <c r="AM118" s="431"/>
      <c r="AN118" s="203"/>
      <c r="AO118" s="203"/>
      <c r="AP118" s="203"/>
      <c r="AQ118" s="203"/>
      <c r="AR118" s="203"/>
      <c r="AS118" s="203"/>
      <c r="AT118" s="203"/>
      <c r="AU118" s="203"/>
      <c r="AV118" s="203"/>
      <c r="AW118" s="203"/>
      <c r="AX118" s="203"/>
      <c r="AY118" s="203"/>
      <c r="AZ118" s="203"/>
      <c r="BA118" s="203"/>
      <c r="BB118" s="203"/>
      <c r="BC118" s="203"/>
    </row>
    <row r="119" spans="1:55" s="155" customFormat="1" ht="12" hidden="1" x14ac:dyDescent="0.2">
      <c r="A119" s="168">
        <v>65</v>
      </c>
      <c r="B119" s="168"/>
      <c r="C119" s="172"/>
      <c r="D119" s="432">
        <f t="shared" si="12"/>
        <v>0</v>
      </c>
      <c r="E119" s="431"/>
      <c r="F119" s="431"/>
      <c r="G119" s="431"/>
      <c r="H119" s="431"/>
      <c r="I119" s="431"/>
      <c r="J119" s="431"/>
      <c r="K119" s="431"/>
      <c r="L119" s="431"/>
      <c r="M119" s="431"/>
      <c r="N119" s="431"/>
      <c r="O119" s="431"/>
      <c r="P119" s="432">
        <f t="shared" si="11"/>
        <v>0</v>
      </c>
      <c r="Q119" s="431"/>
      <c r="R119" s="431"/>
      <c r="S119" s="431"/>
      <c r="T119" s="431"/>
      <c r="U119" s="431"/>
      <c r="V119" s="431"/>
      <c r="W119" s="431"/>
      <c r="X119" s="431"/>
      <c r="Y119" s="431"/>
      <c r="Z119" s="468"/>
      <c r="AA119" s="431"/>
      <c r="AB119" s="431"/>
      <c r="AC119" s="468"/>
      <c r="AD119" s="431"/>
      <c r="AE119" s="431"/>
      <c r="AF119" s="431"/>
      <c r="AG119" s="431"/>
      <c r="AH119" s="431"/>
      <c r="AI119" s="468"/>
      <c r="AJ119" s="468"/>
      <c r="AK119" s="431"/>
      <c r="AL119" s="431"/>
      <c r="AM119" s="431"/>
      <c r="AN119" s="203"/>
      <c r="AO119" s="203"/>
      <c r="AP119" s="203"/>
      <c r="AQ119" s="203"/>
      <c r="AR119" s="203"/>
      <c r="AS119" s="203"/>
      <c r="AT119" s="203"/>
      <c r="AU119" s="203"/>
      <c r="AV119" s="203"/>
      <c r="AW119" s="203"/>
      <c r="AX119" s="203"/>
      <c r="AY119" s="203"/>
      <c r="AZ119" s="203"/>
      <c r="BA119" s="203"/>
      <c r="BB119" s="203"/>
      <c r="BC119" s="203"/>
    </row>
    <row r="120" spans="1:55" s="155" customFormat="1" ht="12" hidden="1" x14ac:dyDescent="0.2">
      <c r="A120" s="168">
        <v>66</v>
      </c>
      <c r="B120" s="168"/>
      <c r="C120" s="172"/>
      <c r="D120" s="432">
        <f t="shared" si="12"/>
        <v>0</v>
      </c>
      <c r="E120" s="431"/>
      <c r="F120" s="431"/>
      <c r="G120" s="431"/>
      <c r="H120" s="431"/>
      <c r="I120" s="431"/>
      <c r="J120" s="431"/>
      <c r="K120" s="431"/>
      <c r="L120" s="431"/>
      <c r="M120" s="431"/>
      <c r="N120" s="431"/>
      <c r="O120" s="431"/>
      <c r="P120" s="432">
        <f t="shared" si="11"/>
        <v>0</v>
      </c>
      <c r="Q120" s="431"/>
      <c r="R120" s="431"/>
      <c r="S120" s="431"/>
      <c r="T120" s="431"/>
      <c r="U120" s="431"/>
      <c r="V120" s="431"/>
      <c r="W120" s="431"/>
      <c r="X120" s="431"/>
      <c r="Y120" s="431"/>
      <c r="Z120" s="468"/>
      <c r="AA120" s="431"/>
      <c r="AB120" s="431"/>
      <c r="AC120" s="468"/>
      <c r="AD120" s="431"/>
      <c r="AE120" s="431"/>
      <c r="AF120" s="431"/>
      <c r="AG120" s="431"/>
      <c r="AH120" s="431"/>
      <c r="AI120" s="468"/>
      <c r="AJ120" s="468"/>
      <c r="AK120" s="431"/>
      <c r="AL120" s="431"/>
      <c r="AM120" s="431"/>
      <c r="AN120" s="203"/>
      <c r="AO120" s="203"/>
      <c r="AP120" s="203"/>
      <c r="AQ120" s="203"/>
      <c r="AR120" s="203"/>
      <c r="AS120" s="203"/>
      <c r="AT120" s="203"/>
      <c r="AU120" s="203"/>
      <c r="AV120" s="203"/>
      <c r="AW120" s="203"/>
      <c r="AX120" s="203"/>
      <c r="AY120" s="203"/>
      <c r="AZ120" s="203"/>
      <c r="BA120" s="203"/>
      <c r="BB120" s="203"/>
      <c r="BC120" s="203"/>
    </row>
    <row r="121" spans="1:55" s="155" customFormat="1" ht="12" hidden="1" x14ac:dyDescent="0.2">
      <c r="A121" s="168">
        <v>67</v>
      </c>
      <c r="B121" s="168"/>
      <c r="C121" s="172"/>
      <c r="D121" s="432">
        <f t="shared" si="12"/>
        <v>0</v>
      </c>
      <c r="E121" s="431"/>
      <c r="F121" s="431"/>
      <c r="G121" s="431"/>
      <c r="H121" s="431"/>
      <c r="I121" s="431"/>
      <c r="J121" s="431"/>
      <c r="K121" s="431"/>
      <c r="L121" s="431"/>
      <c r="M121" s="431"/>
      <c r="N121" s="431"/>
      <c r="O121" s="431"/>
      <c r="P121" s="432">
        <f t="shared" si="11"/>
        <v>0</v>
      </c>
      <c r="Q121" s="431"/>
      <c r="R121" s="431"/>
      <c r="S121" s="431"/>
      <c r="T121" s="431"/>
      <c r="U121" s="431"/>
      <c r="V121" s="431"/>
      <c r="W121" s="431"/>
      <c r="X121" s="431"/>
      <c r="Y121" s="431"/>
      <c r="Z121" s="468"/>
      <c r="AA121" s="431"/>
      <c r="AB121" s="431"/>
      <c r="AC121" s="468"/>
      <c r="AD121" s="431"/>
      <c r="AE121" s="431"/>
      <c r="AF121" s="431"/>
      <c r="AG121" s="431"/>
      <c r="AH121" s="431"/>
      <c r="AI121" s="468"/>
      <c r="AJ121" s="468"/>
      <c r="AK121" s="431"/>
      <c r="AL121" s="431"/>
      <c r="AM121" s="431"/>
      <c r="AN121" s="203"/>
      <c r="AO121" s="203"/>
      <c r="AP121" s="203"/>
      <c r="AQ121" s="203"/>
      <c r="AR121" s="203"/>
      <c r="AS121" s="203"/>
      <c r="AT121" s="203"/>
      <c r="AU121" s="203"/>
      <c r="AV121" s="203"/>
      <c r="AW121" s="203"/>
      <c r="AX121" s="203"/>
      <c r="AY121" s="203"/>
      <c r="AZ121" s="203"/>
      <c r="BA121" s="203"/>
      <c r="BB121" s="203"/>
      <c r="BC121" s="203"/>
    </row>
    <row r="122" spans="1:55" s="155" customFormat="1" ht="12" hidden="1" x14ac:dyDescent="0.2">
      <c r="A122" s="168">
        <v>68</v>
      </c>
      <c r="B122" s="168"/>
      <c r="C122" s="172"/>
      <c r="D122" s="432">
        <f t="shared" si="12"/>
        <v>0</v>
      </c>
      <c r="E122" s="431"/>
      <c r="F122" s="431"/>
      <c r="G122" s="431"/>
      <c r="H122" s="431"/>
      <c r="I122" s="431"/>
      <c r="J122" s="431"/>
      <c r="K122" s="431"/>
      <c r="L122" s="431"/>
      <c r="M122" s="431"/>
      <c r="N122" s="431"/>
      <c r="O122" s="431"/>
      <c r="P122" s="432">
        <f t="shared" si="11"/>
        <v>0</v>
      </c>
      <c r="Q122" s="431"/>
      <c r="R122" s="431"/>
      <c r="S122" s="431"/>
      <c r="T122" s="431"/>
      <c r="U122" s="431"/>
      <c r="V122" s="431"/>
      <c r="W122" s="431"/>
      <c r="X122" s="431"/>
      <c r="Y122" s="431"/>
      <c r="Z122" s="468"/>
      <c r="AA122" s="431"/>
      <c r="AB122" s="431"/>
      <c r="AC122" s="468"/>
      <c r="AD122" s="431"/>
      <c r="AE122" s="431"/>
      <c r="AF122" s="431"/>
      <c r="AG122" s="431"/>
      <c r="AH122" s="431"/>
      <c r="AI122" s="468"/>
      <c r="AJ122" s="468"/>
      <c r="AK122" s="431"/>
      <c r="AL122" s="431"/>
      <c r="AM122" s="431"/>
      <c r="AN122" s="203"/>
      <c r="AO122" s="203"/>
      <c r="AP122" s="203"/>
      <c r="AQ122" s="203"/>
      <c r="AR122" s="203"/>
      <c r="AS122" s="203"/>
      <c r="AT122" s="203"/>
      <c r="AU122" s="203"/>
      <c r="AV122" s="203"/>
      <c r="AW122" s="203"/>
      <c r="AX122" s="203"/>
      <c r="AY122" s="203"/>
      <c r="AZ122" s="203"/>
      <c r="BA122" s="203"/>
      <c r="BB122" s="203"/>
      <c r="BC122" s="203"/>
    </row>
    <row r="123" spans="1:55" s="155" customFormat="1" ht="12" hidden="1" x14ac:dyDescent="0.2">
      <c r="A123" s="168">
        <v>69</v>
      </c>
      <c r="B123" s="168"/>
      <c r="C123" s="172"/>
      <c r="D123" s="432">
        <f t="shared" si="12"/>
        <v>0</v>
      </c>
      <c r="E123" s="431"/>
      <c r="F123" s="431"/>
      <c r="G123" s="431"/>
      <c r="H123" s="431"/>
      <c r="I123" s="431"/>
      <c r="J123" s="431"/>
      <c r="K123" s="431"/>
      <c r="L123" s="431"/>
      <c r="M123" s="431"/>
      <c r="N123" s="431"/>
      <c r="O123" s="431"/>
      <c r="P123" s="432">
        <f t="shared" si="11"/>
        <v>0</v>
      </c>
      <c r="Q123" s="431"/>
      <c r="R123" s="431"/>
      <c r="S123" s="431"/>
      <c r="T123" s="431"/>
      <c r="U123" s="431"/>
      <c r="V123" s="431"/>
      <c r="W123" s="431"/>
      <c r="X123" s="431"/>
      <c r="Y123" s="431"/>
      <c r="Z123" s="468"/>
      <c r="AA123" s="431"/>
      <c r="AB123" s="431"/>
      <c r="AC123" s="468"/>
      <c r="AD123" s="431"/>
      <c r="AE123" s="431"/>
      <c r="AF123" s="431"/>
      <c r="AG123" s="431"/>
      <c r="AH123" s="431"/>
      <c r="AI123" s="468"/>
      <c r="AJ123" s="468"/>
      <c r="AK123" s="431"/>
      <c r="AL123" s="431"/>
      <c r="AM123" s="431"/>
      <c r="AN123" s="203"/>
      <c r="AO123" s="203"/>
      <c r="AP123" s="203"/>
      <c r="AQ123" s="203"/>
      <c r="AR123" s="203"/>
      <c r="AS123" s="203"/>
      <c r="AT123" s="203"/>
      <c r="AU123" s="203"/>
      <c r="AV123" s="203"/>
      <c r="AW123" s="203"/>
      <c r="AX123" s="203"/>
      <c r="AY123" s="203"/>
      <c r="AZ123" s="203"/>
      <c r="BA123" s="203"/>
      <c r="BB123" s="203"/>
      <c r="BC123" s="203"/>
    </row>
    <row r="124" spans="1:55" s="155" customFormat="1" ht="12" hidden="1" x14ac:dyDescent="0.2">
      <c r="A124" s="168">
        <v>70</v>
      </c>
      <c r="B124" s="168"/>
      <c r="C124" s="172"/>
      <c r="D124" s="432">
        <f t="shared" si="12"/>
        <v>0</v>
      </c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32">
        <f t="shared" si="11"/>
        <v>0</v>
      </c>
      <c r="Q124" s="431"/>
      <c r="R124" s="431"/>
      <c r="S124" s="431"/>
      <c r="T124" s="431"/>
      <c r="U124" s="431"/>
      <c r="V124" s="431"/>
      <c r="W124" s="431"/>
      <c r="X124" s="431"/>
      <c r="Y124" s="431"/>
      <c r="Z124" s="468"/>
      <c r="AA124" s="431"/>
      <c r="AB124" s="431"/>
      <c r="AC124" s="468"/>
      <c r="AD124" s="431"/>
      <c r="AE124" s="431"/>
      <c r="AF124" s="431"/>
      <c r="AG124" s="431"/>
      <c r="AH124" s="431"/>
      <c r="AI124" s="468"/>
      <c r="AJ124" s="468"/>
      <c r="AK124" s="431"/>
      <c r="AL124" s="431"/>
      <c r="AM124" s="431"/>
      <c r="AN124" s="203"/>
      <c r="AO124" s="203"/>
      <c r="AP124" s="203"/>
      <c r="AQ124" s="203"/>
      <c r="AR124" s="203"/>
      <c r="AS124" s="203"/>
      <c r="AT124" s="203"/>
      <c r="AU124" s="203"/>
      <c r="AV124" s="203"/>
      <c r="AW124" s="203"/>
      <c r="AX124" s="203"/>
      <c r="AY124" s="203"/>
      <c r="AZ124" s="203"/>
      <c r="BA124" s="203"/>
      <c r="BB124" s="203"/>
      <c r="BC124" s="203"/>
    </row>
    <row r="125" spans="1:55" s="155" customFormat="1" ht="12" hidden="1" x14ac:dyDescent="0.2">
      <c r="A125" s="168">
        <v>71</v>
      </c>
      <c r="B125" s="168"/>
      <c r="C125" s="172"/>
      <c r="D125" s="432">
        <f t="shared" si="12"/>
        <v>0</v>
      </c>
      <c r="E125" s="431"/>
      <c r="F125" s="431"/>
      <c r="G125" s="431"/>
      <c r="H125" s="431"/>
      <c r="I125" s="431"/>
      <c r="J125" s="431"/>
      <c r="K125" s="431"/>
      <c r="L125" s="431"/>
      <c r="M125" s="431"/>
      <c r="N125" s="431"/>
      <c r="O125" s="431"/>
      <c r="P125" s="432">
        <f t="shared" si="11"/>
        <v>0</v>
      </c>
      <c r="Q125" s="431"/>
      <c r="R125" s="431"/>
      <c r="S125" s="431"/>
      <c r="T125" s="431"/>
      <c r="U125" s="431"/>
      <c r="V125" s="431"/>
      <c r="W125" s="431"/>
      <c r="X125" s="431"/>
      <c r="Y125" s="431"/>
      <c r="Z125" s="468"/>
      <c r="AA125" s="431"/>
      <c r="AB125" s="431"/>
      <c r="AC125" s="468"/>
      <c r="AD125" s="431"/>
      <c r="AE125" s="431"/>
      <c r="AF125" s="431"/>
      <c r="AG125" s="431"/>
      <c r="AH125" s="431"/>
      <c r="AI125" s="468"/>
      <c r="AJ125" s="468"/>
      <c r="AK125" s="431"/>
      <c r="AL125" s="431"/>
      <c r="AM125" s="431"/>
      <c r="AN125" s="203"/>
      <c r="AO125" s="203"/>
      <c r="AP125" s="203"/>
      <c r="AQ125" s="203"/>
      <c r="AR125" s="203"/>
      <c r="AS125" s="203"/>
      <c r="AT125" s="203"/>
      <c r="AU125" s="203"/>
      <c r="AV125" s="203"/>
      <c r="AW125" s="203"/>
      <c r="AX125" s="203"/>
      <c r="AY125" s="203"/>
      <c r="AZ125" s="203"/>
      <c r="BA125" s="203"/>
      <c r="BB125" s="203"/>
      <c r="BC125" s="203"/>
    </row>
    <row r="126" spans="1:55" s="155" customFormat="1" ht="12" hidden="1" x14ac:dyDescent="0.2">
      <c r="A126" s="168">
        <v>72</v>
      </c>
      <c r="B126" s="168"/>
      <c r="C126" s="172"/>
      <c r="D126" s="432">
        <f t="shared" si="12"/>
        <v>0</v>
      </c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32">
        <f t="shared" si="11"/>
        <v>0</v>
      </c>
      <c r="Q126" s="431"/>
      <c r="R126" s="431"/>
      <c r="S126" s="431"/>
      <c r="T126" s="431"/>
      <c r="U126" s="431"/>
      <c r="V126" s="431"/>
      <c r="W126" s="431"/>
      <c r="X126" s="431"/>
      <c r="Y126" s="431"/>
      <c r="Z126" s="468"/>
      <c r="AA126" s="431"/>
      <c r="AB126" s="431"/>
      <c r="AC126" s="468"/>
      <c r="AD126" s="431"/>
      <c r="AE126" s="431"/>
      <c r="AF126" s="431"/>
      <c r="AG126" s="431"/>
      <c r="AH126" s="431"/>
      <c r="AI126" s="468"/>
      <c r="AJ126" s="468"/>
      <c r="AK126" s="431"/>
      <c r="AL126" s="431"/>
      <c r="AM126" s="431"/>
      <c r="AN126" s="203"/>
      <c r="AO126" s="203"/>
      <c r="AP126" s="203"/>
      <c r="AQ126" s="203"/>
      <c r="AR126" s="203"/>
      <c r="AS126" s="203"/>
      <c r="AT126" s="203"/>
      <c r="AU126" s="203"/>
      <c r="AV126" s="203"/>
      <c r="AW126" s="203"/>
      <c r="AX126" s="203"/>
      <c r="AY126" s="203"/>
      <c r="AZ126" s="203"/>
      <c r="BA126" s="203"/>
      <c r="BB126" s="203"/>
      <c r="BC126" s="203"/>
    </row>
    <row r="127" spans="1:55" s="155" customFormat="1" ht="12" hidden="1" x14ac:dyDescent="0.2">
      <c r="A127" s="168">
        <v>73</v>
      </c>
      <c r="B127" s="168"/>
      <c r="C127" s="172"/>
      <c r="D127" s="432">
        <f t="shared" si="12"/>
        <v>0</v>
      </c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32">
        <f t="shared" si="11"/>
        <v>0</v>
      </c>
      <c r="Q127" s="431"/>
      <c r="R127" s="431"/>
      <c r="S127" s="431"/>
      <c r="T127" s="431"/>
      <c r="U127" s="431"/>
      <c r="V127" s="431"/>
      <c r="W127" s="431"/>
      <c r="X127" s="431"/>
      <c r="Y127" s="431"/>
      <c r="Z127" s="468"/>
      <c r="AA127" s="431"/>
      <c r="AB127" s="431"/>
      <c r="AC127" s="468"/>
      <c r="AD127" s="431"/>
      <c r="AE127" s="431"/>
      <c r="AF127" s="431"/>
      <c r="AG127" s="431"/>
      <c r="AH127" s="431"/>
      <c r="AI127" s="468"/>
      <c r="AJ127" s="468"/>
      <c r="AK127" s="431"/>
      <c r="AL127" s="431"/>
      <c r="AM127" s="431"/>
      <c r="AN127" s="203"/>
      <c r="AO127" s="203"/>
      <c r="AP127" s="203"/>
      <c r="AQ127" s="203"/>
      <c r="AR127" s="203"/>
      <c r="AS127" s="203"/>
      <c r="AT127" s="203"/>
      <c r="AU127" s="203"/>
      <c r="AV127" s="203"/>
      <c r="AW127" s="203"/>
      <c r="AX127" s="203"/>
      <c r="AY127" s="203"/>
      <c r="AZ127" s="203"/>
      <c r="BA127" s="203"/>
      <c r="BB127" s="203"/>
      <c r="BC127" s="203"/>
    </row>
    <row r="128" spans="1:55" s="155" customFormat="1" ht="12" hidden="1" x14ac:dyDescent="0.2">
      <c r="A128" s="168">
        <v>74</v>
      </c>
      <c r="B128" s="168"/>
      <c r="C128" s="172"/>
      <c r="D128" s="432">
        <f t="shared" si="12"/>
        <v>0</v>
      </c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32">
        <f t="shared" si="11"/>
        <v>0</v>
      </c>
      <c r="Q128" s="431"/>
      <c r="R128" s="431"/>
      <c r="S128" s="431"/>
      <c r="T128" s="431"/>
      <c r="U128" s="431"/>
      <c r="V128" s="431"/>
      <c r="W128" s="431"/>
      <c r="X128" s="431"/>
      <c r="Y128" s="431"/>
      <c r="Z128" s="468"/>
      <c r="AA128" s="431"/>
      <c r="AB128" s="431"/>
      <c r="AC128" s="468"/>
      <c r="AD128" s="431"/>
      <c r="AE128" s="431"/>
      <c r="AF128" s="431"/>
      <c r="AG128" s="431"/>
      <c r="AH128" s="431"/>
      <c r="AI128" s="468"/>
      <c r="AJ128" s="468"/>
      <c r="AK128" s="431"/>
      <c r="AL128" s="431"/>
      <c r="AM128" s="431"/>
      <c r="AN128" s="203"/>
      <c r="AO128" s="203"/>
      <c r="AP128" s="203"/>
      <c r="AQ128" s="203"/>
      <c r="AR128" s="203"/>
      <c r="AS128" s="203"/>
      <c r="AT128" s="203"/>
      <c r="AU128" s="203"/>
      <c r="AV128" s="203"/>
      <c r="AW128" s="203"/>
      <c r="AX128" s="203"/>
      <c r="AY128" s="203"/>
      <c r="AZ128" s="203"/>
      <c r="BA128" s="203"/>
      <c r="BB128" s="203"/>
      <c r="BC128" s="203"/>
    </row>
    <row r="129" spans="1:55" s="155" customFormat="1" ht="12" hidden="1" x14ac:dyDescent="0.2">
      <c r="A129" s="168">
        <v>75</v>
      </c>
      <c r="B129" s="168"/>
      <c r="C129" s="172"/>
      <c r="D129" s="432">
        <f t="shared" si="12"/>
        <v>0</v>
      </c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32">
        <f t="shared" si="11"/>
        <v>0</v>
      </c>
      <c r="Q129" s="431"/>
      <c r="R129" s="431"/>
      <c r="S129" s="431"/>
      <c r="T129" s="431"/>
      <c r="U129" s="431"/>
      <c r="V129" s="431"/>
      <c r="W129" s="431"/>
      <c r="X129" s="431"/>
      <c r="Y129" s="431"/>
      <c r="Z129" s="468"/>
      <c r="AA129" s="431"/>
      <c r="AB129" s="431"/>
      <c r="AC129" s="468"/>
      <c r="AD129" s="431"/>
      <c r="AE129" s="431"/>
      <c r="AF129" s="431"/>
      <c r="AG129" s="431"/>
      <c r="AH129" s="431"/>
      <c r="AI129" s="468"/>
      <c r="AJ129" s="468"/>
      <c r="AK129" s="431"/>
      <c r="AL129" s="431"/>
      <c r="AM129" s="431"/>
      <c r="AN129" s="203"/>
      <c r="AO129" s="203"/>
      <c r="AP129" s="203"/>
      <c r="AQ129" s="203"/>
      <c r="AR129" s="203"/>
      <c r="AS129" s="203"/>
      <c r="AT129" s="203"/>
      <c r="AU129" s="203"/>
      <c r="AV129" s="203"/>
      <c r="AW129" s="203"/>
      <c r="AX129" s="203"/>
      <c r="AY129" s="203"/>
      <c r="AZ129" s="203"/>
      <c r="BA129" s="203"/>
      <c r="BB129" s="203"/>
      <c r="BC129" s="203"/>
    </row>
    <row r="130" spans="1:55" s="155" customFormat="1" ht="12" hidden="1" x14ac:dyDescent="0.2">
      <c r="A130" s="168">
        <v>76</v>
      </c>
      <c r="B130" s="168"/>
      <c r="C130" s="172"/>
      <c r="D130" s="432">
        <f t="shared" si="12"/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32">
        <f t="shared" si="11"/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  <c r="AN130" s="203"/>
      <c r="AO130" s="203"/>
      <c r="AP130" s="203"/>
      <c r="AQ130" s="203"/>
      <c r="AR130" s="203"/>
      <c r="AS130" s="203"/>
      <c r="AT130" s="203"/>
      <c r="AU130" s="203"/>
      <c r="AV130" s="203"/>
      <c r="AW130" s="203"/>
      <c r="AX130" s="203"/>
      <c r="AY130" s="203"/>
      <c r="AZ130" s="203"/>
      <c r="BA130" s="203"/>
      <c r="BB130" s="203"/>
      <c r="BC130" s="203"/>
    </row>
    <row r="131" spans="1:55" s="155" customFormat="1" ht="12" hidden="1" x14ac:dyDescent="0.2">
      <c r="A131" s="168">
        <v>77</v>
      </c>
      <c r="B131" s="168"/>
      <c r="C131" s="172"/>
      <c r="D131" s="432">
        <f t="shared" si="12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2">
        <f t="shared" si="11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  <c r="AN131" s="203"/>
      <c r="AO131" s="203"/>
      <c r="AP131" s="203"/>
      <c r="AQ131" s="203"/>
      <c r="AR131" s="203"/>
      <c r="AS131" s="203"/>
      <c r="AT131" s="203"/>
      <c r="AU131" s="203"/>
      <c r="AV131" s="203"/>
      <c r="AW131" s="203"/>
      <c r="AX131" s="203"/>
      <c r="AY131" s="203"/>
      <c r="AZ131" s="203"/>
      <c r="BA131" s="203"/>
      <c r="BB131" s="203"/>
      <c r="BC131" s="203"/>
    </row>
    <row r="132" spans="1:55" s="155" customFormat="1" ht="12" hidden="1" x14ac:dyDescent="0.2">
      <c r="A132" s="168">
        <v>78</v>
      </c>
      <c r="B132" s="168"/>
      <c r="C132" s="172"/>
      <c r="D132" s="432">
        <f t="shared" si="12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2">
        <f t="shared" si="11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  <c r="AN132" s="203"/>
      <c r="AO132" s="203"/>
      <c r="AP132" s="203"/>
      <c r="AQ132" s="203"/>
      <c r="AR132" s="203"/>
      <c r="AS132" s="203"/>
      <c r="AT132" s="203"/>
      <c r="AU132" s="203"/>
      <c r="AV132" s="203"/>
      <c r="AW132" s="203"/>
      <c r="AX132" s="203"/>
      <c r="AY132" s="203"/>
      <c r="AZ132" s="203"/>
      <c r="BA132" s="203"/>
      <c r="BB132" s="203"/>
      <c r="BC132" s="203"/>
    </row>
    <row r="133" spans="1:55" s="155" customFormat="1" ht="12" hidden="1" x14ac:dyDescent="0.2">
      <c r="A133" s="168">
        <v>79</v>
      </c>
      <c r="B133" s="168"/>
      <c r="C133" s="172"/>
      <c r="D133" s="432">
        <f t="shared" si="12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si="11"/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  <c r="AN133" s="203"/>
      <c r="AO133" s="203"/>
      <c r="AP133" s="203"/>
      <c r="AQ133" s="203"/>
      <c r="AR133" s="203"/>
      <c r="AS133" s="203"/>
      <c r="AT133" s="203"/>
      <c r="AU133" s="203"/>
      <c r="AV133" s="203"/>
      <c r="AW133" s="203"/>
      <c r="AX133" s="203"/>
      <c r="AY133" s="203"/>
      <c r="AZ133" s="203"/>
      <c r="BA133" s="203"/>
      <c r="BB133" s="203"/>
      <c r="BC133" s="203"/>
    </row>
    <row r="134" spans="1:55" s="155" customFormat="1" ht="12" hidden="1" x14ac:dyDescent="0.2">
      <c r="A134" s="168">
        <v>80</v>
      </c>
      <c r="B134" s="168"/>
      <c r="C134" s="172"/>
      <c r="D134" s="432">
        <f t="shared" si="12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si="11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  <c r="AN134" s="203"/>
      <c r="AO134" s="203"/>
      <c r="AP134" s="203"/>
      <c r="AQ134" s="203"/>
      <c r="AR134" s="203"/>
      <c r="AS134" s="203"/>
      <c r="AT134" s="203"/>
      <c r="AU134" s="203"/>
      <c r="AV134" s="203"/>
      <c r="AW134" s="203"/>
      <c r="AX134" s="203"/>
      <c r="AY134" s="203"/>
      <c r="AZ134" s="203"/>
      <c r="BA134" s="203"/>
      <c r="BB134" s="203"/>
      <c r="BC134" s="203"/>
    </row>
    <row r="135" spans="1:55" s="155" customFormat="1" ht="12" hidden="1" x14ac:dyDescent="0.2">
      <c r="A135" s="168">
        <v>81</v>
      </c>
      <c r="B135" s="168"/>
      <c r="C135" s="172"/>
      <c r="D135" s="432">
        <f t="shared" si="12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11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  <c r="AN135" s="203"/>
      <c r="AO135" s="203"/>
      <c r="AP135" s="203"/>
      <c r="AQ135" s="203"/>
      <c r="AR135" s="203"/>
      <c r="AS135" s="203"/>
      <c r="AT135" s="203"/>
      <c r="AU135" s="203"/>
      <c r="AV135" s="203"/>
      <c r="AW135" s="203"/>
      <c r="AX135" s="203"/>
      <c r="AY135" s="203"/>
      <c r="AZ135" s="203"/>
      <c r="BA135" s="203"/>
      <c r="BB135" s="203"/>
      <c r="BC135" s="203"/>
    </row>
    <row r="136" spans="1:55" s="155" customFormat="1" ht="12" hidden="1" x14ac:dyDescent="0.2">
      <c r="A136" s="168">
        <v>82</v>
      </c>
      <c r="B136" s="168"/>
      <c r="C136" s="172"/>
      <c r="D136" s="432">
        <f t="shared" si="12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11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  <c r="AN136" s="203"/>
      <c r="AO136" s="203"/>
      <c r="AP136" s="203"/>
      <c r="AQ136" s="203"/>
      <c r="AR136" s="203"/>
      <c r="AS136" s="203"/>
      <c r="AT136" s="203"/>
      <c r="AU136" s="203"/>
      <c r="AV136" s="203"/>
      <c r="AW136" s="203"/>
      <c r="AX136" s="203"/>
      <c r="AY136" s="203"/>
      <c r="AZ136" s="203"/>
      <c r="BA136" s="203"/>
      <c r="BB136" s="203"/>
      <c r="BC136" s="203"/>
    </row>
    <row r="137" spans="1:55" s="155" customFormat="1" ht="12" hidden="1" x14ac:dyDescent="0.2">
      <c r="A137" s="168">
        <v>83</v>
      </c>
      <c r="B137" s="168"/>
      <c r="C137" s="172"/>
      <c r="D137" s="432">
        <f t="shared" si="12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11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  <c r="AN137" s="203"/>
      <c r="AO137" s="203"/>
      <c r="AP137" s="203"/>
      <c r="AQ137" s="203"/>
      <c r="AR137" s="203"/>
      <c r="AS137" s="203"/>
      <c r="AT137" s="203"/>
      <c r="AU137" s="203"/>
      <c r="AV137" s="203"/>
      <c r="AW137" s="203"/>
      <c r="AX137" s="203"/>
      <c r="AY137" s="203"/>
      <c r="AZ137" s="203"/>
      <c r="BA137" s="203"/>
      <c r="BB137" s="203"/>
      <c r="BC137" s="203"/>
    </row>
    <row r="138" spans="1:55" s="155" customFormat="1" ht="12" hidden="1" x14ac:dyDescent="0.2">
      <c r="A138" s="168">
        <v>84</v>
      </c>
      <c r="B138" s="168"/>
      <c r="C138" s="172"/>
      <c r="D138" s="432">
        <f t="shared" si="12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1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  <c r="AN138" s="203"/>
      <c r="AO138" s="203"/>
      <c r="AP138" s="203"/>
      <c r="AQ138" s="203"/>
      <c r="AR138" s="203"/>
      <c r="AS138" s="203"/>
      <c r="AT138" s="203"/>
      <c r="AU138" s="203"/>
      <c r="AV138" s="203"/>
      <c r="AW138" s="203"/>
      <c r="AX138" s="203"/>
      <c r="AY138" s="203"/>
      <c r="AZ138" s="203"/>
      <c r="BA138" s="203"/>
      <c r="BB138" s="203"/>
      <c r="BC138" s="203"/>
    </row>
    <row r="139" spans="1:55" s="155" customFormat="1" ht="12" hidden="1" x14ac:dyDescent="0.2">
      <c r="A139" s="168">
        <v>85</v>
      </c>
      <c r="B139" s="168"/>
      <c r="C139" s="172"/>
      <c r="D139" s="432">
        <f t="shared" si="12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1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  <c r="AN139" s="203"/>
      <c r="AO139" s="203"/>
      <c r="AP139" s="203"/>
      <c r="AQ139" s="203"/>
      <c r="AR139" s="203"/>
      <c r="AS139" s="203"/>
      <c r="AT139" s="203"/>
      <c r="AU139" s="203"/>
      <c r="AV139" s="203"/>
      <c r="AW139" s="203"/>
      <c r="AX139" s="203"/>
      <c r="AY139" s="203"/>
      <c r="AZ139" s="203"/>
      <c r="BA139" s="203"/>
      <c r="BB139" s="203"/>
      <c r="BC139" s="203"/>
    </row>
    <row r="140" spans="1:55" s="155" customFormat="1" ht="12" hidden="1" x14ac:dyDescent="0.2">
      <c r="A140" s="168">
        <v>86</v>
      </c>
      <c r="B140" s="168"/>
      <c r="C140" s="172"/>
      <c r="D140" s="432">
        <f t="shared" si="12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1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  <c r="AN140" s="203"/>
      <c r="AO140" s="203"/>
      <c r="AP140" s="203"/>
      <c r="AQ140" s="203"/>
      <c r="AR140" s="203"/>
      <c r="AS140" s="203"/>
      <c r="AT140" s="203"/>
      <c r="AU140" s="203"/>
      <c r="AV140" s="203"/>
      <c r="AW140" s="203"/>
      <c r="AX140" s="203"/>
      <c r="AY140" s="203"/>
      <c r="AZ140" s="203"/>
      <c r="BA140" s="203"/>
      <c r="BB140" s="203"/>
      <c r="BC140" s="203"/>
    </row>
    <row r="141" spans="1:55" s="155" customFormat="1" ht="12" hidden="1" x14ac:dyDescent="0.2">
      <c r="A141" s="168">
        <v>87</v>
      </c>
      <c r="B141" s="168"/>
      <c r="C141" s="173"/>
      <c r="D141" s="432">
        <f t="shared" si="12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1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  <c r="AN141" s="203"/>
      <c r="AO141" s="203"/>
      <c r="AP141" s="203"/>
      <c r="AQ141" s="203"/>
      <c r="AR141" s="203"/>
      <c r="AS141" s="203"/>
      <c r="AT141" s="203"/>
      <c r="AU141" s="203"/>
      <c r="AV141" s="203"/>
      <c r="AW141" s="203"/>
      <c r="AX141" s="203"/>
      <c r="AY141" s="203"/>
      <c r="AZ141" s="203"/>
      <c r="BA141" s="203"/>
      <c r="BB141" s="203"/>
      <c r="BC141" s="203"/>
    </row>
    <row r="142" spans="1:55" s="155" customFormat="1" ht="12" hidden="1" x14ac:dyDescent="0.2">
      <c r="A142" s="168">
        <v>88</v>
      </c>
      <c r="B142" s="168"/>
      <c r="C142" s="173"/>
      <c r="D142" s="432">
        <f t="shared" si="12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1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  <c r="AN142" s="203"/>
      <c r="AO142" s="203"/>
      <c r="AP142" s="203"/>
      <c r="AQ142" s="203"/>
      <c r="AR142" s="203"/>
      <c r="AS142" s="203"/>
      <c r="AT142" s="203"/>
      <c r="AU142" s="203"/>
      <c r="AV142" s="203"/>
      <c r="AW142" s="203"/>
      <c r="AX142" s="203"/>
      <c r="AY142" s="203"/>
      <c r="AZ142" s="203"/>
      <c r="BA142" s="203"/>
      <c r="BB142" s="203"/>
      <c r="BC142" s="203"/>
    </row>
    <row r="143" spans="1:55" s="155" customFormat="1" ht="12" hidden="1" x14ac:dyDescent="0.2">
      <c r="A143" s="168">
        <v>89</v>
      </c>
      <c r="B143" s="168"/>
      <c r="C143" s="173"/>
      <c r="D143" s="432">
        <f t="shared" si="12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  <c r="AN143" s="203"/>
      <c r="AO143" s="203"/>
      <c r="AP143" s="203"/>
      <c r="AQ143" s="203"/>
      <c r="AR143" s="203"/>
      <c r="AS143" s="203"/>
      <c r="AT143" s="203"/>
      <c r="AU143" s="203"/>
      <c r="AV143" s="203"/>
      <c r="AW143" s="203"/>
      <c r="AX143" s="203"/>
      <c r="AY143" s="203"/>
      <c r="AZ143" s="203"/>
      <c r="BA143" s="203"/>
      <c r="BB143" s="203"/>
      <c r="BC143" s="203"/>
    </row>
    <row r="144" spans="1:55" s="155" customFormat="1" ht="11.25" x14ac:dyDescent="0.2">
      <c r="D144" s="203"/>
      <c r="E144" s="203"/>
      <c r="F144" s="203"/>
      <c r="G144" s="203"/>
      <c r="H144" s="203"/>
      <c r="I144" s="203"/>
      <c r="J144" s="203"/>
      <c r="K144" s="203"/>
      <c r="L144" s="203"/>
      <c r="M144" s="203"/>
      <c r="N144" s="203"/>
      <c r="O144" s="203"/>
      <c r="P144" s="203"/>
      <c r="Q144" s="203"/>
      <c r="R144" s="203"/>
      <c r="S144" s="203"/>
      <c r="T144" s="203"/>
      <c r="U144" s="203"/>
      <c r="V144" s="203"/>
      <c r="W144" s="203"/>
      <c r="X144" s="203"/>
      <c r="Y144" s="203"/>
      <c r="Z144" s="203"/>
      <c r="AA144" s="203"/>
      <c r="AB144" s="203"/>
      <c r="AC144" s="203"/>
      <c r="AD144" s="203"/>
      <c r="AE144" s="203"/>
      <c r="AF144" s="203"/>
      <c r="AG144" s="203"/>
      <c r="AH144" s="203"/>
      <c r="AI144" s="203"/>
      <c r="AJ144" s="203"/>
      <c r="AK144" s="203"/>
      <c r="AL144" s="203"/>
      <c r="AM144" s="203"/>
      <c r="AN144" s="203"/>
      <c r="AO144" s="203"/>
      <c r="AP144" s="203"/>
      <c r="AQ144" s="203"/>
      <c r="AR144" s="203"/>
      <c r="AS144" s="203"/>
      <c r="AT144" s="203"/>
      <c r="AU144" s="203"/>
      <c r="AV144" s="203"/>
      <c r="AW144" s="203"/>
      <c r="AX144" s="203"/>
      <c r="AY144" s="203"/>
      <c r="AZ144" s="203"/>
      <c r="BA144" s="203"/>
      <c r="BB144" s="203"/>
      <c r="BC144" s="203"/>
    </row>
    <row r="145" spans="4:55" s="155" customFormat="1" ht="11.25" x14ac:dyDescent="0.2">
      <c r="D145" s="203"/>
      <c r="E145" s="203"/>
      <c r="F145" s="203"/>
      <c r="G145" s="203"/>
      <c r="H145" s="203"/>
      <c r="I145" s="203"/>
      <c r="J145" s="203"/>
      <c r="K145" s="203"/>
      <c r="L145" s="203"/>
      <c r="M145" s="203"/>
      <c r="N145" s="203"/>
      <c r="O145" s="203"/>
      <c r="P145" s="203"/>
      <c r="Q145" s="203"/>
      <c r="R145" s="203"/>
      <c r="S145" s="203"/>
      <c r="T145" s="203"/>
      <c r="U145" s="203"/>
      <c r="V145" s="203"/>
      <c r="W145" s="203"/>
      <c r="X145" s="203"/>
      <c r="Y145" s="203"/>
      <c r="Z145" s="203"/>
      <c r="AA145" s="203"/>
      <c r="AB145" s="203"/>
      <c r="AC145" s="203"/>
      <c r="AD145" s="203"/>
      <c r="AE145" s="203"/>
      <c r="AF145" s="203"/>
      <c r="AG145" s="203"/>
      <c r="AH145" s="203"/>
      <c r="AI145" s="203"/>
      <c r="AJ145" s="203"/>
      <c r="AK145" s="203"/>
      <c r="AL145" s="203"/>
      <c r="AM145" s="203"/>
      <c r="AN145" s="203"/>
      <c r="AO145" s="203"/>
      <c r="AP145" s="203"/>
      <c r="AQ145" s="203"/>
      <c r="AR145" s="203"/>
      <c r="AS145" s="203"/>
      <c r="AT145" s="203"/>
      <c r="AU145" s="203"/>
      <c r="AV145" s="203"/>
      <c r="AW145" s="203"/>
      <c r="AX145" s="203"/>
      <c r="AY145" s="203"/>
      <c r="AZ145" s="203"/>
      <c r="BA145" s="203"/>
      <c r="BB145" s="203"/>
      <c r="BC145" s="203"/>
    </row>
    <row r="146" spans="4:55" s="155" customFormat="1" ht="11.25" x14ac:dyDescent="0.2">
      <c r="D146" s="203"/>
      <c r="E146" s="203"/>
      <c r="F146" s="203"/>
      <c r="G146" s="203"/>
      <c r="H146" s="203"/>
      <c r="I146" s="203"/>
      <c r="J146" s="203"/>
      <c r="K146" s="203"/>
      <c r="L146" s="203"/>
      <c r="M146" s="203"/>
      <c r="N146" s="203"/>
      <c r="O146" s="203"/>
      <c r="P146" s="203"/>
      <c r="Q146" s="203"/>
      <c r="R146" s="203"/>
      <c r="S146" s="203"/>
      <c r="T146" s="203"/>
      <c r="U146" s="203"/>
      <c r="V146" s="203"/>
      <c r="W146" s="203"/>
      <c r="X146" s="203"/>
      <c r="Y146" s="203"/>
      <c r="Z146" s="203"/>
      <c r="AA146" s="203"/>
      <c r="AB146" s="203"/>
      <c r="AC146" s="203"/>
      <c r="AD146" s="203"/>
      <c r="AE146" s="203"/>
      <c r="AF146" s="203"/>
      <c r="AG146" s="203"/>
      <c r="AH146" s="203"/>
      <c r="AI146" s="203"/>
      <c r="AJ146" s="203"/>
      <c r="AK146" s="203"/>
      <c r="AL146" s="203"/>
      <c r="AM146" s="203"/>
      <c r="AN146" s="203"/>
      <c r="AO146" s="203"/>
      <c r="AP146" s="203"/>
      <c r="AQ146" s="203"/>
      <c r="AR146" s="203"/>
      <c r="AS146" s="203"/>
      <c r="AT146" s="203"/>
      <c r="AU146" s="203"/>
      <c r="AV146" s="203"/>
      <c r="AW146" s="203"/>
      <c r="AX146" s="203"/>
      <c r="AY146" s="203"/>
      <c r="AZ146" s="203"/>
      <c r="BA146" s="203"/>
      <c r="BB146" s="203"/>
      <c r="BC146" s="203"/>
    </row>
    <row r="147" spans="4:55" s="155" customFormat="1" ht="11.25" x14ac:dyDescent="0.2">
      <c r="D147" s="203"/>
      <c r="E147" s="203"/>
      <c r="F147" s="203"/>
      <c r="G147" s="203"/>
      <c r="H147" s="203"/>
      <c r="I147" s="203"/>
      <c r="J147" s="203"/>
      <c r="K147" s="203"/>
      <c r="L147" s="203"/>
      <c r="M147" s="203"/>
      <c r="N147" s="203"/>
      <c r="O147" s="203"/>
      <c r="P147" s="203"/>
      <c r="Q147" s="203"/>
      <c r="R147" s="203"/>
      <c r="S147" s="203"/>
      <c r="T147" s="203"/>
      <c r="U147" s="203"/>
      <c r="V147" s="203"/>
      <c r="W147" s="203"/>
      <c r="X147" s="203"/>
      <c r="Y147" s="203"/>
      <c r="Z147" s="203"/>
      <c r="AA147" s="203"/>
      <c r="AB147" s="203"/>
      <c r="AC147" s="203"/>
      <c r="AD147" s="203"/>
      <c r="AE147" s="203"/>
      <c r="AF147" s="203"/>
      <c r="AG147" s="203"/>
      <c r="AH147" s="203"/>
      <c r="AI147" s="203"/>
      <c r="AJ147" s="203"/>
      <c r="AK147" s="203"/>
      <c r="AL147" s="203"/>
      <c r="AM147" s="203"/>
      <c r="AN147" s="203"/>
      <c r="AO147" s="203"/>
      <c r="AP147" s="203"/>
      <c r="AQ147" s="203"/>
      <c r="AR147" s="203"/>
      <c r="AS147" s="203"/>
      <c r="AT147" s="203"/>
      <c r="AU147" s="203"/>
      <c r="AV147" s="203"/>
      <c r="AW147" s="203"/>
      <c r="AX147" s="203"/>
      <c r="AY147" s="203"/>
      <c r="AZ147" s="203"/>
      <c r="BA147" s="203"/>
      <c r="BB147" s="203"/>
      <c r="BC147" s="203"/>
    </row>
    <row r="148" spans="4:55" s="155" customFormat="1" ht="11.25" x14ac:dyDescent="0.2">
      <c r="D148" s="203"/>
      <c r="E148" s="203"/>
      <c r="F148" s="203"/>
      <c r="G148" s="203"/>
      <c r="H148" s="203"/>
      <c r="I148" s="203"/>
      <c r="J148" s="203"/>
      <c r="K148" s="203"/>
      <c r="L148" s="203"/>
      <c r="M148" s="203"/>
      <c r="N148" s="203"/>
      <c r="O148" s="203"/>
      <c r="P148" s="203"/>
      <c r="Q148" s="203"/>
      <c r="R148" s="203"/>
      <c r="S148" s="203"/>
      <c r="T148" s="203"/>
      <c r="U148" s="203"/>
      <c r="V148" s="203"/>
      <c r="W148" s="203"/>
      <c r="X148" s="203"/>
      <c r="Y148" s="203"/>
      <c r="Z148" s="203"/>
      <c r="AA148" s="203"/>
      <c r="AB148" s="203"/>
      <c r="AC148" s="203"/>
      <c r="AD148" s="203"/>
      <c r="AE148" s="203"/>
      <c r="AF148" s="203"/>
      <c r="AG148" s="203"/>
      <c r="AH148" s="203"/>
      <c r="AI148" s="203"/>
      <c r="AJ148" s="203"/>
      <c r="AK148" s="203"/>
      <c r="AL148" s="203"/>
      <c r="AM148" s="203"/>
      <c r="AN148" s="203"/>
      <c r="AO148" s="203"/>
      <c r="AP148" s="203"/>
      <c r="AQ148" s="203"/>
      <c r="AR148" s="203"/>
      <c r="AS148" s="203"/>
      <c r="AT148" s="203"/>
      <c r="AU148" s="203"/>
      <c r="AV148" s="203"/>
      <c r="AW148" s="203"/>
      <c r="AX148" s="203"/>
      <c r="AY148" s="203"/>
      <c r="AZ148" s="203"/>
      <c r="BA148" s="203"/>
      <c r="BB148" s="203"/>
      <c r="BC148" s="203"/>
    </row>
    <row r="149" spans="4:55" s="155" customFormat="1" ht="11.25" x14ac:dyDescent="0.2">
      <c r="D149" s="203"/>
      <c r="E149" s="203"/>
      <c r="F149" s="203"/>
      <c r="G149" s="203"/>
      <c r="H149" s="203"/>
      <c r="I149" s="203"/>
      <c r="J149" s="203"/>
      <c r="K149" s="203"/>
      <c r="L149" s="203"/>
      <c r="M149" s="203"/>
      <c r="N149" s="203"/>
      <c r="O149" s="203"/>
      <c r="P149" s="203"/>
      <c r="Q149" s="203"/>
      <c r="R149" s="203"/>
      <c r="S149" s="203"/>
      <c r="T149" s="203"/>
      <c r="U149" s="203"/>
      <c r="V149" s="203"/>
      <c r="W149" s="203"/>
      <c r="X149" s="203"/>
      <c r="Y149" s="203"/>
      <c r="Z149" s="203"/>
      <c r="AA149" s="203"/>
      <c r="AB149" s="203"/>
      <c r="AC149" s="203"/>
      <c r="AD149" s="203"/>
      <c r="AE149" s="203"/>
      <c r="AF149" s="203"/>
      <c r="AG149" s="203"/>
      <c r="AH149" s="203"/>
      <c r="AI149" s="203"/>
      <c r="AJ149" s="203"/>
      <c r="AK149" s="203"/>
      <c r="AL149" s="203"/>
      <c r="AM149" s="203"/>
      <c r="AN149" s="203"/>
      <c r="AO149" s="203"/>
      <c r="AP149" s="203"/>
      <c r="AQ149" s="203"/>
      <c r="AR149" s="203"/>
      <c r="AS149" s="203"/>
      <c r="AT149" s="203"/>
      <c r="AU149" s="203"/>
      <c r="AV149" s="203"/>
      <c r="AW149" s="203"/>
      <c r="AX149" s="203"/>
      <c r="AY149" s="203"/>
      <c r="AZ149" s="203"/>
      <c r="BA149" s="203"/>
      <c r="BB149" s="203"/>
      <c r="BC149" s="203"/>
    </row>
    <row r="150" spans="4:55" s="155" customFormat="1" ht="11.25" x14ac:dyDescent="0.2">
      <c r="D150" s="203"/>
      <c r="E150" s="203"/>
      <c r="F150" s="203"/>
      <c r="G150" s="203"/>
      <c r="H150" s="203"/>
      <c r="I150" s="203"/>
      <c r="J150" s="203"/>
      <c r="K150" s="203"/>
      <c r="L150" s="203"/>
      <c r="M150" s="203"/>
      <c r="N150" s="203"/>
      <c r="O150" s="203"/>
      <c r="P150" s="203"/>
      <c r="Q150" s="203"/>
      <c r="R150" s="203"/>
      <c r="S150" s="203"/>
      <c r="T150" s="203"/>
      <c r="U150" s="203"/>
      <c r="V150" s="203"/>
      <c r="W150" s="203"/>
      <c r="X150" s="203"/>
      <c r="Y150" s="203"/>
      <c r="Z150" s="203"/>
      <c r="AA150" s="203"/>
      <c r="AB150" s="203"/>
      <c r="AC150" s="203"/>
      <c r="AD150" s="203"/>
      <c r="AE150" s="203"/>
      <c r="AF150" s="203"/>
      <c r="AG150" s="203"/>
      <c r="AH150" s="203"/>
      <c r="AI150" s="203"/>
      <c r="AJ150" s="203"/>
      <c r="AK150" s="203"/>
      <c r="AL150" s="203"/>
      <c r="AM150" s="203"/>
      <c r="AN150" s="203"/>
      <c r="AO150" s="203"/>
      <c r="AP150" s="203"/>
      <c r="AQ150" s="203"/>
      <c r="AR150" s="203"/>
      <c r="AS150" s="203"/>
      <c r="AT150" s="203"/>
      <c r="AU150" s="203"/>
      <c r="AV150" s="203"/>
      <c r="AW150" s="203"/>
      <c r="AX150" s="203"/>
      <c r="AY150" s="203"/>
      <c r="AZ150" s="203"/>
      <c r="BA150" s="203"/>
      <c r="BB150" s="203"/>
      <c r="BC150" s="203"/>
    </row>
    <row r="151" spans="4:55" s="155" customFormat="1" ht="11.25" x14ac:dyDescent="0.2">
      <c r="D151" s="203"/>
      <c r="E151" s="203"/>
      <c r="F151" s="203"/>
      <c r="G151" s="203"/>
      <c r="H151" s="203"/>
      <c r="I151" s="203"/>
      <c r="J151" s="203"/>
      <c r="K151" s="203"/>
      <c r="L151" s="203"/>
      <c r="M151" s="203"/>
      <c r="N151" s="203"/>
      <c r="O151" s="203"/>
      <c r="P151" s="203"/>
      <c r="Q151" s="203"/>
      <c r="R151" s="203"/>
      <c r="S151" s="203"/>
      <c r="T151" s="203"/>
      <c r="U151" s="203"/>
      <c r="V151" s="203"/>
      <c r="W151" s="203"/>
      <c r="X151" s="203"/>
      <c r="Y151" s="203"/>
      <c r="Z151" s="203"/>
      <c r="AA151" s="203"/>
      <c r="AB151" s="203"/>
      <c r="AC151" s="203"/>
      <c r="AD151" s="203"/>
      <c r="AE151" s="203"/>
      <c r="AF151" s="203"/>
      <c r="AG151" s="203"/>
      <c r="AH151" s="203"/>
      <c r="AI151" s="203"/>
      <c r="AJ151" s="203"/>
      <c r="AK151" s="203"/>
      <c r="AL151" s="203"/>
      <c r="AM151" s="203"/>
      <c r="AN151" s="203"/>
      <c r="AO151" s="203"/>
      <c r="AP151" s="203"/>
      <c r="AQ151" s="203"/>
      <c r="AR151" s="203"/>
      <c r="AS151" s="203"/>
      <c r="AT151" s="203"/>
      <c r="AU151" s="203"/>
      <c r="AV151" s="203"/>
      <c r="AW151" s="203"/>
      <c r="AX151" s="203"/>
      <c r="AY151" s="203"/>
      <c r="AZ151" s="203"/>
      <c r="BA151" s="203"/>
      <c r="BB151" s="203"/>
      <c r="BC151" s="203"/>
    </row>
    <row r="152" spans="4:55" s="155" customFormat="1" ht="11.25" x14ac:dyDescent="0.2"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203"/>
      <c r="AG152" s="203"/>
      <c r="AH152" s="203"/>
      <c r="AI152" s="203"/>
      <c r="AJ152" s="203"/>
      <c r="AK152" s="203"/>
      <c r="AL152" s="203"/>
      <c r="AM152" s="203"/>
      <c r="AN152" s="203"/>
      <c r="AO152" s="203"/>
      <c r="AP152" s="203"/>
      <c r="AQ152" s="203"/>
      <c r="AR152" s="203"/>
      <c r="AS152" s="203"/>
      <c r="AT152" s="203"/>
      <c r="AU152" s="203"/>
      <c r="AV152" s="203"/>
      <c r="AW152" s="203"/>
      <c r="AX152" s="203"/>
      <c r="AY152" s="203"/>
      <c r="AZ152" s="203"/>
      <c r="BA152" s="203"/>
      <c r="BB152" s="203"/>
      <c r="BC152" s="203"/>
    </row>
    <row r="153" spans="4:55" s="155" customFormat="1" ht="11.25" x14ac:dyDescent="0.2">
      <c r="D153" s="203"/>
      <c r="E153" s="203"/>
      <c r="F153" s="203"/>
      <c r="G153" s="203"/>
      <c r="H153" s="203"/>
      <c r="I153" s="203"/>
      <c r="J153" s="203"/>
      <c r="K153" s="203"/>
      <c r="L153" s="203"/>
      <c r="M153" s="203"/>
      <c r="N153" s="203"/>
      <c r="O153" s="203"/>
      <c r="P153" s="203"/>
      <c r="Q153" s="203"/>
      <c r="R153" s="203"/>
      <c r="S153" s="203"/>
      <c r="T153" s="203"/>
      <c r="U153" s="203"/>
      <c r="V153" s="203"/>
      <c r="W153" s="203"/>
      <c r="X153" s="203"/>
      <c r="Y153" s="203"/>
      <c r="Z153" s="203"/>
      <c r="AA153" s="203"/>
      <c r="AB153" s="203"/>
      <c r="AC153" s="203"/>
      <c r="AD153" s="203"/>
      <c r="AE153" s="203"/>
      <c r="AF153" s="203"/>
      <c r="AG153" s="203"/>
      <c r="AH153" s="203"/>
      <c r="AI153" s="203"/>
      <c r="AJ153" s="203"/>
      <c r="AK153" s="203"/>
      <c r="AL153" s="203"/>
      <c r="AM153" s="203"/>
      <c r="AN153" s="203"/>
      <c r="AO153" s="203"/>
      <c r="AP153" s="203"/>
      <c r="AQ153" s="203"/>
      <c r="AR153" s="203"/>
      <c r="AS153" s="203"/>
      <c r="AT153" s="203"/>
      <c r="AU153" s="203"/>
      <c r="AV153" s="203"/>
      <c r="AW153" s="203"/>
      <c r="AX153" s="203"/>
      <c r="AY153" s="203"/>
      <c r="AZ153" s="203"/>
      <c r="BA153" s="203"/>
      <c r="BB153" s="203"/>
      <c r="BC153" s="203"/>
    </row>
    <row r="154" spans="4:55" s="155" customFormat="1" ht="11.25" x14ac:dyDescent="0.2">
      <c r="D154" s="203"/>
      <c r="E154" s="203"/>
      <c r="F154" s="203"/>
      <c r="G154" s="203"/>
      <c r="H154" s="203"/>
      <c r="I154" s="203"/>
      <c r="J154" s="203"/>
      <c r="K154" s="203"/>
      <c r="L154" s="203"/>
      <c r="M154" s="203"/>
      <c r="N154" s="203"/>
      <c r="O154" s="203"/>
      <c r="P154" s="203"/>
      <c r="Q154" s="203"/>
      <c r="R154" s="203"/>
      <c r="S154" s="203"/>
      <c r="T154" s="203"/>
      <c r="U154" s="203"/>
      <c r="V154" s="203"/>
      <c r="W154" s="203"/>
      <c r="X154" s="203"/>
      <c r="Y154" s="203"/>
      <c r="Z154" s="203"/>
      <c r="AA154" s="203"/>
      <c r="AB154" s="203"/>
      <c r="AC154" s="203"/>
      <c r="AD154" s="203"/>
      <c r="AE154" s="203"/>
      <c r="AF154" s="203"/>
      <c r="AG154" s="203"/>
      <c r="AH154" s="203"/>
      <c r="AI154" s="203"/>
      <c r="AJ154" s="203"/>
      <c r="AK154" s="203"/>
      <c r="AL154" s="203"/>
      <c r="AM154" s="203"/>
      <c r="AN154" s="203"/>
      <c r="AO154" s="203"/>
      <c r="AP154" s="203"/>
      <c r="AQ154" s="203"/>
      <c r="AR154" s="203"/>
      <c r="AS154" s="203"/>
      <c r="AT154" s="203"/>
      <c r="AU154" s="203"/>
      <c r="AV154" s="203"/>
      <c r="AW154" s="203"/>
      <c r="AX154" s="203"/>
      <c r="AY154" s="203"/>
      <c r="AZ154" s="203"/>
      <c r="BA154" s="203"/>
      <c r="BB154" s="203"/>
      <c r="BC154" s="203"/>
    </row>
    <row r="155" spans="4:55" s="155" customFormat="1" ht="11.25" x14ac:dyDescent="0.2"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203"/>
      <c r="O155" s="203"/>
      <c r="P155" s="203"/>
      <c r="Q155" s="203"/>
      <c r="R155" s="203"/>
      <c r="S155" s="203"/>
      <c r="T155" s="203"/>
      <c r="U155" s="203"/>
      <c r="V155" s="203"/>
      <c r="W155" s="203"/>
      <c r="X155" s="203"/>
      <c r="Y155" s="203"/>
      <c r="Z155" s="203"/>
      <c r="AA155" s="203"/>
      <c r="AB155" s="203"/>
      <c r="AC155" s="203"/>
      <c r="AD155" s="203"/>
      <c r="AE155" s="203"/>
      <c r="AF155" s="203"/>
      <c r="AG155" s="203"/>
      <c r="AH155" s="203"/>
      <c r="AI155" s="203"/>
      <c r="AJ155" s="203"/>
      <c r="AK155" s="203"/>
      <c r="AL155" s="203"/>
      <c r="AM155" s="203"/>
      <c r="AN155" s="203"/>
      <c r="AO155" s="203"/>
      <c r="AP155" s="203"/>
      <c r="AQ155" s="203"/>
      <c r="AR155" s="203"/>
      <c r="AS155" s="203"/>
      <c r="AT155" s="203"/>
      <c r="AU155" s="203"/>
      <c r="AV155" s="203"/>
      <c r="AW155" s="203"/>
      <c r="AX155" s="203"/>
      <c r="AY155" s="203"/>
      <c r="AZ155" s="203"/>
      <c r="BA155" s="203"/>
      <c r="BB155" s="203"/>
      <c r="BC155" s="203"/>
    </row>
    <row r="156" spans="4:55" s="155" customFormat="1" ht="11.25" x14ac:dyDescent="0.2">
      <c r="D156" s="203"/>
      <c r="E156" s="203"/>
      <c r="F156" s="203"/>
      <c r="G156" s="203"/>
      <c r="H156" s="203"/>
      <c r="I156" s="203"/>
      <c r="J156" s="203"/>
      <c r="K156" s="203"/>
      <c r="L156" s="203"/>
      <c r="M156" s="203"/>
      <c r="N156" s="203"/>
      <c r="O156" s="203"/>
      <c r="P156" s="203"/>
      <c r="Q156" s="203"/>
      <c r="R156" s="203"/>
      <c r="S156" s="203"/>
      <c r="T156" s="203"/>
      <c r="U156" s="203"/>
      <c r="V156" s="203"/>
      <c r="W156" s="203"/>
      <c r="X156" s="203"/>
      <c r="Y156" s="203"/>
      <c r="Z156" s="203"/>
      <c r="AA156" s="203"/>
      <c r="AB156" s="203"/>
      <c r="AC156" s="203"/>
      <c r="AD156" s="203"/>
      <c r="AE156" s="203"/>
      <c r="AF156" s="203"/>
      <c r="AG156" s="203"/>
      <c r="AH156" s="203"/>
      <c r="AI156" s="203"/>
      <c r="AJ156" s="203"/>
      <c r="AK156" s="203"/>
      <c r="AL156" s="203"/>
      <c r="AM156" s="203"/>
      <c r="AN156" s="203"/>
      <c r="AO156" s="203"/>
      <c r="AP156" s="203"/>
      <c r="AQ156" s="203"/>
      <c r="AR156" s="203"/>
      <c r="AS156" s="203"/>
      <c r="AT156" s="203"/>
      <c r="AU156" s="203"/>
      <c r="AV156" s="203"/>
      <c r="AW156" s="203"/>
      <c r="AX156" s="203"/>
      <c r="AY156" s="203"/>
      <c r="AZ156" s="203"/>
      <c r="BA156" s="203"/>
      <c r="BB156" s="203"/>
      <c r="BC156" s="203"/>
    </row>
    <row r="157" spans="4:55" s="155" customFormat="1" ht="11.25" x14ac:dyDescent="0.2">
      <c r="D157" s="203"/>
      <c r="E157" s="203"/>
      <c r="F157" s="203"/>
      <c r="G157" s="203"/>
      <c r="H157" s="203"/>
      <c r="I157" s="203"/>
      <c r="J157" s="203"/>
      <c r="K157" s="203"/>
      <c r="L157" s="203"/>
      <c r="M157" s="203"/>
      <c r="N157" s="203"/>
      <c r="O157" s="203"/>
      <c r="P157" s="203"/>
      <c r="Q157" s="203"/>
      <c r="R157" s="203"/>
      <c r="S157" s="203"/>
      <c r="T157" s="203"/>
      <c r="U157" s="203"/>
      <c r="V157" s="203"/>
      <c r="W157" s="203"/>
      <c r="X157" s="203"/>
      <c r="Y157" s="203"/>
      <c r="Z157" s="203"/>
      <c r="AA157" s="203"/>
      <c r="AB157" s="203"/>
      <c r="AC157" s="203"/>
      <c r="AD157" s="203"/>
      <c r="AE157" s="203"/>
      <c r="AF157" s="203"/>
      <c r="AG157" s="203"/>
      <c r="AH157" s="203"/>
      <c r="AI157" s="203"/>
      <c r="AJ157" s="203"/>
      <c r="AK157" s="203"/>
      <c r="AL157" s="203"/>
      <c r="AM157" s="203"/>
      <c r="AN157" s="203"/>
      <c r="AO157" s="203"/>
      <c r="AP157" s="203"/>
      <c r="AQ157" s="203"/>
      <c r="AR157" s="203"/>
      <c r="AS157" s="203"/>
      <c r="AT157" s="203"/>
      <c r="AU157" s="203"/>
      <c r="AV157" s="203"/>
      <c r="AW157" s="203"/>
      <c r="AX157" s="203"/>
      <c r="AY157" s="203"/>
      <c r="AZ157" s="203"/>
      <c r="BA157" s="203"/>
      <c r="BB157" s="203"/>
      <c r="BC157" s="203"/>
    </row>
    <row r="158" spans="4:55" s="155" customFormat="1" ht="11.25" x14ac:dyDescent="0.2">
      <c r="D158" s="203"/>
      <c r="E158" s="203"/>
      <c r="F158" s="203"/>
      <c r="G158" s="203"/>
      <c r="H158" s="203"/>
      <c r="I158" s="203"/>
      <c r="J158" s="203"/>
      <c r="K158" s="203"/>
      <c r="L158" s="203"/>
      <c r="M158" s="203"/>
      <c r="N158" s="203"/>
      <c r="O158" s="203"/>
      <c r="P158" s="203"/>
      <c r="Q158" s="203"/>
      <c r="R158" s="203"/>
      <c r="S158" s="203"/>
      <c r="T158" s="203"/>
      <c r="U158" s="203"/>
      <c r="V158" s="203"/>
      <c r="W158" s="203"/>
      <c r="X158" s="203"/>
      <c r="Y158" s="203"/>
      <c r="Z158" s="203"/>
      <c r="AA158" s="203"/>
      <c r="AB158" s="203"/>
      <c r="AC158" s="203"/>
      <c r="AD158" s="203"/>
      <c r="AE158" s="203"/>
      <c r="AF158" s="203"/>
      <c r="AG158" s="203"/>
      <c r="AH158" s="203"/>
      <c r="AI158" s="203"/>
      <c r="AJ158" s="203"/>
      <c r="AK158" s="203"/>
      <c r="AL158" s="203"/>
      <c r="AM158" s="203"/>
      <c r="AN158" s="203"/>
      <c r="AO158" s="203"/>
      <c r="AP158" s="203"/>
      <c r="AQ158" s="203"/>
      <c r="AR158" s="203"/>
      <c r="AS158" s="203"/>
      <c r="AT158" s="203"/>
      <c r="AU158" s="203"/>
      <c r="AV158" s="203"/>
      <c r="AW158" s="203"/>
      <c r="AX158" s="203"/>
      <c r="AY158" s="203"/>
      <c r="AZ158" s="203"/>
      <c r="BA158" s="203"/>
      <c r="BB158" s="203"/>
      <c r="BC158" s="203"/>
    </row>
    <row r="159" spans="4:55" s="155" customFormat="1" ht="11.25" x14ac:dyDescent="0.2">
      <c r="D159" s="203"/>
      <c r="E159" s="203"/>
      <c r="F159" s="203"/>
      <c r="G159" s="203"/>
      <c r="H159" s="203"/>
      <c r="I159" s="203"/>
      <c r="J159" s="203"/>
      <c r="K159" s="203"/>
      <c r="L159" s="203"/>
      <c r="M159" s="203"/>
      <c r="N159" s="203"/>
      <c r="O159" s="203"/>
      <c r="P159" s="203"/>
      <c r="Q159" s="203"/>
      <c r="R159" s="203"/>
      <c r="S159" s="203"/>
      <c r="T159" s="203"/>
      <c r="U159" s="203"/>
      <c r="V159" s="203"/>
      <c r="W159" s="203"/>
      <c r="X159" s="203"/>
      <c r="Y159" s="203"/>
      <c r="Z159" s="203"/>
      <c r="AA159" s="203"/>
      <c r="AB159" s="203"/>
      <c r="AC159" s="203"/>
      <c r="AD159" s="203"/>
      <c r="AE159" s="203"/>
      <c r="AF159" s="203"/>
      <c r="AG159" s="203"/>
      <c r="AH159" s="203"/>
      <c r="AI159" s="203"/>
      <c r="AJ159" s="203"/>
      <c r="AK159" s="203"/>
      <c r="AL159" s="203"/>
      <c r="AM159" s="203"/>
      <c r="AN159" s="203"/>
      <c r="AO159" s="203"/>
      <c r="AP159" s="203"/>
      <c r="AQ159" s="203"/>
      <c r="AR159" s="203"/>
      <c r="AS159" s="203"/>
      <c r="AT159" s="203"/>
      <c r="AU159" s="203"/>
      <c r="AV159" s="203"/>
      <c r="AW159" s="203"/>
      <c r="AX159" s="203"/>
      <c r="AY159" s="203"/>
      <c r="AZ159" s="203"/>
      <c r="BA159" s="203"/>
      <c r="BB159" s="203"/>
      <c r="BC159" s="203"/>
    </row>
    <row r="160" spans="4:55" s="155" customFormat="1" ht="11.25" x14ac:dyDescent="0.2">
      <c r="D160" s="203"/>
      <c r="E160" s="203"/>
      <c r="F160" s="203"/>
      <c r="G160" s="203"/>
      <c r="H160" s="203"/>
      <c r="I160" s="203"/>
      <c r="J160" s="203"/>
      <c r="K160" s="203"/>
      <c r="L160" s="203"/>
      <c r="M160" s="203"/>
      <c r="N160" s="203"/>
      <c r="O160" s="203"/>
      <c r="P160" s="203"/>
      <c r="Q160" s="203"/>
      <c r="R160" s="203"/>
      <c r="S160" s="203"/>
      <c r="T160" s="203"/>
      <c r="U160" s="203"/>
      <c r="V160" s="203"/>
      <c r="W160" s="203"/>
      <c r="X160" s="203"/>
      <c r="Y160" s="203"/>
      <c r="Z160" s="203"/>
      <c r="AA160" s="203"/>
      <c r="AB160" s="203"/>
      <c r="AC160" s="203"/>
      <c r="AD160" s="203"/>
      <c r="AE160" s="203"/>
      <c r="AF160" s="203"/>
      <c r="AG160" s="203"/>
      <c r="AH160" s="203"/>
      <c r="AI160" s="203"/>
      <c r="AJ160" s="203"/>
      <c r="AK160" s="203"/>
      <c r="AL160" s="203"/>
      <c r="AM160" s="203"/>
      <c r="AN160" s="203"/>
      <c r="AO160" s="203"/>
      <c r="AP160" s="203"/>
      <c r="AQ160" s="203"/>
      <c r="AR160" s="203"/>
      <c r="AS160" s="203"/>
      <c r="AT160" s="203"/>
      <c r="AU160" s="203"/>
      <c r="AV160" s="203"/>
      <c r="AW160" s="203"/>
      <c r="AX160" s="203"/>
      <c r="AY160" s="203"/>
      <c r="AZ160" s="203"/>
      <c r="BA160" s="203"/>
      <c r="BB160" s="203"/>
      <c r="BC160" s="203"/>
    </row>
    <row r="161" spans="4:55" s="155" customFormat="1" ht="11.25" x14ac:dyDescent="0.2">
      <c r="D161" s="203"/>
      <c r="E161" s="203"/>
      <c r="F161" s="203"/>
      <c r="G161" s="203"/>
      <c r="H161" s="203"/>
      <c r="I161" s="203"/>
      <c r="J161" s="203"/>
      <c r="K161" s="203"/>
      <c r="L161" s="203"/>
      <c r="M161" s="203"/>
      <c r="N161" s="203"/>
      <c r="O161" s="203"/>
      <c r="P161" s="203"/>
      <c r="Q161" s="203"/>
      <c r="R161" s="203"/>
      <c r="S161" s="203"/>
      <c r="T161" s="203"/>
      <c r="U161" s="203"/>
      <c r="V161" s="203"/>
      <c r="W161" s="203"/>
      <c r="X161" s="203"/>
      <c r="Y161" s="203"/>
      <c r="Z161" s="203"/>
      <c r="AA161" s="203"/>
      <c r="AB161" s="203"/>
      <c r="AC161" s="203"/>
      <c r="AD161" s="203"/>
      <c r="AE161" s="203"/>
      <c r="AF161" s="203"/>
      <c r="AG161" s="203"/>
      <c r="AH161" s="203"/>
      <c r="AI161" s="203"/>
      <c r="AJ161" s="203"/>
      <c r="AK161" s="203"/>
      <c r="AL161" s="203"/>
      <c r="AM161" s="203"/>
      <c r="AN161" s="203"/>
      <c r="AO161" s="203"/>
      <c r="AP161" s="203"/>
      <c r="AQ161" s="203"/>
      <c r="AR161" s="203"/>
      <c r="AS161" s="203"/>
      <c r="AT161" s="203"/>
      <c r="AU161" s="203"/>
      <c r="AV161" s="203"/>
      <c r="AW161" s="203"/>
      <c r="AX161" s="203"/>
      <c r="AY161" s="203"/>
      <c r="AZ161" s="203"/>
      <c r="BA161" s="203"/>
      <c r="BB161" s="203"/>
      <c r="BC161" s="203"/>
    </row>
    <row r="162" spans="4:55" s="155" customFormat="1" ht="11.25" x14ac:dyDescent="0.2">
      <c r="D162" s="203"/>
      <c r="E162" s="203"/>
      <c r="F162" s="203"/>
      <c r="G162" s="203"/>
      <c r="H162" s="203"/>
      <c r="I162" s="203"/>
      <c r="J162" s="203"/>
      <c r="K162" s="203"/>
      <c r="L162" s="203"/>
      <c r="M162" s="203"/>
      <c r="N162" s="203"/>
      <c r="O162" s="203"/>
      <c r="P162" s="203"/>
      <c r="Q162" s="203"/>
      <c r="R162" s="203"/>
      <c r="S162" s="203"/>
      <c r="T162" s="203"/>
      <c r="U162" s="203"/>
      <c r="V162" s="203"/>
      <c r="W162" s="203"/>
      <c r="X162" s="203"/>
      <c r="Y162" s="203"/>
      <c r="Z162" s="203"/>
      <c r="AA162" s="203"/>
      <c r="AB162" s="203"/>
      <c r="AC162" s="203"/>
      <c r="AD162" s="203"/>
      <c r="AE162" s="203"/>
      <c r="AF162" s="203"/>
      <c r="AG162" s="203"/>
      <c r="AH162" s="203"/>
      <c r="AI162" s="203"/>
      <c r="AJ162" s="203"/>
      <c r="AK162" s="203"/>
      <c r="AL162" s="203"/>
      <c r="AM162" s="203"/>
      <c r="AN162" s="203"/>
      <c r="AO162" s="203"/>
      <c r="AP162" s="203"/>
      <c r="AQ162" s="203"/>
      <c r="AR162" s="203"/>
      <c r="AS162" s="203"/>
      <c r="AT162" s="203"/>
      <c r="AU162" s="203"/>
      <c r="AV162" s="203"/>
      <c r="AW162" s="203"/>
      <c r="AX162" s="203"/>
      <c r="AY162" s="203"/>
      <c r="AZ162" s="203"/>
      <c r="BA162" s="203"/>
      <c r="BB162" s="203"/>
      <c r="BC162" s="203"/>
    </row>
    <row r="163" spans="4:55" s="155" customFormat="1" ht="11.25" x14ac:dyDescent="0.2">
      <c r="D163" s="203"/>
      <c r="E163" s="203"/>
      <c r="F163" s="203"/>
      <c r="G163" s="203"/>
      <c r="H163" s="203"/>
      <c r="I163" s="203"/>
      <c r="J163" s="203"/>
      <c r="K163" s="203"/>
      <c r="L163" s="203"/>
      <c r="M163" s="203"/>
      <c r="N163" s="203"/>
      <c r="O163" s="203"/>
      <c r="P163" s="203"/>
      <c r="Q163" s="203"/>
      <c r="R163" s="203"/>
      <c r="S163" s="203"/>
      <c r="T163" s="203"/>
      <c r="U163" s="203"/>
      <c r="V163" s="203"/>
      <c r="W163" s="203"/>
      <c r="X163" s="203"/>
      <c r="Y163" s="203"/>
      <c r="Z163" s="203"/>
      <c r="AA163" s="203"/>
      <c r="AB163" s="203"/>
      <c r="AC163" s="203"/>
      <c r="AD163" s="203"/>
      <c r="AE163" s="203"/>
      <c r="AF163" s="203"/>
      <c r="AG163" s="203"/>
      <c r="AH163" s="203"/>
      <c r="AI163" s="203"/>
      <c r="AJ163" s="203"/>
      <c r="AK163" s="203"/>
      <c r="AL163" s="203"/>
      <c r="AM163" s="203"/>
      <c r="AN163" s="203"/>
      <c r="AO163" s="203"/>
      <c r="AP163" s="203"/>
      <c r="AQ163" s="203"/>
      <c r="AR163" s="203"/>
      <c r="AS163" s="203"/>
      <c r="AT163" s="203"/>
      <c r="AU163" s="203"/>
      <c r="AV163" s="203"/>
      <c r="AW163" s="203"/>
      <c r="AX163" s="203"/>
      <c r="AY163" s="203"/>
      <c r="AZ163" s="203"/>
      <c r="BA163" s="203"/>
      <c r="BB163" s="203"/>
      <c r="BC163" s="203"/>
    </row>
    <row r="164" spans="4:55" s="155" customFormat="1" ht="11.25" x14ac:dyDescent="0.2">
      <c r="D164" s="203"/>
      <c r="E164" s="203"/>
      <c r="F164" s="203"/>
      <c r="G164" s="203"/>
      <c r="H164" s="203"/>
      <c r="I164" s="203"/>
      <c r="J164" s="203"/>
      <c r="K164" s="203"/>
      <c r="L164" s="203"/>
      <c r="M164" s="203"/>
      <c r="N164" s="203"/>
      <c r="O164" s="203"/>
      <c r="P164" s="203"/>
      <c r="Q164" s="203"/>
      <c r="R164" s="203"/>
      <c r="S164" s="203"/>
      <c r="T164" s="203"/>
      <c r="U164" s="203"/>
      <c r="V164" s="203"/>
      <c r="W164" s="203"/>
      <c r="X164" s="203"/>
      <c r="Y164" s="203"/>
      <c r="Z164" s="203"/>
      <c r="AA164" s="203"/>
      <c r="AB164" s="203"/>
      <c r="AC164" s="203"/>
      <c r="AD164" s="203"/>
      <c r="AE164" s="203"/>
      <c r="AF164" s="203"/>
      <c r="AG164" s="203"/>
      <c r="AH164" s="203"/>
      <c r="AI164" s="203"/>
      <c r="AJ164" s="203"/>
      <c r="AK164" s="203"/>
      <c r="AL164" s="203"/>
      <c r="AM164" s="203"/>
      <c r="AN164" s="203"/>
      <c r="AO164" s="203"/>
      <c r="AP164" s="203"/>
      <c r="AQ164" s="203"/>
      <c r="AR164" s="203"/>
      <c r="AS164" s="203"/>
      <c r="AT164" s="203"/>
      <c r="AU164" s="203"/>
      <c r="AV164" s="203"/>
      <c r="AW164" s="203"/>
      <c r="AX164" s="203"/>
      <c r="AY164" s="203"/>
      <c r="AZ164" s="203"/>
      <c r="BA164" s="203"/>
      <c r="BB164" s="203"/>
      <c r="BC164" s="203"/>
    </row>
    <row r="165" spans="4:55" s="155" customFormat="1" ht="11.25" x14ac:dyDescent="0.2">
      <c r="D165" s="203"/>
      <c r="E165" s="203"/>
      <c r="F165" s="203"/>
      <c r="G165" s="203"/>
      <c r="H165" s="203"/>
      <c r="I165" s="203"/>
      <c r="J165" s="203"/>
      <c r="K165" s="203"/>
      <c r="L165" s="203"/>
      <c r="M165" s="203"/>
      <c r="N165" s="203"/>
      <c r="O165" s="203"/>
      <c r="P165" s="203"/>
      <c r="Q165" s="203"/>
      <c r="R165" s="203"/>
      <c r="S165" s="203"/>
      <c r="T165" s="203"/>
      <c r="U165" s="203"/>
      <c r="V165" s="203"/>
      <c r="W165" s="203"/>
      <c r="X165" s="203"/>
      <c r="Y165" s="203"/>
      <c r="Z165" s="203"/>
      <c r="AA165" s="203"/>
      <c r="AB165" s="203"/>
      <c r="AC165" s="203"/>
      <c r="AD165" s="203"/>
      <c r="AE165" s="203"/>
      <c r="AF165" s="203"/>
      <c r="AG165" s="203"/>
      <c r="AH165" s="203"/>
      <c r="AI165" s="203"/>
      <c r="AJ165" s="203"/>
      <c r="AK165" s="203"/>
      <c r="AL165" s="203"/>
      <c r="AM165" s="203"/>
      <c r="AN165" s="203"/>
      <c r="AO165" s="203"/>
      <c r="AP165" s="203"/>
      <c r="AQ165" s="203"/>
      <c r="AR165" s="203"/>
      <c r="AS165" s="203"/>
      <c r="AT165" s="203"/>
      <c r="AU165" s="203"/>
      <c r="AV165" s="203"/>
      <c r="AW165" s="203"/>
      <c r="AX165" s="203"/>
      <c r="AY165" s="203"/>
      <c r="AZ165" s="203"/>
      <c r="BA165" s="203"/>
      <c r="BB165" s="203"/>
      <c r="BC165" s="203"/>
    </row>
    <row r="166" spans="4:55" s="155" customFormat="1" ht="11.25" x14ac:dyDescent="0.2">
      <c r="D166" s="203"/>
      <c r="E166" s="203"/>
      <c r="F166" s="203"/>
      <c r="G166" s="203"/>
      <c r="H166" s="203"/>
      <c r="I166" s="203"/>
      <c r="J166" s="203"/>
      <c r="K166" s="203"/>
      <c r="L166" s="203"/>
      <c r="M166" s="203"/>
      <c r="N166" s="203"/>
      <c r="O166" s="203"/>
      <c r="P166" s="203"/>
      <c r="Q166" s="203"/>
      <c r="R166" s="203"/>
      <c r="S166" s="203"/>
      <c r="T166" s="203"/>
      <c r="U166" s="203"/>
      <c r="V166" s="203"/>
      <c r="W166" s="203"/>
      <c r="X166" s="203"/>
      <c r="Y166" s="203"/>
      <c r="Z166" s="203"/>
      <c r="AA166" s="203"/>
      <c r="AB166" s="203"/>
      <c r="AC166" s="203"/>
      <c r="AD166" s="203"/>
      <c r="AE166" s="203"/>
      <c r="AF166" s="203"/>
      <c r="AG166" s="203"/>
      <c r="AH166" s="203"/>
      <c r="AI166" s="203"/>
      <c r="AJ166" s="203"/>
      <c r="AK166" s="203"/>
      <c r="AL166" s="203"/>
      <c r="AM166" s="203"/>
      <c r="AN166" s="203"/>
      <c r="AO166" s="203"/>
      <c r="AP166" s="203"/>
      <c r="AQ166" s="203"/>
      <c r="AR166" s="203"/>
      <c r="AS166" s="203"/>
      <c r="AT166" s="203"/>
      <c r="AU166" s="203"/>
      <c r="AV166" s="203"/>
      <c r="AW166" s="203"/>
      <c r="AX166" s="203"/>
      <c r="AY166" s="203"/>
      <c r="AZ166" s="203"/>
      <c r="BA166" s="203"/>
      <c r="BB166" s="203"/>
      <c r="BC166" s="203"/>
    </row>
    <row r="167" spans="4:55" s="155" customFormat="1" ht="11.25" x14ac:dyDescent="0.2">
      <c r="D167" s="203"/>
      <c r="E167" s="203"/>
      <c r="F167" s="203"/>
      <c r="G167" s="203"/>
      <c r="H167" s="203"/>
      <c r="I167" s="203"/>
      <c r="J167" s="203"/>
      <c r="K167" s="203"/>
      <c r="L167" s="203"/>
      <c r="M167" s="203"/>
      <c r="N167" s="203"/>
      <c r="O167" s="203"/>
      <c r="P167" s="203"/>
      <c r="Q167" s="203"/>
      <c r="R167" s="203"/>
      <c r="S167" s="203"/>
      <c r="T167" s="203"/>
      <c r="U167" s="203"/>
      <c r="V167" s="203"/>
      <c r="W167" s="203"/>
      <c r="X167" s="203"/>
      <c r="Y167" s="203"/>
      <c r="Z167" s="203"/>
      <c r="AA167" s="203"/>
      <c r="AB167" s="203"/>
      <c r="AC167" s="203"/>
      <c r="AD167" s="203"/>
      <c r="AE167" s="203"/>
      <c r="AF167" s="203"/>
      <c r="AG167" s="203"/>
      <c r="AH167" s="203"/>
      <c r="AI167" s="203"/>
      <c r="AJ167" s="203"/>
      <c r="AK167" s="203"/>
      <c r="AL167" s="203"/>
      <c r="AM167" s="203"/>
      <c r="AN167" s="203"/>
      <c r="AO167" s="203"/>
      <c r="AP167" s="203"/>
      <c r="AQ167" s="203"/>
      <c r="AR167" s="203"/>
      <c r="AS167" s="203"/>
      <c r="AT167" s="203"/>
      <c r="AU167" s="203"/>
      <c r="AV167" s="203"/>
      <c r="AW167" s="203"/>
      <c r="AX167" s="203"/>
      <c r="AY167" s="203"/>
      <c r="AZ167" s="203"/>
      <c r="BA167" s="203"/>
      <c r="BB167" s="203"/>
      <c r="BC167" s="203"/>
    </row>
    <row r="168" spans="4:55" s="155" customFormat="1" ht="11.25" x14ac:dyDescent="0.2">
      <c r="D168" s="203"/>
      <c r="E168" s="203"/>
      <c r="F168" s="203"/>
      <c r="G168" s="203"/>
      <c r="H168" s="203"/>
      <c r="I168" s="203"/>
      <c r="J168" s="203"/>
      <c r="K168" s="203"/>
      <c r="L168" s="203"/>
      <c r="M168" s="203"/>
      <c r="N168" s="203"/>
      <c r="O168" s="203"/>
      <c r="P168" s="203"/>
      <c r="Q168" s="203"/>
      <c r="R168" s="203"/>
      <c r="S168" s="203"/>
      <c r="T168" s="203"/>
      <c r="U168" s="203"/>
      <c r="V168" s="203"/>
      <c r="W168" s="203"/>
      <c r="X168" s="203"/>
      <c r="Y168" s="203"/>
      <c r="Z168" s="203"/>
      <c r="AA168" s="203"/>
      <c r="AB168" s="203"/>
      <c r="AC168" s="203"/>
      <c r="AD168" s="203"/>
      <c r="AE168" s="203"/>
      <c r="AF168" s="203"/>
      <c r="AG168" s="203"/>
      <c r="AH168" s="203"/>
      <c r="AI168" s="203"/>
      <c r="AJ168" s="203"/>
      <c r="AK168" s="203"/>
      <c r="AL168" s="203"/>
      <c r="AM168" s="203"/>
      <c r="AN168" s="203"/>
      <c r="AO168" s="203"/>
      <c r="AP168" s="203"/>
      <c r="AQ168" s="203"/>
      <c r="AR168" s="203"/>
      <c r="AS168" s="203"/>
      <c r="AT168" s="203"/>
      <c r="AU168" s="203"/>
      <c r="AV168" s="203"/>
      <c r="AW168" s="203"/>
      <c r="AX168" s="203"/>
      <c r="AY168" s="203"/>
      <c r="AZ168" s="203"/>
      <c r="BA168" s="203"/>
      <c r="BB168" s="203"/>
      <c r="BC168" s="203"/>
    </row>
    <row r="169" spans="4:55" s="155" customFormat="1" ht="11.25" x14ac:dyDescent="0.2">
      <c r="D169" s="203"/>
      <c r="E169" s="203"/>
      <c r="F169" s="203"/>
      <c r="G169" s="203"/>
      <c r="H169" s="203"/>
      <c r="I169" s="203"/>
      <c r="J169" s="203"/>
      <c r="K169" s="203"/>
      <c r="L169" s="203"/>
      <c r="M169" s="203"/>
      <c r="N169" s="203"/>
      <c r="O169" s="203"/>
      <c r="P169" s="203"/>
      <c r="Q169" s="203"/>
      <c r="R169" s="203"/>
      <c r="S169" s="203"/>
      <c r="T169" s="203"/>
      <c r="U169" s="203"/>
      <c r="V169" s="203"/>
      <c r="W169" s="203"/>
      <c r="X169" s="203"/>
      <c r="Y169" s="203"/>
      <c r="Z169" s="203"/>
      <c r="AA169" s="203"/>
      <c r="AB169" s="203"/>
      <c r="AC169" s="203"/>
      <c r="AD169" s="203"/>
      <c r="AE169" s="203"/>
      <c r="AF169" s="203"/>
      <c r="AG169" s="203"/>
      <c r="AH169" s="203"/>
      <c r="AI169" s="203"/>
      <c r="AJ169" s="203"/>
      <c r="AK169" s="203"/>
      <c r="AL169" s="203"/>
      <c r="AM169" s="203"/>
      <c r="AN169" s="203"/>
      <c r="AO169" s="203"/>
      <c r="AP169" s="203"/>
      <c r="AQ169" s="203"/>
      <c r="AR169" s="203"/>
      <c r="AS169" s="203"/>
      <c r="AT169" s="203"/>
      <c r="AU169" s="203"/>
      <c r="AV169" s="203"/>
      <c r="AW169" s="203"/>
      <c r="AX169" s="203"/>
      <c r="AY169" s="203"/>
      <c r="AZ169" s="203"/>
      <c r="BA169" s="203"/>
      <c r="BB169" s="203"/>
      <c r="BC169" s="203"/>
    </row>
    <row r="170" spans="4:55" s="155" customFormat="1" ht="11.25" x14ac:dyDescent="0.2">
      <c r="D170" s="203"/>
      <c r="E170" s="203"/>
      <c r="F170" s="203"/>
      <c r="G170" s="203"/>
      <c r="H170" s="203"/>
      <c r="I170" s="203"/>
      <c r="J170" s="203"/>
      <c r="K170" s="203"/>
      <c r="L170" s="203"/>
      <c r="M170" s="203"/>
      <c r="N170" s="203"/>
      <c r="O170" s="203"/>
      <c r="P170" s="203"/>
      <c r="Q170" s="203"/>
      <c r="R170" s="203"/>
      <c r="S170" s="203"/>
      <c r="T170" s="203"/>
      <c r="U170" s="203"/>
      <c r="V170" s="203"/>
      <c r="W170" s="203"/>
      <c r="X170" s="203"/>
      <c r="Y170" s="203"/>
      <c r="Z170" s="203"/>
      <c r="AA170" s="203"/>
      <c r="AB170" s="203"/>
      <c r="AC170" s="203"/>
      <c r="AD170" s="203"/>
      <c r="AE170" s="203"/>
      <c r="AF170" s="203"/>
      <c r="AG170" s="203"/>
      <c r="AH170" s="203"/>
      <c r="AI170" s="203"/>
      <c r="AJ170" s="203"/>
      <c r="AK170" s="203"/>
      <c r="AL170" s="203"/>
      <c r="AM170" s="203"/>
      <c r="AN170" s="203"/>
      <c r="AO170" s="203"/>
      <c r="AP170" s="203"/>
      <c r="AQ170" s="203"/>
      <c r="AR170" s="203"/>
      <c r="AS170" s="203"/>
      <c r="AT170" s="203"/>
      <c r="AU170" s="203"/>
      <c r="AV170" s="203"/>
      <c r="AW170" s="203"/>
      <c r="AX170" s="203"/>
      <c r="AY170" s="203"/>
      <c r="AZ170" s="203"/>
      <c r="BA170" s="203"/>
      <c r="BB170" s="203"/>
      <c r="BC170" s="203"/>
    </row>
    <row r="171" spans="4:55" s="155" customFormat="1" ht="11.25" x14ac:dyDescent="0.2">
      <c r="D171" s="203"/>
      <c r="E171" s="203"/>
      <c r="F171" s="203"/>
      <c r="G171" s="203"/>
      <c r="H171" s="203"/>
      <c r="I171" s="203"/>
      <c r="J171" s="203"/>
      <c r="K171" s="203"/>
      <c r="L171" s="203"/>
      <c r="M171" s="203"/>
      <c r="N171" s="203"/>
      <c r="O171" s="203"/>
      <c r="P171" s="203"/>
      <c r="Q171" s="203"/>
      <c r="R171" s="203"/>
      <c r="S171" s="203"/>
      <c r="T171" s="203"/>
      <c r="U171" s="203"/>
      <c r="V171" s="203"/>
      <c r="W171" s="203"/>
      <c r="X171" s="203"/>
      <c r="Y171" s="203"/>
      <c r="Z171" s="203"/>
      <c r="AA171" s="203"/>
      <c r="AB171" s="203"/>
      <c r="AC171" s="203"/>
      <c r="AD171" s="203"/>
      <c r="AE171" s="203"/>
      <c r="AF171" s="203"/>
      <c r="AG171" s="203"/>
      <c r="AH171" s="203"/>
      <c r="AI171" s="203"/>
      <c r="AJ171" s="203"/>
      <c r="AK171" s="203"/>
      <c r="AL171" s="203"/>
      <c r="AM171" s="203"/>
      <c r="AN171" s="203"/>
      <c r="AO171" s="203"/>
      <c r="AP171" s="203"/>
      <c r="AQ171" s="203"/>
      <c r="AR171" s="203"/>
      <c r="AS171" s="203"/>
      <c r="AT171" s="203"/>
      <c r="AU171" s="203"/>
      <c r="AV171" s="203"/>
      <c r="AW171" s="203"/>
      <c r="AX171" s="203"/>
      <c r="AY171" s="203"/>
      <c r="AZ171" s="203"/>
      <c r="BA171" s="203"/>
      <c r="BB171" s="203"/>
      <c r="BC171" s="203"/>
    </row>
    <row r="172" spans="4:55" s="155" customFormat="1" ht="11.25" x14ac:dyDescent="0.2">
      <c r="D172" s="203"/>
      <c r="E172" s="203"/>
      <c r="F172" s="203"/>
      <c r="G172" s="203"/>
      <c r="H172" s="203"/>
      <c r="I172" s="203"/>
      <c r="J172" s="203"/>
      <c r="K172" s="203"/>
      <c r="L172" s="203"/>
      <c r="M172" s="203"/>
      <c r="N172" s="203"/>
      <c r="O172" s="203"/>
      <c r="P172" s="203"/>
      <c r="Q172" s="203"/>
      <c r="R172" s="203"/>
      <c r="S172" s="203"/>
      <c r="T172" s="203"/>
      <c r="U172" s="203"/>
      <c r="V172" s="203"/>
      <c r="W172" s="203"/>
      <c r="X172" s="203"/>
      <c r="Y172" s="203"/>
      <c r="Z172" s="203"/>
      <c r="AA172" s="203"/>
      <c r="AB172" s="203"/>
      <c r="AC172" s="203"/>
      <c r="AD172" s="203"/>
      <c r="AE172" s="203"/>
      <c r="AF172" s="203"/>
      <c r="AG172" s="203"/>
      <c r="AH172" s="203"/>
      <c r="AI172" s="203"/>
      <c r="AJ172" s="203"/>
      <c r="AK172" s="203"/>
      <c r="AL172" s="203"/>
      <c r="AM172" s="203"/>
      <c r="AN172" s="203"/>
      <c r="AO172" s="203"/>
      <c r="AP172" s="203"/>
      <c r="AQ172" s="203"/>
      <c r="AR172" s="203"/>
      <c r="AS172" s="203"/>
      <c r="AT172" s="203"/>
      <c r="AU172" s="203"/>
      <c r="AV172" s="203"/>
      <c r="AW172" s="203"/>
      <c r="AX172" s="203"/>
      <c r="AY172" s="203"/>
      <c r="AZ172" s="203"/>
      <c r="BA172" s="203"/>
      <c r="BB172" s="203"/>
      <c r="BC172" s="203"/>
    </row>
    <row r="173" spans="4:55" s="155" customFormat="1" ht="11.25" x14ac:dyDescent="0.2">
      <c r="D173" s="203"/>
      <c r="E173" s="203"/>
      <c r="F173" s="203"/>
      <c r="G173" s="203"/>
      <c r="H173" s="203"/>
      <c r="I173" s="203"/>
      <c r="J173" s="203"/>
      <c r="K173" s="203"/>
      <c r="L173" s="203"/>
      <c r="M173" s="203"/>
      <c r="N173" s="203"/>
      <c r="O173" s="203"/>
      <c r="P173" s="203"/>
      <c r="Q173" s="203"/>
      <c r="R173" s="203"/>
      <c r="S173" s="203"/>
      <c r="T173" s="203"/>
      <c r="U173" s="203"/>
      <c r="V173" s="203"/>
      <c r="W173" s="203"/>
      <c r="X173" s="203"/>
      <c r="Y173" s="203"/>
      <c r="Z173" s="203"/>
      <c r="AA173" s="203"/>
      <c r="AB173" s="203"/>
      <c r="AC173" s="203"/>
      <c r="AD173" s="203"/>
      <c r="AE173" s="203"/>
      <c r="AF173" s="203"/>
      <c r="AG173" s="203"/>
      <c r="AH173" s="203"/>
      <c r="AI173" s="203"/>
      <c r="AJ173" s="203"/>
      <c r="AK173" s="203"/>
      <c r="AL173" s="203"/>
      <c r="AM173" s="203"/>
      <c r="AN173" s="203"/>
      <c r="AO173" s="203"/>
      <c r="AP173" s="203"/>
      <c r="AQ173" s="203"/>
      <c r="AR173" s="203"/>
      <c r="AS173" s="203"/>
      <c r="AT173" s="203"/>
      <c r="AU173" s="203"/>
      <c r="AV173" s="203"/>
      <c r="AW173" s="203"/>
      <c r="AX173" s="203"/>
      <c r="AY173" s="203"/>
      <c r="AZ173" s="203"/>
      <c r="BA173" s="203"/>
      <c r="BB173" s="203"/>
      <c r="BC173" s="203"/>
    </row>
    <row r="174" spans="4:55" s="155" customFormat="1" ht="11.25" x14ac:dyDescent="0.2">
      <c r="D174" s="203"/>
      <c r="E174" s="203"/>
      <c r="F174" s="203"/>
      <c r="G174" s="203"/>
      <c r="H174" s="203"/>
      <c r="I174" s="203"/>
      <c r="J174" s="203"/>
      <c r="K174" s="203"/>
      <c r="L174" s="203"/>
      <c r="M174" s="203"/>
      <c r="N174" s="203"/>
      <c r="O174" s="203"/>
      <c r="P174" s="203"/>
      <c r="Q174" s="203"/>
      <c r="R174" s="203"/>
      <c r="S174" s="203"/>
      <c r="T174" s="203"/>
      <c r="U174" s="203"/>
      <c r="V174" s="203"/>
      <c r="W174" s="203"/>
      <c r="X174" s="203"/>
      <c r="Y174" s="203"/>
      <c r="Z174" s="203"/>
      <c r="AA174" s="203"/>
      <c r="AB174" s="203"/>
      <c r="AC174" s="203"/>
      <c r="AD174" s="203"/>
      <c r="AE174" s="203"/>
      <c r="AF174" s="203"/>
      <c r="AG174" s="203"/>
      <c r="AH174" s="203"/>
      <c r="AI174" s="203"/>
      <c r="AJ174" s="203"/>
      <c r="AK174" s="203"/>
      <c r="AL174" s="203"/>
      <c r="AM174" s="203"/>
      <c r="AN174" s="203"/>
      <c r="AO174" s="203"/>
      <c r="AP174" s="203"/>
      <c r="AQ174" s="203"/>
      <c r="AR174" s="203"/>
      <c r="AS174" s="203"/>
      <c r="AT174" s="203"/>
      <c r="AU174" s="203"/>
      <c r="AV174" s="203"/>
      <c r="AW174" s="203"/>
      <c r="AX174" s="203"/>
      <c r="AY174" s="203"/>
      <c r="AZ174" s="203"/>
      <c r="BA174" s="203"/>
      <c r="BB174" s="203"/>
      <c r="BC174" s="203"/>
    </row>
    <row r="175" spans="4:55" s="155" customFormat="1" ht="11.25" x14ac:dyDescent="0.2">
      <c r="D175" s="203"/>
      <c r="E175" s="203"/>
      <c r="F175" s="203"/>
      <c r="G175" s="203"/>
      <c r="H175" s="203"/>
      <c r="I175" s="203"/>
      <c r="J175" s="203"/>
      <c r="K175" s="203"/>
      <c r="L175" s="203"/>
      <c r="M175" s="203"/>
      <c r="N175" s="203"/>
      <c r="O175" s="203"/>
      <c r="P175" s="203"/>
      <c r="Q175" s="203"/>
      <c r="R175" s="203"/>
      <c r="S175" s="203"/>
      <c r="T175" s="203"/>
      <c r="U175" s="203"/>
      <c r="V175" s="203"/>
      <c r="W175" s="203"/>
      <c r="X175" s="203"/>
      <c r="Y175" s="203"/>
      <c r="Z175" s="203"/>
      <c r="AA175" s="203"/>
      <c r="AB175" s="203"/>
      <c r="AC175" s="203"/>
      <c r="AD175" s="203"/>
      <c r="AE175" s="203"/>
      <c r="AF175" s="203"/>
      <c r="AG175" s="203"/>
      <c r="AH175" s="203"/>
      <c r="AI175" s="203"/>
      <c r="AJ175" s="203"/>
      <c r="AK175" s="203"/>
      <c r="AL175" s="203"/>
      <c r="AM175" s="203"/>
      <c r="AN175" s="203"/>
      <c r="AO175" s="203"/>
      <c r="AP175" s="203"/>
      <c r="AQ175" s="203"/>
      <c r="AR175" s="203"/>
      <c r="AS175" s="203"/>
      <c r="AT175" s="203"/>
      <c r="AU175" s="203"/>
      <c r="AV175" s="203"/>
      <c r="AW175" s="203"/>
      <c r="AX175" s="203"/>
      <c r="AY175" s="203"/>
      <c r="AZ175" s="203"/>
      <c r="BA175" s="203"/>
      <c r="BB175" s="203"/>
      <c r="BC175" s="203"/>
    </row>
    <row r="176" spans="4:55" s="155" customFormat="1" ht="11.25" x14ac:dyDescent="0.2">
      <c r="D176" s="203"/>
      <c r="E176" s="203"/>
      <c r="F176" s="203"/>
      <c r="G176" s="203"/>
      <c r="H176" s="203"/>
      <c r="I176" s="203"/>
      <c r="J176" s="203"/>
      <c r="K176" s="203"/>
      <c r="L176" s="203"/>
      <c r="M176" s="203"/>
      <c r="N176" s="203"/>
      <c r="O176" s="203"/>
      <c r="P176" s="203"/>
      <c r="Q176" s="203"/>
      <c r="R176" s="203"/>
      <c r="S176" s="203"/>
      <c r="T176" s="203"/>
      <c r="U176" s="203"/>
      <c r="V176" s="203"/>
      <c r="W176" s="203"/>
      <c r="X176" s="203"/>
      <c r="Y176" s="203"/>
      <c r="Z176" s="203"/>
      <c r="AA176" s="203"/>
      <c r="AB176" s="203"/>
      <c r="AC176" s="203"/>
      <c r="AD176" s="203"/>
      <c r="AE176" s="203"/>
      <c r="AF176" s="203"/>
      <c r="AG176" s="203"/>
      <c r="AH176" s="203"/>
      <c r="AI176" s="203"/>
      <c r="AJ176" s="203"/>
      <c r="AK176" s="203"/>
      <c r="AL176" s="203"/>
      <c r="AM176" s="203"/>
      <c r="AN176" s="203"/>
      <c r="AO176" s="203"/>
      <c r="AP176" s="203"/>
      <c r="AQ176" s="203"/>
      <c r="AR176" s="203"/>
      <c r="AS176" s="203"/>
      <c r="AT176" s="203"/>
      <c r="AU176" s="203"/>
      <c r="AV176" s="203"/>
      <c r="AW176" s="203"/>
      <c r="AX176" s="203"/>
      <c r="AY176" s="203"/>
      <c r="AZ176" s="203"/>
      <c r="BA176" s="203"/>
      <c r="BB176" s="203"/>
      <c r="BC176" s="203"/>
    </row>
    <row r="177" spans="4:55" s="155" customFormat="1" ht="11.25" x14ac:dyDescent="0.2">
      <c r="D177" s="203"/>
      <c r="E177" s="203"/>
      <c r="F177" s="203"/>
      <c r="G177" s="203"/>
      <c r="H177" s="203"/>
      <c r="I177" s="203"/>
      <c r="J177" s="203"/>
      <c r="K177" s="203"/>
      <c r="L177" s="203"/>
      <c r="M177" s="203"/>
      <c r="N177" s="203"/>
      <c r="O177" s="203"/>
      <c r="P177" s="203"/>
      <c r="Q177" s="203"/>
      <c r="R177" s="203"/>
      <c r="S177" s="203"/>
      <c r="T177" s="203"/>
      <c r="U177" s="203"/>
      <c r="V177" s="203"/>
      <c r="W177" s="203"/>
      <c r="X177" s="203"/>
      <c r="Y177" s="203"/>
      <c r="Z177" s="203"/>
      <c r="AA177" s="203"/>
      <c r="AB177" s="203"/>
      <c r="AC177" s="203"/>
      <c r="AD177" s="203"/>
      <c r="AE177" s="203"/>
      <c r="AF177" s="203"/>
      <c r="AG177" s="203"/>
      <c r="AH177" s="203"/>
      <c r="AI177" s="203"/>
      <c r="AJ177" s="203"/>
      <c r="AK177" s="203"/>
      <c r="AL177" s="203"/>
      <c r="AM177" s="203"/>
      <c r="AN177" s="203"/>
      <c r="AO177" s="203"/>
      <c r="AP177" s="203"/>
      <c r="AQ177" s="203"/>
      <c r="AR177" s="203"/>
      <c r="AS177" s="203"/>
      <c r="AT177" s="203"/>
      <c r="AU177" s="203"/>
      <c r="AV177" s="203"/>
      <c r="AW177" s="203"/>
      <c r="AX177" s="203"/>
      <c r="AY177" s="203"/>
      <c r="AZ177" s="203"/>
      <c r="BA177" s="203"/>
      <c r="BB177" s="203"/>
      <c r="BC177" s="203"/>
    </row>
    <row r="178" spans="4:55" s="155" customFormat="1" ht="11.25" x14ac:dyDescent="0.2">
      <c r="D178" s="203"/>
      <c r="E178" s="203"/>
      <c r="F178" s="203"/>
      <c r="G178" s="203"/>
      <c r="H178" s="203"/>
      <c r="I178" s="203"/>
      <c r="J178" s="203"/>
      <c r="K178" s="203"/>
      <c r="L178" s="203"/>
      <c r="M178" s="203"/>
      <c r="N178" s="203"/>
      <c r="O178" s="203"/>
      <c r="P178" s="203"/>
      <c r="Q178" s="203"/>
      <c r="R178" s="203"/>
      <c r="S178" s="203"/>
      <c r="T178" s="203"/>
      <c r="U178" s="203"/>
      <c r="V178" s="203"/>
      <c r="W178" s="203"/>
      <c r="X178" s="203"/>
      <c r="Y178" s="203"/>
      <c r="Z178" s="203"/>
      <c r="AA178" s="203"/>
      <c r="AB178" s="203"/>
      <c r="AC178" s="203"/>
      <c r="AD178" s="203"/>
      <c r="AE178" s="203"/>
      <c r="AF178" s="203"/>
      <c r="AG178" s="203"/>
      <c r="AH178" s="203"/>
      <c r="AI178" s="203"/>
      <c r="AJ178" s="203"/>
      <c r="AK178" s="203"/>
      <c r="AL178" s="203"/>
      <c r="AM178" s="203"/>
      <c r="AN178" s="203"/>
      <c r="AO178" s="203"/>
      <c r="AP178" s="203"/>
      <c r="AQ178" s="203"/>
      <c r="AR178" s="203"/>
      <c r="AS178" s="203"/>
      <c r="AT178" s="203"/>
      <c r="AU178" s="203"/>
      <c r="AV178" s="203"/>
      <c r="AW178" s="203"/>
      <c r="AX178" s="203"/>
      <c r="AY178" s="203"/>
      <c r="AZ178" s="203"/>
      <c r="BA178" s="203"/>
      <c r="BB178" s="203"/>
      <c r="BC178" s="203"/>
    </row>
    <row r="179" spans="4:55" s="155" customFormat="1" ht="11.25" x14ac:dyDescent="0.2">
      <c r="D179" s="203"/>
      <c r="E179" s="203"/>
      <c r="F179" s="203"/>
      <c r="G179" s="203"/>
      <c r="H179" s="203"/>
      <c r="I179" s="203"/>
      <c r="J179" s="203"/>
      <c r="K179" s="203"/>
      <c r="L179" s="203"/>
      <c r="M179" s="203"/>
      <c r="N179" s="203"/>
      <c r="O179" s="203"/>
      <c r="P179" s="203"/>
      <c r="Q179" s="203"/>
      <c r="R179" s="203"/>
      <c r="S179" s="203"/>
      <c r="T179" s="203"/>
      <c r="U179" s="203"/>
      <c r="V179" s="203"/>
      <c r="W179" s="203"/>
      <c r="X179" s="203"/>
      <c r="Y179" s="203"/>
      <c r="Z179" s="203"/>
      <c r="AA179" s="203"/>
      <c r="AB179" s="203"/>
      <c r="AC179" s="203"/>
      <c r="AD179" s="203"/>
      <c r="AE179" s="203"/>
      <c r="AF179" s="203"/>
      <c r="AG179" s="203"/>
      <c r="AH179" s="203"/>
      <c r="AI179" s="203"/>
      <c r="AJ179" s="203"/>
      <c r="AK179" s="203"/>
      <c r="AL179" s="203"/>
      <c r="AM179" s="203"/>
      <c r="AN179" s="203"/>
      <c r="AO179" s="203"/>
      <c r="AP179" s="203"/>
      <c r="AQ179" s="203"/>
      <c r="AR179" s="203"/>
      <c r="AS179" s="203"/>
      <c r="AT179" s="203"/>
      <c r="AU179" s="203"/>
      <c r="AV179" s="203"/>
      <c r="AW179" s="203"/>
      <c r="AX179" s="203"/>
      <c r="AY179" s="203"/>
      <c r="AZ179" s="203"/>
      <c r="BA179" s="203"/>
      <c r="BB179" s="203"/>
      <c r="BC179" s="203"/>
    </row>
    <row r="180" spans="4:55" s="155" customFormat="1" ht="11.25" x14ac:dyDescent="0.2">
      <c r="D180" s="203"/>
      <c r="E180" s="203"/>
      <c r="F180" s="203"/>
      <c r="G180" s="203"/>
      <c r="H180" s="203"/>
      <c r="I180" s="203"/>
      <c r="J180" s="203"/>
      <c r="K180" s="203"/>
      <c r="L180" s="203"/>
      <c r="M180" s="203"/>
      <c r="N180" s="203"/>
      <c r="O180" s="203"/>
      <c r="P180" s="203"/>
      <c r="Q180" s="203"/>
      <c r="R180" s="203"/>
      <c r="S180" s="203"/>
      <c r="T180" s="203"/>
      <c r="U180" s="203"/>
      <c r="V180" s="203"/>
      <c r="W180" s="203"/>
      <c r="X180" s="203"/>
      <c r="Y180" s="203"/>
      <c r="Z180" s="203"/>
      <c r="AA180" s="203"/>
      <c r="AB180" s="203"/>
      <c r="AC180" s="203"/>
      <c r="AD180" s="203"/>
      <c r="AE180" s="203"/>
      <c r="AF180" s="203"/>
      <c r="AG180" s="203"/>
      <c r="AH180" s="203"/>
      <c r="AI180" s="203"/>
      <c r="AJ180" s="203"/>
      <c r="AK180" s="203"/>
      <c r="AL180" s="203"/>
      <c r="AM180" s="203"/>
      <c r="AN180" s="203"/>
      <c r="AO180" s="203"/>
      <c r="AP180" s="203"/>
      <c r="AQ180" s="203"/>
      <c r="AR180" s="203"/>
      <c r="AS180" s="203"/>
      <c r="AT180" s="203"/>
      <c r="AU180" s="203"/>
      <c r="AV180" s="203"/>
      <c r="AW180" s="203"/>
      <c r="AX180" s="203"/>
      <c r="AY180" s="203"/>
      <c r="AZ180" s="203"/>
      <c r="BA180" s="203"/>
      <c r="BB180" s="203"/>
      <c r="BC180" s="203"/>
    </row>
    <row r="181" spans="4:55" s="155" customFormat="1" ht="11.25" x14ac:dyDescent="0.2">
      <c r="D181" s="203"/>
      <c r="E181" s="203"/>
      <c r="F181" s="203"/>
      <c r="G181" s="203"/>
      <c r="H181" s="203"/>
      <c r="I181" s="203"/>
      <c r="J181" s="203"/>
      <c r="K181" s="203"/>
      <c r="L181" s="203"/>
      <c r="M181" s="203"/>
      <c r="N181" s="203"/>
      <c r="O181" s="203"/>
      <c r="P181" s="203"/>
      <c r="Q181" s="203"/>
      <c r="R181" s="203"/>
      <c r="S181" s="203"/>
      <c r="T181" s="203"/>
      <c r="U181" s="203"/>
      <c r="V181" s="203"/>
      <c r="W181" s="203"/>
      <c r="X181" s="203"/>
      <c r="Y181" s="203"/>
      <c r="Z181" s="203"/>
      <c r="AA181" s="203"/>
      <c r="AB181" s="203"/>
      <c r="AC181" s="203"/>
      <c r="AD181" s="203"/>
      <c r="AE181" s="203"/>
      <c r="AF181" s="203"/>
      <c r="AG181" s="203"/>
      <c r="AH181" s="203"/>
      <c r="AI181" s="203"/>
      <c r="AJ181" s="203"/>
      <c r="AK181" s="203"/>
      <c r="AL181" s="203"/>
      <c r="AM181" s="203"/>
      <c r="AN181" s="203"/>
      <c r="AO181" s="203"/>
      <c r="AP181" s="203"/>
      <c r="AQ181" s="203"/>
      <c r="AR181" s="203"/>
      <c r="AS181" s="203"/>
      <c r="AT181" s="203"/>
      <c r="AU181" s="203"/>
      <c r="AV181" s="203"/>
      <c r="AW181" s="203"/>
      <c r="AX181" s="203"/>
      <c r="AY181" s="203"/>
      <c r="AZ181" s="203"/>
      <c r="BA181" s="203"/>
      <c r="BB181" s="203"/>
      <c r="BC181" s="203"/>
    </row>
    <row r="182" spans="4:55" s="155" customFormat="1" ht="11.25" x14ac:dyDescent="0.2">
      <c r="D182" s="203"/>
      <c r="E182" s="203"/>
      <c r="F182" s="203"/>
      <c r="G182" s="203"/>
      <c r="H182" s="203"/>
      <c r="I182" s="203"/>
      <c r="J182" s="203"/>
      <c r="K182" s="203"/>
      <c r="L182" s="203"/>
      <c r="M182" s="203"/>
      <c r="N182" s="203"/>
      <c r="O182" s="203"/>
      <c r="P182" s="203"/>
      <c r="Q182" s="203"/>
      <c r="R182" s="203"/>
      <c r="S182" s="203"/>
      <c r="T182" s="203"/>
      <c r="U182" s="203"/>
      <c r="V182" s="203"/>
      <c r="W182" s="203"/>
      <c r="X182" s="203"/>
      <c r="Y182" s="203"/>
      <c r="Z182" s="203"/>
      <c r="AA182" s="203"/>
      <c r="AB182" s="203"/>
      <c r="AC182" s="203"/>
      <c r="AD182" s="203"/>
      <c r="AE182" s="203"/>
      <c r="AF182" s="203"/>
      <c r="AG182" s="203"/>
      <c r="AH182" s="203"/>
      <c r="AI182" s="203"/>
      <c r="AJ182" s="203"/>
      <c r="AK182" s="203"/>
      <c r="AL182" s="203"/>
      <c r="AM182" s="203"/>
      <c r="AN182" s="203"/>
      <c r="AO182" s="203"/>
      <c r="AP182" s="203"/>
      <c r="AQ182" s="203"/>
      <c r="AR182" s="203"/>
      <c r="AS182" s="203"/>
      <c r="AT182" s="203"/>
      <c r="AU182" s="203"/>
      <c r="AV182" s="203"/>
      <c r="AW182" s="203"/>
      <c r="AX182" s="203"/>
      <c r="AY182" s="203"/>
      <c r="AZ182" s="203"/>
      <c r="BA182" s="203"/>
      <c r="BB182" s="203"/>
      <c r="BC182" s="203"/>
    </row>
    <row r="183" spans="4:55" s="155" customFormat="1" ht="11.25" x14ac:dyDescent="0.2">
      <c r="D183" s="203"/>
      <c r="E183" s="203"/>
      <c r="F183" s="203"/>
      <c r="G183" s="203"/>
      <c r="H183" s="203"/>
      <c r="I183" s="203"/>
      <c r="J183" s="203"/>
      <c r="K183" s="203"/>
      <c r="L183" s="203"/>
      <c r="M183" s="203"/>
      <c r="N183" s="203"/>
      <c r="O183" s="203"/>
      <c r="P183" s="203"/>
      <c r="Q183" s="203"/>
      <c r="R183" s="203"/>
      <c r="S183" s="203"/>
      <c r="T183" s="203"/>
      <c r="U183" s="203"/>
      <c r="V183" s="203"/>
      <c r="W183" s="203"/>
      <c r="X183" s="203"/>
      <c r="Y183" s="203"/>
      <c r="Z183" s="203"/>
      <c r="AA183" s="203"/>
      <c r="AB183" s="203"/>
      <c r="AC183" s="203"/>
      <c r="AD183" s="203"/>
      <c r="AE183" s="203"/>
      <c r="AF183" s="203"/>
      <c r="AG183" s="203"/>
      <c r="AH183" s="203"/>
      <c r="AI183" s="203"/>
      <c r="AJ183" s="203"/>
      <c r="AK183" s="203"/>
      <c r="AL183" s="203"/>
      <c r="AM183" s="203"/>
      <c r="AN183" s="203"/>
      <c r="AO183" s="203"/>
      <c r="AP183" s="203"/>
      <c r="AQ183" s="203"/>
      <c r="AR183" s="203"/>
      <c r="AS183" s="203"/>
      <c r="AT183" s="203"/>
      <c r="AU183" s="203"/>
      <c r="AV183" s="203"/>
      <c r="AW183" s="203"/>
      <c r="AX183" s="203"/>
      <c r="AY183" s="203"/>
      <c r="AZ183" s="203"/>
      <c r="BA183" s="203"/>
      <c r="BB183" s="203"/>
      <c r="BC183" s="203"/>
    </row>
    <row r="184" spans="4:55" s="155" customFormat="1" ht="11.25" x14ac:dyDescent="0.2">
      <c r="D184" s="203"/>
      <c r="E184" s="203"/>
      <c r="F184" s="203"/>
      <c r="G184" s="203"/>
      <c r="H184" s="203"/>
      <c r="I184" s="203"/>
      <c r="J184" s="203"/>
      <c r="K184" s="203"/>
      <c r="L184" s="203"/>
      <c r="M184" s="203"/>
      <c r="N184" s="203"/>
      <c r="O184" s="203"/>
      <c r="P184" s="203"/>
      <c r="Q184" s="203"/>
      <c r="R184" s="203"/>
      <c r="S184" s="203"/>
      <c r="T184" s="203"/>
      <c r="U184" s="203"/>
      <c r="V184" s="203"/>
      <c r="W184" s="203"/>
      <c r="X184" s="203"/>
      <c r="Y184" s="203"/>
      <c r="Z184" s="203"/>
      <c r="AA184" s="203"/>
      <c r="AB184" s="203"/>
      <c r="AC184" s="203"/>
      <c r="AD184" s="203"/>
      <c r="AE184" s="203"/>
      <c r="AF184" s="203"/>
      <c r="AG184" s="203"/>
      <c r="AH184" s="203"/>
      <c r="AI184" s="203"/>
      <c r="AJ184" s="203"/>
      <c r="AK184" s="203"/>
      <c r="AL184" s="203"/>
      <c r="AM184" s="203"/>
      <c r="AN184" s="203"/>
      <c r="AO184" s="203"/>
      <c r="AP184" s="203"/>
      <c r="AQ184" s="203"/>
      <c r="AR184" s="203"/>
      <c r="AS184" s="203"/>
      <c r="AT184" s="203"/>
      <c r="AU184" s="203"/>
      <c r="AV184" s="203"/>
      <c r="AW184" s="203"/>
      <c r="AX184" s="203"/>
      <c r="AY184" s="203"/>
      <c r="AZ184" s="203"/>
      <c r="BA184" s="203"/>
      <c r="BB184" s="203"/>
      <c r="BC184" s="203"/>
    </row>
    <row r="185" spans="4:55" s="155" customFormat="1" ht="11.25" x14ac:dyDescent="0.2">
      <c r="D185" s="203"/>
      <c r="E185" s="203"/>
      <c r="F185" s="203"/>
      <c r="G185" s="203"/>
      <c r="H185" s="203"/>
      <c r="I185" s="203"/>
      <c r="J185" s="203"/>
      <c r="K185" s="203"/>
      <c r="L185" s="203"/>
      <c r="M185" s="203"/>
      <c r="N185" s="203"/>
      <c r="O185" s="203"/>
      <c r="P185" s="203"/>
      <c r="Q185" s="203"/>
      <c r="R185" s="203"/>
      <c r="S185" s="203"/>
      <c r="T185" s="203"/>
      <c r="U185" s="203"/>
      <c r="V185" s="203"/>
      <c r="W185" s="203"/>
      <c r="X185" s="203"/>
      <c r="Y185" s="203"/>
      <c r="Z185" s="203"/>
      <c r="AA185" s="203"/>
      <c r="AB185" s="203"/>
      <c r="AC185" s="203"/>
      <c r="AD185" s="203"/>
      <c r="AE185" s="203"/>
      <c r="AF185" s="203"/>
      <c r="AG185" s="203"/>
      <c r="AH185" s="203"/>
      <c r="AI185" s="203"/>
      <c r="AJ185" s="203"/>
      <c r="AK185" s="203"/>
      <c r="AL185" s="203"/>
      <c r="AM185" s="203"/>
      <c r="AN185" s="203"/>
      <c r="AO185" s="203"/>
      <c r="AP185" s="203"/>
      <c r="AQ185" s="203"/>
      <c r="AR185" s="203"/>
      <c r="AS185" s="203"/>
      <c r="AT185" s="203"/>
      <c r="AU185" s="203"/>
      <c r="AV185" s="203"/>
      <c r="AW185" s="203"/>
      <c r="AX185" s="203"/>
      <c r="AY185" s="203"/>
      <c r="AZ185" s="203"/>
      <c r="BA185" s="203"/>
      <c r="BB185" s="203"/>
      <c r="BC185" s="203"/>
    </row>
    <row r="186" spans="4:55" s="155" customFormat="1" ht="11.25" x14ac:dyDescent="0.2">
      <c r="D186" s="203"/>
      <c r="E186" s="203"/>
      <c r="F186" s="203"/>
      <c r="G186" s="203"/>
      <c r="H186" s="203"/>
      <c r="I186" s="203"/>
      <c r="J186" s="203"/>
      <c r="K186" s="203"/>
      <c r="L186" s="203"/>
      <c r="M186" s="203"/>
      <c r="N186" s="203"/>
      <c r="O186" s="203"/>
      <c r="P186" s="203"/>
      <c r="Q186" s="203"/>
      <c r="R186" s="203"/>
      <c r="S186" s="203"/>
      <c r="T186" s="203"/>
      <c r="U186" s="203"/>
      <c r="V186" s="203"/>
      <c r="W186" s="203"/>
      <c r="X186" s="203"/>
      <c r="Y186" s="203"/>
      <c r="Z186" s="203"/>
      <c r="AA186" s="203"/>
      <c r="AB186" s="203"/>
      <c r="AC186" s="203"/>
      <c r="AD186" s="203"/>
      <c r="AE186" s="203"/>
      <c r="AF186" s="203"/>
      <c r="AG186" s="203"/>
      <c r="AH186" s="203"/>
      <c r="AI186" s="203"/>
      <c r="AJ186" s="203"/>
      <c r="AK186" s="203"/>
      <c r="AL186" s="203"/>
      <c r="AM186" s="203"/>
      <c r="AN186" s="203"/>
      <c r="AO186" s="203"/>
      <c r="AP186" s="203"/>
      <c r="AQ186" s="203"/>
      <c r="AR186" s="203"/>
      <c r="AS186" s="203"/>
      <c r="AT186" s="203"/>
      <c r="AU186" s="203"/>
      <c r="AV186" s="203"/>
      <c r="AW186" s="203"/>
      <c r="AX186" s="203"/>
      <c r="AY186" s="203"/>
      <c r="AZ186" s="203"/>
      <c r="BA186" s="203"/>
      <c r="BB186" s="203"/>
      <c r="BC186" s="203"/>
    </row>
    <row r="187" spans="4:55" s="155" customFormat="1" ht="11.25" x14ac:dyDescent="0.2">
      <c r="D187" s="203"/>
      <c r="E187" s="203"/>
      <c r="F187" s="203"/>
      <c r="G187" s="203"/>
      <c r="H187" s="203"/>
      <c r="I187" s="203"/>
      <c r="J187" s="203"/>
      <c r="K187" s="203"/>
      <c r="L187" s="203"/>
      <c r="M187" s="203"/>
      <c r="N187" s="203"/>
      <c r="O187" s="203"/>
      <c r="P187" s="203"/>
      <c r="Q187" s="203"/>
      <c r="R187" s="203"/>
      <c r="S187" s="203"/>
      <c r="T187" s="203"/>
      <c r="U187" s="203"/>
      <c r="V187" s="203"/>
      <c r="W187" s="203"/>
      <c r="X187" s="203"/>
      <c r="Y187" s="203"/>
      <c r="Z187" s="203"/>
      <c r="AA187" s="203"/>
      <c r="AB187" s="203"/>
      <c r="AC187" s="203"/>
      <c r="AD187" s="203"/>
      <c r="AE187" s="203"/>
      <c r="AF187" s="203"/>
      <c r="AG187" s="203"/>
      <c r="AH187" s="203"/>
      <c r="AI187" s="203"/>
      <c r="AJ187" s="203"/>
      <c r="AK187" s="203"/>
      <c r="AL187" s="203"/>
      <c r="AM187" s="203"/>
      <c r="AN187" s="203"/>
      <c r="AO187" s="203"/>
      <c r="AP187" s="203"/>
      <c r="AQ187" s="203"/>
      <c r="AR187" s="203"/>
      <c r="AS187" s="203"/>
      <c r="AT187" s="203"/>
      <c r="AU187" s="203"/>
      <c r="AV187" s="203"/>
      <c r="AW187" s="203"/>
      <c r="AX187" s="203"/>
      <c r="AY187" s="203"/>
      <c r="AZ187" s="203"/>
      <c r="BA187" s="203"/>
      <c r="BB187" s="203"/>
      <c r="BC187" s="203"/>
    </row>
    <row r="188" spans="4:55" s="155" customFormat="1" ht="11.25" x14ac:dyDescent="0.2">
      <c r="D188" s="203"/>
      <c r="E188" s="203"/>
      <c r="F188" s="203"/>
      <c r="G188" s="203"/>
      <c r="H188" s="203"/>
      <c r="I188" s="203"/>
      <c r="J188" s="203"/>
      <c r="K188" s="203"/>
      <c r="L188" s="203"/>
      <c r="M188" s="203"/>
      <c r="N188" s="203"/>
      <c r="O188" s="203"/>
      <c r="P188" s="203"/>
      <c r="Q188" s="203"/>
      <c r="R188" s="203"/>
      <c r="S188" s="203"/>
      <c r="T188" s="203"/>
      <c r="U188" s="203"/>
      <c r="V188" s="203"/>
      <c r="W188" s="203"/>
      <c r="X188" s="203"/>
      <c r="Y188" s="203"/>
      <c r="Z188" s="203"/>
      <c r="AA188" s="203"/>
      <c r="AB188" s="203"/>
      <c r="AC188" s="203"/>
      <c r="AD188" s="203"/>
      <c r="AE188" s="203"/>
      <c r="AF188" s="203"/>
      <c r="AG188" s="203"/>
      <c r="AH188" s="203"/>
      <c r="AI188" s="203"/>
      <c r="AJ188" s="203"/>
      <c r="AK188" s="203"/>
      <c r="AL188" s="203"/>
      <c r="AM188" s="203"/>
      <c r="AN188" s="203"/>
      <c r="AO188" s="203"/>
      <c r="AP188" s="203"/>
      <c r="AQ188" s="203"/>
      <c r="AR188" s="203"/>
      <c r="AS188" s="203"/>
      <c r="AT188" s="203"/>
      <c r="AU188" s="203"/>
      <c r="AV188" s="203"/>
      <c r="AW188" s="203"/>
      <c r="AX188" s="203"/>
      <c r="AY188" s="203"/>
      <c r="AZ188" s="203"/>
      <c r="BA188" s="203"/>
      <c r="BB188" s="203"/>
      <c r="BC188" s="203"/>
    </row>
    <row r="189" spans="4:55" s="155" customFormat="1" ht="11.25" x14ac:dyDescent="0.2">
      <c r="D189" s="203"/>
      <c r="E189" s="203"/>
      <c r="F189" s="203"/>
      <c r="G189" s="203"/>
      <c r="H189" s="203"/>
      <c r="I189" s="203"/>
      <c r="J189" s="203"/>
      <c r="K189" s="203"/>
      <c r="L189" s="203"/>
      <c r="M189" s="203"/>
      <c r="N189" s="203"/>
      <c r="O189" s="203"/>
      <c r="P189" s="203"/>
      <c r="Q189" s="203"/>
      <c r="R189" s="203"/>
      <c r="S189" s="203"/>
      <c r="T189" s="203"/>
      <c r="U189" s="203"/>
      <c r="V189" s="203"/>
      <c r="W189" s="203"/>
      <c r="X189" s="203"/>
      <c r="Y189" s="203"/>
      <c r="Z189" s="203"/>
      <c r="AA189" s="203"/>
      <c r="AB189" s="203"/>
      <c r="AC189" s="203"/>
      <c r="AD189" s="203"/>
      <c r="AE189" s="203"/>
      <c r="AF189" s="203"/>
      <c r="AG189" s="203"/>
      <c r="AH189" s="203"/>
      <c r="AI189" s="203"/>
      <c r="AJ189" s="203"/>
      <c r="AK189" s="203"/>
      <c r="AL189" s="203"/>
      <c r="AM189" s="203"/>
      <c r="AN189" s="203"/>
      <c r="AO189" s="203"/>
      <c r="AP189" s="203"/>
      <c r="AQ189" s="203"/>
      <c r="AR189" s="203"/>
      <c r="AS189" s="203"/>
      <c r="AT189" s="203"/>
      <c r="AU189" s="203"/>
      <c r="AV189" s="203"/>
      <c r="AW189" s="203"/>
      <c r="AX189" s="203"/>
      <c r="AY189" s="203"/>
      <c r="AZ189" s="203"/>
      <c r="BA189" s="203"/>
      <c r="BB189" s="203"/>
      <c r="BC189" s="203"/>
    </row>
    <row r="190" spans="4:55" s="155" customFormat="1" ht="11.25" x14ac:dyDescent="0.2">
      <c r="D190" s="203"/>
      <c r="E190" s="203"/>
      <c r="F190" s="203"/>
      <c r="G190" s="203"/>
      <c r="H190" s="203"/>
      <c r="I190" s="203"/>
      <c r="J190" s="203"/>
      <c r="K190" s="203"/>
      <c r="L190" s="203"/>
      <c r="M190" s="203"/>
      <c r="N190" s="203"/>
      <c r="O190" s="203"/>
      <c r="P190" s="203"/>
      <c r="Q190" s="203"/>
      <c r="R190" s="203"/>
      <c r="S190" s="203"/>
      <c r="T190" s="203"/>
      <c r="U190" s="203"/>
      <c r="V190" s="203"/>
      <c r="W190" s="203"/>
      <c r="X190" s="203"/>
      <c r="Y190" s="203"/>
      <c r="Z190" s="203"/>
      <c r="AA190" s="203"/>
      <c r="AB190" s="203"/>
      <c r="AC190" s="203"/>
      <c r="AD190" s="203"/>
      <c r="AE190" s="203"/>
      <c r="AF190" s="203"/>
      <c r="AG190" s="203"/>
      <c r="AH190" s="203"/>
      <c r="AI190" s="203"/>
      <c r="AJ190" s="203"/>
      <c r="AK190" s="203"/>
      <c r="AL190" s="203"/>
      <c r="AM190" s="203"/>
      <c r="AN190" s="203"/>
      <c r="AO190" s="203"/>
      <c r="AP190" s="203"/>
      <c r="AQ190" s="203"/>
      <c r="AR190" s="203"/>
      <c r="AS190" s="203"/>
      <c r="AT190" s="203"/>
      <c r="AU190" s="203"/>
      <c r="AV190" s="203"/>
      <c r="AW190" s="203"/>
      <c r="AX190" s="203"/>
      <c r="AY190" s="203"/>
      <c r="AZ190" s="203"/>
      <c r="BA190" s="203"/>
      <c r="BB190" s="203"/>
      <c r="BC190" s="203"/>
    </row>
    <row r="191" spans="4:55" s="155" customFormat="1" ht="11.25" x14ac:dyDescent="0.2">
      <c r="D191" s="203"/>
      <c r="E191" s="203"/>
      <c r="F191" s="203"/>
      <c r="G191" s="203"/>
      <c r="H191" s="203"/>
      <c r="I191" s="203"/>
      <c r="J191" s="203"/>
      <c r="K191" s="203"/>
      <c r="L191" s="203"/>
      <c r="M191" s="203"/>
      <c r="N191" s="203"/>
      <c r="O191" s="203"/>
      <c r="P191" s="203"/>
      <c r="Q191" s="203"/>
      <c r="R191" s="203"/>
      <c r="S191" s="203"/>
      <c r="T191" s="203"/>
      <c r="U191" s="203"/>
      <c r="V191" s="203"/>
      <c r="W191" s="203"/>
      <c r="X191" s="203"/>
      <c r="Y191" s="203"/>
      <c r="Z191" s="203"/>
      <c r="AA191" s="203"/>
      <c r="AB191" s="203"/>
      <c r="AC191" s="203"/>
      <c r="AD191" s="203"/>
      <c r="AE191" s="203"/>
      <c r="AF191" s="203"/>
      <c r="AG191" s="203"/>
      <c r="AH191" s="203"/>
      <c r="AI191" s="203"/>
      <c r="AJ191" s="203"/>
      <c r="AK191" s="203"/>
      <c r="AL191" s="203"/>
      <c r="AM191" s="203"/>
      <c r="AN191" s="203"/>
      <c r="AO191" s="203"/>
      <c r="AP191" s="203"/>
      <c r="AQ191" s="203"/>
      <c r="AR191" s="203"/>
      <c r="AS191" s="203"/>
      <c r="AT191" s="203"/>
      <c r="AU191" s="203"/>
      <c r="AV191" s="203"/>
      <c r="AW191" s="203"/>
      <c r="AX191" s="203"/>
      <c r="AY191" s="203"/>
      <c r="AZ191" s="203"/>
      <c r="BA191" s="203"/>
      <c r="BB191" s="203"/>
      <c r="BC191" s="203"/>
    </row>
    <row r="192" spans="4:55" s="155" customFormat="1" ht="11.25" x14ac:dyDescent="0.2">
      <c r="D192" s="203"/>
      <c r="E192" s="203"/>
      <c r="F192" s="203"/>
      <c r="G192" s="203"/>
      <c r="H192" s="203"/>
      <c r="I192" s="203"/>
      <c r="J192" s="203"/>
      <c r="K192" s="203"/>
      <c r="L192" s="203"/>
      <c r="M192" s="203"/>
      <c r="N192" s="203"/>
      <c r="O192" s="203"/>
      <c r="P192" s="203"/>
      <c r="Q192" s="203"/>
      <c r="R192" s="203"/>
      <c r="S192" s="203"/>
      <c r="T192" s="203"/>
      <c r="U192" s="203"/>
      <c r="V192" s="203"/>
      <c r="W192" s="203"/>
      <c r="X192" s="203"/>
      <c r="Y192" s="203"/>
      <c r="Z192" s="203"/>
      <c r="AA192" s="203"/>
      <c r="AB192" s="203"/>
      <c r="AC192" s="203"/>
      <c r="AD192" s="203"/>
      <c r="AE192" s="203"/>
      <c r="AF192" s="203"/>
      <c r="AG192" s="203"/>
      <c r="AH192" s="203"/>
      <c r="AI192" s="203"/>
      <c r="AJ192" s="203"/>
      <c r="AK192" s="203"/>
      <c r="AL192" s="203"/>
      <c r="AM192" s="203"/>
      <c r="AN192" s="203"/>
      <c r="AO192" s="203"/>
      <c r="AP192" s="203"/>
      <c r="AQ192" s="203"/>
      <c r="AR192" s="203"/>
      <c r="AS192" s="203"/>
      <c r="AT192" s="203"/>
      <c r="AU192" s="203"/>
      <c r="AV192" s="203"/>
      <c r="AW192" s="203"/>
      <c r="AX192" s="203"/>
      <c r="AY192" s="203"/>
      <c r="AZ192" s="203"/>
      <c r="BA192" s="203"/>
      <c r="BB192" s="203"/>
      <c r="BC192" s="203"/>
    </row>
    <row r="193" spans="4:55" s="155" customFormat="1" ht="11.25" x14ac:dyDescent="0.2">
      <c r="D193" s="203"/>
      <c r="E193" s="203"/>
      <c r="F193" s="203"/>
      <c r="G193" s="203"/>
      <c r="H193" s="203"/>
      <c r="I193" s="203"/>
      <c r="J193" s="203"/>
      <c r="K193" s="203"/>
      <c r="L193" s="203"/>
      <c r="M193" s="203"/>
      <c r="N193" s="203"/>
      <c r="O193" s="203"/>
      <c r="P193" s="203"/>
      <c r="Q193" s="203"/>
      <c r="R193" s="203"/>
      <c r="S193" s="203"/>
      <c r="T193" s="203"/>
      <c r="U193" s="203"/>
      <c r="V193" s="203"/>
      <c r="W193" s="203"/>
      <c r="X193" s="203"/>
      <c r="Y193" s="203"/>
      <c r="Z193" s="203"/>
      <c r="AA193" s="203"/>
      <c r="AB193" s="203"/>
      <c r="AC193" s="203"/>
      <c r="AD193" s="203"/>
      <c r="AE193" s="203"/>
      <c r="AF193" s="203"/>
      <c r="AG193" s="203"/>
      <c r="AH193" s="203"/>
      <c r="AI193" s="203"/>
      <c r="AJ193" s="203"/>
      <c r="AK193" s="203"/>
      <c r="AL193" s="203"/>
      <c r="AM193" s="203"/>
      <c r="AN193" s="203"/>
      <c r="AO193" s="203"/>
      <c r="AP193" s="203"/>
      <c r="AQ193" s="203"/>
      <c r="AR193" s="203"/>
      <c r="AS193" s="203"/>
      <c r="AT193" s="203"/>
      <c r="AU193" s="203"/>
      <c r="AV193" s="203"/>
      <c r="AW193" s="203"/>
      <c r="AX193" s="203"/>
      <c r="AY193" s="203"/>
      <c r="AZ193" s="203"/>
      <c r="BA193" s="203"/>
      <c r="BB193" s="203"/>
      <c r="BC193" s="203"/>
    </row>
    <row r="194" spans="4:55" s="155" customFormat="1" ht="11.25" x14ac:dyDescent="0.2">
      <c r="D194" s="203"/>
      <c r="E194" s="203"/>
      <c r="F194" s="203"/>
      <c r="G194" s="203"/>
      <c r="H194" s="203"/>
      <c r="I194" s="203"/>
      <c r="J194" s="203"/>
      <c r="K194" s="203"/>
      <c r="L194" s="203"/>
      <c r="M194" s="203"/>
      <c r="N194" s="203"/>
      <c r="O194" s="203"/>
      <c r="P194" s="203"/>
      <c r="Q194" s="203"/>
      <c r="R194" s="203"/>
      <c r="S194" s="203"/>
      <c r="T194" s="203"/>
      <c r="U194" s="203"/>
      <c r="V194" s="203"/>
      <c r="W194" s="203"/>
      <c r="X194" s="203"/>
      <c r="Y194" s="203"/>
      <c r="Z194" s="203"/>
      <c r="AA194" s="203"/>
      <c r="AB194" s="203"/>
      <c r="AC194" s="203"/>
      <c r="AD194" s="203"/>
      <c r="AE194" s="203"/>
      <c r="AF194" s="203"/>
      <c r="AG194" s="203"/>
      <c r="AH194" s="203"/>
      <c r="AI194" s="203"/>
      <c r="AJ194" s="203"/>
      <c r="AK194" s="203"/>
      <c r="AL194" s="203"/>
      <c r="AM194" s="203"/>
      <c r="AN194" s="203"/>
      <c r="AO194" s="203"/>
      <c r="AP194" s="203"/>
      <c r="AQ194" s="203"/>
      <c r="AR194" s="203"/>
      <c r="AS194" s="203"/>
      <c r="AT194" s="203"/>
      <c r="AU194" s="203"/>
      <c r="AV194" s="203"/>
      <c r="AW194" s="203"/>
      <c r="AX194" s="203"/>
      <c r="AY194" s="203"/>
      <c r="AZ194" s="203"/>
      <c r="BA194" s="203"/>
      <c r="BB194" s="203"/>
      <c r="BC194" s="203"/>
    </row>
    <row r="195" spans="4:55" s="155" customFormat="1" ht="11.25" x14ac:dyDescent="0.2">
      <c r="D195" s="203"/>
      <c r="E195" s="203"/>
      <c r="F195" s="203"/>
      <c r="G195" s="203"/>
      <c r="H195" s="203"/>
      <c r="I195" s="203"/>
      <c r="J195" s="203"/>
      <c r="K195" s="203"/>
      <c r="L195" s="203"/>
      <c r="M195" s="203"/>
      <c r="N195" s="203"/>
      <c r="O195" s="203"/>
      <c r="P195" s="203"/>
      <c r="Q195" s="203"/>
      <c r="R195" s="203"/>
      <c r="S195" s="203"/>
      <c r="T195" s="203"/>
      <c r="U195" s="203"/>
      <c r="V195" s="203"/>
      <c r="W195" s="203"/>
      <c r="X195" s="203"/>
      <c r="Y195" s="203"/>
      <c r="Z195" s="203"/>
      <c r="AA195" s="203"/>
      <c r="AB195" s="203"/>
      <c r="AC195" s="203"/>
      <c r="AD195" s="203"/>
      <c r="AE195" s="203"/>
      <c r="AF195" s="203"/>
      <c r="AG195" s="203"/>
      <c r="AH195" s="203"/>
      <c r="AI195" s="203"/>
      <c r="AJ195" s="203"/>
      <c r="AK195" s="203"/>
      <c r="AL195" s="203"/>
      <c r="AM195" s="203"/>
      <c r="AN195" s="203"/>
      <c r="AO195" s="203"/>
      <c r="AP195" s="203"/>
      <c r="AQ195" s="203"/>
      <c r="AR195" s="203"/>
      <c r="AS195" s="203"/>
      <c r="AT195" s="203"/>
      <c r="AU195" s="203"/>
      <c r="AV195" s="203"/>
      <c r="AW195" s="203"/>
      <c r="AX195" s="203"/>
      <c r="AY195" s="203"/>
      <c r="AZ195" s="203"/>
      <c r="BA195" s="203"/>
      <c r="BB195" s="203"/>
      <c r="BC195" s="203"/>
    </row>
    <row r="196" spans="4:55" s="155" customFormat="1" ht="11.25" x14ac:dyDescent="0.2">
      <c r="D196" s="203"/>
      <c r="E196" s="203"/>
      <c r="F196" s="203"/>
      <c r="G196" s="203"/>
      <c r="H196" s="203"/>
      <c r="I196" s="203"/>
      <c r="J196" s="203"/>
      <c r="K196" s="203"/>
      <c r="L196" s="203"/>
      <c r="M196" s="203"/>
      <c r="N196" s="203"/>
      <c r="O196" s="203"/>
      <c r="P196" s="203"/>
      <c r="Q196" s="203"/>
      <c r="R196" s="203"/>
      <c r="S196" s="203"/>
      <c r="T196" s="203"/>
      <c r="U196" s="203"/>
      <c r="V196" s="203"/>
      <c r="W196" s="203"/>
      <c r="X196" s="203"/>
      <c r="Y196" s="203"/>
      <c r="Z196" s="203"/>
      <c r="AA196" s="203"/>
      <c r="AB196" s="203"/>
      <c r="AC196" s="203"/>
      <c r="AD196" s="203"/>
      <c r="AE196" s="203"/>
      <c r="AF196" s="203"/>
      <c r="AG196" s="203"/>
      <c r="AH196" s="203"/>
      <c r="AI196" s="203"/>
      <c r="AJ196" s="203"/>
      <c r="AK196" s="203"/>
      <c r="AL196" s="203"/>
      <c r="AM196" s="203"/>
      <c r="AN196" s="203"/>
      <c r="AO196" s="203"/>
      <c r="AP196" s="203"/>
      <c r="AQ196" s="203"/>
      <c r="AR196" s="203"/>
      <c r="AS196" s="203"/>
      <c r="AT196" s="203"/>
      <c r="AU196" s="203"/>
      <c r="AV196" s="203"/>
      <c r="AW196" s="203"/>
      <c r="AX196" s="203"/>
      <c r="AY196" s="203"/>
      <c r="AZ196" s="203"/>
      <c r="BA196" s="203"/>
      <c r="BB196" s="203"/>
      <c r="BC196" s="203"/>
    </row>
    <row r="197" spans="4:55" s="155" customFormat="1" ht="11.25" x14ac:dyDescent="0.2">
      <c r="D197" s="203"/>
      <c r="E197" s="203"/>
      <c r="F197" s="203"/>
      <c r="G197" s="203"/>
      <c r="H197" s="203"/>
      <c r="I197" s="203"/>
      <c r="J197" s="203"/>
      <c r="K197" s="203"/>
      <c r="L197" s="203"/>
      <c r="M197" s="203"/>
      <c r="N197" s="203"/>
      <c r="O197" s="203"/>
      <c r="P197" s="203"/>
      <c r="Q197" s="203"/>
      <c r="R197" s="203"/>
      <c r="S197" s="203"/>
      <c r="T197" s="203"/>
      <c r="U197" s="203"/>
      <c r="V197" s="203"/>
      <c r="W197" s="203"/>
      <c r="X197" s="203"/>
      <c r="Y197" s="203"/>
      <c r="Z197" s="203"/>
      <c r="AA197" s="203"/>
      <c r="AB197" s="203"/>
      <c r="AC197" s="203"/>
      <c r="AD197" s="203"/>
      <c r="AE197" s="203"/>
      <c r="AF197" s="203"/>
      <c r="AG197" s="203"/>
      <c r="AH197" s="203"/>
      <c r="AI197" s="203"/>
      <c r="AJ197" s="203"/>
      <c r="AK197" s="203"/>
      <c r="AL197" s="203"/>
      <c r="AM197" s="203"/>
      <c r="AN197" s="203"/>
      <c r="AO197" s="203"/>
      <c r="AP197" s="203"/>
      <c r="AQ197" s="203"/>
      <c r="AR197" s="203"/>
      <c r="AS197" s="203"/>
      <c r="AT197" s="203"/>
      <c r="AU197" s="203"/>
      <c r="AV197" s="203"/>
      <c r="AW197" s="203"/>
      <c r="AX197" s="203"/>
      <c r="AY197" s="203"/>
      <c r="AZ197" s="203"/>
      <c r="BA197" s="203"/>
      <c r="BB197" s="203"/>
      <c r="BC197" s="203"/>
    </row>
    <row r="198" spans="4:55" s="155" customFormat="1" ht="11.25" x14ac:dyDescent="0.2">
      <c r="D198" s="203"/>
      <c r="E198" s="203"/>
      <c r="F198" s="203"/>
      <c r="G198" s="203"/>
      <c r="H198" s="203"/>
      <c r="I198" s="203"/>
      <c r="J198" s="203"/>
      <c r="K198" s="203"/>
      <c r="L198" s="203"/>
      <c r="M198" s="203"/>
      <c r="N198" s="203"/>
      <c r="O198" s="203"/>
      <c r="P198" s="203"/>
      <c r="Q198" s="203"/>
      <c r="R198" s="203"/>
      <c r="S198" s="203"/>
      <c r="T198" s="203"/>
      <c r="U198" s="203"/>
      <c r="V198" s="203"/>
      <c r="W198" s="203"/>
      <c r="X198" s="203"/>
      <c r="Y198" s="203"/>
      <c r="Z198" s="203"/>
      <c r="AA198" s="203"/>
      <c r="AB198" s="203"/>
      <c r="AC198" s="203"/>
      <c r="AD198" s="203"/>
      <c r="AE198" s="203"/>
      <c r="AF198" s="203"/>
      <c r="AG198" s="203"/>
      <c r="AH198" s="203"/>
      <c r="AI198" s="203"/>
      <c r="AJ198" s="203"/>
      <c r="AK198" s="203"/>
      <c r="AL198" s="203"/>
      <c r="AM198" s="203"/>
      <c r="AN198" s="203"/>
      <c r="AO198" s="203"/>
      <c r="AP198" s="203"/>
      <c r="AQ198" s="203"/>
      <c r="AR198" s="203"/>
      <c r="AS198" s="203"/>
      <c r="AT198" s="203"/>
      <c r="AU198" s="203"/>
      <c r="AV198" s="203"/>
      <c r="AW198" s="203"/>
      <c r="AX198" s="203"/>
      <c r="AY198" s="203"/>
      <c r="AZ198" s="203"/>
      <c r="BA198" s="203"/>
      <c r="BB198" s="203"/>
      <c r="BC198" s="203"/>
    </row>
    <row r="199" spans="4:55" s="155" customFormat="1" ht="11.25" x14ac:dyDescent="0.2">
      <c r="D199" s="203"/>
      <c r="E199" s="203"/>
      <c r="F199" s="203"/>
      <c r="G199" s="203"/>
      <c r="H199" s="203"/>
      <c r="I199" s="203"/>
      <c r="J199" s="203"/>
      <c r="K199" s="203"/>
      <c r="L199" s="203"/>
      <c r="M199" s="203"/>
      <c r="N199" s="203"/>
      <c r="O199" s="203"/>
      <c r="P199" s="203"/>
      <c r="Q199" s="203"/>
      <c r="R199" s="203"/>
      <c r="S199" s="203"/>
      <c r="T199" s="203"/>
      <c r="U199" s="203"/>
      <c r="V199" s="203"/>
      <c r="W199" s="203"/>
      <c r="X199" s="203"/>
      <c r="Y199" s="203"/>
      <c r="Z199" s="203"/>
      <c r="AA199" s="203"/>
      <c r="AB199" s="203"/>
      <c r="AC199" s="203"/>
      <c r="AD199" s="203"/>
      <c r="AE199" s="203"/>
      <c r="AF199" s="203"/>
      <c r="AG199" s="203"/>
      <c r="AH199" s="203"/>
      <c r="AI199" s="203"/>
      <c r="AJ199" s="203"/>
      <c r="AK199" s="203"/>
      <c r="AL199" s="203"/>
      <c r="AM199" s="203"/>
      <c r="AN199" s="203"/>
      <c r="AO199" s="203"/>
      <c r="AP199" s="203"/>
      <c r="AQ199" s="203"/>
      <c r="AR199" s="203"/>
      <c r="AS199" s="203"/>
      <c r="AT199" s="203"/>
      <c r="AU199" s="203"/>
      <c r="AV199" s="203"/>
      <c r="AW199" s="203"/>
      <c r="AX199" s="203"/>
      <c r="AY199" s="203"/>
      <c r="AZ199" s="203"/>
      <c r="BA199" s="203"/>
      <c r="BB199" s="203"/>
      <c r="BC199" s="203"/>
    </row>
    <row r="200" spans="4:55" s="155" customFormat="1" ht="11.25" x14ac:dyDescent="0.2">
      <c r="D200" s="203"/>
      <c r="E200" s="203"/>
      <c r="F200" s="203"/>
      <c r="G200" s="203"/>
      <c r="H200" s="203"/>
      <c r="I200" s="203"/>
      <c r="J200" s="203"/>
      <c r="K200" s="203"/>
      <c r="L200" s="203"/>
      <c r="M200" s="203"/>
      <c r="N200" s="203"/>
      <c r="O200" s="203"/>
      <c r="P200" s="203"/>
      <c r="Q200" s="203"/>
      <c r="R200" s="203"/>
      <c r="S200" s="203"/>
      <c r="T200" s="203"/>
      <c r="U200" s="203"/>
      <c r="V200" s="203"/>
      <c r="W200" s="203"/>
      <c r="X200" s="203"/>
      <c r="Y200" s="203"/>
      <c r="Z200" s="203"/>
      <c r="AA200" s="203"/>
      <c r="AB200" s="203"/>
      <c r="AC200" s="203"/>
      <c r="AD200" s="203"/>
      <c r="AE200" s="203"/>
      <c r="AF200" s="203"/>
      <c r="AG200" s="203"/>
      <c r="AH200" s="203"/>
      <c r="AI200" s="203"/>
      <c r="AJ200" s="203"/>
      <c r="AK200" s="203"/>
      <c r="AL200" s="203"/>
      <c r="AM200" s="203"/>
      <c r="AN200" s="203"/>
      <c r="AO200" s="203"/>
      <c r="AP200" s="203"/>
      <c r="AQ200" s="203"/>
      <c r="AR200" s="203"/>
      <c r="AS200" s="203"/>
      <c r="AT200" s="203"/>
      <c r="AU200" s="203"/>
      <c r="AV200" s="203"/>
      <c r="AW200" s="203"/>
      <c r="AX200" s="203"/>
      <c r="AY200" s="203"/>
      <c r="AZ200" s="203"/>
      <c r="BA200" s="203"/>
      <c r="BB200" s="203"/>
      <c r="BC200" s="203"/>
    </row>
    <row r="201" spans="4:55" s="155" customFormat="1" ht="11.25" x14ac:dyDescent="0.2">
      <c r="D201" s="203"/>
      <c r="E201" s="203"/>
      <c r="F201" s="203"/>
      <c r="G201" s="203"/>
      <c r="H201" s="203"/>
      <c r="I201" s="203"/>
      <c r="J201" s="203"/>
      <c r="K201" s="203"/>
      <c r="L201" s="203"/>
      <c r="M201" s="203"/>
      <c r="N201" s="203"/>
      <c r="O201" s="203"/>
      <c r="P201" s="203"/>
      <c r="Q201" s="203"/>
      <c r="R201" s="203"/>
      <c r="S201" s="203"/>
      <c r="T201" s="203"/>
      <c r="U201" s="203"/>
      <c r="V201" s="203"/>
      <c r="W201" s="203"/>
      <c r="X201" s="203"/>
      <c r="Y201" s="203"/>
      <c r="Z201" s="203"/>
      <c r="AA201" s="203"/>
      <c r="AB201" s="203"/>
      <c r="AC201" s="203"/>
      <c r="AD201" s="203"/>
      <c r="AE201" s="203"/>
      <c r="AF201" s="203"/>
      <c r="AG201" s="203"/>
      <c r="AH201" s="203"/>
      <c r="AI201" s="203"/>
      <c r="AJ201" s="203"/>
      <c r="AK201" s="203"/>
      <c r="AL201" s="203"/>
      <c r="AM201" s="203"/>
      <c r="AN201" s="203"/>
      <c r="AO201" s="203"/>
      <c r="AP201" s="203"/>
      <c r="AQ201" s="203"/>
      <c r="AR201" s="203"/>
      <c r="AS201" s="203"/>
      <c r="AT201" s="203"/>
      <c r="AU201" s="203"/>
      <c r="AV201" s="203"/>
      <c r="AW201" s="203"/>
      <c r="AX201" s="203"/>
      <c r="AY201" s="203"/>
      <c r="AZ201" s="203"/>
      <c r="BA201" s="203"/>
      <c r="BB201" s="203"/>
      <c r="BC201" s="203"/>
    </row>
    <row r="202" spans="4:55" s="155" customFormat="1" ht="11.25" x14ac:dyDescent="0.2">
      <c r="D202" s="203"/>
      <c r="E202" s="203"/>
      <c r="F202" s="203"/>
      <c r="G202" s="203"/>
      <c r="H202" s="203"/>
      <c r="I202" s="203"/>
      <c r="J202" s="203"/>
      <c r="K202" s="203"/>
      <c r="L202" s="203"/>
      <c r="M202" s="203"/>
      <c r="N202" s="203"/>
      <c r="O202" s="203"/>
      <c r="P202" s="203"/>
      <c r="Q202" s="203"/>
      <c r="R202" s="203"/>
      <c r="S202" s="203"/>
      <c r="T202" s="203"/>
      <c r="U202" s="203"/>
      <c r="V202" s="203"/>
      <c r="W202" s="203"/>
      <c r="X202" s="203"/>
      <c r="Y202" s="203"/>
      <c r="Z202" s="203"/>
      <c r="AA202" s="203"/>
      <c r="AB202" s="203"/>
      <c r="AC202" s="203"/>
      <c r="AD202" s="203"/>
      <c r="AE202" s="203"/>
      <c r="AF202" s="203"/>
      <c r="AG202" s="203"/>
      <c r="AH202" s="203"/>
      <c r="AI202" s="203"/>
      <c r="AJ202" s="203"/>
      <c r="AK202" s="203"/>
      <c r="AL202" s="203"/>
      <c r="AM202" s="203"/>
      <c r="AN202" s="203"/>
      <c r="AO202" s="203"/>
      <c r="AP202" s="203"/>
      <c r="AQ202" s="203"/>
      <c r="AR202" s="203"/>
      <c r="AS202" s="203"/>
      <c r="AT202" s="203"/>
      <c r="AU202" s="203"/>
      <c r="AV202" s="203"/>
      <c r="AW202" s="203"/>
      <c r="AX202" s="203"/>
      <c r="AY202" s="203"/>
      <c r="AZ202" s="203"/>
      <c r="BA202" s="203"/>
      <c r="BB202" s="203"/>
      <c r="BC202" s="203"/>
    </row>
    <row r="203" spans="4:55" s="155" customFormat="1" ht="11.25" x14ac:dyDescent="0.2">
      <c r="D203" s="203"/>
      <c r="E203" s="203"/>
      <c r="F203" s="203"/>
      <c r="G203" s="203"/>
      <c r="H203" s="203"/>
      <c r="I203" s="203"/>
      <c r="J203" s="203"/>
      <c r="K203" s="203"/>
      <c r="L203" s="203"/>
      <c r="M203" s="203"/>
      <c r="N203" s="203"/>
      <c r="O203" s="203"/>
      <c r="P203" s="203"/>
      <c r="Q203" s="203"/>
      <c r="R203" s="203"/>
      <c r="S203" s="203"/>
      <c r="T203" s="203"/>
      <c r="U203" s="203"/>
      <c r="V203" s="203"/>
      <c r="W203" s="203"/>
      <c r="X203" s="203"/>
      <c r="Y203" s="203"/>
      <c r="Z203" s="203"/>
      <c r="AA203" s="203"/>
      <c r="AB203" s="203"/>
      <c r="AC203" s="203"/>
      <c r="AD203" s="203"/>
      <c r="AE203" s="203"/>
      <c r="AF203" s="203"/>
      <c r="AG203" s="203"/>
      <c r="AH203" s="203"/>
      <c r="AI203" s="203"/>
      <c r="AJ203" s="203"/>
      <c r="AK203" s="203"/>
      <c r="AL203" s="203"/>
      <c r="AM203" s="203"/>
      <c r="AN203" s="203"/>
      <c r="AO203" s="203"/>
      <c r="AP203" s="203"/>
      <c r="AQ203" s="203"/>
      <c r="AR203" s="203"/>
      <c r="AS203" s="203"/>
      <c r="AT203" s="203"/>
      <c r="AU203" s="203"/>
      <c r="AV203" s="203"/>
      <c r="AW203" s="203"/>
      <c r="AX203" s="203"/>
      <c r="AY203" s="203"/>
      <c r="AZ203" s="203"/>
      <c r="BA203" s="203"/>
      <c r="BB203" s="203"/>
      <c r="BC203" s="203"/>
    </row>
    <row r="204" spans="4:55" s="155" customFormat="1" ht="11.25" x14ac:dyDescent="0.2">
      <c r="D204" s="203"/>
      <c r="E204" s="203"/>
      <c r="F204" s="203"/>
      <c r="G204" s="203"/>
      <c r="H204" s="203"/>
      <c r="I204" s="203"/>
      <c r="J204" s="203"/>
      <c r="K204" s="203"/>
      <c r="L204" s="203"/>
      <c r="M204" s="203"/>
      <c r="N204" s="203"/>
      <c r="O204" s="203"/>
      <c r="P204" s="203"/>
      <c r="Q204" s="203"/>
      <c r="R204" s="203"/>
      <c r="S204" s="203"/>
      <c r="T204" s="203"/>
      <c r="U204" s="203"/>
      <c r="V204" s="203"/>
      <c r="W204" s="203"/>
      <c r="X204" s="203"/>
      <c r="Y204" s="203"/>
      <c r="Z204" s="203"/>
      <c r="AA204" s="203"/>
      <c r="AB204" s="203"/>
      <c r="AC204" s="203"/>
      <c r="AD204" s="203"/>
      <c r="AE204" s="203"/>
      <c r="AF204" s="203"/>
      <c r="AG204" s="203"/>
      <c r="AH204" s="203"/>
      <c r="AI204" s="203"/>
      <c r="AJ204" s="203"/>
      <c r="AK204" s="203"/>
      <c r="AL204" s="203"/>
      <c r="AM204" s="203"/>
      <c r="AN204" s="203"/>
      <c r="AO204" s="203"/>
      <c r="AP204" s="203"/>
      <c r="AQ204" s="203"/>
      <c r="AR204" s="203"/>
      <c r="AS204" s="203"/>
      <c r="AT204" s="203"/>
      <c r="AU204" s="203"/>
      <c r="AV204" s="203"/>
      <c r="AW204" s="203"/>
      <c r="AX204" s="203"/>
      <c r="AY204" s="203"/>
      <c r="AZ204" s="203"/>
      <c r="BA204" s="203"/>
      <c r="BB204" s="203"/>
      <c r="BC204" s="203"/>
    </row>
    <row r="205" spans="4:55" s="155" customFormat="1" ht="11.25" x14ac:dyDescent="0.2">
      <c r="D205" s="203"/>
      <c r="E205" s="203"/>
      <c r="F205" s="203"/>
      <c r="G205" s="203"/>
      <c r="H205" s="203"/>
      <c r="I205" s="203"/>
      <c r="J205" s="203"/>
      <c r="K205" s="203"/>
      <c r="L205" s="203"/>
      <c r="M205" s="203"/>
      <c r="N205" s="203"/>
      <c r="O205" s="203"/>
      <c r="P205" s="203"/>
      <c r="Q205" s="203"/>
      <c r="R205" s="203"/>
      <c r="S205" s="203"/>
      <c r="T205" s="203"/>
      <c r="U205" s="203"/>
      <c r="V205" s="203"/>
      <c r="W205" s="203"/>
      <c r="X205" s="203"/>
      <c r="Y205" s="203"/>
      <c r="Z205" s="203"/>
      <c r="AA205" s="203"/>
      <c r="AB205" s="203"/>
      <c r="AC205" s="203"/>
      <c r="AD205" s="203"/>
      <c r="AE205" s="203"/>
      <c r="AF205" s="203"/>
      <c r="AG205" s="203"/>
      <c r="AH205" s="203"/>
      <c r="AI205" s="203"/>
      <c r="AJ205" s="203"/>
      <c r="AK205" s="203"/>
      <c r="AL205" s="203"/>
      <c r="AM205" s="203"/>
      <c r="AN205" s="203"/>
      <c r="AO205" s="203"/>
      <c r="AP205" s="203"/>
      <c r="AQ205" s="203"/>
      <c r="AR205" s="203"/>
      <c r="AS205" s="203"/>
      <c r="AT205" s="203"/>
      <c r="AU205" s="203"/>
      <c r="AV205" s="203"/>
      <c r="AW205" s="203"/>
      <c r="AX205" s="203"/>
      <c r="AY205" s="203"/>
      <c r="AZ205" s="203"/>
      <c r="BA205" s="203"/>
      <c r="BB205" s="203"/>
      <c r="BC205" s="203"/>
    </row>
    <row r="206" spans="4:55" s="155" customFormat="1" ht="11.25" x14ac:dyDescent="0.2">
      <c r="D206" s="203"/>
      <c r="E206" s="203"/>
      <c r="F206" s="203"/>
      <c r="G206" s="203"/>
      <c r="H206" s="203"/>
      <c r="I206" s="203"/>
      <c r="J206" s="203"/>
      <c r="K206" s="203"/>
      <c r="L206" s="203"/>
      <c r="M206" s="203"/>
      <c r="N206" s="203"/>
      <c r="O206" s="203"/>
      <c r="P206" s="203"/>
      <c r="Q206" s="203"/>
      <c r="R206" s="203"/>
      <c r="S206" s="203"/>
      <c r="T206" s="203"/>
      <c r="U206" s="203"/>
      <c r="V206" s="203"/>
      <c r="W206" s="203"/>
      <c r="X206" s="203"/>
      <c r="Y206" s="203"/>
      <c r="Z206" s="203"/>
      <c r="AA206" s="203"/>
      <c r="AB206" s="203"/>
      <c r="AC206" s="203"/>
      <c r="AD206" s="203"/>
      <c r="AE206" s="203"/>
      <c r="AF206" s="203"/>
      <c r="AG206" s="203"/>
      <c r="AH206" s="203"/>
      <c r="AI206" s="203"/>
      <c r="AJ206" s="203"/>
      <c r="AK206" s="203"/>
      <c r="AL206" s="203"/>
      <c r="AM206" s="203"/>
      <c r="AN206" s="203"/>
      <c r="AO206" s="203"/>
      <c r="AP206" s="203"/>
      <c r="AQ206" s="203"/>
      <c r="AR206" s="203"/>
      <c r="AS206" s="203"/>
      <c r="AT206" s="203"/>
      <c r="AU206" s="203"/>
      <c r="AV206" s="203"/>
      <c r="AW206" s="203"/>
      <c r="AX206" s="203"/>
      <c r="AY206" s="203"/>
      <c r="AZ206" s="203"/>
      <c r="BA206" s="203"/>
      <c r="BB206" s="203"/>
      <c r="BC206" s="203"/>
    </row>
    <row r="207" spans="4:55" s="155" customFormat="1" ht="11.25" x14ac:dyDescent="0.2">
      <c r="D207" s="203"/>
      <c r="E207" s="203"/>
      <c r="F207" s="203"/>
      <c r="G207" s="203"/>
      <c r="H207" s="203"/>
      <c r="I207" s="203"/>
      <c r="J207" s="203"/>
      <c r="K207" s="203"/>
      <c r="L207" s="203"/>
      <c r="M207" s="203"/>
      <c r="N207" s="203"/>
      <c r="O207" s="203"/>
      <c r="P207" s="203"/>
      <c r="Q207" s="203"/>
      <c r="R207" s="203"/>
      <c r="S207" s="203"/>
      <c r="T207" s="203"/>
      <c r="U207" s="203"/>
      <c r="V207" s="203"/>
      <c r="W207" s="203"/>
      <c r="X207" s="203"/>
      <c r="Y207" s="203"/>
      <c r="Z207" s="203"/>
      <c r="AA207" s="203"/>
      <c r="AB207" s="203"/>
      <c r="AC207" s="203"/>
      <c r="AD207" s="203"/>
      <c r="AE207" s="203"/>
      <c r="AF207" s="203"/>
      <c r="AG207" s="203"/>
      <c r="AH207" s="203"/>
      <c r="AI207" s="203"/>
      <c r="AJ207" s="203"/>
      <c r="AK207" s="203"/>
      <c r="AL207" s="203"/>
      <c r="AM207" s="203"/>
      <c r="AN207" s="203"/>
      <c r="AO207" s="203"/>
      <c r="AP207" s="203"/>
      <c r="AQ207" s="203"/>
      <c r="AR207" s="203"/>
      <c r="AS207" s="203"/>
      <c r="AT207" s="203"/>
      <c r="AU207" s="203"/>
      <c r="AV207" s="203"/>
      <c r="AW207" s="203"/>
      <c r="AX207" s="203"/>
      <c r="AY207" s="203"/>
      <c r="AZ207" s="203"/>
      <c r="BA207" s="203"/>
      <c r="BB207" s="203"/>
      <c r="BC207" s="203"/>
    </row>
    <row r="208" spans="4:55" s="155" customFormat="1" ht="11.25" x14ac:dyDescent="0.2">
      <c r="D208" s="203"/>
      <c r="E208" s="203"/>
      <c r="F208" s="203"/>
      <c r="G208" s="203"/>
      <c r="H208" s="203"/>
      <c r="I208" s="203"/>
      <c r="J208" s="203"/>
      <c r="K208" s="203"/>
      <c r="L208" s="203"/>
      <c r="M208" s="203"/>
      <c r="N208" s="203"/>
      <c r="O208" s="203"/>
      <c r="P208" s="203"/>
      <c r="Q208" s="203"/>
      <c r="R208" s="203"/>
      <c r="S208" s="203"/>
      <c r="T208" s="203"/>
      <c r="U208" s="203"/>
      <c r="V208" s="203"/>
      <c r="W208" s="203"/>
      <c r="X208" s="203"/>
      <c r="Y208" s="203"/>
      <c r="Z208" s="203"/>
      <c r="AA208" s="203"/>
      <c r="AB208" s="203"/>
      <c r="AC208" s="203"/>
      <c r="AD208" s="203"/>
      <c r="AE208" s="203"/>
      <c r="AF208" s="203"/>
      <c r="AG208" s="203"/>
      <c r="AH208" s="203"/>
      <c r="AI208" s="203"/>
      <c r="AJ208" s="203"/>
      <c r="AK208" s="203"/>
      <c r="AL208" s="203"/>
      <c r="AM208" s="203"/>
      <c r="AN208" s="203"/>
      <c r="AO208" s="203"/>
      <c r="AP208" s="203"/>
      <c r="AQ208" s="203"/>
      <c r="AR208" s="203"/>
      <c r="AS208" s="203"/>
      <c r="AT208" s="203"/>
      <c r="AU208" s="203"/>
      <c r="AV208" s="203"/>
      <c r="AW208" s="203"/>
      <c r="AX208" s="203"/>
      <c r="AY208" s="203"/>
      <c r="AZ208" s="203"/>
      <c r="BA208" s="203"/>
      <c r="BB208" s="203"/>
      <c r="BC208" s="203"/>
    </row>
    <row r="209" spans="4:55" s="155" customFormat="1" ht="11.25" x14ac:dyDescent="0.2">
      <c r="D209" s="203"/>
      <c r="E209" s="203"/>
      <c r="F209" s="203"/>
      <c r="G209" s="203"/>
      <c r="H209" s="203"/>
      <c r="I209" s="203"/>
      <c r="J209" s="203"/>
      <c r="K209" s="203"/>
      <c r="L209" s="203"/>
      <c r="M209" s="203"/>
      <c r="N209" s="203"/>
      <c r="O209" s="203"/>
      <c r="P209" s="203"/>
      <c r="Q209" s="203"/>
      <c r="R209" s="203"/>
      <c r="S209" s="203"/>
      <c r="T209" s="203"/>
      <c r="U209" s="203"/>
      <c r="V209" s="203"/>
      <c r="W209" s="203"/>
      <c r="X209" s="203"/>
      <c r="Y209" s="203"/>
      <c r="Z209" s="203"/>
      <c r="AA209" s="203"/>
      <c r="AB209" s="203"/>
      <c r="AC209" s="203"/>
      <c r="AD209" s="203"/>
      <c r="AE209" s="203"/>
      <c r="AF209" s="203"/>
      <c r="AG209" s="203"/>
      <c r="AH209" s="203"/>
      <c r="AI209" s="203"/>
      <c r="AJ209" s="203"/>
      <c r="AK209" s="203"/>
      <c r="AL209" s="203"/>
      <c r="AM209" s="203"/>
      <c r="AN209" s="203"/>
      <c r="AO209" s="203"/>
      <c r="AP209" s="203"/>
      <c r="AQ209" s="203"/>
      <c r="AR209" s="203"/>
      <c r="AS209" s="203"/>
      <c r="AT209" s="203"/>
      <c r="AU209" s="203"/>
      <c r="AV209" s="203"/>
      <c r="AW209" s="203"/>
      <c r="AX209" s="203"/>
      <c r="AY209" s="203"/>
      <c r="AZ209" s="203"/>
      <c r="BA209" s="203"/>
      <c r="BB209" s="203"/>
      <c r="BC209" s="203"/>
    </row>
    <row r="210" spans="4:55" s="155" customFormat="1" ht="11.25" x14ac:dyDescent="0.2">
      <c r="D210" s="203"/>
      <c r="E210" s="203"/>
      <c r="F210" s="203"/>
      <c r="G210" s="203"/>
      <c r="H210" s="203"/>
      <c r="I210" s="203"/>
      <c r="J210" s="203"/>
      <c r="K210" s="203"/>
      <c r="L210" s="203"/>
      <c r="M210" s="203"/>
      <c r="N210" s="203"/>
      <c r="O210" s="203"/>
      <c r="P210" s="203"/>
      <c r="Q210" s="203"/>
      <c r="R210" s="203"/>
      <c r="S210" s="203"/>
      <c r="T210" s="203"/>
      <c r="U210" s="203"/>
      <c r="V210" s="203"/>
      <c r="W210" s="203"/>
      <c r="X210" s="203"/>
      <c r="Y210" s="203"/>
      <c r="Z210" s="203"/>
      <c r="AA210" s="203"/>
      <c r="AB210" s="203"/>
      <c r="AC210" s="203"/>
      <c r="AD210" s="203"/>
      <c r="AE210" s="203"/>
      <c r="AF210" s="203"/>
      <c r="AG210" s="203"/>
      <c r="AH210" s="203"/>
      <c r="AI210" s="203"/>
      <c r="AJ210" s="203"/>
      <c r="AK210" s="203"/>
      <c r="AL210" s="203"/>
      <c r="AM210" s="203"/>
      <c r="AN210" s="203"/>
      <c r="AO210" s="203"/>
      <c r="AP210" s="203"/>
      <c r="AQ210" s="203"/>
      <c r="AR210" s="203"/>
      <c r="AS210" s="203"/>
      <c r="AT210" s="203"/>
      <c r="AU210" s="203"/>
      <c r="AV210" s="203"/>
      <c r="AW210" s="203"/>
      <c r="AX210" s="203"/>
      <c r="AY210" s="203"/>
      <c r="AZ210" s="203"/>
      <c r="BA210" s="203"/>
      <c r="BB210" s="203"/>
      <c r="BC210" s="203"/>
    </row>
    <row r="211" spans="4:55" s="155" customFormat="1" ht="11.25" x14ac:dyDescent="0.2">
      <c r="D211" s="203"/>
      <c r="E211" s="203"/>
      <c r="F211" s="203"/>
      <c r="G211" s="203"/>
      <c r="H211" s="203"/>
      <c r="I211" s="203"/>
      <c r="J211" s="203"/>
      <c r="K211" s="203"/>
      <c r="L211" s="203"/>
      <c r="M211" s="203"/>
      <c r="N211" s="203"/>
      <c r="O211" s="203"/>
      <c r="P211" s="203"/>
      <c r="Q211" s="203"/>
      <c r="R211" s="203"/>
      <c r="S211" s="203"/>
      <c r="T211" s="203"/>
      <c r="U211" s="203"/>
      <c r="V211" s="203"/>
      <c r="W211" s="203"/>
      <c r="X211" s="203"/>
      <c r="Y211" s="203"/>
      <c r="Z211" s="203"/>
      <c r="AA211" s="203"/>
      <c r="AB211" s="203"/>
      <c r="AC211" s="203"/>
      <c r="AD211" s="203"/>
      <c r="AE211" s="203"/>
      <c r="AF211" s="203"/>
      <c r="AG211" s="203"/>
      <c r="AH211" s="203"/>
      <c r="AI211" s="203"/>
      <c r="AJ211" s="203"/>
      <c r="AK211" s="203"/>
      <c r="AL211" s="203"/>
      <c r="AM211" s="203"/>
      <c r="AN211" s="203"/>
      <c r="AO211" s="203"/>
      <c r="AP211" s="203"/>
      <c r="AQ211" s="203"/>
      <c r="AR211" s="203"/>
      <c r="AS211" s="203"/>
      <c r="AT211" s="203"/>
      <c r="AU211" s="203"/>
      <c r="AV211" s="203"/>
      <c r="AW211" s="203"/>
      <c r="AX211" s="203"/>
      <c r="AY211" s="203"/>
      <c r="AZ211" s="203"/>
      <c r="BA211" s="203"/>
      <c r="BB211" s="203"/>
      <c r="BC211" s="203"/>
    </row>
    <row r="212" spans="4:55" s="155" customFormat="1" ht="11.25" x14ac:dyDescent="0.2">
      <c r="D212" s="203"/>
      <c r="E212" s="203"/>
      <c r="F212" s="203"/>
      <c r="G212" s="203"/>
      <c r="H212" s="203"/>
      <c r="I212" s="203"/>
      <c r="J212" s="203"/>
      <c r="K212" s="203"/>
      <c r="L212" s="203"/>
      <c r="M212" s="203"/>
      <c r="N212" s="203"/>
      <c r="O212" s="203"/>
      <c r="P212" s="203"/>
      <c r="Q212" s="203"/>
      <c r="R212" s="203"/>
      <c r="S212" s="203"/>
      <c r="T212" s="203"/>
      <c r="U212" s="203"/>
      <c r="V212" s="203"/>
      <c r="W212" s="203"/>
      <c r="X212" s="203"/>
      <c r="Y212" s="203"/>
      <c r="Z212" s="203"/>
      <c r="AA212" s="203"/>
      <c r="AB212" s="203"/>
      <c r="AC212" s="203"/>
      <c r="AD212" s="203"/>
      <c r="AE212" s="203"/>
      <c r="AF212" s="203"/>
      <c r="AG212" s="203"/>
      <c r="AH212" s="203"/>
      <c r="AI212" s="203"/>
      <c r="AJ212" s="203"/>
      <c r="AK212" s="203"/>
      <c r="AL212" s="203"/>
      <c r="AM212" s="203"/>
      <c r="AN212" s="203"/>
      <c r="AO212" s="203"/>
      <c r="AP212" s="203"/>
      <c r="AQ212" s="203"/>
      <c r="AR212" s="203"/>
      <c r="AS212" s="203"/>
      <c r="AT212" s="203"/>
      <c r="AU212" s="203"/>
      <c r="AV212" s="203"/>
      <c r="AW212" s="203"/>
      <c r="AX212" s="203"/>
      <c r="AY212" s="203"/>
      <c r="AZ212" s="203"/>
      <c r="BA212" s="203"/>
      <c r="BB212" s="203"/>
      <c r="BC212" s="203"/>
    </row>
    <row r="213" spans="4:55" s="155" customFormat="1" ht="11.25" x14ac:dyDescent="0.2">
      <c r="D213" s="203"/>
      <c r="E213" s="203"/>
      <c r="F213" s="203"/>
      <c r="G213" s="203"/>
      <c r="H213" s="203"/>
      <c r="I213" s="203"/>
      <c r="J213" s="203"/>
      <c r="K213" s="203"/>
      <c r="L213" s="203"/>
      <c r="M213" s="203"/>
      <c r="N213" s="203"/>
      <c r="O213" s="203"/>
      <c r="P213" s="203"/>
      <c r="Q213" s="203"/>
      <c r="R213" s="203"/>
      <c r="S213" s="203"/>
      <c r="T213" s="203"/>
      <c r="U213" s="203"/>
      <c r="V213" s="203"/>
      <c r="W213" s="203"/>
      <c r="X213" s="203"/>
      <c r="Y213" s="203"/>
      <c r="Z213" s="203"/>
      <c r="AA213" s="203"/>
      <c r="AB213" s="203"/>
      <c r="AC213" s="203"/>
      <c r="AD213" s="203"/>
      <c r="AE213" s="203"/>
      <c r="AF213" s="203"/>
      <c r="AG213" s="203"/>
      <c r="AH213" s="203"/>
      <c r="AI213" s="203"/>
      <c r="AJ213" s="203"/>
      <c r="AK213" s="203"/>
      <c r="AL213" s="203"/>
      <c r="AM213" s="203"/>
      <c r="AN213" s="203"/>
      <c r="AO213" s="203"/>
      <c r="AP213" s="203"/>
      <c r="AQ213" s="203"/>
      <c r="AR213" s="203"/>
      <c r="AS213" s="203"/>
      <c r="AT213" s="203"/>
      <c r="AU213" s="203"/>
      <c r="AV213" s="203"/>
      <c r="AW213" s="203"/>
      <c r="AX213" s="203"/>
      <c r="AY213" s="203"/>
      <c r="AZ213" s="203"/>
      <c r="BA213" s="203"/>
      <c r="BB213" s="203"/>
      <c r="BC213" s="203"/>
    </row>
    <row r="214" spans="4:55" s="155" customFormat="1" ht="11.25" x14ac:dyDescent="0.2">
      <c r="D214" s="203"/>
      <c r="E214" s="203"/>
      <c r="F214" s="203"/>
      <c r="G214" s="203"/>
      <c r="H214" s="203"/>
      <c r="I214" s="203"/>
      <c r="J214" s="203"/>
      <c r="K214" s="203"/>
      <c r="L214" s="203"/>
      <c r="M214" s="203"/>
      <c r="N214" s="203"/>
      <c r="O214" s="203"/>
      <c r="P214" s="203"/>
      <c r="Q214" s="203"/>
      <c r="R214" s="203"/>
      <c r="S214" s="203"/>
      <c r="T214" s="203"/>
      <c r="U214" s="203"/>
      <c r="V214" s="203"/>
      <c r="W214" s="203"/>
      <c r="X214" s="203"/>
      <c r="Y214" s="203"/>
      <c r="Z214" s="203"/>
      <c r="AA214" s="203"/>
      <c r="AB214" s="203"/>
      <c r="AC214" s="203"/>
      <c r="AD214" s="203"/>
      <c r="AE214" s="203"/>
      <c r="AF214" s="203"/>
      <c r="AG214" s="203"/>
      <c r="AH214" s="203"/>
      <c r="AI214" s="203"/>
      <c r="AJ214" s="203"/>
      <c r="AK214" s="203"/>
      <c r="AL214" s="203"/>
      <c r="AM214" s="203"/>
      <c r="AN214" s="203"/>
      <c r="AO214" s="203"/>
      <c r="AP214" s="203"/>
      <c r="AQ214" s="203"/>
      <c r="AR214" s="203"/>
      <c r="AS214" s="203"/>
      <c r="AT214" s="203"/>
      <c r="AU214" s="203"/>
      <c r="AV214" s="203"/>
      <c r="AW214" s="203"/>
      <c r="AX214" s="203"/>
      <c r="AY214" s="203"/>
      <c r="AZ214" s="203"/>
      <c r="BA214" s="203"/>
      <c r="BB214" s="203"/>
      <c r="BC214" s="203"/>
    </row>
    <row r="215" spans="4:55" s="155" customFormat="1" ht="11.25" x14ac:dyDescent="0.2">
      <c r="D215" s="203"/>
      <c r="E215" s="203"/>
      <c r="F215" s="203"/>
      <c r="G215" s="203"/>
      <c r="H215" s="203"/>
      <c r="I215" s="203"/>
      <c r="J215" s="203"/>
      <c r="K215" s="203"/>
      <c r="L215" s="203"/>
      <c r="M215" s="203"/>
      <c r="N215" s="203"/>
      <c r="O215" s="203"/>
      <c r="P215" s="203"/>
      <c r="Q215" s="203"/>
      <c r="R215" s="203"/>
      <c r="S215" s="203"/>
      <c r="T215" s="203"/>
      <c r="U215" s="203"/>
      <c r="V215" s="203"/>
      <c r="W215" s="203"/>
      <c r="X215" s="203"/>
      <c r="Y215" s="203"/>
      <c r="Z215" s="203"/>
      <c r="AA215" s="203"/>
      <c r="AB215" s="203"/>
      <c r="AC215" s="203"/>
      <c r="AD215" s="203"/>
      <c r="AE215" s="203"/>
      <c r="AF215" s="203"/>
      <c r="AG215" s="203"/>
      <c r="AH215" s="203"/>
      <c r="AI215" s="203"/>
      <c r="AJ215" s="203"/>
      <c r="AK215" s="203"/>
      <c r="AL215" s="203"/>
      <c r="AM215" s="203"/>
      <c r="AN215" s="203"/>
      <c r="AO215" s="203"/>
      <c r="AP215" s="203"/>
      <c r="AQ215" s="203"/>
      <c r="AR215" s="203"/>
      <c r="AS215" s="203"/>
      <c r="AT215" s="203"/>
      <c r="AU215" s="203"/>
      <c r="AV215" s="203"/>
      <c r="AW215" s="203"/>
      <c r="AX215" s="203"/>
      <c r="AY215" s="203"/>
      <c r="AZ215" s="203"/>
      <c r="BA215" s="203"/>
      <c r="BB215" s="203"/>
      <c r="BC215" s="203"/>
    </row>
    <row r="216" spans="4:55" s="155" customFormat="1" ht="11.25" x14ac:dyDescent="0.2">
      <c r="D216" s="203"/>
      <c r="E216" s="203"/>
      <c r="F216" s="203"/>
      <c r="G216" s="203"/>
      <c r="H216" s="203"/>
      <c r="I216" s="203"/>
      <c r="J216" s="203"/>
      <c r="K216" s="203"/>
      <c r="L216" s="203"/>
      <c r="M216" s="203"/>
      <c r="N216" s="203"/>
      <c r="O216" s="203"/>
      <c r="P216" s="203"/>
      <c r="Q216" s="203"/>
      <c r="R216" s="203"/>
      <c r="S216" s="203"/>
      <c r="T216" s="203"/>
      <c r="U216" s="203"/>
      <c r="V216" s="203"/>
      <c r="W216" s="203"/>
      <c r="X216" s="203"/>
      <c r="Y216" s="203"/>
      <c r="Z216" s="203"/>
      <c r="AA216" s="203"/>
      <c r="AB216" s="203"/>
      <c r="AC216" s="203"/>
      <c r="AD216" s="203"/>
      <c r="AE216" s="203"/>
      <c r="AF216" s="203"/>
      <c r="AG216" s="203"/>
      <c r="AH216" s="203"/>
      <c r="AI216" s="203"/>
      <c r="AJ216" s="203"/>
      <c r="AK216" s="203"/>
      <c r="AL216" s="203"/>
      <c r="AM216" s="203"/>
      <c r="AN216" s="203"/>
      <c r="AO216" s="203"/>
      <c r="AP216" s="203"/>
      <c r="AQ216" s="203"/>
      <c r="AR216" s="203"/>
      <c r="AS216" s="203"/>
      <c r="AT216" s="203"/>
      <c r="AU216" s="203"/>
      <c r="AV216" s="203"/>
      <c r="AW216" s="203"/>
      <c r="AX216" s="203"/>
      <c r="AY216" s="203"/>
      <c r="AZ216" s="203"/>
      <c r="BA216" s="203"/>
      <c r="BB216" s="203"/>
      <c r="BC216" s="203"/>
    </row>
    <row r="217" spans="4:55" s="155" customFormat="1" ht="11.25" x14ac:dyDescent="0.2">
      <c r="D217" s="203"/>
      <c r="E217" s="203"/>
      <c r="F217" s="203"/>
      <c r="G217" s="203"/>
      <c r="H217" s="203"/>
      <c r="I217" s="203"/>
      <c r="J217" s="203"/>
      <c r="K217" s="203"/>
      <c r="L217" s="203"/>
      <c r="M217" s="203"/>
      <c r="N217" s="203"/>
      <c r="O217" s="203"/>
      <c r="P217" s="203"/>
      <c r="Q217" s="203"/>
      <c r="R217" s="203"/>
      <c r="S217" s="203"/>
      <c r="T217" s="203"/>
      <c r="U217" s="203"/>
      <c r="V217" s="203"/>
      <c r="W217" s="203"/>
      <c r="X217" s="203"/>
      <c r="Y217" s="203"/>
      <c r="Z217" s="203"/>
      <c r="AA217" s="203"/>
      <c r="AB217" s="203"/>
      <c r="AC217" s="203"/>
      <c r="AD217" s="203"/>
      <c r="AE217" s="203"/>
      <c r="AF217" s="203"/>
      <c r="AG217" s="203"/>
      <c r="AH217" s="203"/>
      <c r="AI217" s="203"/>
      <c r="AJ217" s="203"/>
      <c r="AK217" s="203"/>
      <c r="AL217" s="203"/>
      <c r="AM217" s="203"/>
      <c r="AN217" s="203"/>
      <c r="AO217" s="203"/>
      <c r="AP217" s="203"/>
      <c r="AQ217" s="203"/>
      <c r="AR217" s="203"/>
      <c r="AS217" s="203"/>
      <c r="AT217" s="203"/>
      <c r="AU217" s="203"/>
      <c r="AV217" s="203"/>
      <c r="AW217" s="203"/>
      <c r="AX217" s="203"/>
      <c r="AY217" s="203"/>
      <c r="AZ217" s="203"/>
      <c r="BA217" s="203"/>
      <c r="BB217" s="203"/>
      <c r="BC217" s="203"/>
    </row>
    <row r="218" spans="4:55" s="155" customFormat="1" ht="11.25" x14ac:dyDescent="0.2">
      <c r="D218" s="203"/>
      <c r="E218" s="203"/>
      <c r="F218" s="203"/>
      <c r="G218" s="203"/>
      <c r="H218" s="203"/>
      <c r="I218" s="203"/>
      <c r="J218" s="203"/>
      <c r="K218" s="203"/>
      <c r="L218" s="203"/>
      <c r="M218" s="203"/>
      <c r="N218" s="203"/>
      <c r="O218" s="203"/>
      <c r="P218" s="203"/>
      <c r="Q218" s="203"/>
      <c r="R218" s="203"/>
      <c r="S218" s="203"/>
      <c r="T218" s="203"/>
      <c r="U218" s="203"/>
      <c r="V218" s="203"/>
      <c r="W218" s="203"/>
      <c r="X218" s="203"/>
      <c r="Y218" s="203"/>
      <c r="Z218" s="203"/>
      <c r="AA218" s="203"/>
      <c r="AB218" s="203"/>
      <c r="AC218" s="203"/>
      <c r="AD218" s="203"/>
      <c r="AE218" s="203"/>
      <c r="AF218" s="203"/>
      <c r="AG218" s="203"/>
      <c r="AH218" s="203"/>
      <c r="AI218" s="203"/>
      <c r="AJ218" s="203"/>
      <c r="AK218" s="203"/>
      <c r="AL218" s="203"/>
      <c r="AM218" s="203"/>
      <c r="AN218" s="203"/>
      <c r="AO218" s="203"/>
      <c r="AP218" s="203"/>
      <c r="AQ218" s="203"/>
      <c r="AR218" s="203"/>
      <c r="AS218" s="203"/>
      <c r="AT218" s="203"/>
      <c r="AU218" s="203"/>
      <c r="AV218" s="203"/>
      <c r="AW218" s="203"/>
      <c r="AX218" s="203"/>
      <c r="AY218" s="203"/>
      <c r="AZ218" s="203"/>
      <c r="BA218" s="203"/>
      <c r="BB218" s="203"/>
      <c r="BC218" s="203"/>
    </row>
    <row r="219" spans="4:55" s="155" customFormat="1" ht="11.25" x14ac:dyDescent="0.2">
      <c r="D219" s="203"/>
      <c r="E219" s="203"/>
      <c r="F219" s="203"/>
      <c r="G219" s="203"/>
      <c r="H219" s="203"/>
      <c r="I219" s="203"/>
      <c r="J219" s="203"/>
      <c r="K219" s="203"/>
      <c r="L219" s="203"/>
      <c r="M219" s="203"/>
      <c r="N219" s="203"/>
      <c r="O219" s="203"/>
      <c r="P219" s="203"/>
      <c r="Q219" s="203"/>
      <c r="R219" s="203"/>
      <c r="S219" s="203"/>
      <c r="T219" s="203"/>
      <c r="U219" s="203"/>
      <c r="V219" s="203"/>
      <c r="W219" s="203"/>
      <c r="X219" s="203"/>
      <c r="Y219" s="203"/>
      <c r="Z219" s="203"/>
      <c r="AA219" s="203"/>
      <c r="AB219" s="203"/>
      <c r="AC219" s="203"/>
      <c r="AD219" s="203"/>
      <c r="AE219" s="203"/>
      <c r="AF219" s="203"/>
      <c r="AG219" s="203"/>
      <c r="AH219" s="203"/>
      <c r="AI219" s="203"/>
      <c r="AJ219" s="203"/>
      <c r="AK219" s="203"/>
      <c r="AL219" s="203"/>
      <c r="AM219" s="203"/>
      <c r="AN219" s="203"/>
      <c r="AO219" s="203"/>
      <c r="AP219" s="203"/>
      <c r="AQ219" s="203"/>
      <c r="AR219" s="203"/>
      <c r="AS219" s="203"/>
      <c r="AT219" s="203"/>
      <c r="AU219" s="203"/>
      <c r="AV219" s="203"/>
      <c r="AW219" s="203"/>
      <c r="AX219" s="203"/>
      <c r="AY219" s="203"/>
      <c r="AZ219" s="203"/>
      <c r="BA219" s="203"/>
      <c r="BB219" s="203"/>
      <c r="BC219" s="203"/>
    </row>
    <row r="220" spans="4:55" s="155" customFormat="1" ht="11.25" x14ac:dyDescent="0.2">
      <c r="D220" s="203"/>
      <c r="E220" s="203"/>
      <c r="F220" s="203"/>
      <c r="G220" s="203"/>
      <c r="H220" s="203"/>
      <c r="I220" s="203"/>
      <c r="J220" s="203"/>
      <c r="K220" s="203"/>
      <c r="L220" s="203"/>
      <c r="M220" s="203"/>
      <c r="N220" s="203"/>
      <c r="O220" s="203"/>
      <c r="P220" s="203"/>
      <c r="Q220" s="203"/>
      <c r="R220" s="203"/>
      <c r="S220" s="203"/>
      <c r="T220" s="203"/>
      <c r="U220" s="203"/>
      <c r="V220" s="203"/>
      <c r="W220" s="203"/>
      <c r="X220" s="203"/>
      <c r="Y220" s="203"/>
      <c r="Z220" s="203"/>
      <c r="AA220" s="203"/>
      <c r="AB220" s="203"/>
      <c r="AC220" s="203"/>
      <c r="AD220" s="203"/>
      <c r="AE220" s="203"/>
      <c r="AF220" s="203"/>
      <c r="AG220" s="203"/>
      <c r="AH220" s="203"/>
      <c r="AI220" s="203"/>
      <c r="AJ220" s="203"/>
      <c r="AK220" s="203"/>
      <c r="AL220" s="203"/>
      <c r="AM220" s="203"/>
      <c r="AN220" s="203"/>
      <c r="AO220" s="203"/>
      <c r="AP220" s="203"/>
      <c r="AQ220" s="203"/>
      <c r="AR220" s="203"/>
      <c r="AS220" s="203"/>
      <c r="AT220" s="203"/>
      <c r="AU220" s="203"/>
      <c r="AV220" s="203"/>
      <c r="AW220" s="203"/>
      <c r="AX220" s="203"/>
      <c r="AY220" s="203"/>
      <c r="AZ220" s="203"/>
      <c r="BA220" s="203"/>
      <c r="BB220" s="203"/>
      <c r="BC220" s="203"/>
    </row>
    <row r="221" spans="4:55" s="155" customFormat="1" ht="11.25" x14ac:dyDescent="0.2">
      <c r="D221" s="203"/>
      <c r="E221" s="203"/>
      <c r="F221" s="203"/>
      <c r="G221" s="203"/>
      <c r="H221" s="203"/>
      <c r="I221" s="203"/>
      <c r="J221" s="203"/>
      <c r="K221" s="203"/>
      <c r="L221" s="203"/>
      <c r="M221" s="203"/>
      <c r="N221" s="203"/>
      <c r="O221" s="203"/>
      <c r="P221" s="203"/>
      <c r="Q221" s="203"/>
      <c r="R221" s="203"/>
      <c r="S221" s="203"/>
      <c r="T221" s="203"/>
      <c r="U221" s="203"/>
      <c r="V221" s="203"/>
      <c r="W221" s="203"/>
      <c r="X221" s="203"/>
      <c r="Y221" s="203"/>
      <c r="Z221" s="203"/>
      <c r="AA221" s="203"/>
      <c r="AB221" s="203"/>
      <c r="AC221" s="203"/>
      <c r="AD221" s="203"/>
      <c r="AE221" s="203"/>
      <c r="AF221" s="203"/>
      <c r="AG221" s="203"/>
      <c r="AH221" s="203"/>
      <c r="AI221" s="203"/>
      <c r="AJ221" s="203"/>
      <c r="AK221" s="203"/>
      <c r="AL221" s="203"/>
      <c r="AM221" s="203"/>
      <c r="AN221" s="203"/>
      <c r="AO221" s="203"/>
      <c r="AP221" s="203"/>
      <c r="AQ221" s="203"/>
      <c r="AR221" s="203"/>
      <c r="AS221" s="203"/>
      <c r="AT221" s="203"/>
      <c r="AU221" s="203"/>
      <c r="AV221" s="203"/>
      <c r="AW221" s="203"/>
      <c r="AX221" s="203"/>
      <c r="AY221" s="203"/>
      <c r="AZ221" s="203"/>
      <c r="BA221" s="203"/>
      <c r="BB221" s="203"/>
      <c r="BC221" s="203"/>
    </row>
    <row r="222" spans="4:55" s="155" customFormat="1" ht="11.25" x14ac:dyDescent="0.2">
      <c r="D222" s="203"/>
      <c r="E222" s="203"/>
      <c r="F222" s="203"/>
      <c r="G222" s="203"/>
      <c r="H222" s="203"/>
      <c r="I222" s="203"/>
      <c r="J222" s="203"/>
      <c r="K222" s="203"/>
      <c r="L222" s="203"/>
      <c r="M222" s="203"/>
      <c r="N222" s="203"/>
      <c r="O222" s="203"/>
      <c r="P222" s="203"/>
      <c r="Q222" s="203"/>
      <c r="R222" s="203"/>
      <c r="S222" s="203"/>
      <c r="T222" s="203"/>
      <c r="U222" s="203"/>
      <c r="V222" s="203"/>
      <c r="W222" s="203"/>
      <c r="X222" s="203"/>
      <c r="Y222" s="203"/>
      <c r="Z222" s="203"/>
      <c r="AA222" s="203"/>
      <c r="AB222" s="203"/>
      <c r="AC222" s="203"/>
      <c r="AD222" s="203"/>
      <c r="AE222" s="203"/>
      <c r="AF222" s="203"/>
      <c r="AG222" s="203"/>
      <c r="AH222" s="203"/>
      <c r="AI222" s="203"/>
      <c r="AJ222" s="203"/>
      <c r="AK222" s="203"/>
      <c r="AL222" s="203"/>
      <c r="AM222" s="203"/>
      <c r="AN222" s="203"/>
      <c r="AO222" s="203"/>
      <c r="AP222" s="203"/>
      <c r="AQ222" s="203"/>
      <c r="AR222" s="203"/>
      <c r="AS222" s="203"/>
      <c r="AT222" s="203"/>
      <c r="AU222" s="203"/>
      <c r="AV222" s="203"/>
      <c r="AW222" s="203"/>
      <c r="AX222" s="203"/>
      <c r="AY222" s="203"/>
      <c r="AZ222" s="203"/>
      <c r="BA222" s="203"/>
      <c r="BB222" s="203"/>
      <c r="BC222" s="203"/>
    </row>
    <row r="223" spans="4:55" s="155" customFormat="1" ht="11.25" x14ac:dyDescent="0.2">
      <c r="D223" s="203"/>
      <c r="E223" s="203"/>
      <c r="F223" s="203"/>
      <c r="G223" s="203"/>
      <c r="H223" s="203"/>
      <c r="I223" s="203"/>
      <c r="J223" s="203"/>
      <c r="K223" s="203"/>
      <c r="L223" s="203"/>
      <c r="M223" s="203"/>
      <c r="N223" s="203"/>
      <c r="O223" s="203"/>
      <c r="P223" s="203"/>
      <c r="Q223" s="203"/>
      <c r="R223" s="203"/>
      <c r="S223" s="203"/>
      <c r="T223" s="203"/>
      <c r="U223" s="203"/>
      <c r="V223" s="203"/>
      <c r="W223" s="203"/>
      <c r="X223" s="203"/>
      <c r="Y223" s="203"/>
      <c r="Z223" s="203"/>
      <c r="AA223" s="203"/>
      <c r="AB223" s="203"/>
      <c r="AC223" s="203"/>
      <c r="AD223" s="203"/>
      <c r="AE223" s="203"/>
      <c r="AF223" s="203"/>
      <c r="AG223" s="203"/>
      <c r="AH223" s="203"/>
      <c r="AI223" s="203"/>
      <c r="AJ223" s="203"/>
      <c r="AK223" s="203"/>
      <c r="AL223" s="203"/>
      <c r="AM223" s="203"/>
      <c r="AN223" s="203"/>
      <c r="AO223" s="203"/>
      <c r="AP223" s="203"/>
      <c r="AQ223" s="203"/>
      <c r="AR223" s="203"/>
      <c r="AS223" s="203"/>
      <c r="AT223" s="203"/>
      <c r="AU223" s="203"/>
      <c r="AV223" s="203"/>
      <c r="AW223" s="203"/>
      <c r="AX223" s="203"/>
      <c r="AY223" s="203"/>
      <c r="AZ223" s="203"/>
      <c r="BA223" s="203"/>
      <c r="BB223" s="203"/>
      <c r="BC223" s="203"/>
    </row>
    <row r="224" spans="4:55" s="155" customFormat="1" ht="11.25" x14ac:dyDescent="0.2">
      <c r="D224" s="203"/>
      <c r="E224" s="203"/>
      <c r="F224" s="203"/>
      <c r="G224" s="203"/>
      <c r="H224" s="203"/>
      <c r="I224" s="203"/>
      <c r="J224" s="203"/>
      <c r="K224" s="203"/>
      <c r="L224" s="203"/>
      <c r="M224" s="203"/>
      <c r="N224" s="203"/>
      <c r="O224" s="203"/>
      <c r="P224" s="203"/>
      <c r="Q224" s="203"/>
      <c r="R224" s="203"/>
      <c r="S224" s="203"/>
      <c r="T224" s="203"/>
      <c r="U224" s="203"/>
      <c r="V224" s="203"/>
      <c r="W224" s="203"/>
      <c r="X224" s="203"/>
      <c r="Y224" s="203"/>
      <c r="Z224" s="203"/>
      <c r="AA224" s="203"/>
      <c r="AB224" s="203"/>
      <c r="AC224" s="203"/>
      <c r="AD224" s="203"/>
      <c r="AE224" s="203"/>
      <c r="AF224" s="203"/>
      <c r="AG224" s="203"/>
      <c r="AH224" s="203"/>
      <c r="AI224" s="203"/>
      <c r="AJ224" s="203"/>
      <c r="AK224" s="203"/>
      <c r="AL224" s="203"/>
      <c r="AM224" s="203"/>
      <c r="AN224" s="203"/>
      <c r="AO224" s="203"/>
      <c r="AP224" s="203"/>
      <c r="AQ224" s="203"/>
      <c r="AR224" s="203"/>
      <c r="AS224" s="203"/>
      <c r="AT224" s="203"/>
      <c r="AU224" s="203"/>
      <c r="AV224" s="203"/>
      <c r="AW224" s="203"/>
      <c r="AX224" s="203"/>
      <c r="AY224" s="203"/>
      <c r="AZ224" s="203"/>
      <c r="BA224" s="203"/>
      <c r="BB224" s="203"/>
      <c r="BC224" s="203"/>
    </row>
    <row r="225" spans="4:55" s="155" customFormat="1" ht="11.25" x14ac:dyDescent="0.2">
      <c r="D225" s="203"/>
      <c r="E225" s="203"/>
      <c r="F225" s="203"/>
      <c r="G225" s="203"/>
      <c r="H225" s="203"/>
      <c r="I225" s="203"/>
      <c r="J225" s="203"/>
      <c r="K225" s="203"/>
      <c r="L225" s="203"/>
      <c r="M225" s="203"/>
      <c r="N225" s="203"/>
      <c r="O225" s="203"/>
      <c r="P225" s="203"/>
      <c r="Q225" s="203"/>
      <c r="R225" s="203"/>
      <c r="S225" s="203"/>
      <c r="T225" s="203"/>
      <c r="U225" s="203"/>
      <c r="V225" s="203"/>
      <c r="W225" s="203"/>
      <c r="X225" s="203"/>
      <c r="Y225" s="203"/>
      <c r="Z225" s="203"/>
      <c r="AA225" s="203"/>
      <c r="AB225" s="203"/>
      <c r="AC225" s="203"/>
      <c r="AD225" s="203"/>
      <c r="AE225" s="203"/>
      <c r="AF225" s="203"/>
      <c r="AG225" s="203"/>
      <c r="AH225" s="203"/>
      <c r="AI225" s="203"/>
      <c r="AJ225" s="203"/>
      <c r="AK225" s="203"/>
      <c r="AL225" s="203"/>
      <c r="AM225" s="203"/>
      <c r="AN225" s="203"/>
      <c r="AO225" s="203"/>
      <c r="AP225" s="203"/>
      <c r="AQ225" s="203"/>
      <c r="AR225" s="203"/>
      <c r="AS225" s="203"/>
      <c r="AT225" s="203"/>
      <c r="AU225" s="203"/>
      <c r="AV225" s="203"/>
      <c r="AW225" s="203"/>
      <c r="AX225" s="203"/>
      <c r="AY225" s="203"/>
      <c r="AZ225" s="203"/>
      <c r="BA225" s="203"/>
      <c r="BB225" s="203"/>
      <c r="BC225" s="203"/>
    </row>
    <row r="226" spans="4:55" s="155" customFormat="1" ht="11.25" x14ac:dyDescent="0.2">
      <c r="D226" s="203"/>
      <c r="E226" s="203"/>
      <c r="F226" s="203"/>
      <c r="G226" s="203"/>
      <c r="H226" s="203"/>
      <c r="I226" s="203"/>
      <c r="J226" s="203"/>
      <c r="K226" s="203"/>
      <c r="L226" s="203"/>
      <c r="M226" s="203"/>
      <c r="N226" s="203"/>
      <c r="O226" s="203"/>
      <c r="P226" s="203"/>
      <c r="Q226" s="203"/>
      <c r="R226" s="203"/>
      <c r="S226" s="203"/>
      <c r="T226" s="203"/>
      <c r="U226" s="203"/>
      <c r="V226" s="203"/>
      <c r="W226" s="203"/>
      <c r="X226" s="203"/>
      <c r="Y226" s="203"/>
      <c r="Z226" s="203"/>
      <c r="AA226" s="203"/>
      <c r="AB226" s="203"/>
      <c r="AC226" s="203"/>
      <c r="AD226" s="203"/>
      <c r="AE226" s="203"/>
      <c r="AF226" s="203"/>
      <c r="AG226" s="203"/>
      <c r="AH226" s="203"/>
      <c r="AI226" s="203"/>
      <c r="AJ226" s="203"/>
      <c r="AK226" s="203"/>
      <c r="AL226" s="203"/>
      <c r="AM226" s="203"/>
      <c r="AN226" s="203"/>
      <c r="AO226" s="203"/>
      <c r="AP226" s="203"/>
      <c r="AQ226" s="203"/>
      <c r="AR226" s="203"/>
      <c r="AS226" s="203"/>
      <c r="AT226" s="203"/>
      <c r="AU226" s="203"/>
      <c r="AV226" s="203"/>
      <c r="AW226" s="203"/>
      <c r="AX226" s="203"/>
      <c r="AY226" s="203"/>
      <c r="AZ226" s="203"/>
      <c r="BA226" s="203"/>
      <c r="BB226" s="203"/>
      <c r="BC226" s="203"/>
    </row>
    <row r="227" spans="4:55" s="155" customFormat="1" ht="11.25" x14ac:dyDescent="0.2">
      <c r="D227" s="203"/>
      <c r="E227" s="203"/>
      <c r="F227" s="203"/>
      <c r="G227" s="203"/>
      <c r="H227" s="203"/>
      <c r="I227" s="203"/>
      <c r="J227" s="203"/>
      <c r="K227" s="203"/>
      <c r="L227" s="203"/>
      <c r="M227" s="203"/>
      <c r="N227" s="203"/>
      <c r="O227" s="203"/>
      <c r="P227" s="203"/>
      <c r="Q227" s="203"/>
      <c r="R227" s="203"/>
      <c r="S227" s="203"/>
      <c r="T227" s="203"/>
      <c r="U227" s="203"/>
      <c r="V227" s="203"/>
      <c r="W227" s="203"/>
      <c r="X227" s="203"/>
      <c r="Y227" s="203"/>
      <c r="Z227" s="203"/>
      <c r="AA227" s="203"/>
      <c r="AB227" s="203"/>
      <c r="AC227" s="203"/>
      <c r="AD227" s="203"/>
      <c r="AE227" s="203"/>
      <c r="AF227" s="203"/>
      <c r="AG227" s="203"/>
      <c r="AH227" s="203"/>
      <c r="AI227" s="203"/>
      <c r="AJ227" s="203"/>
      <c r="AK227" s="203"/>
      <c r="AL227" s="203"/>
      <c r="AM227" s="203"/>
      <c r="AN227" s="203"/>
      <c r="AO227" s="203"/>
      <c r="AP227" s="203"/>
      <c r="AQ227" s="203"/>
      <c r="AR227" s="203"/>
      <c r="AS227" s="203"/>
      <c r="AT227" s="203"/>
      <c r="AU227" s="203"/>
      <c r="AV227" s="203"/>
      <c r="AW227" s="203"/>
      <c r="AX227" s="203"/>
      <c r="AY227" s="203"/>
      <c r="AZ227" s="203"/>
      <c r="BA227" s="203"/>
      <c r="BB227" s="203"/>
      <c r="BC227" s="203"/>
    </row>
    <row r="228" spans="4:55" s="155" customFormat="1" ht="11.25" x14ac:dyDescent="0.2">
      <c r="D228" s="203"/>
      <c r="E228" s="203"/>
      <c r="F228" s="203"/>
      <c r="G228" s="203"/>
      <c r="H228" s="203"/>
      <c r="I228" s="203"/>
      <c r="J228" s="203"/>
      <c r="K228" s="203"/>
      <c r="L228" s="203"/>
      <c r="M228" s="203"/>
      <c r="N228" s="203"/>
      <c r="O228" s="203"/>
      <c r="P228" s="203"/>
      <c r="Q228" s="203"/>
      <c r="R228" s="203"/>
      <c r="S228" s="203"/>
      <c r="T228" s="203"/>
      <c r="U228" s="203"/>
      <c r="V228" s="203"/>
      <c r="W228" s="203"/>
      <c r="X228" s="203"/>
      <c r="Y228" s="203"/>
      <c r="Z228" s="203"/>
      <c r="AA228" s="203"/>
      <c r="AB228" s="203"/>
      <c r="AC228" s="203"/>
      <c r="AD228" s="203"/>
      <c r="AE228" s="203"/>
      <c r="AF228" s="203"/>
      <c r="AG228" s="203"/>
      <c r="AH228" s="203"/>
      <c r="AI228" s="203"/>
      <c r="AJ228" s="203"/>
      <c r="AK228" s="203"/>
      <c r="AL228" s="203"/>
      <c r="AM228" s="203"/>
      <c r="AN228" s="203"/>
      <c r="AO228" s="203"/>
      <c r="AP228" s="203"/>
      <c r="AQ228" s="203"/>
      <c r="AR228" s="203"/>
      <c r="AS228" s="203"/>
      <c r="AT228" s="203"/>
      <c r="AU228" s="203"/>
      <c r="AV228" s="203"/>
      <c r="AW228" s="203"/>
      <c r="AX228" s="203"/>
      <c r="AY228" s="203"/>
      <c r="AZ228" s="203"/>
      <c r="BA228" s="203"/>
      <c r="BB228" s="203"/>
      <c r="BC228" s="203"/>
    </row>
    <row r="229" spans="4:55" s="155" customFormat="1" ht="11.25" x14ac:dyDescent="0.2">
      <c r="D229" s="203"/>
      <c r="E229" s="203"/>
      <c r="F229" s="203"/>
      <c r="G229" s="203"/>
      <c r="H229" s="203"/>
      <c r="I229" s="203"/>
      <c r="J229" s="203"/>
      <c r="K229" s="203"/>
      <c r="L229" s="203"/>
      <c r="M229" s="203"/>
      <c r="N229" s="203"/>
      <c r="O229" s="203"/>
      <c r="P229" s="203"/>
      <c r="Q229" s="203"/>
      <c r="R229" s="203"/>
      <c r="S229" s="203"/>
      <c r="T229" s="203"/>
      <c r="U229" s="203"/>
      <c r="V229" s="203"/>
      <c r="W229" s="203"/>
      <c r="X229" s="203"/>
      <c r="Y229" s="203"/>
      <c r="Z229" s="203"/>
      <c r="AA229" s="203"/>
      <c r="AB229" s="203"/>
      <c r="AC229" s="203"/>
      <c r="AD229" s="203"/>
      <c r="AE229" s="203"/>
      <c r="AF229" s="203"/>
      <c r="AG229" s="203"/>
      <c r="AH229" s="203"/>
      <c r="AI229" s="203"/>
      <c r="AJ229" s="203"/>
      <c r="AK229" s="203"/>
      <c r="AL229" s="203"/>
      <c r="AM229" s="203"/>
      <c r="AN229" s="203"/>
      <c r="AO229" s="203"/>
      <c r="AP229" s="203"/>
      <c r="AQ229" s="203"/>
      <c r="AR229" s="203"/>
      <c r="AS229" s="203"/>
      <c r="AT229" s="203"/>
      <c r="AU229" s="203"/>
      <c r="AV229" s="203"/>
      <c r="AW229" s="203"/>
      <c r="AX229" s="203"/>
      <c r="AY229" s="203"/>
      <c r="AZ229" s="203"/>
      <c r="BA229" s="203"/>
      <c r="BB229" s="203"/>
      <c r="BC229" s="203"/>
    </row>
    <row r="230" spans="4:55" s="155" customFormat="1" ht="11.25" x14ac:dyDescent="0.2">
      <c r="D230" s="203"/>
      <c r="E230" s="203"/>
      <c r="F230" s="203"/>
      <c r="G230" s="203"/>
      <c r="H230" s="203"/>
      <c r="I230" s="203"/>
      <c r="J230" s="203"/>
      <c r="K230" s="203"/>
      <c r="L230" s="203"/>
      <c r="M230" s="203"/>
      <c r="N230" s="203"/>
      <c r="O230" s="203"/>
      <c r="P230" s="203"/>
      <c r="Q230" s="203"/>
      <c r="R230" s="203"/>
      <c r="S230" s="203"/>
      <c r="T230" s="203"/>
      <c r="U230" s="203"/>
      <c r="V230" s="203"/>
      <c r="W230" s="203"/>
      <c r="X230" s="203"/>
      <c r="Y230" s="203"/>
      <c r="Z230" s="203"/>
      <c r="AA230" s="203"/>
      <c r="AB230" s="203"/>
      <c r="AC230" s="203"/>
      <c r="AD230" s="203"/>
      <c r="AE230" s="203"/>
      <c r="AF230" s="203"/>
      <c r="AG230" s="203"/>
      <c r="AH230" s="203"/>
      <c r="AI230" s="203"/>
      <c r="AJ230" s="203"/>
      <c r="AK230" s="203"/>
      <c r="AL230" s="203"/>
      <c r="AM230" s="203"/>
      <c r="AN230" s="203"/>
      <c r="AO230" s="203"/>
      <c r="AP230" s="203"/>
      <c r="AQ230" s="203"/>
      <c r="AR230" s="203"/>
      <c r="AS230" s="203"/>
      <c r="AT230" s="203"/>
      <c r="AU230" s="203"/>
      <c r="AV230" s="203"/>
      <c r="AW230" s="203"/>
      <c r="AX230" s="203"/>
      <c r="AY230" s="203"/>
      <c r="AZ230" s="203"/>
      <c r="BA230" s="203"/>
      <c r="BB230" s="203"/>
      <c r="BC230" s="203"/>
    </row>
    <row r="231" spans="4:55" s="155" customFormat="1" ht="11.25" x14ac:dyDescent="0.2">
      <c r="D231" s="203"/>
      <c r="E231" s="203"/>
      <c r="F231" s="203"/>
      <c r="G231" s="203"/>
      <c r="H231" s="203"/>
      <c r="I231" s="203"/>
      <c r="J231" s="203"/>
      <c r="K231" s="203"/>
      <c r="L231" s="203"/>
      <c r="M231" s="203"/>
      <c r="N231" s="203"/>
      <c r="O231" s="203"/>
      <c r="P231" s="203"/>
      <c r="Q231" s="203"/>
      <c r="R231" s="203"/>
      <c r="S231" s="203"/>
      <c r="T231" s="203"/>
      <c r="U231" s="203"/>
      <c r="V231" s="203"/>
      <c r="W231" s="203"/>
      <c r="X231" s="203"/>
      <c r="Y231" s="203"/>
      <c r="Z231" s="203"/>
      <c r="AA231" s="203"/>
      <c r="AB231" s="203"/>
      <c r="AC231" s="203"/>
      <c r="AD231" s="203"/>
      <c r="AE231" s="203"/>
      <c r="AF231" s="203"/>
      <c r="AG231" s="203"/>
      <c r="AH231" s="203"/>
      <c r="AI231" s="203"/>
      <c r="AJ231" s="203"/>
      <c r="AK231" s="203"/>
      <c r="AL231" s="203"/>
      <c r="AM231" s="203"/>
      <c r="AN231" s="203"/>
      <c r="AO231" s="203"/>
      <c r="AP231" s="203"/>
      <c r="AQ231" s="203"/>
      <c r="AR231" s="203"/>
      <c r="AS231" s="203"/>
      <c r="AT231" s="203"/>
      <c r="AU231" s="203"/>
      <c r="AV231" s="203"/>
      <c r="AW231" s="203"/>
      <c r="AX231" s="203"/>
      <c r="AY231" s="203"/>
      <c r="AZ231" s="203"/>
      <c r="BA231" s="203"/>
      <c r="BB231" s="203"/>
      <c r="BC231" s="203"/>
    </row>
    <row r="232" spans="4:55" s="155" customFormat="1" ht="11.25" x14ac:dyDescent="0.2">
      <c r="D232" s="203"/>
      <c r="E232" s="203"/>
      <c r="F232" s="203"/>
      <c r="G232" s="203"/>
      <c r="H232" s="203"/>
      <c r="I232" s="203"/>
      <c r="J232" s="203"/>
      <c r="K232" s="203"/>
      <c r="L232" s="203"/>
      <c r="M232" s="203"/>
      <c r="N232" s="203"/>
      <c r="O232" s="203"/>
      <c r="P232" s="203"/>
      <c r="Q232" s="203"/>
      <c r="R232" s="203"/>
      <c r="S232" s="203"/>
      <c r="T232" s="203"/>
      <c r="U232" s="203"/>
      <c r="V232" s="203"/>
      <c r="W232" s="203"/>
      <c r="X232" s="203"/>
      <c r="Y232" s="203"/>
      <c r="Z232" s="203"/>
      <c r="AA232" s="203"/>
      <c r="AB232" s="203"/>
      <c r="AC232" s="203"/>
      <c r="AD232" s="203"/>
      <c r="AE232" s="203"/>
      <c r="AF232" s="203"/>
      <c r="AG232" s="203"/>
      <c r="AH232" s="203"/>
      <c r="AI232" s="203"/>
      <c r="AJ232" s="203"/>
      <c r="AK232" s="203"/>
      <c r="AL232" s="203"/>
      <c r="AM232" s="203"/>
      <c r="AN232" s="203"/>
      <c r="AO232" s="203"/>
      <c r="AP232" s="203"/>
      <c r="AQ232" s="203"/>
      <c r="AR232" s="203"/>
      <c r="AS232" s="203"/>
      <c r="AT232" s="203"/>
      <c r="AU232" s="203"/>
      <c r="AV232" s="203"/>
      <c r="AW232" s="203"/>
      <c r="AX232" s="203"/>
      <c r="AY232" s="203"/>
      <c r="AZ232" s="203"/>
      <c r="BA232" s="203"/>
      <c r="BB232" s="203"/>
      <c r="BC232" s="203"/>
    </row>
    <row r="233" spans="4:55" s="155" customFormat="1" ht="11.25" x14ac:dyDescent="0.2">
      <c r="D233" s="203"/>
      <c r="E233" s="203"/>
      <c r="F233" s="203"/>
      <c r="G233" s="203"/>
      <c r="H233" s="203"/>
      <c r="I233" s="203"/>
      <c r="J233" s="203"/>
      <c r="K233" s="203"/>
      <c r="L233" s="203"/>
      <c r="M233" s="203"/>
      <c r="N233" s="203"/>
      <c r="O233" s="203"/>
      <c r="P233" s="203"/>
      <c r="Q233" s="203"/>
      <c r="R233" s="203"/>
      <c r="S233" s="203"/>
      <c r="T233" s="203"/>
      <c r="U233" s="203"/>
      <c r="V233" s="203"/>
      <c r="W233" s="203"/>
      <c r="X233" s="203"/>
      <c r="Y233" s="203"/>
      <c r="Z233" s="203"/>
      <c r="AA233" s="203"/>
      <c r="AB233" s="203"/>
      <c r="AC233" s="203"/>
      <c r="AD233" s="203"/>
      <c r="AE233" s="203"/>
      <c r="AF233" s="203"/>
      <c r="AG233" s="203"/>
      <c r="AH233" s="203"/>
      <c r="AI233" s="203"/>
      <c r="AJ233" s="203"/>
      <c r="AK233" s="203"/>
      <c r="AL233" s="203"/>
      <c r="AM233" s="203"/>
      <c r="AN233" s="203"/>
      <c r="AO233" s="203"/>
      <c r="AP233" s="203"/>
      <c r="AQ233" s="203"/>
      <c r="AR233" s="203"/>
      <c r="AS233" s="203"/>
      <c r="AT233" s="203"/>
      <c r="AU233" s="203"/>
      <c r="AV233" s="203"/>
      <c r="AW233" s="203"/>
      <c r="AX233" s="203"/>
      <c r="AY233" s="203"/>
      <c r="AZ233" s="203"/>
      <c r="BA233" s="203"/>
      <c r="BB233" s="203"/>
      <c r="BC233" s="203"/>
    </row>
    <row r="234" spans="4:55" s="155" customFormat="1" ht="11.25" x14ac:dyDescent="0.2">
      <c r="D234" s="203"/>
      <c r="E234" s="203"/>
      <c r="F234" s="203"/>
      <c r="G234" s="203"/>
      <c r="H234" s="203"/>
      <c r="I234" s="203"/>
      <c r="J234" s="203"/>
      <c r="K234" s="203"/>
      <c r="L234" s="203"/>
      <c r="M234" s="203"/>
      <c r="N234" s="203"/>
      <c r="O234" s="203"/>
      <c r="P234" s="203"/>
      <c r="Q234" s="203"/>
      <c r="R234" s="203"/>
      <c r="S234" s="203"/>
      <c r="T234" s="203"/>
      <c r="U234" s="203"/>
      <c r="V234" s="203"/>
      <c r="W234" s="203"/>
      <c r="X234" s="203"/>
      <c r="Y234" s="203"/>
      <c r="Z234" s="203"/>
      <c r="AA234" s="203"/>
      <c r="AB234" s="203"/>
      <c r="AC234" s="203"/>
      <c r="AD234" s="203"/>
      <c r="AE234" s="203"/>
      <c r="AF234" s="203"/>
      <c r="AG234" s="203"/>
      <c r="AH234" s="203"/>
      <c r="AI234" s="203"/>
      <c r="AJ234" s="203"/>
      <c r="AK234" s="203"/>
      <c r="AL234" s="203"/>
      <c r="AM234" s="203"/>
      <c r="AN234" s="203"/>
      <c r="AO234" s="203"/>
      <c r="AP234" s="203"/>
      <c r="AQ234" s="203"/>
      <c r="AR234" s="203"/>
      <c r="AS234" s="203"/>
      <c r="AT234" s="203"/>
      <c r="AU234" s="203"/>
      <c r="AV234" s="203"/>
      <c r="AW234" s="203"/>
      <c r="AX234" s="203"/>
      <c r="AY234" s="203"/>
      <c r="AZ234" s="203"/>
      <c r="BA234" s="203"/>
      <c r="BB234" s="203"/>
      <c r="BC234" s="203"/>
    </row>
    <row r="235" spans="4:55" s="155" customFormat="1" ht="11.25" x14ac:dyDescent="0.2">
      <c r="D235" s="203"/>
      <c r="E235" s="203"/>
      <c r="F235" s="203"/>
      <c r="G235" s="203"/>
      <c r="H235" s="203"/>
      <c r="I235" s="203"/>
      <c r="J235" s="203"/>
      <c r="K235" s="203"/>
      <c r="L235" s="203"/>
      <c r="M235" s="203"/>
      <c r="N235" s="203"/>
      <c r="O235" s="203"/>
      <c r="P235" s="203"/>
      <c r="Q235" s="203"/>
      <c r="R235" s="203"/>
      <c r="S235" s="203"/>
      <c r="T235" s="203"/>
      <c r="U235" s="203"/>
      <c r="V235" s="203"/>
      <c r="W235" s="203"/>
      <c r="X235" s="203"/>
      <c r="Y235" s="203"/>
      <c r="Z235" s="203"/>
      <c r="AA235" s="203"/>
      <c r="AB235" s="203"/>
      <c r="AC235" s="203"/>
      <c r="AD235" s="203"/>
      <c r="AE235" s="203"/>
      <c r="AF235" s="203"/>
      <c r="AG235" s="203"/>
      <c r="AH235" s="203"/>
      <c r="AI235" s="203"/>
      <c r="AJ235" s="203"/>
      <c r="AK235" s="203"/>
      <c r="AL235" s="203"/>
      <c r="AM235" s="203"/>
      <c r="AN235" s="203"/>
      <c r="AO235" s="203"/>
      <c r="AP235" s="203"/>
      <c r="AQ235" s="203"/>
      <c r="AR235" s="203"/>
      <c r="AS235" s="203"/>
      <c r="AT235" s="203"/>
      <c r="AU235" s="203"/>
      <c r="AV235" s="203"/>
      <c r="AW235" s="203"/>
      <c r="AX235" s="203"/>
      <c r="AY235" s="203"/>
      <c r="AZ235" s="203"/>
      <c r="BA235" s="203"/>
      <c r="BB235" s="203"/>
      <c r="BC235" s="203"/>
    </row>
    <row r="236" spans="4:55" s="155" customFormat="1" ht="11.25" x14ac:dyDescent="0.2">
      <c r="D236" s="203"/>
      <c r="E236" s="203"/>
      <c r="F236" s="203"/>
      <c r="G236" s="203"/>
      <c r="H236" s="203"/>
      <c r="I236" s="203"/>
      <c r="J236" s="203"/>
      <c r="K236" s="203"/>
      <c r="L236" s="203"/>
      <c r="M236" s="203"/>
      <c r="N236" s="203"/>
      <c r="O236" s="203"/>
      <c r="P236" s="203"/>
      <c r="Q236" s="203"/>
      <c r="R236" s="203"/>
      <c r="S236" s="203"/>
      <c r="T236" s="203"/>
      <c r="U236" s="203"/>
      <c r="V236" s="203"/>
      <c r="W236" s="203"/>
      <c r="X236" s="203"/>
      <c r="Y236" s="203"/>
      <c r="Z236" s="203"/>
      <c r="AA236" s="203"/>
      <c r="AB236" s="203"/>
      <c r="AC236" s="203"/>
      <c r="AD236" s="203"/>
      <c r="AE236" s="203"/>
      <c r="AF236" s="203"/>
      <c r="AG236" s="203"/>
      <c r="AH236" s="203"/>
      <c r="AI236" s="203"/>
      <c r="AJ236" s="203"/>
      <c r="AK236" s="203"/>
      <c r="AL236" s="203"/>
      <c r="AM236" s="203"/>
      <c r="AN236" s="203"/>
      <c r="AO236" s="203"/>
      <c r="AP236" s="203"/>
      <c r="AQ236" s="203"/>
      <c r="AR236" s="203"/>
      <c r="AS236" s="203"/>
      <c r="AT236" s="203"/>
      <c r="AU236" s="203"/>
      <c r="AV236" s="203"/>
      <c r="AW236" s="203"/>
      <c r="AX236" s="203"/>
      <c r="AY236" s="203"/>
      <c r="AZ236" s="203"/>
      <c r="BA236" s="203"/>
      <c r="BB236" s="203"/>
      <c r="BC236" s="203"/>
    </row>
    <row r="237" spans="4:55" s="155" customFormat="1" ht="11.25" x14ac:dyDescent="0.2">
      <c r="D237" s="203"/>
      <c r="E237" s="203"/>
      <c r="F237" s="203"/>
      <c r="G237" s="203"/>
      <c r="H237" s="203"/>
      <c r="I237" s="203"/>
      <c r="J237" s="203"/>
      <c r="K237" s="203"/>
      <c r="L237" s="203"/>
      <c r="M237" s="203"/>
      <c r="N237" s="203"/>
      <c r="O237" s="203"/>
      <c r="P237" s="203"/>
      <c r="Q237" s="203"/>
      <c r="R237" s="203"/>
      <c r="S237" s="203"/>
      <c r="T237" s="203"/>
      <c r="U237" s="203"/>
      <c r="V237" s="203"/>
      <c r="W237" s="203"/>
      <c r="X237" s="203"/>
      <c r="Y237" s="203"/>
      <c r="Z237" s="203"/>
      <c r="AA237" s="203"/>
      <c r="AB237" s="203"/>
      <c r="AC237" s="203"/>
      <c r="AD237" s="203"/>
      <c r="AE237" s="203"/>
      <c r="AF237" s="203"/>
      <c r="AG237" s="203"/>
      <c r="AH237" s="203"/>
      <c r="AI237" s="203"/>
      <c r="AJ237" s="203"/>
      <c r="AK237" s="203"/>
      <c r="AL237" s="203"/>
      <c r="AM237" s="203"/>
      <c r="AN237" s="203"/>
      <c r="AO237" s="203"/>
      <c r="AP237" s="203"/>
      <c r="AQ237" s="203"/>
      <c r="AR237" s="203"/>
      <c r="AS237" s="203"/>
      <c r="AT237" s="203"/>
      <c r="AU237" s="203"/>
      <c r="AV237" s="203"/>
      <c r="AW237" s="203"/>
      <c r="AX237" s="203"/>
      <c r="AY237" s="203"/>
      <c r="AZ237" s="203"/>
      <c r="BA237" s="203"/>
      <c r="BB237" s="203"/>
      <c r="BC237" s="203"/>
    </row>
    <row r="238" spans="4:55" s="155" customFormat="1" ht="11.25" x14ac:dyDescent="0.2">
      <c r="D238" s="203"/>
      <c r="E238" s="203"/>
      <c r="F238" s="203"/>
      <c r="G238" s="203"/>
      <c r="H238" s="203"/>
      <c r="I238" s="203"/>
      <c r="J238" s="203"/>
      <c r="K238" s="203"/>
      <c r="L238" s="203"/>
      <c r="M238" s="203"/>
      <c r="N238" s="203"/>
      <c r="O238" s="203"/>
      <c r="P238" s="203"/>
      <c r="Q238" s="203"/>
      <c r="R238" s="203"/>
      <c r="S238" s="203"/>
      <c r="T238" s="203"/>
      <c r="U238" s="203"/>
      <c r="V238" s="203"/>
      <c r="W238" s="203"/>
      <c r="X238" s="203"/>
      <c r="Y238" s="203"/>
      <c r="Z238" s="203"/>
      <c r="AA238" s="203"/>
      <c r="AB238" s="203"/>
      <c r="AC238" s="203"/>
      <c r="AD238" s="203"/>
      <c r="AE238" s="203"/>
      <c r="AF238" s="203"/>
      <c r="AG238" s="203"/>
      <c r="AH238" s="203"/>
      <c r="AI238" s="203"/>
      <c r="AJ238" s="203"/>
      <c r="AK238" s="203"/>
      <c r="AL238" s="203"/>
      <c r="AM238" s="203"/>
      <c r="AN238" s="203"/>
      <c r="AO238" s="203"/>
      <c r="AP238" s="203"/>
      <c r="AQ238" s="203"/>
      <c r="AR238" s="203"/>
      <c r="AS238" s="203"/>
      <c r="AT238" s="203"/>
      <c r="AU238" s="203"/>
      <c r="AV238" s="203"/>
      <c r="AW238" s="203"/>
      <c r="AX238" s="203"/>
      <c r="AY238" s="203"/>
      <c r="AZ238" s="203"/>
      <c r="BA238" s="203"/>
      <c r="BB238" s="203"/>
      <c r="BC238" s="203"/>
    </row>
    <row r="239" spans="4:55" s="155" customFormat="1" ht="11.25" x14ac:dyDescent="0.2">
      <c r="D239" s="203"/>
      <c r="E239" s="203"/>
      <c r="F239" s="203"/>
      <c r="G239" s="203"/>
      <c r="H239" s="203"/>
      <c r="I239" s="203"/>
      <c r="J239" s="203"/>
      <c r="K239" s="203"/>
      <c r="L239" s="203"/>
      <c r="M239" s="203"/>
      <c r="N239" s="203"/>
      <c r="O239" s="203"/>
      <c r="P239" s="203"/>
      <c r="Q239" s="203"/>
      <c r="R239" s="203"/>
      <c r="S239" s="203"/>
      <c r="T239" s="203"/>
      <c r="U239" s="203"/>
      <c r="V239" s="203"/>
      <c r="W239" s="203"/>
      <c r="X239" s="203"/>
      <c r="Y239" s="203"/>
      <c r="Z239" s="203"/>
      <c r="AA239" s="203"/>
      <c r="AB239" s="203"/>
      <c r="AC239" s="203"/>
      <c r="AD239" s="203"/>
      <c r="AE239" s="203"/>
      <c r="AF239" s="203"/>
      <c r="AG239" s="203"/>
      <c r="AH239" s="203"/>
      <c r="AI239" s="203"/>
      <c r="AJ239" s="203"/>
      <c r="AK239" s="203"/>
      <c r="AL239" s="203"/>
      <c r="AM239" s="203"/>
      <c r="AN239" s="203"/>
      <c r="AO239" s="203"/>
      <c r="AP239" s="203"/>
      <c r="AQ239" s="203"/>
      <c r="AR239" s="203"/>
      <c r="AS239" s="203"/>
      <c r="AT239" s="203"/>
      <c r="AU239" s="203"/>
      <c r="AV239" s="203"/>
      <c r="AW239" s="203"/>
      <c r="AX239" s="203"/>
      <c r="AY239" s="203"/>
      <c r="AZ239" s="203"/>
      <c r="BA239" s="203"/>
      <c r="BB239" s="203"/>
      <c r="BC239" s="203"/>
    </row>
    <row r="240" spans="4:55" s="155" customFormat="1" ht="11.25" x14ac:dyDescent="0.2">
      <c r="D240" s="203"/>
      <c r="E240" s="203"/>
      <c r="F240" s="203"/>
      <c r="G240" s="203"/>
      <c r="H240" s="203"/>
      <c r="I240" s="203"/>
      <c r="J240" s="203"/>
      <c r="K240" s="203"/>
      <c r="L240" s="203"/>
      <c r="M240" s="203"/>
      <c r="N240" s="203"/>
      <c r="O240" s="203"/>
      <c r="P240" s="203"/>
      <c r="Q240" s="203"/>
      <c r="R240" s="203"/>
      <c r="S240" s="203"/>
      <c r="T240" s="203"/>
      <c r="U240" s="203"/>
      <c r="V240" s="203"/>
      <c r="W240" s="203"/>
      <c r="X240" s="203"/>
      <c r="Y240" s="203"/>
      <c r="Z240" s="203"/>
      <c r="AA240" s="203"/>
      <c r="AB240" s="203"/>
      <c r="AC240" s="203"/>
      <c r="AD240" s="203"/>
      <c r="AE240" s="203"/>
      <c r="AF240" s="203"/>
      <c r="AG240" s="203"/>
      <c r="AH240" s="203"/>
      <c r="AI240" s="203"/>
      <c r="AJ240" s="203"/>
      <c r="AK240" s="203"/>
      <c r="AL240" s="203"/>
      <c r="AM240" s="203"/>
      <c r="AN240" s="203"/>
      <c r="AO240" s="203"/>
      <c r="AP240" s="203"/>
      <c r="AQ240" s="203"/>
      <c r="AR240" s="203"/>
      <c r="AS240" s="203"/>
      <c r="AT240" s="203"/>
      <c r="AU240" s="203"/>
      <c r="AV240" s="203"/>
      <c r="AW240" s="203"/>
      <c r="AX240" s="203"/>
      <c r="AY240" s="203"/>
      <c r="AZ240" s="203"/>
      <c r="BA240" s="203"/>
      <c r="BB240" s="203"/>
      <c r="BC240" s="203"/>
    </row>
    <row r="241" spans="4:55" s="155" customFormat="1" ht="11.25" x14ac:dyDescent="0.2">
      <c r="D241" s="203"/>
      <c r="E241" s="203"/>
      <c r="F241" s="203"/>
      <c r="G241" s="203"/>
      <c r="H241" s="203"/>
      <c r="I241" s="203"/>
      <c r="J241" s="203"/>
      <c r="K241" s="203"/>
      <c r="L241" s="203"/>
      <c r="M241" s="203"/>
      <c r="N241" s="203"/>
      <c r="O241" s="203"/>
      <c r="P241" s="203"/>
      <c r="Q241" s="203"/>
      <c r="R241" s="203"/>
      <c r="S241" s="203"/>
      <c r="T241" s="203"/>
      <c r="U241" s="203"/>
      <c r="V241" s="203"/>
      <c r="W241" s="203"/>
      <c r="X241" s="203"/>
      <c r="Y241" s="203"/>
      <c r="Z241" s="203"/>
      <c r="AA241" s="203"/>
      <c r="AB241" s="203"/>
      <c r="AC241" s="203"/>
      <c r="AD241" s="203"/>
      <c r="AE241" s="203"/>
      <c r="AF241" s="203"/>
      <c r="AG241" s="203"/>
      <c r="AH241" s="203"/>
      <c r="AI241" s="203"/>
      <c r="AJ241" s="203"/>
      <c r="AK241" s="203"/>
      <c r="AL241" s="203"/>
      <c r="AM241" s="203"/>
      <c r="AN241" s="203"/>
      <c r="AO241" s="203"/>
      <c r="AP241" s="203"/>
      <c r="AQ241" s="203"/>
      <c r="AR241" s="203"/>
      <c r="AS241" s="203"/>
      <c r="AT241" s="203"/>
      <c r="AU241" s="203"/>
      <c r="AV241" s="203"/>
      <c r="AW241" s="203"/>
      <c r="AX241" s="203"/>
      <c r="AY241" s="203"/>
      <c r="AZ241" s="203"/>
      <c r="BA241" s="203"/>
      <c r="BB241" s="203"/>
      <c r="BC241" s="203"/>
    </row>
    <row r="242" spans="4:55" s="155" customFormat="1" ht="11.25" x14ac:dyDescent="0.2">
      <c r="D242" s="203"/>
      <c r="E242" s="203"/>
      <c r="F242" s="203"/>
      <c r="G242" s="203"/>
      <c r="H242" s="203"/>
      <c r="I242" s="203"/>
      <c r="J242" s="203"/>
      <c r="K242" s="203"/>
      <c r="L242" s="203"/>
      <c r="M242" s="203"/>
      <c r="N242" s="203"/>
      <c r="O242" s="203"/>
      <c r="P242" s="203"/>
      <c r="Q242" s="203"/>
      <c r="R242" s="203"/>
      <c r="S242" s="203"/>
      <c r="T242" s="203"/>
      <c r="U242" s="203"/>
      <c r="V242" s="203"/>
      <c r="W242" s="203"/>
      <c r="X242" s="203"/>
      <c r="Y242" s="203"/>
      <c r="Z242" s="203"/>
      <c r="AA242" s="203"/>
      <c r="AB242" s="203"/>
      <c r="AC242" s="203"/>
      <c r="AD242" s="203"/>
      <c r="AE242" s="203"/>
      <c r="AF242" s="203"/>
      <c r="AG242" s="203"/>
      <c r="AH242" s="203"/>
      <c r="AI242" s="203"/>
      <c r="AJ242" s="203"/>
      <c r="AK242" s="203"/>
      <c r="AL242" s="203"/>
      <c r="AM242" s="203"/>
      <c r="AN242" s="203"/>
      <c r="AO242" s="203"/>
      <c r="AP242" s="203"/>
      <c r="AQ242" s="203"/>
      <c r="AR242" s="203"/>
      <c r="AS242" s="203"/>
      <c r="AT242" s="203"/>
      <c r="AU242" s="203"/>
      <c r="AV242" s="203"/>
      <c r="AW242" s="203"/>
      <c r="AX242" s="203"/>
      <c r="AY242" s="203"/>
      <c r="AZ242" s="203"/>
      <c r="BA242" s="203"/>
      <c r="BB242" s="203"/>
      <c r="BC242" s="203"/>
    </row>
    <row r="243" spans="4:55" s="155" customFormat="1" ht="11.25" x14ac:dyDescent="0.2">
      <c r="D243" s="203"/>
      <c r="E243" s="203"/>
      <c r="F243" s="203"/>
      <c r="G243" s="203"/>
      <c r="H243" s="203"/>
      <c r="I243" s="203"/>
      <c r="J243" s="203"/>
      <c r="K243" s="203"/>
      <c r="L243" s="203"/>
      <c r="M243" s="203"/>
      <c r="N243" s="203"/>
      <c r="O243" s="203"/>
      <c r="P243" s="203"/>
      <c r="Q243" s="203"/>
      <c r="R243" s="203"/>
      <c r="S243" s="203"/>
      <c r="T243" s="203"/>
      <c r="U243" s="203"/>
      <c r="V243" s="203"/>
      <c r="W243" s="203"/>
      <c r="X243" s="203"/>
      <c r="Y243" s="203"/>
      <c r="Z243" s="203"/>
      <c r="AA243" s="203"/>
      <c r="AB243" s="203"/>
      <c r="AC243" s="203"/>
      <c r="AD243" s="203"/>
      <c r="AE243" s="203"/>
      <c r="AF243" s="203"/>
      <c r="AG243" s="203"/>
      <c r="AH243" s="203"/>
      <c r="AI243" s="203"/>
      <c r="AJ243" s="203"/>
      <c r="AK243" s="203"/>
      <c r="AL243" s="203"/>
      <c r="AM243" s="203"/>
      <c r="AN243" s="203"/>
      <c r="AO243" s="203"/>
      <c r="AP243" s="203"/>
      <c r="AQ243" s="203"/>
      <c r="AR243" s="203"/>
      <c r="AS243" s="203"/>
      <c r="AT243" s="203"/>
      <c r="AU243" s="203"/>
      <c r="AV243" s="203"/>
      <c r="AW243" s="203"/>
      <c r="AX243" s="203"/>
      <c r="AY243" s="203"/>
      <c r="AZ243" s="203"/>
      <c r="BA243" s="203"/>
      <c r="BB243" s="203"/>
      <c r="BC243" s="203"/>
    </row>
    <row r="244" spans="4:55" s="155" customFormat="1" ht="11.25" x14ac:dyDescent="0.2">
      <c r="D244" s="203"/>
      <c r="E244" s="203"/>
      <c r="F244" s="203"/>
      <c r="G244" s="203"/>
      <c r="H244" s="203"/>
      <c r="I244" s="203"/>
      <c r="J244" s="203"/>
      <c r="K244" s="203"/>
      <c r="L244" s="203"/>
      <c r="M244" s="203"/>
      <c r="N244" s="203"/>
      <c r="O244" s="203"/>
      <c r="P244" s="203"/>
      <c r="Q244" s="203"/>
      <c r="R244" s="203"/>
      <c r="S244" s="203"/>
      <c r="T244" s="203"/>
      <c r="U244" s="203"/>
      <c r="V244" s="203"/>
      <c r="W244" s="203"/>
      <c r="X244" s="203"/>
      <c r="Y244" s="203"/>
      <c r="Z244" s="203"/>
      <c r="AA244" s="203"/>
      <c r="AB244" s="203"/>
      <c r="AC244" s="203"/>
      <c r="AD244" s="203"/>
      <c r="AE244" s="203"/>
      <c r="AF244" s="203"/>
      <c r="AG244" s="203"/>
      <c r="AH244" s="203"/>
      <c r="AI244" s="203"/>
      <c r="AJ244" s="203"/>
      <c r="AK244" s="203"/>
      <c r="AL244" s="203"/>
      <c r="AM244" s="203"/>
      <c r="AN244" s="203"/>
      <c r="AO244" s="203"/>
      <c r="AP244" s="203"/>
      <c r="AQ244" s="203"/>
      <c r="AR244" s="203"/>
      <c r="AS244" s="203"/>
      <c r="AT244" s="203"/>
      <c r="AU244" s="203"/>
      <c r="AV244" s="203"/>
      <c r="AW244" s="203"/>
      <c r="AX244" s="203"/>
      <c r="AY244" s="203"/>
      <c r="AZ244" s="203"/>
      <c r="BA244" s="203"/>
      <c r="BB244" s="203"/>
      <c r="BC244" s="203"/>
    </row>
    <row r="245" spans="4:55" s="155" customFormat="1" ht="11.25" x14ac:dyDescent="0.2">
      <c r="D245" s="203"/>
      <c r="E245" s="203"/>
      <c r="F245" s="203"/>
      <c r="G245" s="203"/>
      <c r="H245" s="203"/>
      <c r="I245" s="203"/>
      <c r="J245" s="203"/>
      <c r="K245" s="203"/>
      <c r="L245" s="203"/>
      <c r="M245" s="203"/>
      <c r="N245" s="203"/>
      <c r="O245" s="203"/>
      <c r="P245" s="203"/>
      <c r="Q245" s="203"/>
      <c r="R245" s="203"/>
      <c r="S245" s="203"/>
      <c r="T245" s="203"/>
      <c r="U245" s="203"/>
      <c r="V245" s="203"/>
      <c r="W245" s="203"/>
      <c r="X245" s="203"/>
      <c r="Y245" s="203"/>
      <c r="Z245" s="203"/>
      <c r="AA245" s="203"/>
      <c r="AB245" s="203"/>
      <c r="AC245" s="203"/>
      <c r="AD245" s="203"/>
      <c r="AE245" s="203"/>
      <c r="AF245" s="203"/>
      <c r="AG245" s="203"/>
      <c r="AH245" s="203"/>
      <c r="AI245" s="203"/>
      <c r="AJ245" s="203"/>
      <c r="AK245" s="203"/>
      <c r="AL245" s="203"/>
      <c r="AM245" s="203"/>
      <c r="AN245" s="203"/>
      <c r="AO245" s="203"/>
      <c r="AP245" s="203"/>
      <c r="AQ245" s="203"/>
      <c r="AR245" s="203"/>
      <c r="AS245" s="203"/>
      <c r="AT245" s="203"/>
      <c r="AU245" s="203"/>
      <c r="AV245" s="203"/>
      <c r="AW245" s="203"/>
      <c r="AX245" s="203"/>
      <c r="AY245" s="203"/>
      <c r="AZ245" s="203"/>
      <c r="BA245" s="203"/>
      <c r="BB245" s="203"/>
      <c r="BC245" s="203"/>
    </row>
    <row r="246" spans="4:55" s="155" customFormat="1" ht="11.25" x14ac:dyDescent="0.2">
      <c r="D246" s="203"/>
      <c r="E246" s="203"/>
      <c r="F246" s="203"/>
      <c r="G246" s="203"/>
      <c r="H246" s="203"/>
      <c r="I246" s="203"/>
      <c r="J246" s="203"/>
      <c r="K246" s="203"/>
      <c r="L246" s="203"/>
      <c r="M246" s="203"/>
      <c r="N246" s="203"/>
      <c r="O246" s="203"/>
      <c r="P246" s="203"/>
      <c r="Q246" s="203"/>
      <c r="R246" s="203"/>
      <c r="S246" s="203"/>
      <c r="T246" s="203"/>
      <c r="U246" s="203"/>
      <c r="V246" s="203"/>
      <c r="W246" s="203"/>
      <c r="X246" s="203"/>
      <c r="Y246" s="203"/>
      <c r="Z246" s="203"/>
      <c r="AA246" s="203"/>
      <c r="AB246" s="203"/>
      <c r="AC246" s="203"/>
      <c r="AD246" s="203"/>
      <c r="AE246" s="203"/>
      <c r="AF246" s="203"/>
      <c r="AG246" s="203"/>
      <c r="AH246" s="203"/>
      <c r="AI246" s="203"/>
      <c r="AJ246" s="203"/>
      <c r="AK246" s="203"/>
      <c r="AL246" s="203"/>
      <c r="AM246" s="203"/>
      <c r="AN246" s="203"/>
      <c r="AO246" s="203"/>
      <c r="AP246" s="203"/>
      <c r="AQ246" s="203"/>
      <c r="AR246" s="203"/>
      <c r="AS246" s="203"/>
      <c r="AT246" s="203"/>
      <c r="AU246" s="203"/>
      <c r="AV246" s="203"/>
      <c r="AW246" s="203"/>
      <c r="AX246" s="203"/>
      <c r="AY246" s="203"/>
      <c r="AZ246" s="203"/>
      <c r="BA246" s="203"/>
      <c r="BB246" s="203"/>
      <c r="BC246" s="203"/>
    </row>
    <row r="247" spans="4:55" s="155" customFormat="1" ht="11.25" x14ac:dyDescent="0.2">
      <c r="D247" s="203"/>
      <c r="E247" s="203"/>
      <c r="F247" s="203"/>
      <c r="G247" s="203"/>
      <c r="H247" s="203"/>
      <c r="I247" s="203"/>
      <c r="J247" s="203"/>
      <c r="K247" s="203"/>
      <c r="L247" s="203"/>
      <c r="M247" s="203"/>
      <c r="N247" s="203"/>
      <c r="O247" s="203"/>
      <c r="P247" s="203"/>
      <c r="Q247" s="203"/>
      <c r="R247" s="203"/>
      <c r="S247" s="203"/>
      <c r="T247" s="203"/>
      <c r="U247" s="203"/>
      <c r="V247" s="203"/>
      <c r="W247" s="203"/>
      <c r="X247" s="203"/>
      <c r="Y247" s="203"/>
      <c r="Z247" s="203"/>
      <c r="AA247" s="203"/>
      <c r="AB247" s="203"/>
      <c r="AC247" s="203"/>
      <c r="AD247" s="203"/>
      <c r="AE247" s="203"/>
      <c r="AF247" s="203"/>
      <c r="AG247" s="203"/>
      <c r="AH247" s="203"/>
      <c r="AI247" s="203"/>
      <c r="AJ247" s="203"/>
      <c r="AK247" s="203"/>
      <c r="AL247" s="203"/>
      <c r="AM247" s="203"/>
      <c r="AN247" s="203"/>
      <c r="AO247" s="203"/>
      <c r="AP247" s="203"/>
      <c r="AQ247" s="203"/>
      <c r="AR247" s="203"/>
      <c r="AS247" s="203"/>
      <c r="AT247" s="203"/>
      <c r="AU247" s="203"/>
      <c r="AV247" s="203"/>
      <c r="AW247" s="203"/>
      <c r="AX247" s="203"/>
      <c r="AY247" s="203"/>
      <c r="AZ247" s="203"/>
      <c r="BA247" s="203"/>
      <c r="BB247" s="203"/>
      <c r="BC247" s="203"/>
    </row>
    <row r="248" spans="4:55" s="155" customFormat="1" ht="11.25" x14ac:dyDescent="0.2">
      <c r="D248" s="203"/>
      <c r="E248" s="203"/>
      <c r="F248" s="203"/>
      <c r="G248" s="203"/>
      <c r="H248" s="203"/>
      <c r="I248" s="203"/>
      <c r="J248" s="203"/>
      <c r="K248" s="203"/>
      <c r="L248" s="203"/>
      <c r="M248" s="203"/>
      <c r="N248" s="203"/>
      <c r="O248" s="203"/>
      <c r="P248" s="203"/>
      <c r="Q248" s="203"/>
      <c r="R248" s="203"/>
      <c r="S248" s="203"/>
      <c r="T248" s="203"/>
      <c r="U248" s="203"/>
      <c r="V248" s="203"/>
      <c r="W248" s="203"/>
      <c r="X248" s="203"/>
      <c r="Y248" s="203"/>
      <c r="Z248" s="203"/>
      <c r="AA248" s="203"/>
      <c r="AB248" s="203"/>
      <c r="AC248" s="203"/>
      <c r="AD248" s="203"/>
      <c r="AE248" s="203"/>
      <c r="AF248" s="203"/>
      <c r="AG248" s="203"/>
      <c r="AH248" s="203"/>
      <c r="AI248" s="203"/>
      <c r="AJ248" s="203"/>
      <c r="AK248" s="203"/>
      <c r="AL248" s="203"/>
      <c r="AM248" s="203"/>
      <c r="AN248" s="203"/>
      <c r="AO248" s="203"/>
      <c r="AP248" s="203"/>
      <c r="AQ248" s="203"/>
      <c r="AR248" s="203"/>
      <c r="AS248" s="203"/>
      <c r="AT248" s="203"/>
      <c r="AU248" s="203"/>
      <c r="AV248" s="203"/>
      <c r="AW248" s="203"/>
      <c r="AX248" s="203"/>
      <c r="AY248" s="203"/>
      <c r="AZ248" s="203"/>
      <c r="BA248" s="203"/>
      <c r="BB248" s="203"/>
      <c r="BC248" s="203"/>
    </row>
    <row r="249" spans="4:55" s="155" customFormat="1" ht="11.25" x14ac:dyDescent="0.2">
      <c r="D249" s="203"/>
      <c r="E249" s="203"/>
      <c r="F249" s="203"/>
      <c r="G249" s="203"/>
      <c r="H249" s="203"/>
      <c r="I249" s="203"/>
      <c r="J249" s="203"/>
      <c r="K249" s="203"/>
      <c r="L249" s="203"/>
      <c r="M249" s="203"/>
      <c r="N249" s="203"/>
      <c r="O249" s="203"/>
      <c r="P249" s="203"/>
      <c r="Q249" s="203"/>
      <c r="R249" s="203"/>
      <c r="S249" s="203"/>
      <c r="T249" s="203"/>
      <c r="U249" s="203"/>
      <c r="V249" s="203"/>
      <c r="W249" s="203"/>
      <c r="X249" s="203"/>
      <c r="Y249" s="203"/>
      <c r="Z249" s="203"/>
      <c r="AA249" s="203"/>
      <c r="AB249" s="203"/>
      <c r="AC249" s="203"/>
      <c r="AD249" s="203"/>
      <c r="AE249" s="203"/>
      <c r="AF249" s="203"/>
      <c r="AG249" s="203"/>
      <c r="AH249" s="203"/>
      <c r="AI249" s="203"/>
      <c r="AJ249" s="203"/>
      <c r="AK249" s="203"/>
      <c r="AL249" s="203"/>
      <c r="AM249" s="203"/>
      <c r="AN249" s="203"/>
      <c r="AO249" s="203"/>
      <c r="AP249" s="203"/>
      <c r="AQ249" s="203"/>
      <c r="AR249" s="203"/>
      <c r="AS249" s="203"/>
      <c r="AT249" s="203"/>
      <c r="AU249" s="203"/>
      <c r="AV249" s="203"/>
      <c r="AW249" s="203"/>
      <c r="AX249" s="203"/>
      <c r="AY249" s="203"/>
      <c r="AZ249" s="203"/>
      <c r="BA249" s="203"/>
      <c r="BB249" s="203"/>
      <c r="BC249" s="203"/>
    </row>
    <row r="250" spans="4:55" s="155" customFormat="1" ht="11.25" x14ac:dyDescent="0.2">
      <c r="D250" s="203"/>
      <c r="E250" s="203"/>
      <c r="F250" s="203"/>
      <c r="G250" s="203"/>
      <c r="H250" s="203"/>
      <c r="I250" s="203"/>
      <c r="J250" s="203"/>
      <c r="K250" s="203"/>
      <c r="L250" s="203"/>
      <c r="M250" s="203"/>
      <c r="N250" s="203"/>
      <c r="O250" s="203"/>
      <c r="P250" s="203"/>
      <c r="Q250" s="203"/>
      <c r="R250" s="203"/>
      <c r="S250" s="203"/>
      <c r="T250" s="203"/>
      <c r="U250" s="203"/>
      <c r="V250" s="203"/>
      <c r="W250" s="203"/>
      <c r="X250" s="203"/>
      <c r="Y250" s="203"/>
      <c r="Z250" s="203"/>
      <c r="AA250" s="203"/>
      <c r="AB250" s="203"/>
      <c r="AC250" s="203"/>
      <c r="AD250" s="203"/>
      <c r="AE250" s="203"/>
      <c r="AF250" s="203"/>
      <c r="AG250" s="203"/>
      <c r="AH250" s="203"/>
      <c r="AI250" s="203"/>
      <c r="AJ250" s="203"/>
      <c r="AK250" s="203"/>
      <c r="AL250" s="203"/>
      <c r="AM250" s="203"/>
      <c r="AN250" s="203"/>
      <c r="AO250" s="203"/>
      <c r="AP250" s="203"/>
      <c r="AQ250" s="203"/>
      <c r="AR250" s="203"/>
      <c r="AS250" s="203"/>
      <c r="AT250" s="203"/>
      <c r="AU250" s="203"/>
      <c r="AV250" s="203"/>
      <c r="AW250" s="203"/>
      <c r="AX250" s="203"/>
      <c r="AY250" s="203"/>
      <c r="AZ250" s="203"/>
      <c r="BA250" s="203"/>
      <c r="BB250" s="203"/>
      <c r="BC250" s="203"/>
    </row>
    <row r="251" spans="4:55" s="155" customFormat="1" ht="11.25" x14ac:dyDescent="0.2">
      <c r="D251" s="203"/>
      <c r="E251" s="203"/>
      <c r="F251" s="203"/>
      <c r="G251" s="203"/>
      <c r="H251" s="203"/>
      <c r="I251" s="203"/>
      <c r="J251" s="203"/>
      <c r="K251" s="203"/>
      <c r="L251" s="203"/>
      <c r="M251" s="203"/>
      <c r="N251" s="203"/>
      <c r="O251" s="203"/>
      <c r="P251" s="203"/>
      <c r="Q251" s="203"/>
      <c r="R251" s="203"/>
      <c r="S251" s="203"/>
      <c r="T251" s="203"/>
      <c r="U251" s="203"/>
      <c r="V251" s="203"/>
      <c r="W251" s="203"/>
      <c r="X251" s="203"/>
      <c r="Y251" s="203"/>
      <c r="Z251" s="203"/>
      <c r="AA251" s="203"/>
      <c r="AB251" s="203"/>
      <c r="AC251" s="203"/>
      <c r="AD251" s="203"/>
      <c r="AE251" s="203"/>
      <c r="AF251" s="203"/>
      <c r="AG251" s="203"/>
      <c r="AH251" s="203"/>
      <c r="AI251" s="203"/>
      <c r="AJ251" s="203"/>
      <c r="AK251" s="203"/>
      <c r="AL251" s="203"/>
      <c r="AM251" s="203"/>
      <c r="AN251" s="203"/>
      <c r="AO251" s="203"/>
      <c r="AP251" s="203"/>
      <c r="AQ251" s="203"/>
      <c r="AR251" s="203"/>
      <c r="AS251" s="203"/>
      <c r="AT251" s="203"/>
      <c r="AU251" s="203"/>
      <c r="AV251" s="203"/>
      <c r="AW251" s="203"/>
      <c r="AX251" s="203"/>
      <c r="AY251" s="203"/>
      <c r="AZ251" s="203"/>
      <c r="BA251" s="203"/>
      <c r="BB251" s="203"/>
      <c r="BC251" s="203"/>
    </row>
    <row r="252" spans="4:55" s="155" customFormat="1" ht="11.25" x14ac:dyDescent="0.2">
      <c r="D252" s="203"/>
      <c r="E252" s="203"/>
      <c r="F252" s="203"/>
      <c r="G252" s="203"/>
      <c r="H252" s="203"/>
      <c r="I252" s="203"/>
      <c r="J252" s="203"/>
      <c r="K252" s="203"/>
      <c r="L252" s="203"/>
      <c r="M252" s="203"/>
      <c r="N252" s="203"/>
      <c r="O252" s="203"/>
      <c r="P252" s="203"/>
      <c r="Q252" s="203"/>
      <c r="R252" s="203"/>
      <c r="S252" s="203"/>
      <c r="T252" s="203"/>
      <c r="U252" s="203"/>
      <c r="V252" s="203"/>
      <c r="W252" s="203"/>
      <c r="X252" s="203"/>
      <c r="Y252" s="203"/>
      <c r="Z252" s="203"/>
      <c r="AA252" s="203"/>
      <c r="AB252" s="203"/>
      <c r="AC252" s="203"/>
      <c r="AD252" s="203"/>
      <c r="AE252" s="203"/>
      <c r="AF252" s="203"/>
      <c r="AG252" s="203"/>
      <c r="AH252" s="203"/>
      <c r="AI252" s="203"/>
      <c r="AJ252" s="203"/>
      <c r="AK252" s="203"/>
      <c r="AL252" s="203"/>
      <c r="AM252" s="203"/>
      <c r="AN252" s="203"/>
      <c r="AO252" s="203"/>
      <c r="AP252" s="203"/>
      <c r="AQ252" s="203"/>
      <c r="AR252" s="203"/>
      <c r="AS252" s="203"/>
      <c r="AT252" s="203"/>
      <c r="AU252" s="203"/>
      <c r="AV252" s="203"/>
      <c r="AW252" s="203"/>
      <c r="AX252" s="203"/>
      <c r="AY252" s="203"/>
      <c r="AZ252" s="203"/>
      <c r="BA252" s="203"/>
      <c r="BB252" s="203"/>
      <c r="BC252" s="203"/>
    </row>
    <row r="253" spans="4:55" s="155" customFormat="1" ht="11.25" x14ac:dyDescent="0.2">
      <c r="D253" s="203"/>
      <c r="E253" s="203"/>
      <c r="F253" s="203"/>
      <c r="G253" s="203"/>
      <c r="H253" s="203"/>
      <c r="I253" s="203"/>
      <c r="J253" s="203"/>
      <c r="K253" s="203"/>
      <c r="L253" s="203"/>
      <c r="M253" s="203"/>
      <c r="N253" s="203"/>
      <c r="O253" s="203"/>
      <c r="P253" s="203"/>
      <c r="Q253" s="203"/>
      <c r="R253" s="203"/>
      <c r="S253" s="203"/>
      <c r="T253" s="203"/>
      <c r="U253" s="203"/>
      <c r="V253" s="203"/>
      <c r="W253" s="203"/>
      <c r="X253" s="203"/>
      <c r="Y253" s="203"/>
      <c r="Z253" s="203"/>
      <c r="AA253" s="203"/>
      <c r="AB253" s="203"/>
      <c r="AC253" s="203"/>
      <c r="AD253" s="203"/>
      <c r="AE253" s="203"/>
      <c r="AF253" s="203"/>
      <c r="AG253" s="203"/>
      <c r="AH253" s="203"/>
      <c r="AI253" s="203"/>
      <c r="AJ253" s="203"/>
      <c r="AK253" s="203"/>
      <c r="AL253" s="203"/>
      <c r="AM253" s="203"/>
      <c r="AN253" s="203"/>
      <c r="AO253" s="203"/>
      <c r="AP253" s="203"/>
      <c r="AQ253" s="203"/>
      <c r="AR253" s="203"/>
      <c r="AS253" s="203"/>
      <c r="AT253" s="203"/>
      <c r="AU253" s="203"/>
      <c r="AV253" s="203"/>
      <c r="AW253" s="203"/>
      <c r="AX253" s="203"/>
      <c r="AY253" s="203"/>
      <c r="AZ253" s="203"/>
      <c r="BA253" s="203"/>
      <c r="BB253" s="203"/>
      <c r="BC253" s="203"/>
    </row>
    <row r="254" spans="4:55" s="155" customFormat="1" ht="11.25" x14ac:dyDescent="0.2">
      <c r="D254" s="203"/>
      <c r="E254" s="203"/>
      <c r="F254" s="203"/>
      <c r="G254" s="203"/>
      <c r="H254" s="203"/>
      <c r="I254" s="203"/>
      <c r="J254" s="203"/>
      <c r="K254" s="203"/>
      <c r="L254" s="203"/>
      <c r="M254" s="203"/>
      <c r="N254" s="203"/>
      <c r="O254" s="203"/>
      <c r="P254" s="203"/>
      <c r="Q254" s="203"/>
      <c r="R254" s="203"/>
      <c r="S254" s="203"/>
      <c r="T254" s="203"/>
      <c r="U254" s="203"/>
      <c r="V254" s="203"/>
      <c r="W254" s="203"/>
      <c r="X254" s="203"/>
      <c r="Y254" s="203"/>
      <c r="Z254" s="203"/>
      <c r="AA254" s="203"/>
      <c r="AB254" s="203"/>
      <c r="AC254" s="203"/>
      <c r="AD254" s="203"/>
      <c r="AE254" s="203"/>
      <c r="AF254" s="203"/>
      <c r="AG254" s="203"/>
      <c r="AH254" s="203"/>
      <c r="AI254" s="203"/>
      <c r="AJ254" s="203"/>
      <c r="AK254" s="203"/>
      <c r="AL254" s="203"/>
      <c r="AM254" s="203"/>
      <c r="AN254" s="203"/>
      <c r="AO254" s="203"/>
      <c r="AP254" s="203"/>
      <c r="AQ254" s="203"/>
      <c r="AR254" s="203"/>
      <c r="AS254" s="203"/>
      <c r="AT254" s="203"/>
      <c r="AU254" s="203"/>
      <c r="AV254" s="203"/>
      <c r="AW254" s="203"/>
      <c r="AX254" s="203"/>
      <c r="AY254" s="203"/>
      <c r="AZ254" s="203"/>
      <c r="BA254" s="203"/>
      <c r="BB254" s="203"/>
      <c r="BC254" s="203"/>
    </row>
    <row r="255" spans="4:55" s="155" customFormat="1" ht="11.25" x14ac:dyDescent="0.2">
      <c r="D255" s="203"/>
      <c r="E255" s="203"/>
      <c r="F255" s="203"/>
      <c r="G255" s="203"/>
      <c r="H255" s="203"/>
      <c r="I255" s="203"/>
      <c r="J255" s="203"/>
      <c r="K255" s="203"/>
      <c r="L255" s="203"/>
      <c r="M255" s="203"/>
      <c r="N255" s="203"/>
      <c r="O255" s="203"/>
      <c r="P255" s="203"/>
      <c r="Q255" s="203"/>
      <c r="R255" s="203"/>
      <c r="S255" s="203"/>
      <c r="T255" s="203"/>
      <c r="U255" s="203"/>
      <c r="V255" s="203"/>
      <c r="W255" s="203"/>
      <c r="X255" s="203"/>
      <c r="Y255" s="203"/>
      <c r="Z255" s="203"/>
      <c r="AA255" s="203"/>
      <c r="AB255" s="203"/>
      <c r="AC255" s="203"/>
      <c r="AD255" s="203"/>
      <c r="AE255" s="203"/>
      <c r="AF255" s="203"/>
      <c r="AG255" s="203"/>
      <c r="AH255" s="203"/>
      <c r="AI255" s="203"/>
      <c r="AJ255" s="203"/>
      <c r="AK255" s="203"/>
      <c r="AL255" s="203"/>
      <c r="AM255" s="203"/>
      <c r="AN255" s="203"/>
      <c r="AO255" s="203"/>
      <c r="AP255" s="203"/>
      <c r="AQ255" s="203"/>
      <c r="AR255" s="203"/>
      <c r="AS255" s="203"/>
      <c r="AT255" s="203"/>
      <c r="AU255" s="203"/>
      <c r="AV255" s="203"/>
      <c r="AW255" s="203"/>
      <c r="AX255" s="203"/>
      <c r="AY255" s="203"/>
      <c r="AZ255" s="203"/>
      <c r="BA255" s="203"/>
      <c r="BB255" s="203"/>
      <c r="BC255" s="203"/>
    </row>
    <row r="256" spans="4:55" s="155" customFormat="1" ht="11.25" x14ac:dyDescent="0.2">
      <c r="D256" s="203"/>
      <c r="E256" s="203"/>
      <c r="F256" s="203"/>
      <c r="G256" s="203"/>
      <c r="H256" s="203"/>
      <c r="I256" s="203"/>
      <c r="J256" s="203"/>
      <c r="K256" s="203"/>
      <c r="L256" s="203"/>
      <c r="M256" s="203"/>
      <c r="N256" s="203"/>
      <c r="O256" s="203"/>
      <c r="P256" s="203"/>
      <c r="Q256" s="203"/>
      <c r="R256" s="203"/>
      <c r="S256" s="203"/>
      <c r="T256" s="203"/>
      <c r="U256" s="203"/>
      <c r="V256" s="203"/>
      <c r="W256" s="203"/>
      <c r="X256" s="203"/>
      <c r="Y256" s="203"/>
      <c r="Z256" s="203"/>
      <c r="AA256" s="203"/>
      <c r="AB256" s="203"/>
      <c r="AC256" s="203"/>
      <c r="AD256" s="203"/>
      <c r="AE256" s="203"/>
      <c r="AF256" s="203"/>
      <c r="AG256" s="203"/>
      <c r="AH256" s="203"/>
      <c r="AI256" s="203"/>
      <c r="AJ256" s="203"/>
      <c r="AK256" s="203"/>
      <c r="AL256" s="203"/>
      <c r="AM256" s="203"/>
      <c r="AN256" s="203"/>
      <c r="AO256" s="203"/>
      <c r="AP256" s="203"/>
      <c r="AQ256" s="203"/>
      <c r="AR256" s="203"/>
      <c r="AS256" s="203"/>
      <c r="AT256" s="203"/>
      <c r="AU256" s="203"/>
      <c r="AV256" s="203"/>
      <c r="AW256" s="203"/>
      <c r="AX256" s="203"/>
      <c r="AY256" s="203"/>
      <c r="AZ256" s="203"/>
      <c r="BA256" s="203"/>
      <c r="BB256" s="203"/>
      <c r="BC256" s="203"/>
    </row>
    <row r="257" spans="4:55" s="155" customFormat="1" ht="11.25" x14ac:dyDescent="0.2">
      <c r="D257" s="203"/>
      <c r="E257" s="203"/>
      <c r="F257" s="203"/>
      <c r="G257" s="203"/>
      <c r="H257" s="203"/>
      <c r="I257" s="203"/>
      <c r="J257" s="203"/>
      <c r="K257" s="203"/>
      <c r="L257" s="203"/>
      <c r="M257" s="203"/>
      <c r="N257" s="203"/>
      <c r="O257" s="203"/>
      <c r="P257" s="203"/>
      <c r="Q257" s="203"/>
      <c r="R257" s="203"/>
      <c r="S257" s="203"/>
      <c r="T257" s="203"/>
      <c r="U257" s="203"/>
      <c r="V257" s="203"/>
      <c r="W257" s="203"/>
      <c r="X257" s="203"/>
      <c r="Y257" s="203"/>
      <c r="Z257" s="203"/>
      <c r="AA257" s="203"/>
      <c r="AB257" s="203"/>
      <c r="AC257" s="203"/>
      <c r="AD257" s="203"/>
      <c r="AE257" s="203"/>
      <c r="AF257" s="203"/>
      <c r="AG257" s="203"/>
      <c r="AH257" s="203"/>
      <c r="AI257" s="203"/>
      <c r="AJ257" s="203"/>
      <c r="AK257" s="203"/>
      <c r="AL257" s="203"/>
      <c r="AM257" s="203"/>
      <c r="AN257" s="203"/>
      <c r="AO257" s="203"/>
      <c r="AP257" s="203"/>
      <c r="AQ257" s="203"/>
      <c r="AR257" s="203"/>
      <c r="AS257" s="203"/>
      <c r="AT257" s="203"/>
      <c r="AU257" s="203"/>
      <c r="AV257" s="203"/>
      <c r="AW257" s="203"/>
      <c r="AX257" s="203"/>
      <c r="AY257" s="203"/>
      <c r="AZ257" s="203"/>
      <c r="BA257" s="203"/>
      <c r="BB257" s="203"/>
      <c r="BC257" s="203"/>
    </row>
    <row r="258" spans="4:55" s="155" customFormat="1" ht="11.25" x14ac:dyDescent="0.2">
      <c r="D258" s="203"/>
      <c r="E258" s="203"/>
      <c r="F258" s="203"/>
      <c r="G258" s="203"/>
      <c r="H258" s="203"/>
      <c r="I258" s="203"/>
      <c r="J258" s="203"/>
      <c r="K258" s="203"/>
      <c r="L258" s="203"/>
      <c r="M258" s="203"/>
      <c r="N258" s="203"/>
      <c r="O258" s="203"/>
      <c r="P258" s="203"/>
      <c r="Q258" s="203"/>
      <c r="R258" s="203"/>
      <c r="S258" s="203"/>
      <c r="T258" s="203"/>
      <c r="U258" s="203"/>
      <c r="V258" s="203"/>
      <c r="W258" s="203"/>
      <c r="X258" s="203"/>
      <c r="Y258" s="203"/>
      <c r="Z258" s="203"/>
      <c r="AA258" s="203"/>
      <c r="AB258" s="203"/>
      <c r="AC258" s="203"/>
      <c r="AD258" s="203"/>
      <c r="AE258" s="203"/>
      <c r="AF258" s="203"/>
      <c r="AG258" s="203"/>
      <c r="AH258" s="203"/>
      <c r="AI258" s="203"/>
      <c r="AJ258" s="203"/>
      <c r="AK258" s="203"/>
      <c r="AL258" s="203"/>
      <c r="AM258" s="203"/>
      <c r="AN258" s="203"/>
      <c r="AO258" s="203"/>
      <c r="AP258" s="203"/>
      <c r="AQ258" s="203"/>
      <c r="AR258" s="203"/>
      <c r="AS258" s="203"/>
      <c r="AT258" s="203"/>
      <c r="AU258" s="203"/>
      <c r="AV258" s="203"/>
      <c r="AW258" s="203"/>
      <c r="AX258" s="203"/>
      <c r="AY258" s="203"/>
      <c r="AZ258" s="203"/>
      <c r="BA258" s="203"/>
      <c r="BB258" s="203"/>
      <c r="BC258" s="203"/>
    </row>
    <row r="259" spans="4:55" s="155" customFormat="1" ht="11.25" x14ac:dyDescent="0.2">
      <c r="D259" s="203"/>
      <c r="E259" s="203"/>
      <c r="F259" s="203"/>
      <c r="G259" s="203"/>
      <c r="H259" s="203"/>
      <c r="I259" s="203"/>
      <c r="J259" s="203"/>
      <c r="K259" s="203"/>
      <c r="L259" s="203"/>
      <c r="M259" s="203"/>
      <c r="N259" s="203"/>
      <c r="O259" s="203"/>
      <c r="P259" s="203"/>
      <c r="Q259" s="203"/>
      <c r="R259" s="203"/>
      <c r="S259" s="203"/>
      <c r="T259" s="203"/>
      <c r="U259" s="203"/>
      <c r="V259" s="203"/>
      <c r="W259" s="203"/>
      <c r="X259" s="203"/>
      <c r="Y259" s="203"/>
      <c r="Z259" s="203"/>
      <c r="AA259" s="203"/>
      <c r="AB259" s="203"/>
      <c r="AC259" s="203"/>
      <c r="AD259" s="203"/>
      <c r="AE259" s="203"/>
      <c r="AF259" s="203"/>
      <c r="AG259" s="203"/>
      <c r="AH259" s="203"/>
      <c r="AI259" s="203"/>
      <c r="AJ259" s="203"/>
      <c r="AK259" s="203"/>
      <c r="AL259" s="203"/>
      <c r="AM259" s="203"/>
      <c r="AN259" s="203"/>
      <c r="AO259" s="203"/>
      <c r="AP259" s="203"/>
      <c r="AQ259" s="203"/>
      <c r="AR259" s="203"/>
      <c r="AS259" s="203"/>
      <c r="AT259" s="203"/>
      <c r="AU259" s="203"/>
      <c r="AV259" s="203"/>
      <c r="AW259" s="203"/>
      <c r="AX259" s="203"/>
      <c r="AY259" s="203"/>
      <c r="AZ259" s="203"/>
      <c r="BA259" s="203"/>
      <c r="BB259" s="203"/>
      <c r="BC259" s="203"/>
    </row>
    <row r="260" spans="4:55" s="155" customFormat="1" ht="11.25" x14ac:dyDescent="0.2">
      <c r="D260" s="203"/>
      <c r="E260" s="203"/>
      <c r="F260" s="203"/>
      <c r="G260" s="203"/>
      <c r="H260" s="203"/>
      <c r="I260" s="203"/>
      <c r="J260" s="203"/>
      <c r="K260" s="203"/>
      <c r="L260" s="203"/>
      <c r="M260" s="203"/>
      <c r="N260" s="203"/>
      <c r="O260" s="203"/>
      <c r="P260" s="203"/>
      <c r="Q260" s="203"/>
      <c r="R260" s="203"/>
      <c r="S260" s="203"/>
      <c r="T260" s="203"/>
      <c r="U260" s="203"/>
      <c r="V260" s="203"/>
      <c r="W260" s="203"/>
      <c r="X260" s="203"/>
      <c r="Y260" s="203"/>
      <c r="Z260" s="203"/>
      <c r="AA260" s="203"/>
      <c r="AB260" s="203"/>
      <c r="AC260" s="203"/>
      <c r="AD260" s="203"/>
      <c r="AE260" s="203"/>
      <c r="AF260" s="203"/>
      <c r="AG260" s="203"/>
      <c r="AH260" s="203"/>
      <c r="AI260" s="203"/>
      <c r="AJ260" s="203"/>
      <c r="AK260" s="203"/>
      <c r="AL260" s="203"/>
      <c r="AM260" s="203"/>
      <c r="AN260" s="203"/>
      <c r="AO260" s="203"/>
      <c r="AP260" s="203"/>
      <c r="AQ260" s="203"/>
      <c r="AR260" s="203"/>
      <c r="AS260" s="203"/>
      <c r="AT260" s="203"/>
      <c r="AU260" s="203"/>
      <c r="AV260" s="203"/>
      <c r="AW260" s="203"/>
      <c r="AX260" s="203"/>
      <c r="AY260" s="203"/>
      <c r="AZ260" s="203"/>
      <c r="BA260" s="203"/>
      <c r="BB260" s="203"/>
      <c r="BC260" s="203"/>
    </row>
    <row r="261" spans="4:55" s="155" customFormat="1" ht="11.25" x14ac:dyDescent="0.2">
      <c r="D261" s="203"/>
      <c r="E261" s="203"/>
      <c r="F261" s="203"/>
      <c r="G261" s="203"/>
      <c r="H261" s="203"/>
      <c r="I261" s="203"/>
      <c r="J261" s="203"/>
      <c r="K261" s="203"/>
      <c r="L261" s="203"/>
      <c r="M261" s="203"/>
      <c r="N261" s="203"/>
      <c r="O261" s="203"/>
      <c r="P261" s="203"/>
      <c r="Q261" s="203"/>
      <c r="R261" s="203"/>
      <c r="S261" s="203"/>
      <c r="T261" s="203"/>
      <c r="U261" s="203"/>
      <c r="V261" s="203"/>
      <c r="W261" s="203"/>
      <c r="X261" s="203"/>
      <c r="Y261" s="203"/>
      <c r="Z261" s="203"/>
      <c r="AA261" s="203"/>
      <c r="AB261" s="203"/>
      <c r="AC261" s="203"/>
      <c r="AD261" s="203"/>
      <c r="AE261" s="203"/>
      <c r="AF261" s="203"/>
      <c r="AG261" s="203"/>
      <c r="AH261" s="203"/>
      <c r="AI261" s="203"/>
      <c r="AJ261" s="203"/>
      <c r="AK261" s="203"/>
      <c r="AL261" s="203"/>
      <c r="AM261" s="203"/>
      <c r="AN261" s="203"/>
      <c r="AO261" s="203"/>
      <c r="AP261" s="203"/>
      <c r="AQ261" s="203"/>
      <c r="AR261" s="203"/>
      <c r="AS261" s="203"/>
      <c r="AT261" s="203"/>
      <c r="AU261" s="203"/>
      <c r="AV261" s="203"/>
      <c r="AW261" s="203"/>
      <c r="AX261" s="203"/>
      <c r="AY261" s="203"/>
      <c r="AZ261" s="203"/>
      <c r="BA261" s="203"/>
      <c r="BB261" s="203"/>
      <c r="BC261" s="203"/>
    </row>
    <row r="262" spans="4:55" s="155" customFormat="1" ht="11.25" x14ac:dyDescent="0.2">
      <c r="D262" s="203"/>
      <c r="E262" s="203"/>
      <c r="F262" s="203"/>
      <c r="G262" s="203"/>
      <c r="H262" s="203"/>
      <c r="I262" s="203"/>
      <c r="J262" s="203"/>
      <c r="K262" s="203"/>
      <c r="L262" s="203"/>
      <c r="M262" s="203"/>
      <c r="N262" s="203"/>
      <c r="O262" s="203"/>
      <c r="P262" s="203"/>
      <c r="Q262" s="203"/>
      <c r="R262" s="203"/>
      <c r="S262" s="203"/>
      <c r="T262" s="203"/>
      <c r="U262" s="203"/>
      <c r="V262" s="203"/>
      <c r="W262" s="203"/>
      <c r="X262" s="203"/>
      <c r="Y262" s="203"/>
      <c r="Z262" s="203"/>
      <c r="AA262" s="203"/>
      <c r="AB262" s="203"/>
      <c r="AC262" s="203"/>
      <c r="AD262" s="203"/>
      <c r="AE262" s="203"/>
      <c r="AF262" s="203"/>
      <c r="AG262" s="203"/>
      <c r="AH262" s="203"/>
      <c r="AI262" s="203"/>
      <c r="AJ262" s="203"/>
      <c r="AK262" s="203"/>
      <c r="AL262" s="203"/>
      <c r="AM262" s="203"/>
      <c r="AN262" s="203"/>
      <c r="AO262" s="203"/>
      <c r="AP262" s="203"/>
      <c r="AQ262" s="203"/>
      <c r="AR262" s="203"/>
      <c r="AS262" s="203"/>
      <c r="AT262" s="203"/>
      <c r="AU262" s="203"/>
      <c r="AV262" s="203"/>
      <c r="AW262" s="203"/>
      <c r="AX262" s="203"/>
      <c r="AY262" s="203"/>
      <c r="AZ262" s="203"/>
      <c r="BA262" s="203"/>
      <c r="BB262" s="203"/>
      <c r="BC262" s="203"/>
    </row>
    <row r="263" spans="4:55" s="155" customFormat="1" ht="11.25" x14ac:dyDescent="0.2">
      <c r="D263" s="203"/>
      <c r="E263" s="203"/>
      <c r="F263" s="203"/>
      <c r="G263" s="203"/>
      <c r="H263" s="203"/>
      <c r="I263" s="203"/>
      <c r="J263" s="203"/>
      <c r="K263" s="203"/>
      <c r="L263" s="203"/>
      <c r="M263" s="203"/>
      <c r="N263" s="203"/>
      <c r="O263" s="203"/>
      <c r="P263" s="203"/>
      <c r="Q263" s="203"/>
      <c r="R263" s="203"/>
      <c r="S263" s="203"/>
      <c r="T263" s="203"/>
      <c r="U263" s="203"/>
      <c r="V263" s="203"/>
      <c r="W263" s="203"/>
      <c r="X263" s="203"/>
      <c r="Y263" s="203"/>
      <c r="Z263" s="203"/>
      <c r="AA263" s="203"/>
      <c r="AB263" s="203"/>
      <c r="AC263" s="203"/>
      <c r="AD263" s="203"/>
      <c r="AE263" s="203"/>
      <c r="AF263" s="203"/>
      <c r="AG263" s="203"/>
      <c r="AH263" s="203"/>
      <c r="AI263" s="203"/>
      <c r="AJ263" s="203"/>
      <c r="AK263" s="203"/>
      <c r="AL263" s="203"/>
      <c r="AM263" s="203"/>
      <c r="AN263" s="203"/>
      <c r="AO263" s="203"/>
      <c r="AP263" s="203"/>
      <c r="AQ263" s="203"/>
      <c r="AR263" s="203"/>
      <c r="AS263" s="203"/>
      <c r="AT263" s="203"/>
      <c r="AU263" s="203"/>
      <c r="AV263" s="203"/>
      <c r="AW263" s="203"/>
      <c r="AX263" s="203"/>
      <c r="AY263" s="203"/>
      <c r="AZ263" s="203"/>
      <c r="BA263" s="203"/>
      <c r="BB263" s="203"/>
      <c r="BC263" s="203"/>
    </row>
    <row r="264" spans="4:55" s="155" customFormat="1" ht="11.25" x14ac:dyDescent="0.2">
      <c r="D264" s="203"/>
      <c r="E264" s="203"/>
      <c r="F264" s="203"/>
      <c r="G264" s="203"/>
      <c r="H264" s="203"/>
      <c r="I264" s="203"/>
      <c r="J264" s="203"/>
      <c r="K264" s="203"/>
      <c r="L264" s="203"/>
      <c r="M264" s="203"/>
      <c r="N264" s="203"/>
      <c r="O264" s="203"/>
      <c r="P264" s="203"/>
      <c r="Q264" s="203"/>
      <c r="R264" s="203"/>
      <c r="S264" s="203"/>
      <c r="T264" s="203"/>
      <c r="U264" s="203"/>
      <c r="V264" s="203"/>
      <c r="W264" s="203"/>
      <c r="X264" s="203"/>
      <c r="Y264" s="203"/>
      <c r="Z264" s="203"/>
      <c r="AA264" s="203"/>
      <c r="AB264" s="203"/>
      <c r="AC264" s="203"/>
      <c r="AD264" s="203"/>
      <c r="AE264" s="203"/>
      <c r="AF264" s="203"/>
      <c r="AG264" s="203"/>
      <c r="AH264" s="203"/>
      <c r="AI264" s="203"/>
      <c r="AJ264" s="203"/>
      <c r="AK264" s="203"/>
      <c r="AL264" s="203"/>
      <c r="AM264" s="203"/>
      <c r="AN264" s="203"/>
      <c r="AO264" s="203"/>
      <c r="AP264" s="203"/>
      <c r="AQ264" s="203"/>
      <c r="AR264" s="203"/>
      <c r="AS264" s="203"/>
      <c r="AT264" s="203"/>
      <c r="AU264" s="203"/>
      <c r="AV264" s="203"/>
      <c r="AW264" s="203"/>
      <c r="AX264" s="203"/>
      <c r="AY264" s="203"/>
      <c r="AZ264" s="203"/>
      <c r="BA264" s="203"/>
      <c r="BB264" s="203"/>
      <c r="BC264" s="203"/>
    </row>
    <row r="265" spans="4:55" s="155" customFormat="1" ht="11.25" x14ac:dyDescent="0.2">
      <c r="D265" s="203"/>
      <c r="E265" s="203"/>
      <c r="F265" s="203"/>
      <c r="G265" s="203"/>
      <c r="H265" s="203"/>
      <c r="I265" s="203"/>
      <c r="J265" s="203"/>
      <c r="K265" s="203"/>
      <c r="L265" s="203"/>
      <c r="M265" s="203"/>
      <c r="N265" s="203"/>
      <c r="O265" s="203"/>
      <c r="P265" s="203"/>
      <c r="Q265" s="203"/>
      <c r="R265" s="203"/>
      <c r="S265" s="203"/>
      <c r="T265" s="203"/>
      <c r="U265" s="203"/>
      <c r="V265" s="203"/>
      <c r="W265" s="203"/>
      <c r="X265" s="203"/>
      <c r="Y265" s="203"/>
      <c r="Z265" s="203"/>
      <c r="AA265" s="203"/>
      <c r="AB265" s="203"/>
      <c r="AC265" s="203"/>
      <c r="AD265" s="203"/>
      <c r="AE265" s="203"/>
      <c r="AF265" s="203"/>
      <c r="AG265" s="203"/>
      <c r="AH265" s="203"/>
      <c r="AI265" s="203"/>
      <c r="AJ265" s="203"/>
      <c r="AK265" s="203"/>
      <c r="AL265" s="203"/>
      <c r="AM265" s="203"/>
      <c r="AN265" s="203"/>
      <c r="AO265" s="203"/>
      <c r="AP265" s="203"/>
      <c r="AQ265" s="203"/>
      <c r="AR265" s="203"/>
      <c r="AS265" s="203"/>
      <c r="AT265" s="203"/>
      <c r="AU265" s="203"/>
      <c r="AV265" s="203"/>
      <c r="AW265" s="203"/>
      <c r="AX265" s="203"/>
      <c r="AY265" s="203"/>
      <c r="AZ265" s="203"/>
      <c r="BA265" s="203"/>
      <c r="BB265" s="203"/>
      <c r="BC265" s="203"/>
    </row>
    <row r="266" spans="4:55" s="155" customFormat="1" ht="11.25" x14ac:dyDescent="0.2">
      <c r="D266" s="203"/>
      <c r="E266" s="203"/>
      <c r="F266" s="203"/>
      <c r="G266" s="203"/>
      <c r="H266" s="203"/>
      <c r="I266" s="203"/>
      <c r="J266" s="203"/>
      <c r="K266" s="203"/>
      <c r="L266" s="203"/>
      <c r="M266" s="203"/>
      <c r="N266" s="203"/>
      <c r="O266" s="203"/>
      <c r="P266" s="203"/>
      <c r="Q266" s="203"/>
      <c r="R266" s="203"/>
      <c r="S266" s="203"/>
      <c r="T266" s="203"/>
      <c r="U266" s="203"/>
      <c r="V266" s="203"/>
      <c r="W266" s="203"/>
      <c r="X266" s="203"/>
      <c r="Y266" s="203"/>
      <c r="Z266" s="203"/>
      <c r="AA266" s="203"/>
      <c r="AB266" s="203"/>
      <c r="AC266" s="203"/>
      <c r="AD266" s="203"/>
      <c r="AE266" s="203"/>
      <c r="AF266" s="203"/>
      <c r="AG266" s="203"/>
      <c r="AH266" s="203"/>
      <c r="AI266" s="203"/>
      <c r="AJ266" s="203"/>
      <c r="AK266" s="203"/>
      <c r="AL266" s="203"/>
      <c r="AM266" s="203"/>
      <c r="AN266" s="203"/>
      <c r="AO266" s="203"/>
      <c r="AP266" s="203"/>
      <c r="AQ266" s="203"/>
      <c r="AR266" s="203"/>
      <c r="AS266" s="203"/>
      <c r="AT266" s="203"/>
      <c r="AU266" s="203"/>
      <c r="AV266" s="203"/>
      <c r="AW266" s="203"/>
      <c r="AX266" s="203"/>
      <c r="AY266" s="203"/>
      <c r="AZ266" s="203"/>
      <c r="BA266" s="203"/>
      <c r="BB266" s="203"/>
      <c r="BC266" s="203"/>
    </row>
    <row r="267" spans="4:55" s="155" customFormat="1" ht="11.25" x14ac:dyDescent="0.2">
      <c r="D267" s="203"/>
      <c r="E267" s="203"/>
      <c r="F267" s="203"/>
      <c r="G267" s="203"/>
      <c r="H267" s="203"/>
      <c r="I267" s="203"/>
      <c r="J267" s="203"/>
      <c r="K267" s="203"/>
      <c r="L267" s="203"/>
      <c r="M267" s="203"/>
      <c r="N267" s="203"/>
      <c r="O267" s="203"/>
      <c r="P267" s="203"/>
      <c r="Q267" s="203"/>
      <c r="R267" s="203"/>
      <c r="S267" s="203"/>
      <c r="T267" s="203"/>
      <c r="U267" s="203"/>
      <c r="V267" s="203"/>
      <c r="W267" s="203"/>
      <c r="X267" s="203"/>
      <c r="Y267" s="203"/>
      <c r="Z267" s="203"/>
      <c r="AA267" s="203"/>
      <c r="AB267" s="203"/>
      <c r="AC267" s="203"/>
      <c r="AD267" s="203"/>
      <c r="AE267" s="203"/>
      <c r="AF267" s="203"/>
      <c r="AG267" s="203"/>
      <c r="AH267" s="203"/>
      <c r="AI267" s="203"/>
      <c r="AJ267" s="203"/>
      <c r="AK267" s="203"/>
      <c r="AL267" s="203"/>
      <c r="AM267" s="203"/>
      <c r="AN267" s="203"/>
      <c r="AO267" s="203"/>
      <c r="AP267" s="203"/>
      <c r="AQ267" s="203"/>
      <c r="AR267" s="203"/>
      <c r="AS267" s="203"/>
      <c r="AT267" s="203"/>
      <c r="AU267" s="203"/>
      <c r="AV267" s="203"/>
      <c r="AW267" s="203"/>
      <c r="AX267" s="203"/>
      <c r="AY267" s="203"/>
      <c r="AZ267" s="203"/>
      <c r="BA267" s="203"/>
      <c r="BB267" s="203"/>
      <c r="BC267" s="203"/>
    </row>
    <row r="268" spans="4:55" s="155" customFormat="1" ht="11.25" x14ac:dyDescent="0.2">
      <c r="D268" s="203"/>
      <c r="E268" s="203"/>
      <c r="F268" s="203"/>
      <c r="G268" s="203"/>
      <c r="H268" s="203"/>
      <c r="I268" s="203"/>
      <c r="J268" s="203"/>
      <c r="K268" s="203"/>
      <c r="L268" s="203"/>
      <c r="M268" s="203"/>
      <c r="N268" s="203"/>
      <c r="O268" s="203"/>
      <c r="P268" s="203"/>
      <c r="Q268" s="203"/>
      <c r="R268" s="203"/>
      <c r="S268" s="203"/>
      <c r="T268" s="203"/>
      <c r="U268" s="203"/>
      <c r="V268" s="203"/>
      <c r="W268" s="203"/>
      <c r="X268" s="203"/>
      <c r="Y268" s="203"/>
      <c r="Z268" s="203"/>
      <c r="AA268" s="203"/>
      <c r="AB268" s="203"/>
      <c r="AC268" s="203"/>
      <c r="AD268" s="203"/>
      <c r="AE268" s="203"/>
      <c r="AF268" s="203"/>
      <c r="AG268" s="203"/>
      <c r="AH268" s="203"/>
      <c r="AI268" s="203"/>
      <c r="AJ268" s="203"/>
      <c r="AK268" s="203"/>
      <c r="AL268" s="203"/>
      <c r="AM268" s="203"/>
      <c r="AN268" s="203"/>
      <c r="AO268" s="203"/>
      <c r="AP268" s="203"/>
      <c r="AQ268" s="203"/>
      <c r="AR268" s="203"/>
      <c r="AS268" s="203"/>
      <c r="AT268" s="203"/>
      <c r="AU268" s="203"/>
      <c r="AV268" s="203"/>
      <c r="AW268" s="203"/>
      <c r="AX268" s="203"/>
      <c r="AY268" s="203"/>
      <c r="AZ268" s="203"/>
      <c r="BA268" s="203"/>
      <c r="BB268" s="203"/>
      <c r="BC268" s="203"/>
    </row>
    <row r="269" spans="4:55" s="155" customFormat="1" ht="11.25" x14ac:dyDescent="0.2">
      <c r="D269" s="203"/>
      <c r="E269" s="203"/>
      <c r="F269" s="203"/>
      <c r="G269" s="203"/>
      <c r="H269" s="203"/>
      <c r="I269" s="203"/>
      <c r="J269" s="203"/>
      <c r="K269" s="203"/>
      <c r="L269" s="203"/>
      <c r="M269" s="203"/>
      <c r="N269" s="203"/>
      <c r="O269" s="203"/>
      <c r="P269" s="203"/>
      <c r="Q269" s="203"/>
      <c r="R269" s="203"/>
      <c r="S269" s="203"/>
      <c r="T269" s="203"/>
      <c r="U269" s="203"/>
      <c r="V269" s="203"/>
      <c r="W269" s="203"/>
      <c r="X269" s="203"/>
      <c r="Y269" s="203"/>
      <c r="Z269" s="203"/>
      <c r="AA269" s="203"/>
      <c r="AB269" s="203"/>
      <c r="AC269" s="203"/>
      <c r="AD269" s="203"/>
      <c r="AE269" s="203"/>
      <c r="AF269" s="203"/>
      <c r="AG269" s="203"/>
      <c r="AH269" s="203"/>
      <c r="AI269" s="203"/>
      <c r="AJ269" s="203"/>
      <c r="AK269" s="203"/>
      <c r="AL269" s="203"/>
      <c r="AM269" s="203"/>
      <c r="AN269" s="203"/>
      <c r="AO269" s="203"/>
      <c r="AP269" s="203"/>
      <c r="AQ269" s="203"/>
      <c r="AR269" s="203"/>
      <c r="AS269" s="203"/>
      <c r="AT269" s="203"/>
      <c r="AU269" s="203"/>
      <c r="AV269" s="203"/>
      <c r="AW269" s="203"/>
      <c r="AX269" s="203"/>
      <c r="AY269" s="203"/>
      <c r="AZ269" s="203"/>
      <c r="BA269" s="203"/>
      <c r="BB269" s="203"/>
      <c r="BC269" s="203"/>
    </row>
    <row r="270" spans="4:55" s="155" customFormat="1" ht="11.25" x14ac:dyDescent="0.2">
      <c r="D270" s="203"/>
      <c r="E270" s="203"/>
      <c r="F270" s="203"/>
      <c r="G270" s="203"/>
      <c r="H270" s="203"/>
      <c r="I270" s="203"/>
      <c r="J270" s="203"/>
      <c r="K270" s="203"/>
      <c r="L270" s="203"/>
      <c r="M270" s="203"/>
      <c r="N270" s="203"/>
      <c r="O270" s="203"/>
      <c r="P270" s="203"/>
      <c r="Q270" s="203"/>
      <c r="R270" s="203"/>
      <c r="S270" s="203"/>
      <c r="T270" s="203"/>
      <c r="U270" s="203"/>
      <c r="V270" s="203"/>
      <c r="W270" s="203"/>
      <c r="X270" s="203"/>
      <c r="Y270" s="203"/>
      <c r="Z270" s="203"/>
      <c r="AA270" s="203"/>
      <c r="AB270" s="203"/>
      <c r="AC270" s="203"/>
      <c r="AD270" s="203"/>
      <c r="AE270" s="203"/>
      <c r="AF270" s="203"/>
      <c r="AG270" s="203"/>
      <c r="AH270" s="203"/>
      <c r="AI270" s="203"/>
      <c r="AJ270" s="203"/>
      <c r="AK270" s="203"/>
      <c r="AL270" s="203"/>
      <c r="AM270" s="203"/>
      <c r="AN270" s="203"/>
      <c r="AO270" s="203"/>
      <c r="AP270" s="203"/>
      <c r="AQ270" s="203"/>
      <c r="AR270" s="203"/>
      <c r="AS270" s="203"/>
      <c r="AT270" s="203"/>
      <c r="AU270" s="203"/>
      <c r="AV270" s="203"/>
      <c r="AW270" s="203"/>
      <c r="AX270" s="203"/>
      <c r="AY270" s="203"/>
      <c r="AZ270" s="203"/>
      <c r="BA270" s="203"/>
      <c r="BB270" s="203"/>
      <c r="BC270" s="203"/>
    </row>
    <row r="271" spans="4:55" s="155" customFormat="1" ht="11.25" x14ac:dyDescent="0.2">
      <c r="D271" s="203"/>
      <c r="E271" s="203"/>
      <c r="F271" s="203"/>
      <c r="G271" s="203"/>
      <c r="H271" s="203"/>
      <c r="I271" s="203"/>
      <c r="J271" s="203"/>
      <c r="K271" s="203"/>
      <c r="L271" s="203"/>
      <c r="M271" s="203"/>
      <c r="N271" s="203"/>
      <c r="O271" s="203"/>
      <c r="P271" s="203"/>
      <c r="Q271" s="203"/>
      <c r="R271" s="203"/>
      <c r="S271" s="203"/>
      <c r="T271" s="203"/>
      <c r="U271" s="203"/>
      <c r="V271" s="203"/>
      <c r="W271" s="203"/>
      <c r="X271" s="203"/>
      <c r="Y271" s="203"/>
      <c r="Z271" s="203"/>
      <c r="AA271" s="203"/>
      <c r="AB271" s="203"/>
      <c r="AC271" s="203"/>
      <c r="AD271" s="203"/>
      <c r="AE271" s="203"/>
      <c r="AF271" s="203"/>
      <c r="AG271" s="203"/>
      <c r="AH271" s="203"/>
      <c r="AI271" s="203"/>
      <c r="AJ271" s="203"/>
      <c r="AK271" s="203"/>
      <c r="AL271" s="203"/>
      <c r="AM271" s="203"/>
      <c r="AN271" s="203"/>
      <c r="AO271" s="203"/>
      <c r="AP271" s="203"/>
      <c r="AQ271" s="203"/>
      <c r="AR271" s="203"/>
      <c r="AS271" s="203"/>
      <c r="AT271" s="203"/>
      <c r="AU271" s="203"/>
      <c r="AV271" s="203"/>
      <c r="AW271" s="203"/>
      <c r="AX271" s="203"/>
      <c r="AY271" s="203"/>
      <c r="AZ271" s="203"/>
      <c r="BA271" s="203"/>
      <c r="BB271" s="203"/>
      <c r="BC271" s="203"/>
    </row>
    <row r="272" spans="4:55" s="155" customFormat="1" ht="11.25" x14ac:dyDescent="0.2">
      <c r="D272" s="203"/>
      <c r="E272" s="203"/>
      <c r="F272" s="203"/>
      <c r="G272" s="203"/>
      <c r="H272" s="203"/>
      <c r="I272" s="203"/>
      <c r="J272" s="203"/>
      <c r="K272" s="203"/>
      <c r="L272" s="203"/>
      <c r="M272" s="203"/>
      <c r="N272" s="203"/>
      <c r="O272" s="203"/>
      <c r="P272" s="203"/>
      <c r="Q272" s="203"/>
      <c r="R272" s="203"/>
      <c r="S272" s="203"/>
      <c r="T272" s="203"/>
      <c r="U272" s="203"/>
      <c r="V272" s="203"/>
      <c r="W272" s="203"/>
      <c r="X272" s="203"/>
      <c r="Y272" s="203"/>
      <c r="Z272" s="203"/>
      <c r="AA272" s="203"/>
      <c r="AB272" s="203"/>
      <c r="AC272" s="203"/>
      <c r="AD272" s="203"/>
      <c r="AE272" s="203"/>
      <c r="AF272" s="203"/>
      <c r="AG272" s="203"/>
      <c r="AH272" s="203"/>
      <c r="AI272" s="203"/>
      <c r="AJ272" s="203"/>
      <c r="AK272" s="203"/>
      <c r="AL272" s="203"/>
      <c r="AM272" s="203"/>
      <c r="AN272" s="203"/>
      <c r="AO272" s="203"/>
      <c r="AP272" s="203"/>
      <c r="AQ272" s="203"/>
      <c r="AR272" s="203"/>
      <c r="AS272" s="203"/>
      <c r="AT272" s="203"/>
      <c r="AU272" s="203"/>
      <c r="AV272" s="203"/>
      <c r="AW272" s="203"/>
      <c r="AX272" s="203"/>
      <c r="AY272" s="203"/>
      <c r="AZ272" s="203"/>
      <c r="BA272" s="203"/>
      <c r="BB272" s="203"/>
      <c r="BC272" s="203"/>
    </row>
    <row r="273" spans="4:55" s="155" customFormat="1" ht="11.25" x14ac:dyDescent="0.2">
      <c r="D273" s="203"/>
      <c r="E273" s="203"/>
      <c r="F273" s="203"/>
      <c r="G273" s="203"/>
      <c r="H273" s="203"/>
      <c r="I273" s="203"/>
      <c r="J273" s="203"/>
      <c r="K273" s="203"/>
      <c r="L273" s="203"/>
      <c r="M273" s="203"/>
      <c r="N273" s="203"/>
      <c r="O273" s="203"/>
      <c r="P273" s="203"/>
      <c r="Q273" s="203"/>
      <c r="R273" s="203"/>
      <c r="S273" s="203"/>
      <c r="T273" s="203"/>
      <c r="U273" s="203"/>
      <c r="V273" s="203"/>
      <c r="W273" s="203"/>
      <c r="X273" s="203"/>
      <c r="Y273" s="203"/>
      <c r="Z273" s="203"/>
      <c r="AA273" s="203"/>
      <c r="AB273" s="203"/>
      <c r="AC273" s="203"/>
      <c r="AD273" s="203"/>
      <c r="AE273" s="203"/>
      <c r="AF273" s="203"/>
      <c r="AG273" s="203"/>
      <c r="AH273" s="203"/>
      <c r="AI273" s="203"/>
      <c r="AJ273" s="203"/>
      <c r="AK273" s="203"/>
      <c r="AL273" s="203"/>
      <c r="AM273" s="203"/>
      <c r="AN273" s="203"/>
      <c r="AO273" s="203"/>
      <c r="AP273" s="203"/>
      <c r="AQ273" s="203"/>
      <c r="AR273" s="203"/>
      <c r="AS273" s="203"/>
      <c r="AT273" s="203"/>
      <c r="AU273" s="203"/>
      <c r="AV273" s="203"/>
      <c r="AW273" s="203"/>
      <c r="AX273" s="203"/>
      <c r="AY273" s="203"/>
      <c r="AZ273" s="203"/>
      <c r="BA273" s="203"/>
      <c r="BB273" s="203"/>
      <c r="BC273" s="203"/>
    </row>
    <row r="274" spans="4:55" s="155" customFormat="1" ht="11.25" x14ac:dyDescent="0.2">
      <c r="D274" s="203"/>
      <c r="E274" s="203"/>
      <c r="F274" s="203"/>
      <c r="G274" s="203"/>
      <c r="H274" s="203"/>
      <c r="I274" s="203"/>
      <c r="J274" s="203"/>
      <c r="K274" s="203"/>
      <c r="L274" s="203"/>
      <c r="M274" s="203"/>
      <c r="N274" s="203"/>
      <c r="O274" s="203"/>
      <c r="P274" s="203"/>
      <c r="Q274" s="203"/>
      <c r="R274" s="203"/>
      <c r="S274" s="203"/>
      <c r="T274" s="203"/>
      <c r="U274" s="203"/>
      <c r="V274" s="203"/>
      <c r="W274" s="203"/>
      <c r="X274" s="203"/>
      <c r="Y274" s="203"/>
      <c r="Z274" s="203"/>
      <c r="AA274" s="203"/>
      <c r="AB274" s="203"/>
      <c r="AC274" s="203"/>
      <c r="AD274" s="203"/>
      <c r="AE274" s="203"/>
      <c r="AF274" s="203"/>
      <c r="AG274" s="203"/>
      <c r="AH274" s="203"/>
      <c r="AI274" s="203"/>
      <c r="AJ274" s="203"/>
      <c r="AK274" s="203"/>
      <c r="AL274" s="203"/>
      <c r="AM274" s="203"/>
      <c r="AN274" s="203"/>
      <c r="AO274" s="203"/>
      <c r="AP274" s="203"/>
      <c r="AQ274" s="203"/>
      <c r="AR274" s="203"/>
      <c r="AS274" s="203"/>
      <c r="AT274" s="203"/>
      <c r="AU274" s="203"/>
      <c r="AV274" s="203"/>
      <c r="AW274" s="203"/>
      <c r="AX274" s="203"/>
      <c r="AY274" s="203"/>
      <c r="AZ274" s="203"/>
      <c r="BA274" s="203"/>
      <c r="BB274" s="203"/>
      <c r="BC274" s="203"/>
    </row>
    <row r="275" spans="4:55" s="155" customFormat="1" ht="11.25" x14ac:dyDescent="0.2">
      <c r="D275" s="203"/>
      <c r="E275" s="203"/>
      <c r="F275" s="203"/>
      <c r="G275" s="203"/>
      <c r="H275" s="203"/>
      <c r="I275" s="203"/>
      <c r="J275" s="203"/>
      <c r="K275" s="203"/>
      <c r="L275" s="203"/>
      <c r="M275" s="203"/>
      <c r="N275" s="203"/>
      <c r="O275" s="203"/>
      <c r="P275" s="203"/>
      <c r="Q275" s="203"/>
      <c r="R275" s="203"/>
      <c r="S275" s="203"/>
      <c r="T275" s="203"/>
      <c r="U275" s="203"/>
      <c r="V275" s="203"/>
      <c r="W275" s="203"/>
      <c r="X275" s="203"/>
      <c r="Y275" s="203"/>
      <c r="Z275" s="203"/>
      <c r="AA275" s="203"/>
      <c r="AB275" s="203"/>
      <c r="AC275" s="203"/>
      <c r="AD275" s="203"/>
      <c r="AE275" s="203"/>
      <c r="AF275" s="203"/>
      <c r="AG275" s="203"/>
      <c r="AH275" s="203"/>
      <c r="AI275" s="203"/>
      <c r="AJ275" s="203"/>
      <c r="AK275" s="203"/>
      <c r="AL275" s="203"/>
      <c r="AM275" s="203"/>
      <c r="AN275" s="203"/>
      <c r="AO275" s="203"/>
      <c r="AP275" s="203"/>
      <c r="AQ275" s="203"/>
      <c r="AR275" s="203"/>
      <c r="AS275" s="203"/>
      <c r="AT275" s="203"/>
      <c r="AU275" s="203"/>
      <c r="AV275" s="203"/>
      <c r="AW275" s="203"/>
      <c r="AX275" s="203"/>
      <c r="AY275" s="203"/>
      <c r="AZ275" s="203"/>
      <c r="BA275" s="203"/>
      <c r="BB275" s="203"/>
      <c r="BC275" s="203"/>
    </row>
    <row r="276" spans="4:55" s="155" customFormat="1" ht="11.25" x14ac:dyDescent="0.2">
      <c r="D276" s="203"/>
      <c r="E276" s="203"/>
      <c r="F276" s="203"/>
      <c r="G276" s="203"/>
      <c r="H276" s="203"/>
      <c r="I276" s="203"/>
      <c r="J276" s="203"/>
      <c r="K276" s="203"/>
      <c r="L276" s="203"/>
      <c r="M276" s="203"/>
      <c r="N276" s="203"/>
      <c r="O276" s="203"/>
      <c r="P276" s="203"/>
      <c r="Q276" s="203"/>
      <c r="R276" s="203"/>
      <c r="S276" s="203"/>
      <c r="T276" s="203"/>
      <c r="U276" s="203"/>
      <c r="V276" s="203"/>
      <c r="W276" s="203"/>
      <c r="X276" s="203"/>
      <c r="Y276" s="203"/>
      <c r="Z276" s="203"/>
      <c r="AA276" s="203"/>
      <c r="AB276" s="203"/>
      <c r="AC276" s="203"/>
      <c r="AD276" s="203"/>
      <c r="AE276" s="203"/>
      <c r="AF276" s="203"/>
      <c r="AG276" s="203"/>
      <c r="AH276" s="203"/>
      <c r="AI276" s="203"/>
      <c r="AJ276" s="203"/>
      <c r="AK276" s="203"/>
      <c r="AL276" s="203"/>
      <c r="AM276" s="203"/>
      <c r="AN276" s="203"/>
      <c r="AO276" s="203"/>
      <c r="AP276" s="203"/>
      <c r="AQ276" s="203"/>
      <c r="AR276" s="203"/>
      <c r="AS276" s="203"/>
      <c r="AT276" s="203"/>
      <c r="AU276" s="203"/>
      <c r="AV276" s="203"/>
      <c r="AW276" s="203"/>
      <c r="AX276" s="203"/>
      <c r="AY276" s="203"/>
      <c r="AZ276" s="203"/>
      <c r="BA276" s="203"/>
      <c r="BB276" s="203"/>
      <c r="BC276" s="203"/>
    </row>
    <row r="277" spans="4:55" s="155" customFormat="1" ht="11.25" x14ac:dyDescent="0.2">
      <c r="D277" s="203"/>
      <c r="E277" s="203"/>
      <c r="F277" s="203"/>
      <c r="G277" s="203"/>
      <c r="H277" s="203"/>
      <c r="I277" s="203"/>
      <c r="J277" s="203"/>
      <c r="K277" s="203"/>
      <c r="L277" s="203"/>
      <c r="M277" s="203"/>
      <c r="N277" s="203"/>
      <c r="O277" s="203"/>
      <c r="P277" s="203"/>
      <c r="Q277" s="203"/>
      <c r="R277" s="203"/>
      <c r="S277" s="203"/>
      <c r="T277" s="203"/>
      <c r="U277" s="203"/>
      <c r="V277" s="203"/>
      <c r="W277" s="203"/>
      <c r="X277" s="203"/>
      <c r="Y277" s="203"/>
      <c r="Z277" s="203"/>
      <c r="AA277" s="203"/>
      <c r="AB277" s="203"/>
      <c r="AC277" s="203"/>
      <c r="AD277" s="203"/>
      <c r="AE277" s="203"/>
      <c r="AF277" s="203"/>
      <c r="AG277" s="203"/>
      <c r="AH277" s="203"/>
      <c r="AI277" s="203"/>
      <c r="AJ277" s="203"/>
      <c r="AK277" s="203"/>
      <c r="AL277" s="203"/>
      <c r="AM277" s="203"/>
      <c r="AN277" s="203"/>
      <c r="AO277" s="203"/>
      <c r="AP277" s="203"/>
      <c r="AQ277" s="203"/>
      <c r="AR277" s="203"/>
      <c r="AS277" s="203"/>
      <c r="AT277" s="203"/>
      <c r="AU277" s="203"/>
      <c r="AV277" s="203"/>
      <c r="AW277" s="203"/>
      <c r="AX277" s="203"/>
      <c r="AY277" s="203"/>
      <c r="AZ277" s="203"/>
      <c r="BA277" s="203"/>
      <c r="BB277" s="203"/>
      <c r="BC277" s="203"/>
    </row>
    <row r="278" spans="4:55" s="155" customFormat="1" ht="11.25" x14ac:dyDescent="0.2">
      <c r="D278" s="203"/>
      <c r="E278" s="203"/>
      <c r="F278" s="203"/>
      <c r="G278" s="203"/>
      <c r="H278" s="203"/>
      <c r="I278" s="203"/>
      <c r="J278" s="203"/>
      <c r="K278" s="203"/>
      <c r="L278" s="203"/>
      <c r="M278" s="203"/>
      <c r="N278" s="203"/>
      <c r="O278" s="203"/>
      <c r="P278" s="203"/>
      <c r="Q278" s="203"/>
      <c r="R278" s="203"/>
      <c r="S278" s="203"/>
      <c r="T278" s="203"/>
      <c r="U278" s="203"/>
      <c r="V278" s="203"/>
      <c r="W278" s="203"/>
      <c r="X278" s="203"/>
      <c r="Y278" s="203"/>
      <c r="Z278" s="203"/>
      <c r="AA278" s="203"/>
      <c r="AB278" s="203"/>
      <c r="AC278" s="203"/>
      <c r="AD278" s="203"/>
      <c r="AE278" s="203"/>
      <c r="AF278" s="203"/>
      <c r="AG278" s="203"/>
      <c r="AH278" s="203"/>
      <c r="AI278" s="203"/>
      <c r="AJ278" s="203"/>
      <c r="AK278" s="203"/>
      <c r="AL278" s="203"/>
      <c r="AM278" s="203"/>
      <c r="AN278" s="203"/>
      <c r="AO278" s="203"/>
      <c r="AP278" s="203"/>
      <c r="AQ278" s="203"/>
      <c r="AR278" s="203"/>
      <c r="AS278" s="203"/>
      <c r="AT278" s="203"/>
      <c r="AU278" s="203"/>
      <c r="AV278" s="203"/>
      <c r="AW278" s="203"/>
      <c r="AX278" s="203"/>
      <c r="AY278" s="203"/>
      <c r="AZ278" s="203"/>
      <c r="BA278" s="203"/>
      <c r="BB278" s="203"/>
      <c r="BC278" s="203"/>
    </row>
    <row r="279" spans="4:55" s="155" customFormat="1" ht="11.25" x14ac:dyDescent="0.2">
      <c r="D279" s="203"/>
      <c r="E279" s="203"/>
      <c r="F279" s="203"/>
      <c r="G279" s="203"/>
      <c r="H279" s="203"/>
      <c r="I279" s="203"/>
      <c r="J279" s="203"/>
      <c r="K279" s="203"/>
      <c r="L279" s="203"/>
      <c r="M279" s="203"/>
      <c r="N279" s="203"/>
      <c r="O279" s="203"/>
      <c r="P279" s="203"/>
      <c r="Q279" s="203"/>
      <c r="R279" s="203"/>
      <c r="S279" s="203"/>
      <c r="T279" s="203"/>
      <c r="U279" s="203"/>
      <c r="V279" s="203"/>
      <c r="W279" s="203"/>
      <c r="X279" s="203"/>
      <c r="Y279" s="203"/>
      <c r="Z279" s="203"/>
      <c r="AA279" s="203"/>
      <c r="AB279" s="203"/>
      <c r="AC279" s="203"/>
      <c r="AD279" s="203"/>
      <c r="AE279" s="203"/>
      <c r="AF279" s="203"/>
      <c r="AG279" s="203"/>
      <c r="AH279" s="203"/>
      <c r="AI279" s="203"/>
      <c r="AJ279" s="203"/>
      <c r="AK279" s="203"/>
      <c r="AL279" s="203"/>
      <c r="AM279" s="203"/>
      <c r="AN279" s="203"/>
      <c r="AO279" s="203"/>
      <c r="AP279" s="203"/>
      <c r="AQ279" s="203"/>
      <c r="AR279" s="203"/>
      <c r="AS279" s="203"/>
      <c r="AT279" s="203"/>
      <c r="AU279" s="203"/>
      <c r="AV279" s="203"/>
      <c r="AW279" s="203"/>
      <c r="AX279" s="203"/>
      <c r="AY279" s="203"/>
      <c r="AZ279" s="203"/>
      <c r="BA279" s="203"/>
      <c r="BB279" s="203"/>
      <c r="BC279" s="203"/>
    </row>
    <row r="280" spans="4:55" s="155" customFormat="1" ht="11.25" x14ac:dyDescent="0.2">
      <c r="D280" s="203"/>
      <c r="E280" s="203"/>
      <c r="F280" s="203"/>
      <c r="G280" s="203"/>
      <c r="H280" s="203"/>
      <c r="I280" s="203"/>
      <c r="J280" s="203"/>
      <c r="K280" s="203"/>
      <c r="L280" s="203"/>
      <c r="M280" s="203"/>
      <c r="N280" s="203"/>
      <c r="O280" s="203"/>
      <c r="P280" s="203"/>
      <c r="Q280" s="203"/>
      <c r="R280" s="203"/>
      <c r="S280" s="203"/>
      <c r="T280" s="203"/>
      <c r="U280" s="203"/>
      <c r="V280" s="203"/>
      <c r="W280" s="203"/>
      <c r="X280" s="203"/>
      <c r="Y280" s="203"/>
      <c r="Z280" s="203"/>
      <c r="AA280" s="203"/>
      <c r="AB280" s="203"/>
      <c r="AC280" s="203"/>
      <c r="AD280" s="203"/>
      <c r="AE280" s="203"/>
      <c r="AF280" s="203"/>
      <c r="AG280" s="203"/>
      <c r="AH280" s="203"/>
      <c r="AI280" s="203"/>
      <c r="AJ280" s="203"/>
      <c r="AK280" s="203"/>
      <c r="AL280" s="203"/>
      <c r="AM280" s="203"/>
      <c r="AN280" s="203"/>
      <c r="AO280" s="203"/>
      <c r="AP280" s="203"/>
      <c r="AQ280" s="203"/>
      <c r="AR280" s="203"/>
      <c r="AS280" s="203"/>
      <c r="AT280" s="203"/>
      <c r="AU280" s="203"/>
      <c r="AV280" s="203"/>
      <c r="AW280" s="203"/>
      <c r="AX280" s="203"/>
      <c r="AY280" s="203"/>
      <c r="AZ280" s="203"/>
      <c r="BA280" s="203"/>
      <c r="BB280" s="203"/>
      <c r="BC280" s="203"/>
    </row>
    <row r="281" spans="4:55" s="155" customFormat="1" ht="11.25" x14ac:dyDescent="0.2">
      <c r="D281" s="203"/>
      <c r="E281" s="203"/>
      <c r="F281" s="203"/>
      <c r="G281" s="203"/>
      <c r="H281" s="203"/>
      <c r="I281" s="203"/>
      <c r="J281" s="203"/>
      <c r="K281" s="203"/>
      <c r="L281" s="203"/>
      <c r="M281" s="203"/>
      <c r="N281" s="203"/>
      <c r="O281" s="203"/>
      <c r="P281" s="203"/>
      <c r="Q281" s="203"/>
      <c r="R281" s="203"/>
      <c r="S281" s="203"/>
      <c r="T281" s="203"/>
      <c r="U281" s="203"/>
      <c r="V281" s="203"/>
      <c r="W281" s="203"/>
      <c r="X281" s="203"/>
      <c r="Y281" s="203"/>
      <c r="Z281" s="203"/>
      <c r="AA281" s="203"/>
      <c r="AB281" s="203"/>
      <c r="AC281" s="203"/>
      <c r="AD281" s="203"/>
      <c r="AE281" s="203"/>
      <c r="AF281" s="203"/>
      <c r="AG281" s="203"/>
      <c r="AH281" s="203"/>
      <c r="AI281" s="203"/>
      <c r="AJ281" s="203"/>
      <c r="AK281" s="203"/>
      <c r="AL281" s="203"/>
      <c r="AM281" s="203"/>
      <c r="AN281" s="203"/>
      <c r="AO281" s="203"/>
      <c r="AP281" s="203"/>
      <c r="AQ281" s="203"/>
      <c r="AR281" s="203"/>
      <c r="AS281" s="203"/>
      <c r="AT281" s="203"/>
      <c r="AU281" s="203"/>
      <c r="AV281" s="203"/>
      <c r="AW281" s="203"/>
      <c r="AX281" s="203"/>
      <c r="AY281" s="203"/>
      <c r="AZ281" s="203"/>
      <c r="BA281" s="203"/>
      <c r="BB281" s="203"/>
      <c r="BC281" s="203"/>
    </row>
    <row r="282" spans="4:55" s="155" customFormat="1" ht="11.25" x14ac:dyDescent="0.2">
      <c r="D282" s="203"/>
      <c r="E282" s="203"/>
      <c r="F282" s="203"/>
      <c r="G282" s="203"/>
      <c r="H282" s="203"/>
      <c r="I282" s="203"/>
      <c r="J282" s="203"/>
      <c r="K282" s="203"/>
      <c r="L282" s="203"/>
      <c r="M282" s="203"/>
      <c r="N282" s="203"/>
      <c r="O282" s="203"/>
      <c r="P282" s="203"/>
      <c r="Q282" s="203"/>
      <c r="R282" s="203"/>
      <c r="S282" s="203"/>
      <c r="T282" s="203"/>
      <c r="U282" s="203"/>
      <c r="V282" s="203"/>
      <c r="W282" s="203"/>
      <c r="X282" s="203"/>
      <c r="Y282" s="203"/>
      <c r="Z282" s="203"/>
      <c r="AA282" s="203"/>
      <c r="AB282" s="203"/>
      <c r="AC282" s="203"/>
      <c r="AD282" s="203"/>
      <c r="AE282" s="203"/>
      <c r="AF282" s="203"/>
      <c r="AG282" s="203"/>
      <c r="AH282" s="203"/>
      <c r="AI282" s="203"/>
      <c r="AJ282" s="203"/>
      <c r="AK282" s="203"/>
      <c r="AL282" s="203"/>
      <c r="AM282" s="203"/>
      <c r="AN282" s="203"/>
      <c r="AO282" s="203"/>
      <c r="AP282" s="203"/>
      <c r="AQ282" s="203"/>
      <c r="AR282" s="203"/>
      <c r="AS282" s="203"/>
      <c r="AT282" s="203"/>
      <c r="AU282" s="203"/>
      <c r="AV282" s="203"/>
      <c r="AW282" s="203"/>
      <c r="AX282" s="203"/>
      <c r="AY282" s="203"/>
      <c r="AZ282" s="203"/>
      <c r="BA282" s="203"/>
      <c r="BB282" s="203"/>
      <c r="BC282" s="203"/>
    </row>
    <row r="283" spans="4:55" s="155" customFormat="1" ht="11.25" x14ac:dyDescent="0.2">
      <c r="D283" s="203"/>
      <c r="E283" s="203"/>
      <c r="F283" s="203"/>
      <c r="G283" s="203"/>
      <c r="H283" s="203"/>
      <c r="I283" s="203"/>
      <c r="J283" s="203"/>
      <c r="K283" s="203"/>
      <c r="L283" s="203"/>
      <c r="M283" s="203"/>
      <c r="N283" s="203"/>
      <c r="O283" s="203"/>
      <c r="P283" s="203"/>
      <c r="Q283" s="203"/>
      <c r="R283" s="203"/>
      <c r="S283" s="203"/>
      <c r="T283" s="203"/>
      <c r="U283" s="203"/>
      <c r="V283" s="203"/>
      <c r="W283" s="203"/>
      <c r="X283" s="203"/>
      <c r="Y283" s="203"/>
      <c r="Z283" s="203"/>
      <c r="AA283" s="203"/>
      <c r="AB283" s="203"/>
      <c r="AC283" s="203"/>
      <c r="AD283" s="203"/>
      <c r="AE283" s="203"/>
      <c r="AF283" s="203"/>
      <c r="AG283" s="203"/>
      <c r="AH283" s="203"/>
      <c r="AI283" s="203"/>
      <c r="AJ283" s="203"/>
      <c r="AK283" s="203"/>
      <c r="AL283" s="203"/>
      <c r="AM283" s="203"/>
      <c r="AN283" s="203"/>
      <c r="AO283" s="203"/>
      <c r="AP283" s="203"/>
      <c r="AQ283" s="203"/>
      <c r="AR283" s="203"/>
      <c r="AS283" s="203"/>
      <c r="AT283" s="203"/>
      <c r="AU283" s="203"/>
      <c r="AV283" s="203"/>
      <c r="AW283" s="203"/>
      <c r="AX283" s="203"/>
      <c r="AY283" s="203"/>
      <c r="AZ283" s="203"/>
      <c r="BA283" s="203"/>
      <c r="BB283" s="203"/>
      <c r="BC283" s="203"/>
    </row>
    <row r="284" spans="4:55" s="155" customFormat="1" ht="11.25" x14ac:dyDescent="0.2">
      <c r="D284" s="203"/>
      <c r="E284" s="203"/>
      <c r="F284" s="203"/>
      <c r="G284" s="203"/>
      <c r="H284" s="203"/>
      <c r="I284" s="203"/>
      <c r="J284" s="203"/>
      <c r="K284" s="203"/>
      <c r="L284" s="203"/>
      <c r="M284" s="203"/>
      <c r="N284" s="203"/>
      <c r="O284" s="203"/>
      <c r="P284" s="203"/>
      <c r="Q284" s="203"/>
      <c r="R284" s="203"/>
      <c r="S284" s="203"/>
      <c r="T284" s="203"/>
      <c r="U284" s="203"/>
      <c r="V284" s="203"/>
      <c r="W284" s="203"/>
      <c r="X284" s="203"/>
      <c r="Y284" s="203"/>
      <c r="Z284" s="203"/>
      <c r="AA284" s="203"/>
      <c r="AB284" s="203"/>
      <c r="AC284" s="203"/>
      <c r="AD284" s="203"/>
      <c r="AE284" s="203"/>
      <c r="AF284" s="203"/>
      <c r="AG284" s="203"/>
      <c r="AH284" s="203"/>
      <c r="AI284" s="203"/>
      <c r="AJ284" s="203"/>
      <c r="AK284" s="203"/>
      <c r="AL284" s="203"/>
      <c r="AM284" s="203"/>
      <c r="AN284" s="203"/>
      <c r="AO284" s="203"/>
      <c r="AP284" s="203"/>
      <c r="AQ284" s="203"/>
      <c r="AR284" s="203"/>
      <c r="AS284" s="203"/>
      <c r="AT284" s="203"/>
      <c r="AU284" s="203"/>
      <c r="AV284" s="203"/>
      <c r="AW284" s="203"/>
      <c r="AX284" s="203"/>
      <c r="AY284" s="203"/>
      <c r="AZ284" s="203"/>
      <c r="BA284" s="203"/>
      <c r="BB284" s="203"/>
      <c r="BC284" s="203"/>
    </row>
    <row r="285" spans="4:55" s="155" customFormat="1" ht="11.25" x14ac:dyDescent="0.2">
      <c r="D285" s="203"/>
      <c r="E285" s="203"/>
      <c r="F285" s="203"/>
      <c r="G285" s="203"/>
      <c r="H285" s="203"/>
      <c r="I285" s="203"/>
      <c r="J285" s="203"/>
      <c r="K285" s="203"/>
      <c r="L285" s="203"/>
      <c r="M285" s="203"/>
      <c r="N285" s="203"/>
      <c r="O285" s="203"/>
      <c r="P285" s="203"/>
      <c r="Q285" s="203"/>
      <c r="R285" s="203"/>
      <c r="S285" s="203"/>
      <c r="T285" s="203"/>
      <c r="U285" s="203"/>
      <c r="V285" s="203"/>
      <c r="W285" s="203"/>
      <c r="X285" s="203"/>
      <c r="Y285" s="203"/>
      <c r="Z285" s="203"/>
      <c r="AA285" s="203"/>
      <c r="AB285" s="203"/>
      <c r="AC285" s="203"/>
      <c r="AD285" s="203"/>
      <c r="AE285" s="203"/>
      <c r="AF285" s="203"/>
      <c r="AG285" s="203"/>
      <c r="AH285" s="203"/>
      <c r="AI285" s="203"/>
      <c r="AJ285" s="203"/>
      <c r="AK285" s="203"/>
      <c r="AL285" s="203"/>
      <c r="AM285" s="203"/>
      <c r="AN285" s="203"/>
      <c r="AO285" s="203"/>
      <c r="AP285" s="203"/>
      <c r="AQ285" s="203"/>
      <c r="AR285" s="203"/>
      <c r="AS285" s="203"/>
      <c r="AT285" s="203"/>
      <c r="AU285" s="203"/>
      <c r="AV285" s="203"/>
      <c r="AW285" s="203"/>
      <c r="AX285" s="203"/>
      <c r="AY285" s="203"/>
      <c r="AZ285" s="203"/>
      <c r="BA285" s="203"/>
      <c r="BB285" s="203"/>
      <c r="BC285" s="203"/>
    </row>
    <row r="286" spans="4:55" s="155" customFormat="1" ht="11.25" x14ac:dyDescent="0.2">
      <c r="D286" s="203"/>
      <c r="E286" s="203"/>
      <c r="F286" s="203"/>
      <c r="G286" s="203"/>
      <c r="H286" s="203"/>
      <c r="I286" s="203"/>
      <c r="J286" s="203"/>
      <c r="K286" s="203"/>
      <c r="L286" s="203"/>
      <c r="M286" s="203"/>
      <c r="N286" s="203"/>
      <c r="O286" s="203"/>
      <c r="P286" s="203"/>
      <c r="Q286" s="203"/>
      <c r="R286" s="203"/>
      <c r="S286" s="203"/>
      <c r="T286" s="203"/>
      <c r="U286" s="203"/>
      <c r="V286" s="203"/>
      <c r="W286" s="203"/>
      <c r="X286" s="203"/>
      <c r="Y286" s="203"/>
      <c r="Z286" s="203"/>
      <c r="AA286" s="203"/>
      <c r="AB286" s="203"/>
      <c r="AC286" s="203"/>
      <c r="AD286" s="203"/>
      <c r="AE286" s="203"/>
      <c r="AF286" s="203"/>
      <c r="AG286" s="203"/>
      <c r="AH286" s="203"/>
      <c r="AI286" s="203"/>
      <c r="AJ286" s="203"/>
      <c r="AK286" s="203"/>
      <c r="AL286" s="203"/>
      <c r="AM286" s="203"/>
      <c r="AN286" s="203"/>
      <c r="AO286" s="203"/>
      <c r="AP286" s="203"/>
      <c r="AQ286" s="203"/>
      <c r="AR286" s="203"/>
      <c r="AS286" s="203"/>
      <c r="AT286" s="203"/>
      <c r="AU286" s="203"/>
      <c r="AV286" s="203"/>
      <c r="AW286" s="203"/>
      <c r="AX286" s="203"/>
      <c r="AY286" s="203"/>
      <c r="AZ286" s="203"/>
      <c r="BA286" s="203"/>
      <c r="BB286" s="203"/>
      <c r="BC286" s="203"/>
    </row>
    <row r="287" spans="4:55" s="155" customFormat="1" ht="11.25" x14ac:dyDescent="0.2">
      <c r="D287" s="203"/>
      <c r="E287" s="203"/>
      <c r="F287" s="203"/>
      <c r="G287" s="203"/>
      <c r="H287" s="203"/>
      <c r="I287" s="203"/>
      <c r="J287" s="203"/>
      <c r="K287" s="203"/>
      <c r="L287" s="203"/>
      <c r="M287" s="203"/>
      <c r="N287" s="203"/>
      <c r="O287" s="203"/>
      <c r="P287" s="203"/>
      <c r="Q287" s="203"/>
      <c r="R287" s="203"/>
      <c r="S287" s="203"/>
      <c r="T287" s="203"/>
      <c r="U287" s="203"/>
      <c r="V287" s="203"/>
      <c r="W287" s="203"/>
      <c r="X287" s="203"/>
      <c r="Y287" s="203"/>
      <c r="Z287" s="203"/>
      <c r="AA287" s="203"/>
      <c r="AB287" s="203"/>
      <c r="AC287" s="203"/>
      <c r="AD287" s="203"/>
      <c r="AE287" s="203"/>
      <c r="AF287" s="203"/>
      <c r="AG287" s="203"/>
      <c r="AH287" s="203"/>
      <c r="AI287" s="203"/>
      <c r="AJ287" s="203"/>
      <c r="AK287" s="203"/>
      <c r="AL287" s="203"/>
      <c r="AM287" s="203"/>
      <c r="AN287" s="203"/>
      <c r="AO287" s="203"/>
      <c r="AP287" s="203"/>
      <c r="AQ287" s="203"/>
      <c r="AR287" s="203"/>
      <c r="AS287" s="203"/>
      <c r="AT287" s="203"/>
      <c r="AU287" s="203"/>
      <c r="AV287" s="203"/>
      <c r="AW287" s="203"/>
      <c r="AX287" s="203"/>
      <c r="AY287" s="203"/>
      <c r="AZ287" s="203"/>
      <c r="BA287" s="203"/>
      <c r="BB287" s="203"/>
      <c r="BC287" s="203"/>
    </row>
    <row r="288" spans="4:55" s="155" customFormat="1" ht="11.25" x14ac:dyDescent="0.2">
      <c r="D288" s="203"/>
      <c r="E288" s="203"/>
      <c r="F288" s="203"/>
      <c r="G288" s="203"/>
      <c r="H288" s="203"/>
      <c r="I288" s="203"/>
      <c r="J288" s="203"/>
      <c r="K288" s="203"/>
      <c r="L288" s="203"/>
      <c r="M288" s="203"/>
      <c r="N288" s="203"/>
      <c r="O288" s="203"/>
      <c r="P288" s="203"/>
      <c r="Q288" s="203"/>
      <c r="R288" s="203"/>
      <c r="S288" s="203"/>
      <c r="T288" s="203"/>
      <c r="U288" s="203"/>
      <c r="V288" s="203"/>
      <c r="W288" s="203"/>
      <c r="X288" s="203"/>
      <c r="Y288" s="203"/>
      <c r="Z288" s="203"/>
      <c r="AA288" s="203"/>
      <c r="AB288" s="203"/>
      <c r="AC288" s="203"/>
      <c r="AD288" s="203"/>
      <c r="AE288" s="203"/>
      <c r="AF288" s="203"/>
      <c r="AG288" s="203"/>
      <c r="AH288" s="203"/>
      <c r="AI288" s="203"/>
      <c r="AJ288" s="203"/>
      <c r="AK288" s="203"/>
      <c r="AL288" s="203"/>
      <c r="AM288" s="203"/>
      <c r="AN288" s="203"/>
      <c r="AO288" s="203"/>
      <c r="AP288" s="203"/>
      <c r="AQ288" s="203"/>
      <c r="AR288" s="203"/>
      <c r="AS288" s="203"/>
      <c r="AT288" s="203"/>
      <c r="AU288" s="203"/>
      <c r="AV288" s="203"/>
      <c r="AW288" s="203"/>
      <c r="AX288" s="203"/>
      <c r="AY288" s="203"/>
      <c r="AZ288" s="203"/>
      <c r="BA288" s="203"/>
      <c r="BB288" s="203"/>
      <c r="BC288" s="203"/>
    </row>
    <row r="289" spans="4:55" s="155" customFormat="1" ht="11.25" x14ac:dyDescent="0.2">
      <c r="D289" s="203"/>
      <c r="E289" s="203"/>
      <c r="F289" s="203"/>
      <c r="G289" s="203"/>
      <c r="H289" s="203"/>
      <c r="I289" s="203"/>
      <c r="J289" s="203"/>
      <c r="K289" s="203"/>
      <c r="L289" s="203"/>
      <c r="M289" s="203"/>
      <c r="N289" s="203"/>
      <c r="O289" s="203"/>
      <c r="P289" s="203"/>
      <c r="Q289" s="203"/>
      <c r="R289" s="203"/>
      <c r="S289" s="203"/>
      <c r="T289" s="203"/>
      <c r="U289" s="203"/>
      <c r="V289" s="203"/>
      <c r="W289" s="203"/>
      <c r="X289" s="203"/>
      <c r="Y289" s="203"/>
      <c r="Z289" s="203"/>
      <c r="AA289" s="203"/>
      <c r="AB289" s="203"/>
      <c r="AC289" s="203"/>
      <c r="AD289" s="203"/>
      <c r="AE289" s="203"/>
      <c r="AF289" s="203"/>
      <c r="AG289" s="203"/>
      <c r="AH289" s="203"/>
      <c r="AI289" s="203"/>
      <c r="AJ289" s="203"/>
      <c r="AK289" s="203"/>
      <c r="AL289" s="203"/>
      <c r="AM289" s="203"/>
      <c r="AN289" s="203"/>
      <c r="AO289" s="203"/>
      <c r="AP289" s="203"/>
      <c r="AQ289" s="203"/>
      <c r="AR289" s="203"/>
      <c r="AS289" s="203"/>
      <c r="AT289" s="203"/>
      <c r="AU289" s="203"/>
      <c r="AV289" s="203"/>
      <c r="AW289" s="203"/>
      <c r="AX289" s="203"/>
      <c r="AY289" s="203"/>
      <c r="AZ289" s="203"/>
      <c r="BA289" s="203"/>
      <c r="BB289" s="203"/>
      <c r="BC289" s="203"/>
    </row>
    <row r="290" spans="4:55" s="155" customFormat="1" ht="11.25" x14ac:dyDescent="0.2">
      <c r="D290" s="203"/>
      <c r="E290" s="203"/>
      <c r="F290" s="203"/>
      <c r="G290" s="203"/>
      <c r="H290" s="203"/>
      <c r="I290" s="203"/>
      <c r="J290" s="203"/>
      <c r="K290" s="203"/>
      <c r="L290" s="203"/>
      <c r="M290" s="203"/>
      <c r="N290" s="203"/>
      <c r="O290" s="203"/>
      <c r="P290" s="203"/>
      <c r="Q290" s="203"/>
      <c r="R290" s="203"/>
      <c r="S290" s="203"/>
      <c r="T290" s="203"/>
      <c r="U290" s="203"/>
      <c r="V290" s="203"/>
      <c r="W290" s="203"/>
      <c r="X290" s="203"/>
      <c r="Y290" s="203"/>
      <c r="Z290" s="203"/>
      <c r="AA290" s="203"/>
      <c r="AB290" s="203"/>
      <c r="AC290" s="203"/>
      <c r="AD290" s="203"/>
      <c r="AE290" s="203"/>
      <c r="AF290" s="203"/>
      <c r="AG290" s="203"/>
      <c r="AH290" s="203"/>
      <c r="AI290" s="203"/>
      <c r="AJ290" s="203"/>
      <c r="AK290" s="203"/>
      <c r="AL290" s="203"/>
      <c r="AM290" s="203"/>
      <c r="AN290" s="203"/>
      <c r="AO290" s="203"/>
      <c r="AP290" s="203"/>
      <c r="AQ290" s="203"/>
      <c r="AR290" s="203"/>
      <c r="AS290" s="203"/>
      <c r="AT290" s="203"/>
      <c r="AU290" s="203"/>
      <c r="AV290" s="203"/>
      <c r="AW290" s="203"/>
      <c r="AX290" s="203"/>
      <c r="AY290" s="203"/>
      <c r="AZ290" s="203"/>
      <c r="BA290" s="203"/>
      <c r="BB290" s="203"/>
      <c r="BC290" s="203"/>
    </row>
    <row r="291" spans="4:55" s="155" customFormat="1" ht="11.25" x14ac:dyDescent="0.2">
      <c r="D291" s="203"/>
      <c r="E291" s="203"/>
      <c r="F291" s="203"/>
      <c r="G291" s="203"/>
      <c r="H291" s="203"/>
      <c r="I291" s="203"/>
      <c r="J291" s="203"/>
      <c r="K291" s="203"/>
      <c r="L291" s="203"/>
      <c r="M291" s="203"/>
      <c r="N291" s="203"/>
      <c r="O291" s="203"/>
      <c r="P291" s="203"/>
      <c r="Q291" s="203"/>
      <c r="R291" s="203"/>
      <c r="S291" s="203"/>
      <c r="T291" s="203"/>
      <c r="U291" s="203"/>
      <c r="V291" s="203"/>
      <c r="W291" s="203"/>
      <c r="X291" s="203"/>
      <c r="Y291" s="203"/>
      <c r="Z291" s="203"/>
      <c r="AA291" s="203"/>
      <c r="AB291" s="203"/>
      <c r="AC291" s="203"/>
      <c r="AD291" s="203"/>
      <c r="AE291" s="203"/>
      <c r="AF291" s="203"/>
      <c r="AG291" s="203"/>
      <c r="AH291" s="203"/>
      <c r="AI291" s="203"/>
      <c r="AJ291" s="203"/>
      <c r="AK291" s="203"/>
      <c r="AL291" s="203"/>
      <c r="AM291" s="203"/>
      <c r="AN291" s="203"/>
      <c r="AO291" s="203"/>
      <c r="AP291" s="203"/>
      <c r="AQ291" s="203"/>
      <c r="AR291" s="203"/>
      <c r="AS291" s="203"/>
      <c r="AT291" s="203"/>
      <c r="AU291" s="203"/>
      <c r="AV291" s="203"/>
      <c r="AW291" s="203"/>
      <c r="AX291" s="203"/>
      <c r="AY291" s="203"/>
      <c r="AZ291" s="203"/>
      <c r="BA291" s="203"/>
      <c r="BB291" s="203"/>
      <c r="BC291" s="203"/>
    </row>
    <row r="292" spans="4:55" s="155" customFormat="1" ht="11.25" x14ac:dyDescent="0.2">
      <c r="D292" s="203"/>
      <c r="E292" s="203"/>
      <c r="F292" s="203"/>
      <c r="G292" s="203"/>
      <c r="H292" s="203"/>
      <c r="I292" s="203"/>
      <c r="J292" s="203"/>
      <c r="K292" s="203"/>
      <c r="L292" s="203"/>
      <c r="M292" s="203"/>
      <c r="N292" s="203"/>
      <c r="O292" s="203"/>
      <c r="P292" s="203"/>
      <c r="Q292" s="203"/>
      <c r="R292" s="203"/>
      <c r="S292" s="203"/>
      <c r="T292" s="203"/>
      <c r="U292" s="203"/>
      <c r="V292" s="203"/>
      <c r="W292" s="203"/>
      <c r="X292" s="203"/>
      <c r="Y292" s="203"/>
      <c r="Z292" s="203"/>
      <c r="AA292" s="203"/>
      <c r="AB292" s="203"/>
      <c r="AC292" s="203"/>
      <c r="AD292" s="203"/>
      <c r="AE292" s="203"/>
      <c r="AF292" s="203"/>
      <c r="AG292" s="203"/>
      <c r="AH292" s="203"/>
      <c r="AI292" s="203"/>
      <c r="AJ292" s="203"/>
      <c r="AK292" s="203"/>
      <c r="AL292" s="203"/>
      <c r="AM292" s="203"/>
      <c r="AN292" s="203"/>
      <c r="AO292" s="203"/>
      <c r="AP292" s="203"/>
      <c r="AQ292" s="203"/>
      <c r="AR292" s="203"/>
      <c r="AS292" s="203"/>
      <c r="AT292" s="203"/>
      <c r="AU292" s="203"/>
      <c r="AV292" s="203"/>
      <c r="AW292" s="203"/>
      <c r="AX292" s="203"/>
      <c r="AY292" s="203"/>
      <c r="AZ292" s="203"/>
      <c r="BA292" s="203"/>
      <c r="BB292" s="203"/>
      <c r="BC292" s="203"/>
    </row>
    <row r="293" spans="4:55" s="155" customFormat="1" ht="11.25" x14ac:dyDescent="0.2">
      <c r="D293" s="203"/>
      <c r="E293" s="203"/>
      <c r="F293" s="203"/>
      <c r="G293" s="203"/>
      <c r="H293" s="203"/>
      <c r="I293" s="203"/>
      <c r="J293" s="203"/>
      <c r="K293" s="203"/>
      <c r="L293" s="203"/>
      <c r="M293" s="203"/>
      <c r="N293" s="203"/>
      <c r="O293" s="203"/>
      <c r="P293" s="203"/>
      <c r="Q293" s="203"/>
      <c r="R293" s="203"/>
      <c r="S293" s="203"/>
      <c r="T293" s="203"/>
      <c r="U293" s="203"/>
      <c r="V293" s="203"/>
      <c r="W293" s="203"/>
      <c r="X293" s="203"/>
      <c r="Y293" s="203"/>
      <c r="Z293" s="203"/>
      <c r="AA293" s="203"/>
      <c r="AB293" s="203"/>
      <c r="AC293" s="203"/>
      <c r="AD293" s="203"/>
      <c r="AE293" s="203"/>
      <c r="AF293" s="203"/>
      <c r="AG293" s="203"/>
      <c r="AH293" s="203"/>
      <c r="AI293" s="203"/>
      <c r="AJ293" s="203"/>
      <c r="AK293" s="203"/>
      <c r="AL293" s="203"/>
      <c r="AM293" s="203"/>
      <c r="AN293" s="203"/>
      <c r="AO293" s="203"/>
      <c r="AP293" s="203"/>
      <c r="AQ293" s="203"/>
      <c r="AR293" s="203"/>
      <c r="AS293" s="203"/>
      <c r="AT293" s="203"/>
      <c r="AU293" s="203"/>
      <c r="AV293" s="203"/>
      <c r="AW293" s="203"/>
      <c r="AX293" s="203"/>
      <c r="AY293" s="203"/>
      <c r="AZ293" s="203"/>
      <c r="BA293" s="203"/>
      <c r="BB293" s="203"/>
      <c r="BC293" s="203"/>
    </row>
    <row r="294" spans="4:55" s="155" customFormat="1" ht="11.25" x14ac:dyDescent="0.2">
      <c r="D294" s="203"/>
      <c r="E294" s="203"/>
      <c r="F294" s="203"/>
      <c r="G294" s="203"/>
      <c r="H294" s="203"/>
      <c r="I294" s="203"/>
      <c r="J294" s="203"/>
      <c r="K294" s="203"/>
      <c r="L294" s="203"/>
      <c r="M294" s="203"/>
      <c r="N294" s="203"/>
      <c r="O294" s="203"/>
      <c r="P294" s="203"/>
      <c r="Q294" s="203"/>
      <c r="R294" s="203"/>
      <c r="S294" s="203"/>
      <c r="T294" s="203"/>
      <c r="U294" s="203"/>
      <c r="V294" s="203"/>
      <c r="W294" s="203"/>
      <c r="X294" s="203"/>
      <c r="Y294" s="203"/>
      <c r="Z294" s="203"/>
      <c r="AA294" s="203"/>
      <c r="AB294" s="203"/>
      <c r="AC294" s="203"/>
      <c r="AD294" s="203"/>
      <c r="AE294" s="203"/>
      <c r="AF294" s="203"/>
      <c r="AG294" s="203"/>
      <c r="AH294" s="203"/>
      <c r="AI294" s="203"/>
      <c r="AJ294" s="203"/>
      <c r="AK294" s="203"/>
      <c r="AL294" s="203"/>
      <c r="AM294" s="203"/>
      <c r="AN294" s="203"/>
      <c r="AO294" s="203"/>
      <c r="AP294" s="203"/>
      <c r="AQ294" s="203"/>
      <c r="AR294" s="203"/>
      <c r="AS294" s="203"/>
      <c r="AT294" s="203"/>
      <c r="AU294" s="203"/>
      <c r="AV294" s="203"/>
      <c r="AW294" s="203"/>
      <c r="AX294" s="203"/>
      <c r="AY294" s="203"/>
      <c r="AZ294" s="203"/>
      <c r="BA294" s="203"/>
      <c r="BB294" s="203"/>
      <c r="BC294" s="203"/>
    </row>
    <row r="295" spans="4:55" s="155" customFormat="1" ht="11.25" x14ac:dyDescent="0.2">
      <c r="D295" s="203"/>
      <c r="E295" s="203"/>
      <c r="F295" s="203"/>
      <c r="G295" s="203"/>
      <c r="H295" s="203"/>
      <c r="I295" s="203"/>
      <c r="J295" s="203"/>
      <c r="K295" s="203"/>
      <c r="L295" s="203"/>
      <c r="M295" s="203"/>
      <c r="N295" s="203"/>
      <c r="O295" s="203"/>
      <c r="P295" s="203"/>
      <c r="Q295" s="203"/>
      <c r="R295" s="203"/>
      <c r="S295" s="203"/>
      <c r="T295" s="203"/>
      <c r="U295" s="203"/>
      <c r="V295" s="203"/>
      <c r="W295" s="203"/>
      <c r="X295" s="203"/>
      <c r="Y295" s="203"/>
      <c r="Z295" s="203"/>
      <c r="AA295" s="203"/>
      <c r="AB295" s="203"/>
      <c r="AC295" s="203"/>
      <c r="AD295" s="203"/>
      <c r="AE295" s="203"/>
      <c r="AF295" s="203"/>
      <c r="AG295" s="203"/>
      <c r="AH295" s="203"/>
      <c r="AI295" s="203"/>
      <c r="AJ295" s="203"/>
      <c r="AK295" s="203"/>
      <c r="AL295" s="203"/>
      <c r="AM295" s="203"/>
      <c r="AN295" s="203"/>
      <c r="AO295" s="203"/>
      <c r="AP295" s="203"/>
      <c r="AQ295" s="203"/>
      <c r="AR295" s="203"/>
      <c r="AS295" s="203"/>
      <c r="AT295" s="203"/>
      <c r="AU295" s="203"/>
      <c r="AV295" s="203"/>
      <c r="AW295" s="203"/>
      <c r="AX295" s="203"/>
      <c r="AY295" s="203"/>
      <c r="AZ295" s="203"/>
      <c r="BA295" s="203"/>
      <c r="BB295" s="203"/>
      <c r="BC295" s="203"/>
    </row>
    <row r="296" spans="4:55" s="155" customFormat="1" ht="11.25" x14ac:dyDescent="0.2">
      <c r="D296" s="203"/>
      <c r="E296" s="203"/>
      <c r="F296" s="203"/>
      <c r="G296" s="203"/>
      <c r="H296" s="203"/>
      <c r="I296" s="203"/>
      <c r="J296" s="203"/>
      <c r="K296" s="203"/>
      <c r="L296" s="203"/>
      <c r="M296" s="203"/>
      <c r="N296" s="203"/>
      <c r="O296" s="203"/>
      <c r="P296" s="203"/>
      <c r="Q296" s="203"/>
      <c r="R296" s="203"/>
      <c r="S296" s="203"/>
      <c r="T296" s="203"/>
      <c r="U296" s="203"/>
      <c r="V296" s="203"/>
      <c r="W296" s="203"/>
      <c r="X296" s="203"/>
      <c r="Y296" s="203"/>
      <c r="Z296" s="203"/>
      <c r="AA296" s="203"/>
      <c r="AB296" s="203"/>
      <c r="AC296" s="203"/>
      <c r="AD296" s="203"/>
      <c r="AE296" s="203"/>
      <c r="AF296" s="203"/>
      <c r="AG296" s="203"/>
      <c r="AH296" s="203"/>
      <c r="AI296" s="203"/>
      <c r="AJ296" s="203"/>
      <c r="AK296" s="203"/>
      <c r="AL296" s="203"/>
      <c r="AM296" s="203"/>
      <c r="AN296" s="203"/>
      <c r="AO296" s="203"/>
      <c r="AP296" s="203"/>
      <c r="AQ296" s="203"/>
      <c r="AR296" s="203"/>
      <c r="AS296" s="203"/>
      <c r="AT296" s="203"/>
      <c r="AU296" s="203"/>
      <c r="AV296" s="203"/>
      <c r="AW296" s="203"/>
      <c r="AX296" s="203"/>
      <c r="AY296" s="203"/>
      <c r="AZ296" s="203"/>
      <c r="BA296" s="203"/>
      <c r="BB296" s="203"/>
      <c r="BC296" s="203"/>
    </row>
    <row r="297" spans="4:55" s="155" customFormat="1" ht="11.25" x14ac:dyDescent="0.2">
      <c r="D297" s="203"/>
      <c r="E297" s="203"/>
      <c r="F297" s="203"/>
      <c r="G297" s="203"/>
      <c r="H297" s="203"/>
      <c r="I297" s="203"/>
      <c r="J297" s="203"/>
      <c r="K297" s="203"/>
      <c r="L297" s="203"/>
      <c r="M297" s="203"/>
      <c r="N297" s="203"/>
      <c r="O297" s="203"/>
      <c r="P297" s="203"/>
      <c r="Q297" s="203"/>
      <c r="R297" s="203"/>
      <c r="S297" s="203"/>
      <c r="T297" s="203"/>
      <c r="U297" s="203"/>
      <c r="V297" s="203"/>
      <c r="W297" s="203"/>
      <c r="X297" s="203"/>
      <c r="Y297" s="203"/>
      <c r="Z297" s="203"/>
      <c r="AA297" s="203"/>
      <c r="AB297" s="203"/>
      <c r="AC297" s="203"/>
      <c r="AD297" s="203"/>
      <c r="AE297" s="203"/>
      <c r="AF297" s="203"/>
      <c r="AG297" s="203"/>
      <c r="AH297" s="203"/>
      <c r="AI297" s="203"/>
      <c r="AJ297" s="203"/>
      <c r="AK297" s="203"/>
      <c r="AL297" s="203"/>
      <c r="AM297" s="203"/>
      <c r="AN297" s="203"/>
      <c r="AO297" s="203"/>
      <c r="AP297" s="203"/>
      <c r="AQ297" s="203"/>
      <c r="AR297" s="203"/>
      <c r="AS297" s="203"/>
      <c r="AT297" s="203"/>
      <c r="AU297" s="203"/>
      <c r="AV297" s="203"/>
      <c r="AW297" s="203"/>
      <c r="AX297" s="203"/>
      <c r="AY297" s="203"/>
      <c r="AZ297" s="203"/>
      <c r="BA297" s="203"/>
      <c r="BB297" s="203"/>
      <c r="BC297" s="203"/>
    </row>
    <row r="298" spans="4:55" s="155" customFormat="1" ht="11.25" x14ac:dyDescent="0.2">
      <c r="D298" s="203"/>
      <c r="E298" s="203"/>
      <c r="F298" s="203"/>
      <c r="G298" s="203"/>
      <c r="H298" s="203"/>
      <c r="I298" s="203"/>
      <c r="J298" s="203"/>
      <c r="K298" s="203"/>
      <c r="L298" s="203"/>
      <c r="M298" s="203"/>
      <c r="N298" s="203"/>
      <c r="O298" s="203"/>
      <c r="P298" s="203"/>
      <c r="Q298" s="203"/>
      <c r="R298" s="203"/>
      <c r="S298" s="203"/>
      <c r="T298" s="203"/>
      <c r="U298" s="203"/>
      <c r="V298" s="203"/>
      <c r="W298" s="203"/>
      <c r="X298" s="203"/>
      <c r="Y298" s="203"/>
      <c r="Z298" s="203"/>
      <c r="AA298" s="203"/>
      <c r="AB298" s="203"/>
      <c r="AC298" s="203"/>
      <c r="AD298" s="203"/>
      <c r="AE298" s="203"/>
      <c r="AF298" s="203"/>
      <c r="AG298" s="203"/>
      <c r="AH298" s="203"/>
      <c r="AI298" s="203"/>
      <c r="AJ298" s="203"/>
      <c r="AK298" s="203"/>
      <c r="AL298" s="203"/>
      <c r="AM298" s="203"/>
      <c r="AN298" s="203"/>
      <c r="AO298" s="203"/>
      <c r="AP298" s="203"/>
      <c r="AQ298" s="203"/>
      <c r="AR298" s="203"/>
      <c r="AS298" s="203"/>
      <c r="AT298" s="203"/>
      <c r="AU298" s="203"/>
      <c r="AV298" s="203"/>
      <c r="AW298" s="203"/>
      <c r="AX298" s="203"/>
      <c r="AY298" s="203"/>
      <c r="AZ298" s="203"/>
      <c r="BA298" s="203"/>
      <c r="BB298" s="203"/>
      <c r="BC298" s="203"/>
    </row>
    <row r="299" spans="4:55" s="155" customFormat="1" ht="11.25" x14ac:dyDescent="0.2">
      <c r="D299" s="203"/>
      <c r="E299" s="203"/>
      <c r="F299" s="203"/>
      <c r="G299" s="203"/>
      <c r="H299" s="203"/>
      <c r="I299" s="203"/>
      <c r="J299" s="203"/>
      <c r="K299" s="203"/>
      <c r="L299" s="203"/>
      <c r="M299" s="203"/>
      <c r="N299" s="203"/>
      <c r="O299" s="203"/>
      <c r="P299" s="203"/>
      <c r="Q299" s="203"/>
      <c r="R299" s="203"/>
      <c r="S299" s="203"/>
      <c r="T299" s="203"/>
      <c r="U299" s="203"/>
      <c r="V299" s="203"/>
      <c r="W299" s="203"/>
      <c r="X299" s="203"/>
      <c r="Y299" s="203"/>
      <c r="Z299" s="203"/>
      <c r="AA299" s="203"/>
      <c r="AB299" s="203"/>
      <c r="AC299" s="203"/>
      <c r="AD299" s="203"/>
      <c r="AE299" s="203"/>
      <c r="AF299" s="203"/>
      <c r="AG299" s="203"/>
      <c r="AH299" s="203"/>
      <c r="AI299" s="203"/>
      <c r="AJ299" s="203"/>
      <c r="AK299" s="203"/>
      <c r="AL299" s="203"/>
      <c r="AM299" s="203"/>
      <c r="AN299" s="203"/>
      <c r="AO299" s="203"/>
      <c r="AP299" s="203"/>
      <c r="AQ299" s="203"/>
      <c r="AR299" s="203"/>
      <c r="AS299" s="203"/>
      <c r="AT299" s="203"/>
      <c r="AU299" s="203"/>
      <c r="AV299" s="203"/>
      <c r="AW299" s="203"/>
      <c r="AX299" s="203"/>
      <c r="AY299" s="203"/>
      <c r="AZ299" s="203"/>
      <c r="BA299" s="203"/>
      <c r="BB299" s="203"/>
      <c r="BC299" s="203"/>
    </row>
    <row r="300" spans="4:55" s="155" customFormat="1" ht="11.25" x14ac:dyDescent="0.2">
      <c r="D300" s="203"/>
      <c r="E300" s="203"/>
      <c r="F300" s="203"/>
      <c r="G300" s="203"/>
      <c r="H300" s="203"/>
      <c r="I300" s="203"/>
      <c r="J300" s="203"/>
      <c r="K300" s="203"/>
      <c r="L300" s="203"/>
      <c r="M300" s="203"/>
      <c r="N300" s="203"/>
      <c r="O300" s="203"/>
      <c r="P300" s="203"/>
      <c r="Q300" s="203"/>
      <c r="R300" s="203"/>
      <c r="S300" s="203"/>
      <c r="T300" s="203"/>
      <c r="U300" s="203"/>
      <c r="V300" s="203"/>
      <c r="W300" s="203"/>
      <c r="X300" s="203"/>
      <c r="Y300" s="203"/>
      <c r="Z300" s="203"/>
      <c r="AA300" s="203"/>
      <c r="AB300" s="203"/>
      <c r="AC300" s="203"/>
      <c r="AD300" s="203"/>
      <c r="AE300" s="203"/>
      <c r="AF300" s="203"/>
      <c r="AG300" s="203"/>
      <c r="AH300" s="203"/>
      <c r="AI300" s="203"/>
      <c r="AJ300" s="203"/>
      <c r="AK300" s="203"/>
      <c r="AL300" s="203"/>
      <c r="AM300" s="203"/>
      <c r="AN300" s="203"/>
      <c r="AO300" s="203"/>
      <c r="AP300" s="203"/>
      <c r="AQ300" s="203"/>
      <c r="AR300" s="203"/>
      <c r="AS300" s="203"/>
      <c r="AT300" s="203"/>
      <c r="AU300" s="203"/>
      <c r="AV300" s="203"/>
      <c r="AW300" s="203"/>
      <c r="AX300" s="203"/>
      <c r="AY300" s="203"/>
      <c r="AZ300" s="203"/>
      <c r="BA300" s="203"/>
      <c r="BB300" s="203"/>
      <c r="BC300" s="203"/>
    </row>
    <row r="301" spans="4:55" s="155" customFormat="1" ht="11.25" x14ac:dyDescent="0.2">
      <c r="D301" s="203"/>
      <c r="E301" s="203"/>
      <c r="F301" s="203"/>
      <c r="G301" s="203"/>
      <c r="H301" s="203"/>
      <c r="I301" s="203"/>
      <c r="J301" s="203"/>
      <c r="K301" s="203"/>
      <c r="L301" s="203"/>
      <c r="M301" s="203"/>
      <c r="N301" s="203"/>
      <c r="O301" s="203"/>
      <c r="P301" s="203"/>
      <c r="Q301" s="203"/>
      <c r="R301" s="203"/>
      <c r="S301" s="203"/>
      <c r="T301" s="203"/>
      <c r="U301" s="203"/>
      <c r="V301" s="203"/>
      <c r="W301" s="203"/>
      <c r="X301" s="203"/>
      <c r="Y301" s="203"/>
      <c r="Z301" s="203"/>
      <c r="AA301" s="203"/>
      <c r="AB301" s="203"/>
      <c r="AC301" s="203"/>
      <c r="AD301" s="203"/>
      <c r="AE301" s="203"/>
      <c r="AF301" s="203"/>
      <c r="AG301" s="203"/>
      <c r="AH301" s="203"/>
      <c r="AI301" s="203"/>
      <c r="AJ301" s="203"/>
      <c r="AK301" s="203"/>
      <c r="AL301" s="203"/>
      <c r="AM301" s="203"/>
      <c r="AN301" s="203"/>
      <c r="AO301" s="203"/>
      <c r="AP301" s="203"/>
      <c r="AQ301" s="203"/>
      <c r="AR301" s="203"/>
      <c r="AS301" s="203"/>
      <c r="AT301" s="203"/>
      <c r="AU301" s="203"/>
      <c r="AV301" s="203"/>
      <c r="AW301" s="203"/>
      <c r="AX301" s="203"/>
      <c r="AY301" s="203"/>
      <c r="AZ301" s="203"/>
      <c r="BA301" s="203"/>
      <c r="BB301" s="203"/>
      <c r="BC301" s="203"/>
    </row>
    <row r="302" spans="4:55" s="155" customFormat="1" ht="11.25" x14ac:dyDescent="0.2">
      <c r="D302" s="203"/>
      <c r="E302" s="203"/>
      <c r="F302" s="203"/>
      <c r="G302" s="203"/>
      <c r="H302" s="203"/>
      <c r="I302" s="203"/>
      <c r="J302" s="203"/>
      <c r="K302" s="203"/>
      <c r="L302" s="203"/>
      <c r="M302" s="203"/>
      <c r="N302" s="203"/>
      <c r="O302" s="203"/>
      <c r="P302" s="203"/>
      <c r="Q302" s="203"/>
      <c r="R302" s="203"/>
      <c r="S302" s="203"/>
      <c r="T302" s="203"/>
      <c r="U302" s="203"/>
      <c r="V302" s="203"/>
      <c r="W302" s="203"/>
      <c r="X302" s="203"/>
      <c r="Y302" s="203"/>
      <c r="Z302" s="203"/>
      <c r="AA302" s="203"/>
      <c r="AB302" s="203"/>
      <c r="AC302" s="203"/>
      <c r="AD302" s="203"/>
      <c r="AE302" s="203"/>
      <c r="AF302" s="203"/>
      <c r="AG302" s="203"/>
      <c r="AH302" s="203"/>
      <c r="AI302" s="203"/>
      <c r="AJ302" s="203"/>
      <c r="AK302" s="203"/>
      <c r="AL302" s="203"/>
      <c r="AM302" s="203"/>
      <c r="AN302" s="203"/>
      <c r="AO302" s="203"/>
      <c r="AP302" s="203"/>
      <c r="AQ302" s="203"/>
      <c r="AR302" s="203"/>
      <c r="AS302" s="203"/>
      <c r="AT302" s="203"/>
      <c r="AU302" s="203"/>
      <c r="AV302" s="203"/>
      <c r="AW302" s="203"/>
      <c r="AX302" s="203"/>
      <c r="AY302" s="203"/>
      <c r="AZ302" s="203"/>
      <c r="BA302" s="203"/>
      <c r="BB302" s="203"/>
      <c r="BC302" s="203"/>
    </row>
    <row r="303" spans="4:55" s="155" customFormat="1" ht="11.25" x14ac:dyDescent="0.2">
      <c r="D303" s="203"/>
      <c r="E303" s="203"/>
      <c r="F303" s="203"/>
      <c r="G303" s="203"/>
      <c r="H303" s="203"/>
      <c r="I303" s="203"/>
      <c r="J303" s="203"/>
      <c r="K303" s="203"/>
      <c r="L303" s="203"/>
      <c r="M303" s="203"/>
      <c r="N303" s="203"/>
      <c r="O303" s="203"/>
      <c r="P303" s="203"/>
      <c r="Q303" s="203"/>
      <c r="R303" s="203"/>
      <c r="S303" s="203"/>
      <c r="T303" s="203"/>
      <c r="U303" s="203"/>
      <c r="V303" s="203"/>
      <c r="W303" s="203"/>
      <c r="X303" s="203"/>
      <c r="Y303" s="203"/>
      <c r="Z303" s="203"/>
      <c r="AA303" s="203"/>
      <c r="AB303" s="203"/>
      <c r="AC303" s="203"/>
      <c r="AD303" s="203"/>
      <c r="AE303" s="203"/>
      <c r="AF303" s="203"/>
      <c r="AG303" s="203"/>
      <c r="AH303" s="203"/>
      <c r="AI303" s="203"/>
      <c r="AJ303" s="203"/>
      <c r="AK303" s="203"/>
      <c r="AL303" s="203"/>
      <c r="AM303" s="203"/>
      <c r="AN303" s="203"/>
      <c r="AO303" s="203"/>
      <c r="AP303" s="203"/>
      <c r="AQ303" s="203"/>
      <c r="AR303" s="203"/>
      <c r="AS303" s="203"/>
      <c r="AT303" s="203"/>
      <c r="AU303" s="203"/>
      <c r="AV303" s="203"/>
      <c r="AW303" s="203"/>
      <c r="AX303" s="203"/>
      <c r="AY303" s="203"/>
      <c r="AZ303" s="203"/>
      <c r="BA303" s="203"/>
      <c r="BB303" s="203"/>
      <c r="BC303" s="203"/>
    </row>
    <row r="304" spans="4:55" s="155" customFormat="1" ht="11.25" x14ac:dyDescent="0.2">
      <c r="D304" s="203"/>
      <c r="E304" s="203"/>
      <c r="F304" s="203"/>
      <c r="G304" s="203"/>
      <c r="H304" s="203"/>
      <c r="I304" s="203"/>
      <c r="J304" s="203"/>
      <c r="K304" s="203"/>
      <c r="L304" s="203"/>
      <c r="M304" s="203"/>
      <c r="N304" s="203"/>
      <c r="O304" s="203"/>
      <c r="P304" s="203"/>
      <c r="Q304" s="203"/>
      <c r="R304" s="203"/>
      <c r="S304" s="203"/>
      <c r="T304" s="203"/>
      <c r="U304" s="203"/>
      <c r="V304" s="203"/>
      <c r="W304" s="203"/>
      <c r="X304" s="203"/>
      <c r="Y304" s="203"/>
      <c r="Z304" s="203"/>
      <c r="AA304" s="203"/>
      <c r="AB304" s="203"/>
      <c r="AC304" s="203"/>
      <c r="AD304" s="203"/>
      <c r="AE304" s="203"/>
      <c r="AF304" s="203"/>
      <c r="AG304" s="203"/>
      <c r="AH304" s="203"/>
      <c r="AI304" s="203"/>
      <c r="AJ304" s="203"/>
      <c r="AK304" s="203"/>
      <c r="AL304" s="203"/>
      <c r="AM304" s="203"/>
      <c r="AN304" s="203"/>
      <c r="AO304" s="203"/>
      <c r="AP304" s="203"/>
      <c r="AQ304" s="203"/>
      <c r="AR304" s="203"/>
      <c r="AS304" s="203"/>
      <c r="AT304" s="203"/>
      <c r="AU304" s="203"/>
      <c r="AV304" s="203"/>
      <c r="AW304" s="203"/>
      <c r="AX304" s="203"/>
      <c r="AY304" s="203"/>
      <c r="AZ304" s="203"/>
      <c r="BA304" s="203"/>
      <c r="BB304" s="203"/>
      <c r="BC304" s="203"/>
    </row>
    <row r="305" spans="4:55" s="155" customFormat="1" ht="11.25" x14ac:dyDescent="0.2">
      <c r="D305" s="203"/>
      <c r="E305" s="203"/>
      <c r="F305" s="203"/>
      <c r="G305" s="203"/>
      <c r="H305" s="203"/>
      <c r="I305" s="203"/>
      <c r="J305" s="203"/>
      <c r="K305" s="203"/>
      <c r="L305" s="203"/>
      <c r="M305" s="203"/>
      <c r="N305" s="203"/>
      <c r="O305" s="203"/>
      <c r="P305" s="203"/>
      <c r="Q305" s="203"/>
      <c r="R305" s="203"/>
      <c r="S305" s="203"/>
      <c r="T305" s="203"/>
      <c r="U305" s="203"/>
      <c r="V305" s="203"/>
      <c r="W305" s="203"/>
      <c r="X305" s="203"/>
      <c r="Y305" s="203"/>
      <c r="Z305" s="203"/>
      <c r="AA305" s="203"/>
      <c r="AB305" s="203"/>
      <c r="AC305" s="203"/>
      <c r="AD305" s="203"/>
      <c r="AE305" s="203"/>
      <c r="AF305" s="203"/>
      <c r="AG305" s="203"/>
      <c r="AH305" s="203"/>
      <c r="AI305" s="203"/>
      <c r="AJ305" s="203"/>
      <c r="AK305" s="203"/>
      <c r="AL305" s="203"/>
      <c r="AM305" s="203"/>
      <c r="AN305" s="203"/>
      <c r="AO305" s="203"/>
      <c r="AP305" s="203"/>
      <c r="AQ305" s="203"/>
      <c r="AR305" s="203"/>
      <c r="AS305" s="203"/>
      <c r="AT305" s="203"/>
      <c r="AU305" s="203"/>
      <c r="AV305" s="203"/>
      <c r="AW305" s="203"/>
      <c r="AX305" s="203"/>
      <c r="AY305" s="203"/>
      <c r="AZ305" s="203"/>
      <c r="BA305" s="203"/>
      <c r="BB305" s="203"/>
      <c r="BC305" s="203"/>
    </row>
    <row r="306" spans="4:55" s="155" customFormat="1" ht="11.25" x14ac:dyDescent="0.2">
      <c r="D306" s="203"/>
      <c r="E306" s="203"/>
      <c r="F306" s="203"/>
      <c r="G306" s="203"/>
      <c r="H306" s="203"/>
      <c r="I306" s="203"/>
      <c r="J306" s="203"/>
      <c r="K306" s="203"/>
      <c r="L306" s="203"/>
      <c r="M306" s="203"/>
      <c r="N306" s="203"/>
      <c r="O306" s="203"/>
      <c r="P306" s="203"/>
      <c r="Q306" s="203"/>
      <c r="R306" s="203"/>
      <c r="S306" s="203"/>
      <c r="T306" s="203"/>
      <c r="U306" s="203"/>
      <c r="V306" s="203"/>
      <c r="W306" s="203"/>
      <c r="X306" s="203"/>
      <c r="Y306" s="203"/>
      <c r="Z306" s="203"/>
      <c r="AA306" s="203"/>
      <c r="AB306" s="203"/>
      <c r="AC306" s="203"/>
      <c r="AD306" s="203"/>
      <c r="AE306" s="203"/>
      <c r="AF306" s="203"/>
      <c r="AG306" s="203"/>
      <c r="AH306" s="203"/>
      <c r="AI306" s="203"/>
      <c r="AJ306" s="203"/>
      <c r="AK306" s="203"/>
      <c r="AL306" s="203"/>
      <c r="AM306" s="203"/>
      <c r="AN306" s="203"/>
      <c r="AO306" s="203"/>
      <c r="AP306" s="203"/>
      <c r="AQ306" s="203"/>
      <c r="AR306" s="203"/>
      <c r="AS306" s="203"/>
      <c r="AT306" s="203"/>
      <c r="AU306" s="203"/>
      <c r="AV306" s="203"/>
      <c r="AW306" s="203"/>
      <c r="AX306" s="203"/>
      <c r="AY306" s="203"/>
      <c r="AZ306" s="203"/>
      <c r="BA306" s="203"/>
      <c r="BB306" s="203"/>
      <c r="BC306" s="203"/>
    </row>
    <row r="307" spans="4:55" s="155" customFormat="1" ht="11.25" x14ac:dyDescent="0.2">
      <c r="D307" s="203"/>
      <c r="E307" s="203"/>
      <c r="F307" s="203"/>
      <c r="G307" s="203"/>
      <c r="H307" s="203"/>
      <c r="I307" s="203"/>
      <c r="J307" s="203"/>
      <c r="K307" s="203"/>
      <c r="L307" s="203"/>
      <c r="M307" s="203"/>
      <c r="N307" s="203"/>
      <c r="O307" s="203"/>
      <c r="P307" s="203"/>
      <c r="Q307" s="203"/>
      <c r="R307" s="203"/>
      <c r="S307" s="203"/>
      <c r="T307" s="203"/>
      <c r="U307" s="203"/>
      <c r="V307" s="203"/>
      <c r="W307" s="203"/>
      <c r="X307" s="203"/>
      <c r="Y307" s="203"/>
      <c r="Z307" s="203"/>
      <c r="AA307" s="203"/>
      <c r="AB307" s="203"/>
      <c r="AC307" s="203"/>
      <c r="AD307" s="203"/>
      <c r="AE307" s="203"/>
      <c r="AF307" s="203"/>
      <c r="AG307" s="203"/>
      <c r="AH307" s="203"/>
      <c r="AI307" s="203"/>
      <c r="AJ307" s="203"/>
      <c r="AK307" s="203"/>
      <c r="AL307" s="203"/>
      <c r="AM307" s="203"/>
      <c r="AN307" s="203"/>
      <c r="AO307" s="203"/>
      <c r="AP307" s="203"/>
      <c r="AQ307" s="203"/>
      <c r="AR307" s="203"/>
      <c r="AS307" s="203"/>
      <c r="AT307" s="203"/>
      <c r="AU307" s="203"/>
      <c r="AV307" s="203"/>
      <c r="AW307" s="203"/>
      <c r="AX307" s="203"/>
      <c r="AY307" s="203"/>
      <c r="AZ307" s="203"/>
      <c r="BA307" s="203"/>
      <c r="BB307" s="203"/>
      <c r="BC307" s="203"/>
    </row>
    <row r="308" spans="4:55" s="155" customFormat="1" ht="11.25" x14ac:dyDescent="0.2"/>
    <row r="309" spans="4:55" s="155" customFormat="1" ht="11.25" x14ac:dyDescent="0.2"/>
    <row r="310" spans="4:55" s="155" customFormat="1" ht="11.25" x14ac:dyDescent="0.2"/>
    <row r="311" spans="4:55" s="155" customFormat="1" ht="11.25" x14ac:dyDescent="0.2"/>
    <row r="312" spans="4:55" s="155" customFormat="1" ht="11.25" x14ac:dyDescent="0.2"/>
    <row r="313" spans="4:55" s="155" customFormat="1" ht="11.25" x14ac:dyDescent="0.2"/>
    <row r="314" spans="4:55" s="155" customFormat="1" ht="11.25" x14ac:dyDescent="0.2"/>
    <row r="315" spans="4:5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968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1437308710</v>
      </c>
      <c r="E14" s="432">
        <f>SUM(E15,E16,E33,E54)</f>
        <v>623842912</v>
      </c>
      <c r="F14" s="432">
        <f t="shared" ref="F14:O14" si="0">SUM(F15,F16,F33,F54)</f>
        <v>278114727</v>
      </c>
      <c r="G14" s="432">
        <f t="shared" si="0"/>
        <v>97077795</v>
      </c>
      <c r="H14" s="432">
        <f t="shared" si="0"/>
        <v>74385508</v>
      </c>
      <c r="I14" s="432">
        <f t="shared" si="0"/>
        <v>355477321</v>
      </c>
      <c r="J14" s="432">
        <f t="shared" si="0"/>
        <v>18747393</v>
      </c>
      <c r="K14" s="432">
        <f t="shared" si="0"/>
        <v>100334410</v>
      </c>
      <c r="L14" s="432">
        <f t="shared" si="0"/>
        <v>0</v>
      </c>
      <c r="M14" s="432">
        <f t="shared" si="0"/>
        <v>136387156</v>
      </c>
      <c r="N14" s="432">
        <f t="shared" si="0"/>
        <v>120702015</v>
      </c>
      <c r="O14" s="432">
        <f t="shared" si="0"/>
        <v>7431995</v>
      </c>
      <c r="P14" s="442">
        <f>IF(SUM(Q14:AB14)=SUM(AC14:AM14),SUM(Q14:AB14),"  EROARE ART/CAP")</f>
        <v>1392970176</v>
      </c>
      <c r="Q14" s="432">
        <f t="shared" ref="Q14:AM14" si="1">Q15+Q16+Q33+Q54</f>
        <v>457747466</v>
      </c>
      <c r="R14" s="432">
        <f t="shared" si="1"/>
        <v>342708537</v>
      </c>
      <c r="S14" s="432">
        <f t="shared" si="1"/>
        <v>9888345</v>
      </c>
      <c r="T14" s="432">
        <f t="shared" si="1"/>
        <v>22156894</v>
      </c>
      <c r="U14" s="432">
        <f t="shared" si="1"/>
        <v>38380311</v>
      </c>
      <c r="V14" s="432">
        <f t="shared" si="1"/>
        <v>10680758</v>
      </c>
      <c r="W14" s="432">
        <f t="shared" si="1"/>
        <v>181962318</v>
      </c>
      <c r="X14" s="432">
        <f t="shared" si="1"/>
        <v>111448218</v>
      </c>
      <c r="Y14" s="432">
        <f t="shared" si="1"/>
        <v>47483891</v>
      </c>
      <c r="Z14" s="432">
        <f t="shared" si="1"/>
        <v>141849064</v>
      </c>
      <c r="AA14" s="432">
        <f t="shared" si="1"/>
        <v>32444039</v>
      </c>
      <c r="AB14" s="432">
        <f t="shared" si="1"/>
        <v>-3779665</v>
      </c>
      <c r="AC14" s="432">
        <f t="shared" si="1"/>
        <v>168583242</v>
      </c>
      <c r="AD14" s="432">
        <f t="shared" si="1"/>
        <v>18349830</v>
      </c>
      <c r="AE14" s="432">
        <f t="shared" si="1"/>
        <v>377238983</v>
      </c>
      <c r="AF14" s="432">
        <f t="shared" si="1"/>
        <v>36065151</v>
      </c>
      <c r="AG14" s="432">
        <f t="shared" si="1"/>
        <v>125231210</v>
      </c>
      <c r="AH14" s="432">
        <f t="shared" si="1"/>
        <v>186116611</v>
      </c>
      <c r="AI14" s="432">
        <f t="shared" si="1"/>
        <v>124045687</v>
      </c>
      <c r="AJ14" s="432">
        <f t="shared" si="1"/>
        <v>85550198</v>
      </c>
      <c r="AK14" s="432">
        <f t="shared" si="1"/>
        <v>0</v>
      </c>
      <c r="AL14" s="432">
        <f t="shared" si="1"/>
        <v>253190971</v>
      </c>
      <c r="AM14" s="432">
        <f t="shared" si="1"/>
        <v>18598293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283769317</v>
      </c>
      <c r="E15" s="431">
        <v>93522339</v>
      </c>
      <c r="F15" s="431">
        <v>59033793</v>
      </c>
      <c r="G15" s="431">
        <v>29298750</v>
      </c>
      <c r="H15" s="431">
        <v>74385508</v>
      </c>
      <c r="I15" s="431">
        <v>0</v>
      </c>
      <c r="J15" s="431">
        <v>7103000</v>
      </c>
      <c r="K15" s="431">
        <v>23730790</v>
      </c>
      <c r="L15" s="431">
        <v>0</v>
      </c>
      <c r="M15" s="431">
        <v>70447498</v>
      </c>
      <c r="N15" s="431">
        <v>14493857</v>
      </c>
      <c r="O15" s="431">
        <v>86325</v>
      </c>
      <c r="P15" s="444">
        <f>IF(SUM(Q15:AB15)=SUM(AC15:AM15),SUM(Q15:AB15),"  EROARE ART/CAP")</f>
        <v>273523902</v>
      </c>
      <c r="Q15" s="431">
        <v>50510718</v>
      </c>
      <c r="R15" s="431">
        <v>57690858</v>
      </c>
      <c r="S15" s="431">
        <v>2010995</v>
      </c>
      <c r="T15" s="431">
        <v>0</v>
      </c>
      <c r="U15" s="431">
        <v>33471225</v>
      </c>
      <c r="V15" s="431">
        <v>7062481</v>
      </c>
      <c r="W15" s="431">
        <v>17693530</v>
      </c>
      <c r="X15" s="431">
        <v>77265729</v>
      </c>
      <c r="Y15" s="431">
        <v>9749301</v>
      </c>
      <c r="Z15" s="431">
        <v>14368552</v>
      </c>
      <c r="AA15" s="431">
        <v>4811957</v>
      </c>
      <c r="AB15" s="431">
        <v>-1111444</v>
      </c>
      <c r="AC15" s="431">
        <v>19054382</v>
      </c>
      <c r="AD15" s="431">
        <v>422502</v>
      </c>
      <c r="AE15" s="431">
        <v>23551062</v>
      </c>
      <c r="AF15" s="431">
        <v>25078149</v>
      </c>
      <c r="AG15" s="431">
        <v>27461974</v>
      </c>
      <c r="AH15" s="431">
        <v>122762266</v>
      </c>
      <c r="AI15" s="431">
        <v>0</v>
      </c>
      <c r="AJ15" s="431">
        <v>3024623</v>
      </c>
      <c r="AK15" s="431">
        <v>0</v>
      </c>
      <c r="AL15" s="431">
        <v>48138870</v>
      </c>
      <c r="AM15" s="431">
        <v>4030074</v>
      </c>
    </row>
    <row r="16" spans="1:39" s="155" customFormat="1" ht="12" x14ac:dyDescent="0.2">
      <c r="A16" s="156" t="s">
        <v>72</v>
      </c>
      <c r="B16" s="157"/>
      <c r="C16" s="159"/>
      <c r="D16" s="442">
        <f>E16+SUM(H16:O16)</f>
        <v>549948688</v>
      </c>
      <c r="E16" s="433">
        <f>SUM(E18:E32)</f>
        <v>292226497</v>
      </c>
      <c r="F16" s="433">
        <f t="shared" ref="F16:O16" si="2">SUM(F18:F32)</f>
        <v>157707435</v>
      </c>
      <c r="G16" s="433">
        <f t="shared" si="2"/>
        <v>5161914</v>
      </c>
      <c r="H16" s="433">
        <f t="shared" si="2"/>
        <v>0</v>
      </c>
      <c r="I16" s="433">
        <f t="shared" si="2"/>
        <v>181167111</v>
      </c>
      <c r="J16" s="433">
        <f t="shared" si="2"/>
        <v>266000</v>
      </c>
      <c r="K16" s="433">
        <f t="shared" si="2"/>
        <v>5397410</v>
      </c>
      <c r="L16" s="433">
        <f t="shared" si="2"/>
        <v>0</v>
      </c>
      <c r="M16" s="433">
        <f t="shared" si="2"/>
        <v>23568579</v>
      </c>
      <c r="N16" s="433">
        <f t="shared" si="2"/>
        <v>47109435</v>
      </c>
      <c r="O16" s="433">
        <f t="shared" si="2"/>
        <v>213656</v>
      </c>
      <c r="P16" s="442">
        <f t="shared" ref="P16:P53" si="3">IF(SUM(Q16:AB16)=SUM(AC16:AM16),SUM(Q16:AB16),"  EROARE ART/CAP")</f>
        <v>541841392</v>
      </c>
      <c r="Q16" s="432">
        <f>SUM(Q18:Q32)</f>
        <v>204225489</v>
      </c>
      <c r="R16" s="432">
        <f t="shared" ref="R16:AM16" si="4">SUM(R18:R32)</f>
        <v>134631859</v>
      </c>
      <c r="S16" s="432">
        <f t="shared" si="4"/>
        <v>6073214</v>
      </c>
      <c r="T16" s="432">
        <f t="shared" si="4"/>
        <v>21634168</v>
      </c>
      <c r="U16" s="432">
        <f t="shared" si="4"/>
        <v>2027928</v>
      </c>
      <c r="V16" s="432">
        <f t="shared" si="4"/>
        <v>2477966</v>
      </c>
      <c r="W16" s="432">
        <f t="shared" si="4"/>
        <v>75120369</v>
      </c>
      <c r="X16" s="432">
        <f t="shared" si="4"/>
        <v>12062650</v>
      </c>
      <c r="Y16" s="432">
        <f t="shared" si="4"/>
        <v>28711094</v>
      </c>
      <c r="Z16" s="432">
        <f t="shared" si="4"/>
        <v>34468924</v>
      </c>
      <c r="AA16" s="432">
        <f t="shared" si="4"/>
        <v>22127255</v>
      </c>
      <c r="AB16" s="432">
        <f t="shared" si="4"/>
        <v>-1719524</v>
      </c>
      <c r="AC16" s="432">
        <f t="shared" si="4"/>
        <v>45313106</v>
      </c>
      <c r="AD16" s="432">
        <f t="shared" si="4"/>
        <v>9458601</v>
      </c>
      <c r="AE16" s="432">
        <f t="shared" si="4"/>
        <v>181146549</v>
      </c>
      <c r="AF16" s="432">
        <f t="shared" si="4"/>
        <v>4876759</v>
      </c>
      <c r="AG16" s="432">
        <f t="shared" si="4"/>
        <v>59019042</v>
      </c>
      <c r="AH16" s="432">
        <f t="shared" si="4"/>
        <v>26742963</v>
      </c>
      <c r="AI16" s="432">
        <f t="shared" si="4"/>
        <v>76215106</v>
      </c>
      <c r="AJ16" s="432">
        <f t="shared" si="4"/>
        <v>45789280</v>
      </c>
      <c r="AK16" s="432">
        <f t="shared" si="4"/>
        <v>0</v>
      </c>
      <c r="AL16" s="432">
        <f t="shared" si="4"/>
        <v>88482590</v>
      </c>
      <c r="AM16" s="432">
        <f t="shared" si="4"/>
        <v>4797396</v>
      </c>
    </row>
    <row r="17" spans="1:39" s="155" customFormat="1" ht="22.5" x14ac:dyDescent="0.2">
      <c r="A17" s="277" t="s">
        <v>2306</v>
      </c>
      <c r="B17" s="280" t="s">
        <v>74</v>
      </c>
      <c r="C17" s="278"/>
      <c r="D17" s="44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4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x14ac:dyDescent="0.2">
      <c r="A18" s="331">
        <v>1</v>
      </c>
      <c r="B18" s="393">
        <v>114319</v>
      </c>
      <c r="C18" s="415" t="s">
        <v>2945</v>
      </c>
      <c r="D18" s="444">
        <f>E18+SUM(H18:O18)</f>
        <v>385952564</v>
      </c>
      <c r="E18" s="431">
        <v>207758282</v>
      </c>
      <c r="F18" s="431">
        <v>120872780</v>
      </c>
      <c r="G18" s="431">
        <v>166481</v>
      </c>
      <c r="H18" s="431">
        <v>0</v>
      </c>
      <c r="I18" s="431">
        <v>113531080</v>
      </c>
      <c r="J18" s="431">
        <v>0</v>
      </c>
      <c r="K18" s="431">
        <v>1149310</v>
      </c>
      <c r="L18" s="431">
        <v>0</v>
      </c>
      <c r="M18" s="431">
        <v>20720547</v>
      </c>
      <c r="N18" s="431">
        <v>42747945</v>
      </c>
      <c r="O18" s="431">
        <v>45400</v>
      </c>
      <c r="P18" s="444">
        <f>IF(SUM(Q18:AB18)=SUM(AC18:AM18),SUM(Q18:AB18),"  EROARE ART/CAP")</f>
        <v>385568060</v>
      </c>
      <c r="Q18" s="431">
        <v>129204579</v>
      </c>
      <c r="R18" s="431">
        <v>91522452</v>
      </c>
      <c r="S18" s="431">
        <v>4010803</v>
      </c>
      <c r="T18" s="431">
        <v>18420970</v>
      </c>
      <c r="U18" s="431">
        <v>0</v>
      </c>
      <c r="V18" s="431">
        <v>1609264</v>
      </c>
      <c r="W18" s="431">
        <v>68013447</v>
      </c>
      <c r="X18" s="431">
        <v>6669056</v>
      </c>
      <c r="Y18" s="431">
        <v>24256980</v>
      </c>
      <c r="Z18" s="431">
        <v>26038121</v>
      </c>
      <c r="AA18" s="431">
        <v>17080883</v>
      </c>
      <c r="AB18" s="431">
        <v>-1258495</v>
      </c>
      <c r="AC18" s="431">
        <v>24664002</v>
      </c>
      <c r="AD18" s="431">
        <v>7355396</v>
      </c>
      <c r="AE18" s="431">
        <v>113824102</v>
      </c>
      <c r="AF18" s="431">
        <v>2573621</v>
      </c>
      <c r="AG18" s="431">
        <v>47822018</v>
      </c>
      <c r="AH18" s="431">
        <v>17308028</v>
      </c>
      <c r="AI18" s="431">
        <v>70261134</v>
      </c>
      <c r="AJ18" s="431">
        <v>37302688</v>
      </c>
      <c r="AK18" s="431">
        <v>0</v>
      </c>
      <c r="AL18" s="431">
        <v>63741803</v>
      </c>
      <c r="AM18" s="431">
        <v>715268</v>
      </c>
    </row>
    <row r="19" spans="1:39" s="155" customFormat="1" x14ac:dyDescent="0.2">
      <c r="A19" s="331">
        <v>2</v>
      </c>
      <c r="B19" s="394">
        <v>114514</v>
      </c>
      <c r="C19" s="416" t="s">
        <v>2946</v>
      </c>
      <c r="D19" s="444">
        <f>E19+SUM(H19:O19)</f>
        <v>57788434</v>
      </c>
      <c r="E19" s="431">
        <v>32870841</v>
      </c>
      <c r="F19" s="431">
        <v>14941101</v>
      </c>
      <c r="G19" s="431">
        <v>114927</v>
      </c>
      <c r="H19" s="431">
        <v>0</v>
      </c>
      <c r="I19" s="431">
        <v>24125834</v>
      </c>
      <c r="J19" s="431">
        <v>123000</v>
      </c>
      <c r="K19" s="431">
        <v>483840</v>
      </c>
      <c r="L19" s="431">
        <v>0</v>
      </c>
      <c r="M19" s="431">
        <v>40906</v>
      </c>
      <c r="N19" s="431">
        <f>97465+32720</f>
        <v>130185</v>
      </c>
      <c r="O19" s="431">
        <v>13828</v>
      </c>
      <c r="P19" s="444">
        <f>IF(SUM(Q19:AB19)=SUM(AC19:AM19),SUM(Q19:AB19),"  EROARE ART/CAP")</f>
        <v>51559039</v>
      </c>
      <c r="Q19" s="431">
        <v>25609404</v>
      </c>
      <c r="R19" s="431">
        <v>14401865</v>
      </c>
      <c r="S19" s="431">
        <v>700664</v>
      </c>
      <c r="T19" s="431">
        <v>2888198</v>
      </c>
      <c r="U19" s="431">
        <v>500148</v>
      </c>
      <c r="V19" s="431">
        <v>0</v>
      </c>
      <c r="W19" s="431">
        <v>428080</v>
      </c>
      <c r="X19" s="431">
        <v>1180651</v>
      </c>
      <c r="Y19" s="431">
        <v>1179211</v>
      </c>
      <c r="Z19" s="431">
        <v>2505872</v>
      </c>
      <c r="AA19" s="431">
        <v>2460262</v>
      </c>
      <c r="AB19" s="431">
        <v>-295316</v>
      </c>
      <c r="AC19" s="431">
        <v>5614755</v>
      </c>
      <c r="AD19" s="431">
        <v>977296</v>
      </c>
      <c r="AE19" s="431">
        <v>25536188</v>
      </c>
      <c r="AF19" s="431">
        <v>830810</v>
      </c>
      <c r="AG19" s="431">
        <v>1672138</v>
      </c>
      <c r="AH19" s="431">
        <v>2395566</v>
      </c>
      <c r="AI19" s="431">
        <v>1805544</v>
      </c>
      <c r="AJ19" s="431">
        <v>1889726</v>
      </c>
      <c r="AK19" s="431">
        <v>0</v>
      </c>
      <c r="AL19" s="431">
        <v>6810302</v>
      </c>
      <c r="AM19" s="431">
        <v>4026714</v>
      </c>
    </row>
    <row r="20" spans="1:39" s="155" customFormat="1" x14ac:dyDescent="0.2">
      <c r="A20" s="331">
        <v>3</v>
      </c>
      <c r="B20" s="394">
        <v>114809</v>
      </c>
      <c r="C20" s="416" t="s">
        <v>2947</v>
      </c>
      <c r="D20" s="444">
        <f>E20+SUM(H20:O20)</f>
        <v>67730249</v>
      </c>
      <c r="E20" s="431">
        <v>32215710</v>
      </c>
      <c r="F20" s="431">
        <v>14924065</v>
      </c>
      <c r="G20" s="431">
        <v>133321</v>
      </c>
      <c r="H20" s="431">
        <v>0</v>
      </c>
      <c r="I20" s="431">
        <v>27732567</v>
      </c>
      <c r="J20" s="431">
        <v>89000</v>
      </c>
      <c r="K20" s="431">
        <v>569430</v>
      </c>
      <c r="L20" s="431">
        <v>0</v>
      </c>
      <c r="M20" s="431">
        <v>2772237</v>
      </c>
      <c r="N20" s="431">
        <v>4231305</v>
      </c>
      <c r="O20" s="431">
        <v>120000</v>
      </c>
      <c r="P20" s="444">
        <f>IF(SUM(Q20:AB20)=SUM(AC20:AM20),SUM(Q20:AB20),"  EROARE ART/CAP")</f>
        <v>67693965</v>
      </c>
      <c r="Q20" s="431">
        <v>30320429</v>
      </c>
      <c r="R20" s="431">
        <v>18360790</v>
      </c>
      <c r="S20" s="431">
        <v>1056723</v>
      </c>
      <c r="T20" s="431">
        <v>325000</v>
      </c>
      <c r="U20" s="431">
        <v>1292704</v>
      </c>
      <c r="V20" s="431">
        <v>407459</v>
      </c>
      <c r="W20" s="431">
        <v>6678842</v>
      </c>
      <c r="X20" s="431">
        <v>1595988</v>
      </c>
      <c r="Y20" s="431">
        <v>2796130</v>
      </c>
      <c r="Z20" s="431">
        <v>3221135</v>
      </c>
      <c r="AA20" s="431">
        <v>1778379</v>
      </c>
      <c r="AB20" s="431">
        <v>-139614</v>
      </c>
      <c r="AC20" s="431">
        <v>8869777</v>
      </c>
      <c r="AD20" s="431">
        <v>4614</v>
      </c>
      <c r="AE20" s="431">
        <v>27015988</v>
      </c>
      <c r="AF20" s="431">
        <v>1053567</v>
      </c>
      <c r="AG20" s="431">
        <v>7443637</v>
      </c>
      <c r="AH20" s="431">
        <v>3625252</v>
      </c>
      <c r="AI20" s="431">
        <v>1701749</v>
      </c>
      <c r="AJ20" s="431">
        <v>4366648</v>
      </c>
      <c r="AK20" s="431">
        <v>0</v>
      </c>
      <c r="AL20" s="431">
        <v>13557319</v>
      </c>
      <c r="AM20" s="431">
        <v>55414</v>
      </c>
    </row>
    <row r="21" spans="1:39" s="155" customFormat="1" x14ac:dyDescent="0.2">
      <c r="A21" s="331">
        <v>4</v>
      </c>
      <c r="B21" s="395">
        <v>114925</v>
      </c>
      <c r="C21" s="416" t="s">
        <v>2948</v>
      </c>
      <c r="D21" s="444">
        <f>E21+SUM(H21:O21)</f>
        <v>38477441</v>
      </c>
      <c r="E21" s="431">
        <v>19381664</v>
      </c>
      <c r="F21" s="431">
        <v>6969489</v>
      </c>
      <c r="G21" s="431">
        <v>4747185</v>
      </c>
      <c r="H21" s="431">
        <v>0</v>
      </c>
      <c r="I21" s="431">
        <v>15777630</v>
      </c>
      <c r="J21" s="431">
        <v>54000</v>
      </c>
      <c r="K21" s="431">
        <v>3194830</v>
      </c>
      <c r="L21" s="431">
        <v>0</v>
      </c>
      <c r="M21" s="431">
        <v>34889</v>
      </c>
      <c r="N21" s="431">
        <v>0</v>
      </c>
      <c r="O21" s="431">
        <v>34428</v>
      </c>
      <c r="P21" s="444">
        <f>IF(SUM(Q21:AB21)=SUM(AC21:AM21),SUM(Q21:AB21),"  EROARE ART/CAP")</f>
        <v>37020328</v>
      </c>
      <c r="Q21" s="431">
        <v>19091077</v>
      </c>
      <c r="R21" s="431">
        <v>10346752</v>
      </c>
      <c r="S21" s="431">
        <v>305024</v>
      </c>
      <c r="T21" s="431">
        <v>0</v>
      </c>
      <c r="U21" s="431">
        <v>235076</v>
      </c>
      <c r="V21" s="431">
        <v>461243</v>
      </c>
      <c r="W21" s="431">
        <v>0</v>
      </c>
      <c r="X21" s="431">
        <v>2616955</v>
      </c>
      <c r="Y21" s="431">
        <v>478773</v>
      </c>
      <c r="Z21" s="431">
        <v>2703796</v>
      </c>
      <c r="AA21" s="431">
        <v>807731</v>
      </c>
      <c r="AB21" s="431">
        <v>-26099</v>
      </c>
      <c r="AC21" s="431">
        <v>6164572</v>
      </c>
      <c r="AD21" s="431">
        <v>1121295</v>
      </c>
      <c r="AE21" s="431">
        <v>14770271</v>
      </c>
      <c r="AF21" s="431">
        <v>418761</v>
      </c>
      <c r="AG21" s="431">
        <v>2081249</v>
      </c>
      <c r="AH21" s="431">
        <v>3414117</v>
      </c>
      <c r="AI21" s="431">
        <v>2446679</v>
      </c>
      <c r="AJ21" s="431">
        <v>2230218</v>
      </c>
      <c r="AK21" s="431">
        <v>0</v>
      </c>
      <c r="AL21" s="431">
        <v>4373166</v>
      </c>
      <c r="AM21" s="431">
        <v>0</v>
      </c>
    </row>
    <row r="22" spans="1:39" s="155" customFormat="1" hidden="1" x14ac:dyDescent="0.2">
      <c r="A22" s="331">
        <v>5</v>
      </c>
      <c r="B22" s="396"/>
      <c r="C22" s="333"/>
      <c r="D22" s="442">
        <f t="shared" ref="D22:D41" si="5">E22+SUM(H22:O22)</f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42">
        <f t="shared" si="3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idden="1" x14ac:dyDescent="0.2">
      <c r="A23" s="331">
        <v>6</v>
      </c>
      <c r="B23" s="396"/>
      <c r="C23" s="333"/>
      <c r="D23" s="442">
        <f t="shared" si="5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42">
        <f t="shared" si="3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idden="1" x14ac:dyDescent="0.2">
      <c r="A24" s="331">
        <v>7</v>
      </c>
      <c r="B24" s="396"/>
      <c r="C24" s="333"/>
      <c r="D24" s="442">
        <f t="shared" si="5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42">
        <f t="shared" si="3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idden="1" x14ac:dyDescent="0.2">
      <c r="A25" s="331">
        <v>8</v>
      </c>
      <c r="B25" s="396"/>
      <c r="C25" s="333"/>
      <c r="D25" s="442">
        <f t="shared" si="5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42">
        <f t="shared" si="3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idden="1" x14ac:dyDescent="0.2">
      <c r="A26" s="331">
        <v>9</v>
      </c>
      <c r="B26" s="396"/>
      <c r="C26" s="333"/>
      <c r="D26" s="442">
        <f t="shared" si="5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42">
        <f t="shared" si="3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idden="1" x14ac:dyDescent="0.2">
      <c r="A27" s="331">
        <v>10</v>
      </c>
      <c r="B27" s="396"/>
      <c r="C27" s="333"/>
      <c r="D27" s="442">
        <f t="shared" si="5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42">
        <f t="shared" si="3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idden="1" x14ac:dyDescent="0.2">
      <c r="A28" s="331">
        <v>11</v>
      </c>
      <c r="B28" s="396"/>
      <c r="C28" s="333"/>
      <c r="D28" s="442">
        <f t="shared" si="5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42">
        <f t="shared" si="3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61"/>
      <c r="C29" s="206"/>
      <c r="D29" s="442">
        <f t="shared" si="5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42">
        <f t="shared" si="3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61"/>
      <c r="C30" s="206"/>
      <c r="D30" s="442">
        <f t="shared" si="5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42">
        <f t="shared" si="3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61"/>
      <c r="C31" s="206"/>
      <c r="D31" s="442">
        <f t="shared" si="5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42">
        <f t="shared" si="3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61"/>
      <c r="C32" s="207"/>
      <c r="D32" s="442">
        <f t="shared" si="5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42">
        <f t="shared" si="3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5"/>
      <c r="C33" s="208"/>
      <c r="D33" s="442">
        <f t="shared" si="5"/>
        <v>120135364</v>
      </c>
      <c r="E33" s="432">
        <f>SUM(E34:E53)</f>
        <v>56367934</v>
      </c>
      <c r="F33" s="432">
        <f t="shared" ref="F33:O33" si="6">SUM(F34:F53)</f>
        <v>20388574</v>
      </c>
      <c r="G33" s="432">
        <f t="shared" si="6"/>
        <v>9278431</v>
      </c>
      <c r="H33" s="432">
        <f t="shared" si="6"/>
        <v>0</v>
      </c>
      <c r="I33" s="432">
        <f t="shared" si="6"/>
        <v>39719760</v>
      </c>
      <c r="J33" s="432">
        <f t="shared" si="6"/>
        <v>1499531</v>
      </c>
      <c r="K33" s="432">
        <f t="shared" si="6"/>
        <v>11134050</v>
      </c>
      <c r="L33" s="432">
        <f t="shared" si="6"/>
        <v>0</v>
      </c>
      <c r="M33" s="432">
        <f t="shared" si="6"/>
        <v>6231700</v>
      </c>
      <c r="N33" s="432">
        <f t="shared" si="6"/>
        <v>4926112</v>
      </c>
      <c r="O33" s="432">
        <f t="shared" si="6"/>
        <v>256277</v>
      </c>
      <c r="P33" s="442">
        <f t="shared" si="3"/>
        <v>119448705</v>
      </c>
      <c r="Q33" s="432">
        <f>SUM(Q34:Q53)</f>
        <v>46869071</v>
      </c>
      <c r="R33" s="432">
        <f t="shared" ref="R33:AM33" si="7">SUM(R34:R53)</f>
        <v>29548166</v>
      </c>
      <c r="S33" s="432">
        <f t="shared" si="7"/>
        <v>1361621</v>
      </c>
      <c r="T33" s="432">
        <f t="shared" si="7"/>
        <v>491726</v>
      </c>
      <c r="U33" s="432">
        <f t="shared" si="7"/>
        <v>1869558</v>
      </c>
      <c r="V33" s="432">
        <f t="shared" si="7"/>
        <v>670083</v>
      </c>
      <c r="W33" s="432">
        <f t="shared" si="7"/>
        <v>11763745</v>
      </c>
      <c r="X33" s="432">
        <f t="shared" si="7"/>
        <v>3196158</v>
      </c>
      <c r="Y33" s="432">
        <f t="shared" si="7"/>
        <v>2505009</v>
      </c>
      <c r="Z33" s="432">
        <f t="shared" si="7"/>
        <v>19423781</v>
      </c>
      <c r="AA33" s="432">
        <f t="shared" si="7"/>
        <v>1912411</v>
      </c>
      <c r="AB33" s="432">
        <f t="shared" si="7"/>
        <v>-162624</v>
      </c>
      <c r="AC33" s="432">
        <f t="shared" si="7"/>
        <v>18050327</v>
      </c>
      <c r="AD33" s="432">
        <f t="shared" si="7"/>
        <v>2648893</v>
      </c>
      <c r="AE33" s="432">
        <f t="shared" si="7"/>
        <v>41171160</v>
      </c>
      <c r="AF33" s="432">
        <f t="shared" si="7"/>
        <v>3481003</v>
      </c>
      <c r="AG33" s="432">
        <f t="shared" si="7"/>
        <v>6691001</v>
      </c>
      <c r="AH33" s="432">
        <f t="shared" si="7"/>
        <v>7419634</v>
      </c>
      <c r="AI33" s="432">
        <f t="shared" si="7"/>
        <v>8866192</v>
      </c>
      <c r="AJ33" s="432">
        <f t="shared" si="7"/>
        <v>7963821</v>
      </c>
      <c r="AK33" s="432">
        <f t="shared" si="7"/>
        <v>0</v>
      </c>
      <c r="AL33" s="432">
        <f t="shared" si="7"/>
        <v>19782785</v>
      </c>
      <c r="AM33" s="432">
        <f t="shared" si="7"/>
        <v>3373889</v>
      </c>
    </row>
    <row r="34" spans="1:39" s="155" customFormat="1" x14ac:dyDescent="0.2">
      <c r="A34" s="146">
        <v>1</v>
      </c>
      <c r="B34" s="400">
        <v>117827</v>
      </c>
      <c r="C34" s="417" t="s">
        <v>2949</v>
      </c>
      <c r="D34" s="444">
        <f t="shared" ref="D34:D40" si="8">E34+SUM(H34:O34)</f>
        <v>14801089</v>
      </c>
      <c r="E34" s="431">
        <v>8439395</v>
      </c>
      <c r="F34" s="431">
        <v>3707960</v>
      </c>
      <c r="G34" s="431">
        <v>152034</v>
      </c>
      <c r="H34" s="431">
        <v>0</v>
      </c>
      <c r="I34" s="431">
        <v>5247319</v>
      </c>
      <c r="J34" s="431">
        <v>129000</v>
      </c>
      <c r="K34" s="431">
        <v>450280</v>
      </c>
      <c r="L34" s="431">
        <v>0</v>
      </c>
      <c r="M34" s="431">
        <v>32526</v>
      </c>
      <c r="N34" s="431">
        <v>446219</v>
      </c>
      <c r="O34" s="431">
        <v>56350</v>
      </c>
      <c r="P34" s="444">
        <f t="shared" ref="P34:P40" si="9">IF(SUM(Q34:AB34)=SUM(AC34:AM34),SUM(Q34:AB34),"  EROARE ART/CAP")</f>
        <v>13962906</v>
      </c>
      <c r="Q34" s="431">
        <v>6483653</v>
      </c>
      <c r="R34" s="431">
        <v>3378568</v>
      </c>
      <c r="S34" s="431">
        <v>278567</v>
      </c>
      <c r="T34" s="431">
        <v>0</v>
      </c>
      <c r="U34" s="431">
        <v>0</v>
      </c>
      <c r="V34" s="431">
        <v>266000</v>
      </c>
      <c r="W34" s="431">
        <v>705228</v>
      </c>
      <c r="X34" s="431">
        <v>731365</v>
      </c>
      <c r="Y34" s="431">
        <v>490675</v>
      </c>
      <c r="Z34" s="431">
        <v>871459</v>
      </c>
      <c r="AA34" s="431">
        <v>772981</v>
      </c>
      <c r="AB34" s="431">
        <v>-15590</v>
      </c>
      <c r="AC34" s="431">
        <v>2045162</v>
      </c>
      <c r="AD34" s="431">
        <v>567749</v>
      </c>
      <c r="AE34" s="431">
        <v>5651020</v>
      </c>
      <c r="AF34" s="431">
        <v>280892</v>
      </c>
      <c r="AG34" s="431">
        <v>780891</v>
      </c>
      <c r="AH34" s="431">
        <v>902851</v>
      </c>
      <c r="AI34" s="431">
        <v>1345335</v>
      </c>
      <c r="AJ34" s="431">
        <v>642761</v>
      </c>
      <c r="AK34" s="431">
        <v>0</v>
      </c>
      <c r="AL34" s="431">
        <v>1730440</v>
      </c>
      <c r="AM34" s="431">
        <v>15805</v>
      </c>
    </row>
    <row r="35" spans="1:39" s="155" customFormat="1" x14ac:dyDescent="0.2">
      <c r="A35" s="146">
        <v>2</v>
      </c>
      <c r="B35" s="401">
        <v>114710</v>
      </c>
      <c r="C35" s="417" t="s">
        <v>2950</v>
      </c>
      <c r="D35" s="444">
        <f t="shared" si="8"/>
        <v>31494846</v>
      </c>
      <c r="E35" s="431">
        <v>11980667</v>
      </c>
      <c r="F35" s="431">
        <v>4845902</v>
      </c>
      <c r="G35" s="431">
        <v>661009</v>
      </c>
      <c r="H35" s="431">
        <v>0</v>
      </c>
      <c r="I35" s="431">
        <v>11871480</v>
      </c>
      <c r="J35" s="431">
        <v>272929</v>
      </c>
      <c r="K35" s="431">
        <v>3782410</v>
      </c>
      <c r="L35" s="431">
        <v>0</v>
      </c>
      <c r="M35" s="431">
        <v>2126034</v>
      </c>
      <c r="N35" s="431">
        <v>1461326</v>
      </c>
      <c r="O35" s="431">
        <v>0</v>
      </c>
      <c r="P35" s="444">
        <f t="shared" si="9"/>
        <v>30805095</v>
      </c>
      <c r="Q35" s="431">
        <v>14262855</v>
      </c>
      <c r="R35" s="431">
        <v>6075813</v>
      </c>
      <c r="S35" s="431">
        <v>522797</v>
      </c>
      <c r="T35" s="431">
        <v>303262</v>
      </c>
      <c r="U35" s="431">
        <v>1010716</v>
      </c>
      <c r="V35" s="431">
        <v>404083</v>
      </c>
      <c r="W35" s="431">
        <v>1794654</v>
      </c>
      <c r="X35" s="431">
        <v>774609</v>
      </c>
      <c r="Y35" s="431">
        <v>585900</v>
      </c>
      <c r="Z35" s="431">
        <v>4711676</v>
      </c>
      <c r="AA35" s="431">
        <v>413483</v>
      </c>
      <c r="AB35" s="431">
        <v>-54753</v>
      </c>
      <c r="AC35" s="431">
        <v>3508103</v>
      </c>
      <c r="AD35" s="431">
        <v>930892</v>
      </c>
      <c r="AE35" s="431">
        <v>11499406</v>
      </c>
      <c r="AF35" s="431">
        <v>2235645</v>
      </c>
      <c r="AG35" s="431">
        <v>1881082</v>
      </c>
      <c r="AH35" s="431">
        <v>1415612</v>
      </c>
      <c r="AI35" s="431">
        <v>1349870</v>
      </c>
      <c r="AJ35" s="431">
        <v>3148895</v>
      </c>
      <c r="AK35" s="431">
        <v>0</v>
      </c>
      <c r="AL35" s="431">
        <v>4822490</v>
      </c>
      <c r="AM35" s="431">
        <v>13100</v>
      </c>
    </row>
    <row r="36" spans="1:39" s="155" customFormat="1" x14ac:dyDescent="0.2">
      <c r="A36" s="146">
        <v>3</v>
      </c>
      <c r="B36" s="401">
        <v>114854</v>
      </c>
      <c r="C36" s="417" t="s">
        <v>2951</v>
      </c>
      <c r="D36" s="444">
        <f t="shared" si="8"/>
        <v>21639978</v>
      </c>
      <c r="E36" s="431">
        <v>11794267</v>
      </c>
      <c r="F36" s="431">
        <v>4122104</v>
      </c>
      <c r="G36" s="431">
        <v>279770</v>
      </c>
      <c r="H36" s="431">
        <v>0</v>
      </c>
      <c r="I36" s="431">
        <v>6562136</v>
      </c>
      <c r="J36" s="431">
        <v>305000</v>
      </c>
      <c r="K36" s="431">
        <v>1438350</v>
      </c>
      <c r="L36" s="431">
        <v>0</v>
      </c>
      <c r="M36" s="431">
        <v>371066</v>
      </c>
      <c r="N36" s="431">
        <v>1155117</v>
      </c>
      <c r="O36" s="431">
        <v>14042</v>
      </c>
      <c r="P36" s="444">
        <f t="shared" si="9"/>
        <v>24268734</v>
      </c>
      <c r="Q36" s="431">
        <v>8035767</v>
      </c>
      <c r="R36" s="431">
        <v>5981241</v>
      </c>
      <c r="S36" s="431">
        <v>371621</v>
      </c>
      <c r="T36" s="431">
        <v>188464</v>
      </c>
      <c r="U36" s="431">
        <v>150000</v>
      </c>
      <c r="V36" s="431">
        <v>0</v>
      </c>
      <c r="W36" s="431">
        <v>5908197</v>
      </c>
      <c r="X36" s="431">
        <v>322858</v>
      </c>
      <c r="Y36" s="431">
        <v>152996</v>
      </c>
      <c r="Z36" s="431">
        <v>2644422</v>
      </c>
      <c r="AA36" s="431">
        <v>521219</v>
      </c>
      <c r="AB36" s="431">
        <v>-8051</v>
      </c>
      <c r="AC36" s="431">
        <v>3366282</v>
      </c>
      <c r="AD36" s="431">
        <v>249254</v>
      </c>
      <c r="AE36" s="431">
        <v>6721678</v>
      </c>
      <c r="AF36" s="431">
        <v>525321</v>
      </c>
      <c r="AG36" s="431">
        <v>1372882</v>
      </c>
      <c r="AH36" s="431">
        <v>886839</v>
      </c>
      <c r="AI36" s="431">
        <v>1026590</v>
      </c>
      <c r="AJ36" s="431">
        <v>914922</v>
      </c>
      <c r="AK36" s="431">
        <v>0</v>
      </c>
      <c r="AL36" s="431">
        <v>6769741</v>
      </c>
      <c r="AM36" s="431">
        <v>2435225</v>
      </c>
    </row>
    <row r="37" spans="1:39" s="155" customFormat="1" x14ac:dyDescent="0.2">
      <c r="A37" s="146">
        <v>4</v>
      </c>
      <c r="B37" s="401">
        <v>118281</v>
      </c>
      <c r="C37" s="417" t="s">
        <v>2952</v>
      </c>
      <c r="D37" s="444">
        <f t="shared" si="8"/>
        <v>15249432</v>
      </c>
      <c r="E37" s="431">
        <v>5379919</v>
      </c>
      <c r="F37" s="431">
        <v>752516</v>
      </c>
      <c r="G37" s="431">
        <v>3060073</v>
      </c>
      <c r="H37" s="431">
        <v>0</v>
      </c>
      <c r="I37" s="431">
        <v>5043000</v>
      </c>
      <c r="J37" s="431">
        <v>338000</v>
      </c>
      <c r="K37" s="431">
        <v>1569670</v>
      </c>
      <c r="L37" s="431">
        <v>0</v>
      </c>
      <c r="M37" s="431">
        <v>1695810</v>
      </c>
      <c r="N37" s="431">
        <v>1223033</v>
      </c>
      <c r="O37" s="431">
        <v>0</v>
      </c>
      <c r="P37" s="444">
        <f t="shared" si="9"/>
        <v>15264888</v>
      </c>
      <c r="Q37" s="431">
        <v>5374327</v>
      </c>
      <c r="R37" s="431">
        <v>4559321</v>
      </c>
      <c r="S37" s="431">
        <v>6420</v>
      </c>
      <c r="T37" s="431">
        <v>0</v>
      </c>
      <c r="U37" s="431">
        <v>50000</v>
      </c>
      <c r="V37" s="431">
        <v>0</v>
      </c>
      <c r="W37" s="431">
        <v>1901150</v>
      </c>
      <c r="X37" s="431">
        <v>251075</v>
      </c>
      <c r="Y37" s="431">
        <v>583917</v>
      </c>
      <c r="Z37" s="431">
        <v>2444597</v>
      </c>
      <c r="AA37" s="431">
        <v>115000</v>
      </c>
      <c r="AB37" s="431">
        <v>-20919</v>
      </c>
      <c r="AC37" s="431">
        <v>1963379</v>
      </c>
      <c r="AD37" s="431">
        <v>90953</v>
      </c>
      <c r="AE37" s="431">
        <v>6104607</v>
      </c>
      <c r="AF37" s="431">
        <v>30000</v>
      </c>
      <c r="AG37" s="431">
        <v>610977</v>
      </c>
      <c r="AH37" s="431">
        <v>2469263</v>
      </c>
      <c r="AI37" s="431">
        <v>1452134</v>
      </c>
      <c r="AJ37" s="431">
        <v>1161295</v>
      </c>
      <c r="AK37" s="431">
        <v>0</v>
      </c>
      <c r="AL37" s="431">
        <v>1283964</v>
      </c>
      <c r="AM37" s="431">
        <v>98316</v>
      </c>
    </row>
    <row r="38" spans="1:39" s="155" customFormat="1" x14ac:dyDescent="0.2">
      <c r="A38" s="146">
        <v>5</v>
      </c>
      <c r="B38" s="401">
        <v>119242</v>
      </c>
      <c r="C38" s="417" t="s">
        <v>2953</v>
      </c>
      <c r="D38" s="444">
        <f t="shared" si="8"/>
        <v>12569079</v>
      </c>
      <c r="E38" s="431">
        <v>6137100</v>
      </c>
      <c r="F38" s="431">
        <v>1857686</v>
      </c>
      <c r="G38" s="431">
        <v>1950845</v>
      </c>
      <c r="H38" s="431">
        <v>0</v>
      </c>
      <c r="I38" s="431">
        <v>4372326</v>
      </c>
      <c r="J38" s="431">
        <v>130602</v>
      </c>
      <c r="K38" s="431">
        <v>1219900</v>
      </c>
      <c r="L38" s="431">
        <v>0</v>
      </c>
      <c r="M38" s="431">
        <v>644127</v>
      </c>
      <c r="N38" s="431">
        <v>0</v>
      </c>
      <c r="O38" s="431">
        <v>65024</v>
      </c>
      <c r="P38" s="444">
        <f t="shared" si="9"/>
        <v>11164422</v>
      </c>
      <c r="Q38" s="431">
        <v>4710168</v>
      </c>
      <c r="R38" s="431">
        <v>2386957</v>
      </c>
      <c r="S38" s="431">
        <v>135005</v>
      </c>
      <c r="T38" s="431">
        <v>0</v>
      </c>
      <c r="U38" s="431">
        <v>458842</v>
      </c>
      <c r="V38" s="431">
        <v>0</v>
      </c>
      <c r="W38" s="431">
        <v>0</v>
      </c>
      <c r="X38" s="431">
        <v>435753</v>
      </c>
      <c r="Y38" s="431">
        <v>204970</v>
      </c>
      <c r="Z38" s="431">
        <v>2847927</v>
      </c>
      <c r="AA38" s="431">
        <v>44208</v>
      </c>
      <c r="AB38" s="431">
        <v>-59408</v>
      </c>
      <c r="AC38" s="431">
        <v>1855691</v>
      </c>
      <c r="AD38" s="431">
        <v>248876</v>
      </c>
      <c r="AE38" s="431">
        <v>4671025</v>
      </c>
      <c r="AF38" s="431">
        <v>14693</v>
      </c>
      <c r="AG38" s="431">
        <v>844852</v>
      </c>
      <c r="AH38" s="431">
        <v>914780</v>
      </c>
      <c r="AI38" s="431">
        <v>364650</v>
      </c>
      <c r="AJ38" s="431">
        <v>1129311</v>
      </c>
      <c r="AK38" s="431">
        <v>0</v>
      </c>
      <c r="AL38" s="431">
        <v>852331</v>
      </c>
      <c r="AM38" s="431">
        <v>268213</v>
      </c>
    </row>
    <row r="39" spans="1:39" s="155" customFormat="1" x14ac:dyDescent="0.2">
      <c r="A39" s="146">
        <v>6</v>
      </c>
      <c r="B39" s="401">
        <v>119331</v>
      </c>
      <c r="C39" s="417" t="s">
        <v>2954</v>
      </c>
      <c r="D39" s="444">
        <f t="shared" si="8"/>
        <v>13305819</v>
      </c>
      <c r="E39" s="431">
        <v>5181455</v>
      </c>
      <c r="F39" s="431">
        <v>892188</v>
      </c>
      <c r="G39" s="431">
        <v>3037772</v>
      </c>
      <c r="H39" s="431">
        <v>0</v>
      </c>
      <c r="I39" s="431">
        <v>3748499</v>
      </c>
      <c r="J39" s="431">
        <v>25000</v>
      </c>
      <c r="K39" s="431">
        <v>2267760</v>
      </c>
      <c r="L39" s="431">
        <v>0</v>
      </c>
      <c r="M39" s="431">
        <v>1353188</v>
      </c>
      <c r="N39" s="431">
        <v>640417</v>
      </c>
      <c r="O39" s="431">
        <v>89500</v>
      </c>
      <c r="P39" s="444">
        <f t="shared" si="9"/>
        <v>13146144</v>
      </c>
      <c r="Q39" s="431">
        <v>4152350</v>
      </c>
      <c r="R39" s="431">
        <v>2250256</v>
      </c>
      <c r="S39" s="431">
        <v>34200</v>
      </c>
      <c r="T39" s="431">
        <v>0</v>
      </c>
      <c r="U39" s="431">
        <v>200000</v>
      </c>
      <c r="V39" s="431">
        <v>0</v>
      </c>
      <c r="W39" s="431">
        <v>1454516</v>
      </c>
      <c r="X39" s="431">
        <v>296065</v>
      </c>
      <c r="Y39" s="431">
        <v>152101</v>
      </c>
      <c r="Z39" s="431">
        <v>4563677</v>
      </c>
      <c r="AA39" s="431">
        <v>45520</v>
      </c>
      <c r="AB39" s="431">
        <v>-2541</v>
      </c>
      <c r="AC39" s="431">
        <v>2806719</v>
      </c>
      <c r="AD39" s="431">
        <v>151675</v>
      </c>
      <c r="AE39" s="431">
        <v>3521486</v>
      </c>
      <c r="AF39" s="431">
        <v>200000</v>
      </c>
      <c r="AG39" s="431">
        <v>423272</v>
      </c>
      <c r="AH39" s="431">
        <v>445856</v>
      </c>
      <c r="AI39" s="431">
        <v>2352905</v>
      </c>
      <c r="AJ39" s="431">
        <v>85773</v>
      </c>
      <c r="AK39" s="431">
        <v>0</v>
      </c>
      <c r="AL39" s="431">
        <v>2622812</v>
      </c>
      <c r="AM39" s="431">
        <v>535646</v>
      </c>
    </row>
    <row r="40" spans="1:39" s="155" customFormat="1" x14ac:dyDescent="0.2">
      <c r="A40" s="146">
        <v>7</v>
      </c>
      <c r="B40" s="404">
        <v>119894</v>
      </c>
      <c r="C40" s="417" t="s">
        <v>2955</v>
      </c>
      <c r="D40" s="444">
        <f t="shared" si="8"/>
        <v>11075121</v>
      </c>
      <c r="E40" s="431">
        <v>7455131</v>
      </c>
      <c r="F40" s="431">
        <v>4210218</v>
      </c>
      <c r="G40" s="431">
        <v>136928</v>
      </c>
      <c r="H40" s="431">
        <v>0</v>
      </c>
      <c r="I40" s="431">
        <v>2875000</v>
      </c>
      <c r="J40" s="431">
        <v>299000</v>
      </c>
      <c r="K40" s="431">
        <v>405680</v>
      </c>
      <c r="L40" s="431">
        <v>0</v>
      </c>
      <c r="M40" s="431">
        <v>8949</v>
      </c>
      <c r="N40" s="431">
        <v>0</v>
      </c>
      <c r="O40" s="431">
        <v>31361</v>
      </c>
      <c r="P40" s="444">
        <f t="shared" si="9"/>
        <v>10836516</v>
      </c>
      <c r="Q40" s="431">
        <v>3849951</v>
      </c>
      <c r="R40" s="431">
        <v>4916010</v>
      </c>
      <c r="S40" s="431">
        <v>13011</v>
      </c>
      <c r="T40" s="431">
        <v>0</v>
      </c>
      <c r="U40" s="431">
        <v>0</v>
      </c>
      <c r="V40" s="431">
        <v>0</v>
      </c>
      <c r="W40" s="431">
        <v>0</v>
      </c>
      <c r="X40" s="431">
        <v>384433</v>
      </c>
      <c r="Y40" s="431">
        <v>334450</v>
      </c>
      <c r="Z40" s="431">
        <v>1340023</v>
      </c>
      <c r="AA40" s="431">
        <v>0</v>
      </c>
      <c r="AB40" s="431">
        <v>-1362</v>
      </c>
      <c r="AC40" s="431">
        <v>2504991</v>
      </c>
      <c r="AD40" s="431">
        <v>409494</v>
      </c>
      <c r="AE40" s="431">
        <v>3001938</v>
      </c>
      <c r="AF40" s="431">
        <v>194452</v>
      </c>
      <c r="AG40" s="431">
        <v>777045</v>
      </c>
      <c r="AH40" s="431">
        <v>384433</v>
      </c>
      <c r="AI40" s="431">
        <v>974708</v>
      </c>
      <c r="AJ40" s="431">
        <v>880864</v>
      </c>
      <c r="AK40" s="431">
        <v>0</v>
      </c>
      <c r="AL40" s="431">
        <v>1701007</v>
      </c>
      <c r="AM40" s="431">
        <v>7584</v>
      </c>
    </row>
    <row r="41" spans="1:39" s="155" customFormat="1" hidden="1" x14ac:dyDescent="0.2">
      <c r="A41" s="146">
        <v>8</v>
      </c>
      <c r="B41" s="397"/>
      <c r="C41" s="398"/>
      <c r="D41" s="442">
        <f t="shared" si="5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42">
        <f t="shared" si="3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idden="1" x14ac:dyDescent="0.2">
      <c r="A42" s="146">
        <v>9</v>
      </c>
      <c r="B42" s="397"/>
      <c r="C42" s="399"/>
      <c r="D42" s="44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42">
        <f t="shared" si="3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161"/>
      <c r="C43" s="206"/>
      <c r="D43" s="44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42">
        <f t="shared" si="3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61"/>
      <c r="C44" s="206"/>
      <c r="D44" s="44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42">
        <f t="shared" si="3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61"/>
      <c r="C45" s="206"/>
      <c r="D45" s="44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42">
        <f t="shared" si="3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61"/>
      <c r="C46" s="206"/>
      <c r="D46" s="44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42">
        <f t="shared" si="3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61"/>
      <c r="C47" s="206"/>
      <c r="D47" s="44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42">
        <f t="shared" si="3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61"/>
      <c r="C48" s="206"/>
      <c r="D48" s="44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42">
        <f t="shared" si="3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61"/>
      <c r="C49" s="206"/>
      <c r="D49" s="44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42">
        <f t="shared" si="3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61"/>
      <c r="C50" s="206"/>
      <c r="D50" s="44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42">
        <f t="shared" si="3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61"/>
      <c r="C51" s="206"/>
      <c r="D51" s="44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42">
        <f t="shared" si="3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61"/>
      <c r="C52" s="207"/>
      <c r="D52" s="44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42">
        <f t="shared" si="3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61"/>
      <c r="C53" s="207"/>
      <c r="D53" s="44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42">
        <f t="shared" si="3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5"/>
      <c r="C54" s="208"/>
      <c r="D54" s="442">
        <f t="shared" ref="D54" si="10">E54+SUM(H54:O54)</f>
        <v>483455341</v>
      </c>
      <c r="E54" s="432">
        <f>SUM(E55:E145)</f>
        <v>181726142</v>
      </c>
      <c r="F54" s="432">
        <f t="shared" ref="F54:AM54" si="11">SUM(F55:F145)</f>
        <v>40984925</v>
      </c>
      <c r="G54" s="432">
        <f t="shared" si="11"/>
        <v>53338700</v>
      </c>
      <c r="H54" s="432">
        <f t="shared" si="11"/>
        <v>0</v>
      </c>
      <c r="I54" s="432">
        <f t="shared" si="11"/>
        <v>134590450</v>
      </c>
      <c r="J54" s="432">
        <f t="shared" si="11"/>
        <v>9878862</v>
      </c>
      <c r="K54" s="432">
        <f t="shared" si="11"/>
        <v>60072160</v>
      </c>
      <c r="L54" s="432">
        <f t="shared" si="11"/>
        <v>0</v>
      </c>
      <c r="M54" s="432">
        <f t="shared" si="11"/>
        <v>36139379</v>
      </c>
      <c r="N54" s="432">
        <f t="shared" si="11"/>
        <v>54172611</v>
      </c>
      <c r="O54" s="432">
        <f t="shared" si="11"/>
        <v>6875737</v>
      </c>
      <c r="P54" s="442">
        <f t="shared" si="11"/>
        <v>458156177</v>
      </c>
      <c r="Q54" s="432">
        <f t="shared" si="11"/>
        <v>156142188</v>
      </c>
      <c r="R54" s="432">
        <f t="shared" si="11"/>
        <v>120837654</v>
      </c>
      <c r="S54" s="432">
        <f t="shared" si="11"/>
        <v>442515</v>
      </c>
      <c r="T54" s="432">
        <f t="shared" si="11"/>
        <v>31000</v>
      </c>
      <c r="U54" s="432">
        <f t="shared" si="11"/>
        <v>1011600</v>
      </c>
      <c r="V54" s="432">
        <f t="shared" si="11"/>
        <v>470228</v>
      </c>
      <c r="W54" s="432">
        <f t="shared" si="11"/>
        <v>77384674</v>
      </c>
      <c r="X54" s="432">
        <f t="shared" si="11"/>
        <v>18923681</v>
      </c>
      <c r="Y54" s="432">
        <f t="shared" si="11"/>
        <v>6518487</v>
      </c>
      <c r="Z54" s="432">
        <f t="shared" si="11"/>
        <v>73587807</v>
      </c>
      <c r="AA54" s="432">
        <f t="shared" si="11"/>
        <v>3592416</v>
      </c>
      <c r="AB54" s="432">
        <f t="shared" si="11"/>
        <v>-786073</v>
      </c>
      <c r="AC54" s="432">
        <f t="shared" si="11"/>
        <v>86165427</v>
      </c>
      <c r="AD54" s="432">
        <f t="shared" si="11"/>
        <v>5819834</v>
      </c>
      <c r="AE54" s="432">
        <f t="shared" si="11"/>
        <v>131370212</v>
      </c>
      <c r="AF54" s="432">
        <f t="shared" si="11"/>
        <v>2629240</v>
      </c>
      <c r="AG54" s="432">
        <f t="shared" si="11"/>
        <v>32059193</v>
      </c>
      <c r="AH54" s="432">
        <f t="shared" si="11"/>
        <v>29191748</v>
      </c>
      <c r="AI54" s="432">
        <f t="shared" si="11"/>
        <v>38964389</v>
      </c>
      <c r="AJ54" s="432">
        <f t="shared" si="11"/>
        <v>28772474</v>
      </c>
      <c r="AK54" s="432">
        <f t="shared" si="11"/>
        <v>0</v>
      </c>
      <c r="AL54" s="432">
        <f t="shared" si="11"/>
        <v>96786726</v>
      </c>
      <c r="AM54" s="432">
        <f t="shared" si="11"/>
        <v>6396934</v>
      </c>
    </row>
    <row r="55" spans="1:39" s="155" customFormat="1" x14ac:dyDescent="0.2">
      <c r="A55" s="168">
        <v>1</v>
      </c>
      <c r="B55" s="400">
        <v>114970</v>
      </c>
      <c r="C55" s="418" t="s">
        <v>2956</v>
      </c>
      <c r="D55" s="444">
        <f t="shared" ref="D55:D86" si="12">E55+SUM(H55:O55)</f>
        <v>7798927</v>
      </c>
      <c r="E55" s="431">
        <v>3636736</v>
      </c>
      <c r="F55" s="431">
        <v>1261619</v>
      </c>
      <c r="G55" s="431">
        <v>390431</v>
      </c>
      <c r="H55" s="431">
        <v>0</v>
      </c>
      <c r="I55" s="431">
        <v>2114063</v>
      </c>
      <c r="J55" s="431">
        <v>105000</v>
      </c>
      <c r="K55" s="431">
        <v>1087720</v>
      </c>
      <c r="L55" s="431">
        <v>0</v>
      </c>
      <c r="M55" s="431">
        <v>492412</v>
      </c>
      <c r="N55" s="431">
        <v>362996</v>
      </c>
      <c r="O55" s="431">
        <v>0</v>
      </c>
      <c r="P55" s="444">
        <f t="shared" ref="P55:P86" si="13">IF(SUM(Q55:AB55)=SUM(AC55:AM55),SUM(Q55:AB55),"  EROARE ART/CAP")</f>
        <v>7689184</v>
      </c>
      <c r="Q55" s="431">
        <v>2651115</v>
      </c>
      <c r="R55" s="431">
        <v>3100522</v>
      </c>
      <c r="S55" s="431">
        <v>0</v>
      </c>
      <c r="T55" s="431">
        <v>0</v>
      </c>
      <c r="U55" s="431">
        <v>0</v>
      </c>
      <c r="V55" s="431">
        <v>0</v>
      </c>
      <c r="W55" s="431">
        <v>580728</v>
      </c>
      <c r="X55" s="431">
        <v>293212</v>
      </c>
      <c r="Y55" s="431">
        <v>496000</v>
      </c>
      <c r="Z55" s="431">
        <v>569609</v>
      </c>
      <c r="AA55" s="431">
        <v>0</v>
      </c>
      <c r="AB55" s="431">
        <v>-2002</v>
      </c>
      <c r="AC55" s="431">
        <v>1636286</v>
      </c>
      <c r="AD55" s="431">
        <v>197689</v>
      </c>
      <c r="AE55" s="431">
        <v>2010783</v>
      </c>
      <c r="AF55" s="431">
        <v>71957</v>
      </c>
      <c r="AG55" s="431">
        <v>1472877</v>
      </c>
      <c r="AH55" s="431">
        <v>308684</v>
      </c>
      <c r="AI55" s="431">
        <v>441036</v>
      </c>
      <c r="AJ55" s="431">
        <v>247906</v>
      </c>
      <c r="AK55" s="431">
        <v>0</v>
      </c>
      <c r="AL55" s="431">
        <v>1297040</v>
      </c>
      <c r="AM55" s="431">
        <v>4926</v>
      </c>
    </row>
    <row r="56" spans="1:39" s="155" customFormat="1" x14ac:dyDescent="0.2">
      <c r="A56" s="168">
        <v>2</v>
      </c>
      <c r="B56" s="401">
        <v>115076</v>
      </c>
      <c r="C56" s="418" t="s">
        <v>2957</v>
      </c>
      <c r="D56" s="444">
        <f t="shared" si="12"/>
        <v>5978982</v>
      </c>
      <c r="E56" s="431">
        <v>2213776</v>
      </c>
      <c r="F56" s="431">
        <v>251918</v>
      </c>
      <c r="G56" s="431">
        <v>903526</v>
      </c>
      <c r="H56" s="431">
        <v>0</v>
      </c>
      <c r="I56" s="431">
        <v>2111158</v>
      </c>
      <c r="J56" s="431">
        <v>0</v>
      </c>
      <c r="K56" s="431">
        <v>1156430</v>
      </c>
      <c r="L56" s="431">
        <v>0</v>
      </c>
      <c r="M56" s="431">
        <v>124978</v>
      </c>
      <c r="N56" s="431">
        <v>372640</v>
      </c>
      <c r="O56" s="431">
        <v>0</v>
      </c>
      <c r="P56" s="444">
        <f t="shared" si="13"/>
        <v>5978586</v>
      </c>
      <c r="Q56" s="431">
        <v>2141158</v>
      </c>
      <c r="R56" s="431">
        <v>2058749</v>
      </c>
      <c r="S56" s="431">
        <v>0</v>
      </c>
      <c r="T56" s="431">
        <v>0</v>
      </c>
      <c r="U56" s="431">
        <v>3360</v>
      </c>
      <c r="V56" s="431">
        <v>0</v>
      </c>
      <c r="W56" s="431">
        <v>500687</v>
      </c>
      <c r="X56" s="431">
        <v>474787</v>
      </c>
      <c r="Y56" s="431">
        <v>0</v>
      </c>
      <c r="Z56" s="431">
        <v>808109</v>
      </c>
      <c r="AA56" s="431">
        <v>0</v>
      </c>
      <c r="AB56" s="431">
        <v>-8264</v>
      </c>
      <c r="AC56" s="431">
        <v>1383094</v>
      </c>
      <c r="AD56" s="431">
        <v>153105</v>
      </c>
      <c r="AE56" s="431">
        <v>1822691</v>
      </c>
      <c r="AF56" s="431">
        <v>0</v>
      </c>
      <c r="AG56" s="431">
        <v>699937</v>
      </c>
      <c r="AH56" s="431">
        <v>474787</v>
      </c>
      <c r="AI56" s="431">
        <v>746759</v>
      </c>
      <c r="AJ56" s="431">
        <v>0</v>
      </c>
      <c r="AK56" s="431">
        <v>0</v>
      </c>
      <c r="AL56" s="431">
        <v>625674</v>
      </c>
      <c r="AM56" s="431">
        <v>72539</v>
      </c>
    </row>
    <row r="57" spans="1:39" s="155" customFormat="1" x14ac:dyDescent="0.2">
      <c r="A57" s="168">
        <v>3</v>
      </c>
      <c r="B57" s="401">
        <v>114603</v>
      </c>
      <c r="C57" s="418" t="s">
        <v>2958</v>
      </c>
      <c r="D57" s="444">
        <f t="shared" si="12"/>
        <v>9042007</v>
      </c>
      <c r="E57" s="431">
        <v>4706811</v>
      </c>
      <c r="F57" s="431">
        <v>1189756</v>
      </c>
      <c r="G57" s="431">
        <v>453484</v>
      </c>
      <c r="H57" s="431">
        <v>0</v>
      </c>
      <c r="I57" s="431">
        <v>2142378</v>
      </c>
      <c r="J57" s="431">
        <v>24000</v>
      </c>
      <c r="K57" s="431">
        <v>1244140</v>
      </c>
      <c r="L57" s="431">
        <v>0</v>
      </c>
      <c r="M57" s="431">
        <v>265132</v>
      </c>
      <c r="N57" s="431">
        <v>659546</v>
      </c>
      <c r="O57" s="431">
        <v>0</v>
      </c>
      <c r="P57" s="444">
        <f t="shared" si="13"/>
        <v>7420812</v>
      </c>
      <c r="Q57" s="431">
        <v>2357101</v>
      </c>
      <c r="R57" s="431">
        <v>2513005</v>
      </c>
      <c r="S57" s="431">
        <v>0</v>
      </c>
      <c r="T57" s="431">
        <v>0</v>
      </c>
      <c r="U57" s="431">
        <v>0</v>
      </c>
      <c r="V57" s="431">
        <v>0</v>
      </c>
      <c r="W57" s="431">
        <v>888100</v>
      </c>
      <c r="X57" s="431">
        <v>374707</v>
      </c>
      <c r="Y57" s="431">
        <v>54000</v>
      </c>
      <c r="Z57" s="431">
        <v>1239179</v>
      </c>
      <c r="AA57" s="431">
        <v>0</v>
      </c>
      <c r="AB57" s="431">
        <v>-5280</v>
      </c>
      <c r="AC57" s="431">
        <v>935645</v>
      </c>
      <c r="AD57" s="431">
        <v>0</v>
      </c>
      <c r="AE57" s="431">
        <v>2082322</v>
      </c>
      <c r="AF57" s="431">
        <v>0</v>
      </c>
      <c r="AG57" s="431">
        <v>1038651</v>
      </c>
      <c r="AH57" s="431">
        <v>471908</v>
      </c>
      <c r="AI57" s="431">
        <v>787715</v>
      </c>
      <c r="AJ57" s="431">
        <v>0</v>
      </c>
      <c r="AK57" s="431">
        <v>0</v>
      </c>
      <c r="AL57" s="431">
        <v>1548500</v>
      </c>
      <c r="AM57" s="431">
        <v>556071</v>
      </c>
    </row>
    <row r="58" spans="1:39" s="155" customFormat="1" x14ac:dyDescent="0.2">
      <c r="A58" s="168">
        <v>4</v>
      </c>
      <c r="B58" s="401">
        <v>115147</v>
      </c>
      <c r="C58" s="418" t="s">
        <v>1814</v>
      </c>
      <c r="D58" s="444">
        <f t="shared" si="12"/>
        <v>3892745</v>
      </c>
      <c r="E58" s="431">
        <v>1564649</v>
      </c>
      <c r="F58" s="431">
        <v>303933</v>
      </c>
      <c r="G58" s="431">
        <v>575809</v>
      </c>
      <c r="H58" s="431">
        <v>0</v>
      </c>
      <c r="I58" s="431">
        <v>1446745</v>
      </c>
      <c r="J58" s="431">
        <v>25000</v>
      </c>
      <c r="K58" s="431">
        <v>701860</v>
      </c>
      <c r="L58" s="431">
        <v>0</v>
      </c>
      <c r="M58" s="431">
        <v>154491</v>
      </c>
      <c r="N58" s="431">
        <v>0</v>
      </c>
      <c r="O58" s="431">
        <v>0</v>
      </c>
      <c r="P58" s="444">
        <f t="shared" si="13"/>
        <v>4351461</v>
      </c>
      <c r="Q58" s="431">
        <v>1682963</v>
      </c>
      <c r="R58" s="431">
        <v>1202699</v>
      </c>
      <c r="S58" s="431">
        <v>0</v>
      </c>
      <c r="T58" s="431">
        <v>0</v>
      </c>
      <c r="U58" s="431">
        <v>0</v>
      </c>
      <c r="V58" s="431">
        <v>0</v>
      </c>
      <c r="W58" s="431">
        <v>0</v>
      </c>
      <c r="X58" s="431">
        <v>320971</v>
      </c>
      <c r="Y58" s="431">
        <v>120642</v>
      </c>
      <c r="Z58" s="431">
        <v>1024186</v>
      </c>
      <c r="AA58" s="431">
        <v>0</v>
      </c>
      <c r="AB58" s="431">
        <v>0</v>
      </c>
      <c r="AC58" s="431">
        <v>1269389</v>
      </c>
      <c r="AD58" s="431">
        <v>32344</v>
      </c>
      <c r="AE58" s="431">
        <v>1297611</v>
      </c>
      <c r="AF58" s="431">
        <v>71723</v>
      </c>
      <c r="AG58" s="431">
        <v>350332</v>
      </c>
      <c r="AH58" s="431">
        <v>332188</v>
      </c>
      <c r="AI58" s="431">
        <v>85780</v>
      </c>
      <c r="AJ58" s="431">
        <v>64411</v>
      </c>
      <c r="AK58" s="431">
        <v>0</v>
      </c>
      <c r="AL58" s="431">
        <v>803751</v>
      </c>
      <c r="AM58" s="431">
        <v>43932</v>
      </c>
    </row>
    <row r="59" spans="1:39" s="155" customFormat="1" x14ac:dyDescent="0.2">
      <c r="A59" s="168">
        <v>5</v>
      </c>
      <c r="B59" s="401">
        <v>115183</v>
      </c>
      <c r="C59" s="418" t="s">
        <v>2959</v>
      </c>
      <c r="D59" s="444">
        <f t="shared" si="12"/>
        <v>4064564</v>
      </c>
      <c r="E59" s="431">
        <v>1447563</v>
      </c>
      <c r="F59" s="431">
        <v>106987</v>
      </c>
      <c r="G59" s="431">
        <v>506463</v>
      </c>
      <c r="H59" s="431">
        <v>0</v>
      </c>
      <c r="I59" s="431">
        <v>1332303</v>
      </c>
      <c r="J59" s="431">
        <v>346000</v>
      </c>
      <c r="K59" s="431">
        <v>387600</v>
      </c>
      <c r="L59" s="431">
        <v>0</v>
      </c>
      <c r="M59" s="431">
        <v>194553</v>
      </c>
      <c r="N59" s="431">
        <v>356545</v>
      </c>
      <c r="O59" s="431">
        <v>0</v>
      </c>
      <c r="P59" s="444">
        <f t="shared" si="13"/>
        <v>3952940</v>
      </c>
      <c r="Q59" s="431">
        <v>1572664</v>
      </c>
      <c r="R59" s="431">
        <v>1602447</v>
      </c>
      <c r="S59" s="431">
        <v>0</v>
      </c>
      <c r="T59" s="431">
        <v>0</v>
      </c>
      <c r="U59" s="431">
        <v>0</v>
      </c>
      <c r="V59" s="431">
        <v>0</v>
      </c>
      <c r="W59" s="431">
        <v>463488</v>
      </c>
      <c r="X59" s="431">
        <v>222204</v>
      </c>
      <c r="Y59" s="431">
        <v>0</v>
      </c>
      <c r="Z59" s="431">
        <v>92137</v>
      </c>
      <c r="AA59" s="431">
        <v>0</v>
      </c>
      <c r="AB59" s="431">
        <v>0</v>
      </c>
      <c r="AC59" s="431">
        <v>592033</v>
      </c>
      <c r="AD59" s="431">
        <v>0</v>
      </c>
      <c r="AE59" s="431">
        <v>1303291</v>
      </c>
      <c r="AF59" s="431">
        <v>0</v>
      </c>
      <c r="AG59" s="431">
        <v>273938</v>
      </c>
      <c r="AH59" s="431">
        <v>222204</v>
      </c>
      <c r="AI59" s="431">
        <v>387163</v>
      </c>
      <c r="AJ59" s="431">
        <v>53792</v>
      </c>
      <c r="AK59" s="431">
        <v>0</v>
      </c>
      <c r="AL59" s="431">
        <v>806215</v>
      </c>
      <c r="AM59" s="431">
        <v>314304</v>
      </c>
    </row>
    <row r="60" spans="1:39" s="155" customFormat="1" x14ac:dyDescent="0.2">
      <c r="A60" s="168">
        <v>6</v>
      </c>
      <c r="B60" s="401">
        <v>115236</v>
      </c>
      <c r="C60" s="418" t="s">
        <v>2960</v>
      </c>
      <c r="D60" s="444">
        <f t="shared" si="12"/>
        <v>3107548</v>
      </c>
      <c r="E60" s="431">
        <v>1328715</v>
      </c>
      <c r="F60" s="431">
        <v>88824</v>
      </c>
      <c r="G60" s="431">
        <v>785380</v>
      </c>
      <c r="H60" s="431">
        <v>0</v>
      </c>
      <c r="I60" s="431">
        <v>890566</v>
      </c>
      <c r="J60" s="431">
        <v>94000</v>
      </c>
      <c r="K60" s="431">
        <v>464700</v>
      </c>
      <c r="L60" s="431">
        <v>0</v>
      </c>
      <c r="M60" s="431">
        <v>127096</v>
      </c>
      <c r="N60" s="431">
        <v>202471</v>
      </c>
      <c r="O60" s="431">
        <v>0</v>
      </c>
      <c r="P60" s="444">
        <f t="shared" si="13"/>
        <v>2489672</v>
      </c>
      <c r="Q60" s="431">
        <v>1104551</v>
      </c>
      <c r="R60" s="431">
        <v>819727</v>
      </c>
      <c r="S60" s="431">
        <v>0</v>
      </c>
      <c r="T60" s="431">
        <v>0</v>
      </c>
      <c r="U60" s="431">
        <v>0</v>
      </c>
      <c r="V60" s="431">
        <v>0</v>
      </c>
      <c r="W60" s="431">
        <v>132274</v>
      </c>
      <c r="X60" s="431">
        <v>174970</v>
      </c>
      <c r="Y60" s="431">
        <v>32978</v>
      </c>
      <c r="Z60" s="431">
        <v>228248</v>
      </c>
      <c r="AA60" s="431">
        <v>0</v>
      </c>
      <c r="AB60" s="431">
        <v>-3076</v>
      </c>
      <c r="AC60" s="431">
        <v>885845</v>
      </c>
      <c r="AD60" s="431">
        <v>0</v>
      </c>
      <c r="AE60" s="431">
        <v>777399</v>
      </c>
      <c r="AF60" s="431">
        <v>33828</v>
      </c>
      <c r="AG60" s="431">
        <v>142941</v>
      </c>
      <c r="AH60" s="431">
        <v>201443</v>
      </c>
      <c r="AI60" s="431">
        <v>244826</v>
      </c>
      <c r="AJ60" s="431">
        <v>21009</v>
      </c>
      <c r="AK60" s="431">
        <v>0</v>
      </c>
      <c r="AL60" s="431">
        <v>153989</v>
      </c>
      <c r="AM60" s="431">
        <v>28392</v>
      </c>
    </row>
    <row r="61" spans="1:39" s="155" customFormat="1" x14ac:dyDescent="0.2">
      <c r="A61" s="168">
        <v>7</v>
      </c>
      <c r="B61" s="401">
        <v>115307</v>
      </c>
      <c r="C61" s="418" t="s">
        <v>2961</v>
      </c>
      <c r="D61" s="444">
        <f t="shared" si="12"/>
        <v>5282044</v>
      </c>
      <c r="E61" s="431">
        <v>1515123</v>
      </c>
      <c r="F61" s="431">
        <v>167030</v>
      </c>
      <c r="G61" s="431">
        <v>753868</v>
      </c>
      <c r="H61" s="431">
        <v>0</v>
      </c>
      <c r="I61" s="431">
        <v>2465699</v>
      </c>
      <c r="J61" s="431">
        <v>24000</v>
      </c>
      <c r="K61" s="431">
        <v>870840</v>
      </c>
      <c r="L61" s="431">
        <v>0</v>
      </c>
      <c r="M61" s="431">
        <v>255867</v>
      </c>
      <c r="N61" s="431">
        <v>150515</v>
      </c>
      <c r="O61" s="431">
        <v>0</v>
      </c>
      <c r="P61" s="444">
        <f t="shared" si="13"/>
        <v>5328007</v>
      </c>
      <c r="Q61" s="431">
        <v>2603303</v>
      </c>
      <c r="R61" s="431">
        <v>774530</v>
      </c>
      <c r="S61" s="431">
        <v>0</v>
      </c>
      <c r="T61" s="431">
        <v>0</v>
      </c>
      <c r="U61" s="431">
        <v>0</v>
      </c>
      <c r="V61" s="431">
        <v>0</v>
      </c>
      <c r="W61" s="431">
        <v>470056</v>
      </c>
      <c r="X61" s="431">
        <v>324180</v>
      </c>
      <c r="Y61" s="431">
        <v>42650</v>
      </c>
      <c r="Z61" s="431">
        <v>1119013</v>
      </c>
      <c r="AA61" s="431">
        <v>0</v>
      </c>
      <c r="AB61" s="431">
        <v>-5725</v>
      </c>
      <c r="AC61" s="431">
        <v>787478</v>
      </c>
      <c r="AD61" s="431">
        <v>0</v>
      </c>
      <c r="AE61" s="431">
        <v>2308249</v>
      </c>
      <c r="AF61" s="431">
        <v>35302</v>
      </c>
      <c r="AG61" s="431">
        <v>47354</v>
      </c>
      <c r="AH61" s="431">
        <v>317245</v>
      </c>
      <c r="AI61" s="431">
        <v>185684</v>
      </c>
      <c r="AJ61" s="431">
        <v>57854</v>
      </c>
      <c r="AK61" s="431">
        <v>0</v>
      </c>
      <c r="AL61" s="431">
        <v>1588841</v>
      </c>
      <c r="AM61" s="431">
        <v>0</v>
      </c>
    </row>
    <row r="62" spans="1:39" s="155" customFormat="1" x14ac:dyDescent="0.2">
      <c r="A62" s="168">
        <v>8</v>
      </c>
      <c r="B62" s="401">
        <v>115389</v>
      </c>
      <c r="C62" s="418" t="s">
        <v>2962</v>
      </c>
      <c r="D62" s="444">
        <f t="shared" si="12"/>
        <v>10388878</v>
      </c>
      <c r="E62" s="431">
        <v>2204623</v>
      </c>
      <c r="F62" s="431">
        <v>527372</v>
      </c>
      <c r="G62" s="431">
        <v>606459</v>
      </c>
      <c r="H62" s="431">
        <v>0</v>
      </c>
      <c r="I62" s="431">
        <v>3679135</v>
      </c>
      <c r="J62" s="431">
        <v>302000</v>
      </c>
      <c r="K62" s="431">
        <v>1043230</v>
      </c>
      <c r="L62" s="431">
        <v>0</v>
      </c>
      <c r="M62" s="431">
        <v>1329367</v>
      </c>
      <c r="N62" s="431">
        <v>1830523</v>
      </c>
      <c r="O62" s="431">
        <v>0</v>
      </c>
      <c r="P62" s="444">
        <f t="shared" si="13"/>
        <v>8383147</v>
      </c>
      <c r="Q62" s="431">
        <v>3507851</v>
      </c>
      <c r="R62" s="431">
        <v>2217036</v>
      </c>
      <c r="S62" s="431">
        <v>33629</v>
      </c>
      <c r="T62" s="431">
        <v>0</v>
      </c>
      <c r="U62" s="431">
        <v>0</v>
      </c>
      <c r="V62" s="431">
        <v>0</v>
      </c>
      <c r="W62" s="431">
        <v>298897</v>
      </c>
      <c r="X62" s="431">
        <v>601321</v>
      </c>
      <c r="Y62" s="431">
        <v>69999</v>
      </c>
      <c r="Z62" s="431">
        <v>631710</v>
      </c>
      <c r="AA62" s="431">
        <v>1029534</v>
      </c>
      <c r="AB62" s="431">
        <v>-6830</v>
      </c>
      <c r="AC62" s="431">
        <v>1054854</v>
      </c>
      <c r="AD62" s="431">
        <v>95901</v>
      </c>
      <c r="AE62" s="431">
        <v>3396337</v>
      </c>
      <c r="AF62" s="431">
        <v>14702</v>
      </c>
      <c r="AG62" s="431">
        <v>100000</v>
      </c>
      <c r="AH62" s="431">
        <v>653492</v>
      </c>
      <c r="AI62" s="431">
        <v>764883</v>
      </c>
      <c r="AJ62" s="431">
        <v>0</v>
      </c>
      <c r="AK62" s="431">
        <v>0</v>
      </c>
      <c r="AL62" s="431">
        <v>2302978</v>
      </c>
      <c r="AM62" s="431">
        <v>0</v>
      </c>
    </row>
    <row r="63" spans="1:39" s="155" customFormat="1" x14ac:dyDescent="0.2">
      <c r="A63" s="168">
        <v>9</v>
      </c>
      <c r="B63" s="401">
        <v>115520</v>
      </c>
      <c r="C63" s="418" t="s">
        <v>2963</v>
      </c>
      <c r="D63" s="444">
        <f t="shared" si="12"/>
        <v>5987223</v>
      </c>
      <c r="E63" s="431">
        <v>2217652</v>
      </c>
      <c r="F63" s="431">
        <v>270868</v>
      </c>
      <c r="G63" s="431">
        <v>478839</v>
      </c>
      <c r="H63" s="431">
        <v>0</v>
      </c>
      <c r="I63" s="431">
        <v>1769998</v>
      </c>
      <c r="J63" s="431">
        <v>23000</v>
      </c>
      <c r="K63" s="431">
        <v>1094350</v>
      </c>
      <c r="L63" s="431">
        <v>0</v>
      </c>
      <c r="M63" s="431">
        <v>163313</v>
      </c>
      <c r="N63" s="431">
        <v>718910</v>
      </c>
      <c r="O63" s="431">
        <v>0</v>
      </c>
      <c r="P63" s="444">
        <f t="shared" si="13"/>
        <v>5980011</v>
      </c>
      <c r="Q63" s="431">
        <v>2427376</v>
      </c>
      <c r="R63" s="431">
        <v>1816920</v>
      </c>
      <c r="S63" s="431">
        <v>0</v>
      </c>
      <c r="T63" s="431">
        <v>0</v>
      </c>
      <c r="U63" s="431">
        <v>0</v>
      </c>
      <c r="V63" s="431">
        <v>0</v>
      </c>
      <c r="W63" s="431">
        <v>924401</v>
      </c>
      <c r="X63" s="431">
        <v>122383</v>
      </c>
      <c r="Y63" s="431">
        <v>40000</v>
      </c>
      <c r="Z63" s="431">
        <v>661474</v>
      </c>
      <c r="AA63" s="431">
        <v>0</v>
      </c>
      <c r="AB63" s="431">
        <v>-12543</v>
      </c>
      <c r="AC63" s="431">
        <v>908555</v>
      </c>
      <c r="AD63" s="431">
        <v>27314</v>
      </c>
      <c r="AE63" s="431">
        <v>2574878</v>
      </c>
      <c r="AF63" s="431">
        <v>0</v>
      </c>
      <c r="AG63" s="431">
        <v>254401</v>
      </c>
      <c r="AH63" s="431">
        <v>309417</v>
      </c>
      <c r="AI63" s="431">
        <v>1822397</v>
      </c>
      <c r="AJ63" s="431">
        <v>0</v>
      </c>
      <c r="AK63" s="431">
        <v>0</v>
      </c>
      <c r="AL63" s="431">
        <v>83049</v>
      </c>
      <c r="AM63" s="431">
        <v>0</v>
      </c>
    </row>
    <row r="64" spans="1:39" s="155" customFormat="1" x14ac:dyDescent="0.2">
      <c r="A64" s="168">
        <v>10</v>
      </c>
      <c r="B64" s="401">
        <v>115575</v>
      </c>
      <c r="C64" s="418" t="s">
        <v>2964</v>
      </c>
      <c r="D64" s="444">
        <f t="shared" si="12"/>
        <v>4383905</v>
      </c>
      <c r="E64" s="431">
        <v>1714553</v>
      </c>
      <c r="F64" s="431">
        <v>754131</v>
      </c>
      <c r="G64" s="431">
        <v>163854</v>
      </c>
      <c r="H64" s="431">
        <v>0</v>
      </c>
      <c r="I64" s="431">
        <v>1510308</v>
      </c>
      <c r="J64" s="431">
        <v>0</v>
      </c>
      <c r="K64" s="431">
        <v>448670</v>
      </c>
      <c r="L64" s="431">
        <v>0</v>
      </c>
      <c r="M64" s="431">
        <v>306194</v>
      </c>
      <c r="N64" s="431">
        <v>404180</v>
      </c>
      <c r="O64" s="431">
        <v>0</v>
      </c>
      <c r="P64" s="444">
        <f t="shared" si="13"/>
        <v>4911254</v>
      </c>
      <c r="Q64" s="431">
        <v>1686568</v>
      </c>
      <c r="R64" s="431">
        <v>999655</v>
      </c>
      <c r="S64" s="431">
        <v>0</v>
      </c>
      <c r="T64" s="431">
        <v>0</v>
      </c>
      <c r="U64" s="431">
        <v>0</v>
      </c>
      <c r="V64" s="431">
        <v>0</v>
      </c>
      <c r="W64" s="431">
        <v>568281</v>
      </c>
      <c r="X64" s="431">
        <v>159291</v>
      </c>
      <c r="Y64" s="431">
        <v>85000</v>
      </c>
      <c r="Z64" s="431">
        <v>1412459</v>
      </c>
      <c r="AA64" s="431">
        <v>0</v>
      </c>
      <c r="AB64" s="431">
        <v>0</v>
      </c>
      <c r="AC64" s="431">
        <v>771594</v>
      </c>
      <c r="AD64" s="431">
        <v>70700</v>
      </c>
      <c r="AE64" s="431">
        <v>1455458</v>
      </c>
      <c r="AF64" s="431">
        <v>15280</v>
      </c>
      <c r="AG64" s="431">
        <v>1318594</v>
      </c>
      <c r="AH64" s="431">
        <v>159291</v>
      </c>
      <c r="AI64" s="431">
        <v>290554</v>
      </c>
      <c r="AJ64" s="431">
        <v>78845</v>
      </c>
      <c r="AK64" s="431">
        <v>0</v>
      </c>
      <c r="AL64" s="431">
        <v>750938</v>
      </c>
      <c r="AM64" s="431">
        <v>0</v>
      </c>
    </row>
    <row r="65" spans="1:39" s="155" customFormat="1" x14ac:dyDescent="0.2">
      <c r="A65" s="168">
        <v>11</v>
      </c>
      <c r="B65" s="401">
        <v>115600</v>
      </c>
      <c r="C65" s="418" t="s">
        <v>503</v>
      </c>
      <c r="D65" s="444">
        <f t="shared" si="12"/>
        <v>3779206</v>
      </c>
      <c r="E65" s="431">
        <v>1183775</v>
      </c>
      <c r="F65" s="431">
        <v>77210</v>
      </c>
      <c r="G65" s="431">
        <v>870705</v>
      </c>
      <c r="H65" s="431">
        <v>0</v>
      </c>
      <c r="I65" s="431">
        <v>478000</v>
      </c>
      <c r="J65" s="431">
        <v>119000</v>
      </c>
      <c r="K65" s="431">
        <v>419330</v>
      </c>
      <c r="L65" s="431">
        <v>0</v>
      </c>
      <c r="M65" s="431">
        <v>124979</v>
      </c>
      <c r="N65" s="431">
        <v>1454122</v>
      </c>
      <c r="O65" s="431">
        <v>0</v>
      </c>
      <c r="P65" s="444">
        <f t="shared" si="13"/>
        <v>1492710</v>
      </c>
      <c r="Q65" s="431">
        <v>671734</v>
      </c>
      <c r="R65" s="431">
        <v>699824</v>
      </c>
      <c r="S65" s="431">
        <v>0</v>
      </c>
      <c r="T65" s="431">
        <v>0</v>
      </c>
      <c r="U65" s="431">
        <v>0</v>
      </c>
      <c r="V65" s="431">
        <v>0</v>
      </c>
      <c r="W65" s="431">
        <v>20205</v>
      </c>
      <c r="X65" s="431">
        <v>75947</v>
      </c>
      <c r="Y65" s="431">
        <v>0</v>
      </c>
      <c r="Z65" s="431">
        <v>25000</v>
      </c>
      <c r="AA65" s="431">
        <v>0</v>
      </c>
      <c r="AB65" s="431">
        <v>0</v>
      </c>
      <c r="AC65" s="431">
        <v>425514</v>
      </c>
      <c r="AD65" s="431">
        <v>89356</v>
      </c>
      <c r="AE65" s="431">
        <v>453777</v>
      </c>
      <c r="AF65" s="431">
        <v>28486</v>
      </c>
      <c r="AG65" s="431">
        <v>50550</v>
      </c>
      <c r="AH65" s="431">
        <v>105351</v>
      </c>
      <c r="AI65" s="431">
        <v>58985</v>
      </c>
      <c r="AJ65" s="431">
        <v>16718</v>
      </c>
      <c r="AK65" s="431">
        <v>0</v>
      </c>
      <c r="AL65" s="431">
        <v>154949</v>
      </c>
      <c r="AM65" s="431">
        <v>109024</v>
      </c>
    </row>
    <row r="66" spans="1:39" s="155" customFormat="1" x14ac:dyDescent="0.2">
      <c r="A66" s="168">
        <v>12</v>
      </c>
      <c r="B66" s="401">
        <v>115637</v>
      </c>
      <c r="C66" s="418" t="s">
        <v>2965</v>
      </c>
      <c r="D66" s="444">
        <f t="shared" si="12"/>
        <v>8519221</v>
      </c>
      <c r="E66" s="431">
        <v>2668602</v>
      </c>
      <c r="F66" s="431">
        <v>1198826</v>
      </c>
      <c r="G66" s="431">
        <v>286344</v>
      </c>
      <c r="H66" s="431">
        <v>0</v>
      </c>
      <c r="I66" s="431">
        <v>2343890</v>
      </c>
      <c r="J66" s="431">
        <v>111000</v>
      </c>
      <c r="K66" s="431">
        <v>871010</v>
      </c>
      <c r="L66" s="431">
        <v>0</v>
      </c>
      <c r="M66" s="431">
        <v>1503762</v>
      </c>
      <c r="N66" s="431">
        <v>1020957</v>
      </c>
      <c r="O66" s="431">
        <v>0</v>
      </c>
      <c r="P66" s="444">
        <f t="shared" si="13"/>
        <v>7663288</v>
      </c>
      <c r="Q66" s="431">
        <v>2583669</v>
      </c>
      <c r="R66" s="431">
        <v>1680894</v>
      </c>
      <c r="S66" s="431">
        <v>0</v>
      </c>
      <c r="T66" s="431">
        <v>0</v>
      </c>
      <c r="U66" s="431">
        <v>50000</v>
      </c>
      <c r="V66" s="431">
        <v>0</v>
      </c>
      <c r="W66" s="431">
        <v>1112858</v>
      </c>
      <c r="X66" s="431">
        <v>299625</v>
      </c>
      <c r="Y66" s="431">
        <v>0</v>
      </c>
      <c r="Z66" s="431">
        <v>1939962</v>
      </c>
      <c r="AA66" s="431">
        <v>0</v>
      </c>
      <c r="AB66" s="431">
        <v>-3720</v>
      </c>
      <c r="AC66" s="431">
        <v>1262759</v>
      </c>
      <c r="AD66" s="431">
        <v>158635</v>
      </c>
      <c r="AE66" s="431">
        <v>2816742</v>
      </c>
      <c r="AF66" s="431">
        <v>0</v>
      </c>
      <c r="AG66" s="431">
        <v>517643</v>
      </c>
      <c r="AH66" s="431">
        <v>380316</v>
      </c>
      <c r="AI66" s="431">
        <v>161478</v>
      </c>
      <c r="AJ66" s="431">
        <v>143840</v>
      </c>
      <c r="AK66" s="431">
        <v>0</v>
      </c>
      <c r="AL66" s="431">
        <v>2221875</v>
      </c>
      <c r="AM66" s="431">
        <v>0</v>
      </c>
    </row>
    <row r="67" spans="1:39" s="155" customFormat="1" x14ac:dyDescent="0.2">
      <c r="A67" s="168">
        <v>13</v>
      </c>
      <c r="B67" s="401">
        <v>115708</v>
      </c>
      <c r="C67" s="418" t="s">
        <v>2966</v>
      </c>
      <c r="D67" s="444">
        <f t="shared" si="12"/>
        <v>3927539</v>
      </c>
      <c r="E67" s="431">
        <v>1279147</v>
      </c>
      <c r="F67" s="431">
        <v>213662</v>
      </c>
      <c r="G67" s="431">
        <v>547642</v>
      </c>
      <c r="H67" s="431">
        <v>0</v>
      </c>
      <c r="I67" s="431">
        <v>1124489</v>
      </c>
      <c r="J67" s="431">
        <v>136000</v>
      </c>
      <c r="K67" s="431">
        <v>531350</v>
      </c>
      <c r="L67" s="431">
        <v>0</v>
      </c>
      <c r="M67" s="431">
        <v>62199</v>
      </c>
      <c r="N67" s="431">
        <v>0</v>
      </c>
      <c r="O67" s="431">
        <v>794354</v>
      </c>
      <c r="P67" s="444">
        <f t="shared" si="13"/>
        <v>4126847</v>
      </c>
      <c r="Q67" s="431">
        <v>1311908</v>
      </c>
      <c r="R67" s="431">
        <v>1210537</v>
      </c>
      <c r="S67" s="431">
        <v>0</v>
      </c>
      <c r="T67" s="431">
        <v>0</v>
      </c>
      <c r="U67" s="431">
        <v>0</v>
      </c>
      <c r="V67" s="431">
        <v>0</v>
      </c>
      <c r="W67" s="431">
        <v>0</v>
      </c>
      <c r="X67" s="431">
        <v>240054</v>
      </c>
      <c r="Y67" s="431">
        <v>10000</v>
      </c>
      <c r="Z67" s="431">
        <v>1354348</v>
      </c>
      <c r="AA67" s="431">
        <v>0</v>
      </c>
      <c r="AB67" s="431">
        <v>0</v>
      </c>
      <c r="AC67" s="431">
        <v>703119</v>
      </c>
      <c r="AD67" s="431">
        <v>90441</v>
      </c>
      <c r="AE67" s="431">
        <v>1050731</v>
      </c>
      <c r="AF67" s="431">
        <v>0</v>
      </c>
      <c r="AG67" s="431">
        <v>132731</v>
      </c>
      <c r="AH67" s="431">
        <v>254762</v>
      </c>
      <c r="AI67" s="431">
        <v>1599861</v>
      </c>
      <c r="AJ67" s="431">
        <v>59830</v>
      </c>
      <c r="AK67" s="431">
        <v>0</v>
      </c>
      <c r="AL67" s="431">
        <v>225658</v>
      </c>
      <c r="AM67" s="431">
        <v>9714</v>
      </c>
    </row>
    <row r="68" spans="1:39" s="155" customFormat="1" x14ac:dyDescent="0.2">
      <c r="A68" s="168">
        <v>14</v>
      </c>
      <c r="B68" s="401">
        <v>115771</v>
      </c>
      <c r="C68" s="418" t="s">
        <v>2967</v>
      </c>
      <c r="D68" s="444">
        <f t="shared" si="12"/>
        <v>2783491</v>
      </c>
      <c r="E68" s="431">
        <v>1290183</v>
      </c>
      <c r="F68" s="431">
        <v>52324</v>
      </c>
      <c r="G68" s="431">
        <v>736900</v>
      </c>
      <c r="H68" s="431">
        <v>0</v>
      </c>
      <c r="I68" s="431">
        <v>488298</v>
      </c>
      <c r="J68" s="431">
        <v>197000</v>
      </c>
      <c r="K68" s="431">
        <v>377730</v>
      </c>
      <c r="L68" s="431">
        <v>0</v>
      </c>
      <c r="M68" s="431">
        <v>117232</v>
      </c>
      <c r="N68" s="431">
        <v>313048</v>
      </c>
      <c r="O68" s="431">
        <v>0</v>
      </c>
      <c r="P68" s="444">
        <f t="shared" si="13"/>
        <v>2519812</v>
      </c>
      <c r="Q68" s="431">
        <v>809431</v>
      </c>
      <c r="R68" s="431">
        <v>861993</v>
      </c>
      <c r="S68" s="431">
        <v>0</v>
      </c>
      <c r="T68" s="431">
        <v>0</v>
      </c>
      <c r="U68" s="431">
        <v>0</v>
      </c>
      <c r="V68" s="431">
        <v>0</v>
      </c>
      <c r="W68" s="431">
        <v>405149</v>
      </c>
      <c r="X68" s="431">
        <v>51840</v>
      </c>
      <c r="Y68" s="431">
        <v>10000</v>
      </c>
      <c r="Z68" s="431">
        <v>384661</v>
      </c>
      <c r="AA68" s="431">
        <v>0</v>
      </c>
      <c r="AB68" s="431">
        <v>-3262</v>
      </c>
      <c r="AC68" s="431">
        <v>1196220</v>
      </c>
      <c r="AD68" s="431">
        <v>0</v>
      </c>
      <c r="AE68" s="431">
        <v>504604</v>
      </c>
      <c r="AF68" s="431">
        <v>21367</v>
      </c>
      <c r="AG68" s="431">
        <v>7301</v>
      </c>
      <c r="AH68" s="431">
        <v>51840</v>
      </c>
      <c r="AI68" s="431">
        <v>89555</v>
      </c>
      <c r="AJ68" s="431">
        <v>31661</v>
      </c>
      <c r="AK68" s="431">
        <v>0</v>
      </c>
      <c r="AL68" s="431">
        <v>617264</v>
      </c>
      <c r="AM68" s="431">
        <v>0</v>
      </c>
    </row>
    <row r="69" spans="1:39" s="155" customFormat="1" x14ac:dyDescent="0.2">
      <c r="A69" s="168">
        <v>15</v>
      </c>
      <c r="B69" s="401">
        <v>115824</v>
      </c>
      <c r="C69" s="418" t="s">
        <v>2968</v>
      </c>
      <c r="D69" s="444">
        <f t="shared" si="12"/>
        <v>3027474</v>
      </c>
      <c r="E69" s="431">
        <v>1345206</v>
      </c>
      <c r="F69" s="431">
        <v>179403</v>
      </c>
      <c r="G69" s="431">
        <v>709751</v>
      </c>
      <c r="H69" s="431">
        <v>0</v>
      </c>
      <c r="I69" s="431">
        <v>669386</v>
      </c>
      <c r="J69" s="431">
        <v>75000</v>
      </c>
      <c r="K69" s="431">
        <v>415250</v>
      </c>
      <c r="L69" s="431">
        <v>0</v>
      </c>
      <c r="M69" s="431">
        <v>25069</v>
      </c>
      <c r="N69" s="431">
        <v>497563</v>
      </c>
      <c r="O69" s="431">
        <v>0</v>
      </c>
      <c r="P69" s="444">
        <f t="shared" si="13"/>
        <v>2798466</v>
      </c>
      <c r="Q69" s="431">
        <v>942607</v>
      </c>
      <c r="R69" s="431">
        <v>832312</v>
      </c>
      <c r="S69" s="431">
        <v>0</v>
      </c>
      <c r="T69" s="431">
        <v>0</v>
      </c>
      <c r="U69" s="431">
        <v>0</v>
      </c>
      <c r="V69" s="431">
        <v>0</v>
      </c>
      <c r="W69" s="431">
        <v>718767</v>
      </c>
      <c r="X69" s="431">
        <v>156845</v>
      </c>
      <c r="Y69" s="431">
        <v>1000</v>
      </c>
      <c r="Z69" s="431">
        <v>147255</v>
      </c>
      <c r="AA69" s="431">
        <v>0</v>
      </c>
      <c r="AB69" s="431">
        <v>-320</v>
      </c>
      <c r="AC69" s="431">
        <v>640525</v>
      </c>
      <c r="AD69" s="431">
        <v>0</v>
      </c>
      <c r="AE69" s="431">
        <v>561264</v>
      </c>
      <c r="AF69" s="431">
        <v>0</v>
      </c>
      <c r="AG69" s="431">
        <v>50206</v>
      </c>
      <c r="AH69" s="431">
        <v>157845</v>
      </c>
      <c r="AI69" s="431">
        <v>262762</v>
      </c>
      <c r="AJ69" s="431">
        <v>164993</v>
      </c>
      <c r="AK69" s="431">
        <v>0</v>
      </c>
      <c r="AL69" s="431">
        <v>957971</v>
      </c>
      <c r="AM69" s="431">
        <v>2900</v>
      </c>
    </row>
    <row r="70" spans="1:39" s="155" customFormat="1" x14ac:dyDescent="0.2">
      <c r="A70" s="168">
        <v>16</v>
      </c>
      <c r="B70" s="401">
        <v>115851</v>
      </c>
      <c r="C70" s="418" t="s">
        <v>1803</v>
      </c>
      <c r="D70" s="444">
        <f t="shared" si="12"/>
        <v>3184760</v>
      </c>
      <c r="E70" s="431">
        <v>1366869</v>
      </c>
      <c r="F70" s="431">
        <v>207801</v>
      </c>
      <c r="G70" s="431">
        <v>589568</v>
      </c>
      <c r="H70" s="431">
        <v>0</v>
      </c>
      <c r="I70" s="431">
        <v>817513</v>
      </c>
      <c r="J70" s="431">
        <v>52000</v>
      </c>
      <c r="K70" s="431">
        <v>381930</v>
      </c>
      <c r="L70" s="431">
        <v>0</v>
      </c>
      <c r="M70" s="431">
        <v>566448</v>
      </c>
      <c r="N70" s="431">
        <v>0</v>
      </c>
      <c r="O70" s="431">
        <v>0</v>
      </c>
      <c r="P70" s="444">
        <f t="shared" si="13"/>
        <v>3197638</v>
      </c>
      <c r="Q70" s="431">
        <v>1119520</v>
      </c>
      <c r="R70" s="431">
        <v>1011625</v>
      </c>
      <c r="S70" s="431">
        <v>0</v>
      </c>
      <c r="T70" s="431">
        <v>0</v>
      </c>
      <c r="U70" s="431">
        <v>0</v>
      </c>
      <c r="V70" s="431">
        <v>0</v>
      </c>
      <c r="W70" s="431">
        <v>0</v>
      </c>
      <c r="X70" s="431">
        <v>103381</v>
      </c>
      <c r="Y70" s="431">
        <v>4000</v>
      </c>
      <c r="Z70" s="431">
        <v>959193</v>
      </c>
      <c r="AA70" s="431">
        <v>0</v>
      </c>
      <c r="AB70" s="431">
        <v>-81</v>
      </c>
      <c r="AC70" s="431">
        <v>1454037</v>
      </c>
      <c r="AD70" s="431">
        <v>85526</v>
      </c>
      <c r="AE70" s="431">
        <v>778214</v>
      </c>
      <c r="AF70" s="431">
        <v>71631</v>
      </c>
      <c r="AG70" s="431">
        <v>115153</v>
      </c>
      <c r="AH70" s="431">
        <v>157198</v>
      </c>
      <c r="AI70" s="431">
        <v>131928</v>
      </c>
      <c r="AJ70" s="431">
        <v>92925</v>
      </c>
      <c r="AK70" s="431">
        <v>0</v>
      </c>
      <c r="AL70" s="431">
        <v>270126</v>
      </c>
      <c r="AM70" s="431">
        <v>40900</v>
      </c>
    </row>
    <row r="71" spans="1:39" s="155" customFormat="1" x14ac:dyDescent="0.2">
      <c r="A71" s="168">
        <v>17</v>
      </c>
      <c r="B71" s="401">
        <v>115897</v>
      </c>
      <c r="C71" s="418" t="s">
        <v>2969</v>
      </c>
      <c r="D71" s="444">
        <f t="shared" si="12"/>
        <v>5824923</v>
      </c>
      <c r="E71" s="431">
        <v>2368601</v>
      </c>
      <c r="F71" s="431">
        <v>364558</v>
      </c>
      <c r="G71" s="431">
        <v>438707</v>
      </c>
      <c r="H71" s="431">
        <v>0</v>
      </c>
      <c r="I71" s="431">
        <v>1646829</v>
      </c>
      <c r="J71" s="431">
        <v>43000</v>
      </c>
      <c r="K71" s="431">
        <v>1160900</v>
      </c>
      <c r="L71" s="431">
        <v>0</v>
      </c>
      <c r="M71" s="431">
        <v>605593</v>
      </c>
      <c r="N71" s="431">
        <v>0</v>
      </c>
      <c r="O71" s="431">
        <v>0</v>
      </c>
      <c r="P71" s="444">
        <f t="shared" si="13"/>
        <v>5707960</v>
      </c>
      <c r="Q71" s="431">
        <v>1616416</v>
      </c>
      <c r="R71" s="431">
        <v>1890695</v>
      </c>
      <c r="S71" s="431">
        <v>0</v>
      </c>
      <c r="T71" s="431">
        <v>0</v>
      </c>
      <c r="U71" s="431">
        <v>0</v>
      </c>
      <c r="V71" s="431">
        <v>0</v>
      </c>
      <c r="W71" s="431">
        <v>0</v>
      </c>
      <c r="X71" s="431">
        <v>440998</v>
      </c>
      <c r="Y71" s="431">
        <v>218500</v>
      </c>
      <c r="Z71" s="431">
        <v>1541351</v>
      </c>
      <c r="AA71" s="431">
        <v>0</v>
      </c>
      <c r="AB71" s="431">
        <v>0</v>
      </c>
      <c r="AC71" s="431">
        <v>681265</v>
      </c>
      <c r="AD71" s="431">
        <v>44638</v>
      </c>
      <c r="AE71" s="431">
        <v>1593810</v>
      </c>
      <c r="AF71" s="431">
        <v>48271</v>
      </c>
      <c r="AG71" s="431">
        <v>408401</v>
      </c>
      <c r="AH71" s="431">
        <v>440998</v>
      </c>
      <c r="AI71" s="431">
        <v>728119</v>
      </c>
      <c r="AJ71" s="431">
        <v>96914</v>
      </c>
      <c r="AK71" s="431">
        <v>0</v>
      </c>
      <c r="AL71" s="431">
        <v>1665544</v>
      </c>
      <c r="AM71" s="431">
        <v>0</v>
      </c>
    </row>
    <row r="72" spans="1:39" s="155" customFormat="1" x14ac:dyDescent="0.2">
      <c r="A72" s="168">
        <v>18</v>
      </c>
      <c r="B72" s="401">
        <v>115959</v>
      </c>
      <c r="C72" s="418" t="s">
        <v>2970</v>
      </c>
      <c r="D72" s="444">
        <f t="shared" si="12"/>
        <v>6669679</v>
      </c>
      <c r="E72" s="431">
        <v>2582204</v>
      </c>
      <c r="F72" s="431">
        <v>555907</v>
      </c>
      <c r="G72" s="431">
        <v>595667</v>
      </c>
      <c r="H72" s="431">
        <v>0</v>
      </c>
      <c r="I72" s="431">
        <v>2358328</v>
      </c>
      <c r="J72" s="431">
        <v>166000</v>
      </c>
      <c r="K72" s="431">
        <v>1511460</v>
      </c>
      <c r="L72" s="431">
        <v>0</v>
      </c>
      <c r="M72" s="431">
        <v>51687</v>
      </c>
      <c r="N72" s="431">
        <v>0</v>
      </c>
      <c r="O72" s="431">
        <v>0</v>
      </c>
      <c r="P72" s="444">
        <f t="shared" si="13"/>
        <v>6669632</v>
      </c>
      <c r="Q72" s="431">
        <v>2430418</v>
      </c>
      <c r="R72" s="431">
        <v>3229390</v>
      </c>
      <c r="S72" s="431">
        <v>0</v>
      </c>
      <c r="T72" s="431">
        <v>0</v>
      </c>
      <c r="U72" s="431">
        <v>0</v>
      </c>
      <c r="V72" s="431">
        <v>340000</v>
      </c>
      <c r="W72" s="431">
        <v>0</v>
      </c>
      <c r="X72" s="431">
        <v>443790</v>
      </c>
      <c r="Y72" s="431">
        <v>50000</v>
      </c>
      <c r="Z72" s="431">
        <v>243347</v>
      </c>
      <c r="AA72" s="431">
        <v>0</v>
      </c>
      <c r="AB72" s="431">
        <v>-67313</v>
      </c>
      <c r="AC72" s="431">
        <v>1426157</v>
      </c>
      <c r="AD72" s="431">
        <v>94392</v>
      </c>
      <c r="AE72" s="431">
        <v>2330544</v>
      </c>
      <c r="AF72" s="431">
        <v>0</v>
      </c>
      <c r="AG72" s="431">
        <v>567251</v>
      </c>
      <c r="AH72" s="431">
        <v>443790</v>
      </c>
      <c r="AI72" s="431">
        <v>387441</v>
      </c>
      <c r="AJ72" s="431">
        <v>261365</v>
      </c>
      <c r="AK72" s="431">
        <v>0</v>
      </c>
      <c r="AL72" s="431">
        <v>1106411</v>
      </c>
      <c r="AM72" s="431">
        <v>52281</v>
      </c>
    </row>
    <row r="73" spans="1:39" s="155" customFormat="1" x14ac:dyDescent="0.2">
      <c r="A73" s="168">
        <v>19</v>
      </c>
      <c r="B73" s="401">
        <v>116046</v>
      </c>
      <c r="C73" s="418" t="s">
        <v>2971</v>
      </c>
      <c r="D73" s="444">
        <f t="shared" si="12"/>
        <v>4776741</v>
      </c>
      <c r="E73" s="431">
        <v>1831735</v>
      </c>
      <c r="F73" s="431">
        <v>138699</v>
      </c>
      <c r="G73" s="431">
        <v>696263</v>
      </c>
      <c r="H73" s="431">
        <v>0</v>
      </c>
      <c r="I73" s="431">
        <v>1300081</v>
      </c>
      <c r="J73" s="431">
        <v>108000</v>
      </c>
      <c r="K73" s="431">
        <v>557380</v>
      </c>
      <c r="L73" s="431">
        <v>0</v>
      </c>
      <c r="M73" s="431">
        <v>979545</v>
      </c>
      <c r="N73" s="431">
        <v>0</v>
      </c>
      <c r="O73" s="431">
        <v>0</v>
      </c>
      <c r="P73" s="444">
        <f t="shared" si="13"/>
        <v>4649633</v>
      </c>
      <c r="Q73" s="431">
        <v>1533196</v>
      </c>
      <c r="R73" s="431">
        <v>1285573</v>
      </c>
      <c r="S73" s="431">
        <v>0</v>
      </c>
      <c r="T73" s="431">
        <v>0</v>
      </c>
      <c r="U73" s="431">
        <v>0</v>
      </c>
      <c r="V73" s="431">
        <v>3783</v>
      </c>
      <c r="W73" s="431">
        <v>0</v>
      </c>
      <c r="X73" s="431">
        <v>120565</v>
      </c>
      <c r="Y73" s="431">
        <v>48010</v>
      </c>
      <c r="Z73" s="431">
        <v>1675860</v>
      </c>
      <c r="AA73" s="431">
        <v>0</v>
      </c>
      <c r="AB73" s="431">
        <v>-17354</v>
      </c>
      <c r="AC73" s="431">
        <v>617620</v>
      </c>
      <c r="AD73" s="431">
        <v>46759</v>
      </c>
      <c r="AE73" s="431">
        <v>1311609</v>
      </c>
      <c r="AF73" s="431">
        <v>44071</v>
      </c>
      <c r="AG73" s="431">
        <v>182261</v>
      </c>
      <c r="AH73" s="431">
        <v>163874</v>
      </c>
      <c r="AI73" s="431">
        <v>394842</v>
      </c>
      <c r="AJ73" s="431">
        <v>1101883</v>
      </c>
      <c r="AK73" s="431">
        <v>0</v>
      </c>
      <c r="AL73" s="431">
        <v>752885</v>
      </c>
      <c r="AM73" s="431">
        <v>33829</v>
      </c>
    </row>
    <row r="74" spans="1:39" s="155" customFormat="1" x14ac:dyDescent="0.2">
      <c r="A74" s="168">
        <v>20</v>
      </c>
      <c r="B74" s="401">
        <v>116126</v>
      </c>
      <c r="C74" s="418" t="s">
        <v>2972</v>
      </c>
      <c r="D74" s="444">
        <f t="shared" si="12"/>
        <v>3148398</v>
      </c>
      <c r="E74" s="431">
        <v>1999457</v>
      </c>
      <c r="F74" s="431">
        <v>54572</v>
      </c>
      <c r="G74" s="431">
        <v>505164</v>
      </c>
      <c r="H74" s="431">
        <v>0</v>
      </c>
      <c r="I74" s="431">
        <v>783707</v>
      </c>
      <c r="J74" s="431">
        <v>19000</v>
      </c>
      <c r="K74" s="431">
        <v>331930</v>
      </c>
      <c r="L74" s="431">
        <v>0</v>
      </c>
      <c r="M74" s="431">
        <v>14304</v>
      </c>
      <c r="N74" s="431">
        <v>0</v>
      </c>
      <c r="O74" s="431">
        <v>0</v>
      </c>
      <c r="P74" s="444">
        <f t="shared" si="13"/>
        <v>3264731</v>
      </c>
      <c r="Q74" s="431">
        <v>1061102</v>
      </c>
      <c r="R74" s="431">
        <v>805937</v>
      </c>
      <c r="S74" s="431">
        <v>0</v>
      </c>
      <c r="T74" s="431">
        <v>0</v>
      </c>
      <c r="U74" s="431">
        <v>0</v>
      </c>
      <c r="V74" s="431">
        <v>0</v>
      </c>
      <c r="W74" s="431">
        <v>0</v>
      </c>
      <c r="X74" s="431">
        <v>124255</v>
      </c>
      <c r="Y74" s="431">
        <v>35000</v>
      </c>
      <c r="Z74" s="431">
        <v>1241154</v>
      </c>
      <c r="AA74" s="431">
        <v>0</v>
      </c>
      <c r="AB74" s="431">
        <v>-2717</v>
      </c>
      <c r="AC74" s="431">
        <v>684173</v>
      </c>
      <c r="AD74" s="431">
        <v>13259</v>
      </c>
      <c r="AE74" s="431">
        <v>697180</v>
      </c>
      <c r="AF74" s="431">
        <v>0</v>
      </c>
      <c r="AG74" s="431">
        <v>84230</v>
      </c>
      <c r="AH74" s="431">
        <v>227911</v>
      </c>
      <c r="AI74" s="431">
        <v>169825</v>
      </c>
      <c r="AJ74" s="431">
        <v>32333</v>
      </c>
      <c r="AK74" s="431">
        <v>0</v>
      </c>
      <c r="AL74" s="431">
        <v>1294920</v>
      </c>
      <c r="AM74" s="431">
        <v>60900</v>
      </c>
    </row>
    <row r="75" spans="1:39" s="155" customFormat="1" x14ac:dyDescent="0.2">
      <c r="A75" s="168">
        <v>21</v>
      </c>
      <c r="B75" s="401">
        <v>116171</v>
      </c>
      <c r="C75" s="418" t="s">
        <v>2973</v>
      </c>
      <c r="D75" s="444">
        <f t="shared" si="12"/>
        <v>2645530</v>
      </c>
      <c r="E75" s="431">
        <v>1260686</v>
      </c>
      <c r="F75" s="431">
        <v>120046</v>
      </c>
      <c r="G75" s="431">
        <v>787319</v>
      </c>
      <c r="H75" s="431">
        <v>0</v>
      </c>
      <c r="I75" s="431">
        <v>620173</v>
      </c>
      <c r="J75" s="431">
        <v>56000</v>
      </c>
      <c r="K75" s="431">
        <v>371800</v>
      </c>
      <c r="L75" s="431">
        <v>0</v>
      </c>
      <c r="M75" s="431">
        <v>80568</v>
      </c>
      <c r="N75" s="431">
        <v>256303</v>
      </c>
      <c r="O75" s="431">
        <v>0</v>
      </c>
      <c r="P75" s="444">
        <f t="shared" si="13"/>
        <v>2503332</v>
      </c>
      <c r="Q75" s="431">
        <v>909609</v>
      </c>
      <c r="R75" s="431">
        <v>1086872</v>
      </c>
      <c r="S75" s="431">
        <v>0</v>
      </c>
      <c r="T75" s="431">
        <v>0</v>
      </c>
      <c r="U75" s="431">
        <v>0</v>
      </c>
      <c r="V75" s="431">
        <v>0</v>
      </c>
      <c r="W75" s="431">
        <v>372000</v>
      </c>
      <c r="X75" s="431">
        <v>35557</v>
      </c>
      <c r="Y75" s="431">
        <v>21500</v>
      </c>
      <c r="Z75" s="431">
        <v>78943</v>
      </c>
      <c r="AA75" s="431">
        <v>0</v>
      </c>
      <c r="AB75" s="431">
        <v>-1149</v>
      </c>
      <c r="AC75" s="431">
        <v>955230</v>
      </c>
      <c r="AD75" s="431">
        <v>107751</v>
      </c>
      <c r="AE75" s="431">
        <v>553024</v>
      </c>
      <c r="AF75" s="431">
        <v>0</v>
      </c>
      <c r="AG75" s="431">
        <v>486409</v>
      </c>
      <c r="AH75" s="431">
        <v>108354</v>
      </c>
      <c r="AI75" s="431">
        <v>40999</v>
      </c>
      <c r="AJ75" s="431">
        <v>34011</v>
      </c>
      <c r="AK75" s="431">
        <v>0</v>
      </c>
      <c r="AL75" s="431">
        <v>217554</v>
      </c>
      <c r="AM75" s="431">
        <v>0</v>
      </c>
    </row>
    <row r="76" spans="1:39" s="155" customFormat="1" x14ac:dyDescent="0.2">
      <c r="A76" s="168">
        <v>22</v>
      </c>
      <c r="B76" s="401">
        <v>116224</v>
      </c>
      <c r="C76" s="418" t="s">
        <v>2974</v>
      </c>
      <c r="D76" s="444">
        <f t="shared" si="12"/>
        <v>4283584</v>
      </c>
      <c r="E76" s="431">
        <v>1139354</v>
      </c>
      <c r="F76" s="431">
        <v>38199</v>
      </c>
      <c r="G76" s="431">
        <v>1000632</v>
      </c>
      <c r="H76" s="431">
        <v>0</v>
      </c>
      <c r="I76" s="431">
        <v>338401</v>
      </c>
      <c r="J76" s="431">
        <v>112000</v>
      </c>
      <c r="K76" s="431">
        <v>420880</v>
      </c>
      <c r="L76" s="431">
        <v>0</v>
      </c>
      <c r="M76" s="431">
        <v>272469</v>
      </c>
      <c r="N76" s="431">
        <v>820480</v>
      </c>
      <c r="O76" s="431">
        <v>1180000</v>
      </c>
      <c r="P76" s="444">
        <f t="shared" si="13"/>
        <v>4352330</v>
      </c>
      <c r="Q76" s="431">
        <v>631011</v>
      </c>
      <c r="R76" s="431">
        <v>969502</v>
      </c>
      <c r="S76" s="431">
        <v>0</v>
      </c>
      <c r="T76" s="431">
        <v>0</v>
      </c>
      <c r="U76" s="431">
        <v>0</v>
      </c>
      <c r="V76" s="431">
        <v>0</v>
      </c>
      <c r="W76" s="431">
        <v>2682953</v>
      </c>
      <c r="X76" s="431">
        <v>26535</v>
      </c>
      <c r="Y76" s="431">
        <v>10000</v>
      </c>
      <c r="Z76" s="431">
        <v>32329</v>
      </c>
      <c r="AA76" s="431">
        <v>0</v>
      </c>
      <c r="AB76" s="431">
        <v>0</v>
      </c>
      <c r="AC76" s="431">
        <v>856059</v>
      </c>
      <c r="AD76" s="431">
        <v>0</v>
      </c>
      <c r="AE76" s="431">
        <v>276401</v>
      </c>
      <c r="AF76" s="431">
        <v>23308</v>
      </c>
      <c r="AG76" s="431">
        <v>31636</v>
      </c>
      <c r="AH76" s="431">
        <v>1398381</v>
      </c>
      <c r="AI76" s="431">
        <v>75284</v>
      </c>
      <c r="AJ76" s="431">
        <v>0</v>
      </c>
      <c r="AK76" s="431">
        <v>0</v>
      </c>
      <c r="AL76" s="431">
        <v>1691261</v>
      </c>
      <c r="AM76" s="431">
        <v>0</v>
      </c>
    </row>
    <row r="77" spans="1:39" s="155" customFormat="1" x14ac:dyDescent="0.2">
      <c r="A77" s="168">
        <v>23</v>
      </c>
      <c r="B77" s="401">
        <v>116288</v>
      </c>
      <c r="C77" s="418" t="s">
        <v>2975</v>
      </c>
      <c r="D77" s="444">
        <f t="shared" si="12"/>
        <v>5216718</v>
      </c>
      <c r="E77" s="431">
        <v>1759508</v>
      </c>
      <c r="F77" s="431">
        <v>207031</v>
      </c>
      <c r="G77" s="431">
        <v>743677</v>
      </c>
      <c r="H77" s="431">
        <v>0</v>
      </c>
      <c r="I77" s="431">
        <v>2120802</v>
      </c>
      <c r="J77" s="431">
        <v>44000</v>
      </c>
      <c r="K77" s="431">
        <v>858810</v>
      </c>
      <c r="L77" s="431">
        <v>0</v>
      </c>
      <c r="M77" s="431">
        <v>106284</v>
      </c>
      <c r="N77" s="431">
        <v>324314</v>
      </c>
      <c r="O77" s="431">
        <v>3000</v>
      </c>
      <c r="P77" s="444">
        <f t="shared" si="13"/>
        <v>4723510</v>
      </c>
      <c r="Q77" s="431">
        <v>2430494</v>
      </c>
      <c r="R77" s="431">
        <v>1699284</v>
      </c>
      <c r="S77" s="431">
        <v>0</v>
      </c>
      <c r="T77" s="431">
        <v>0</v>
      </c>
      <c r="U77" s="431">
        <v>0</v>
      </c>
      <c r="V77" s="431">
        <v>0</v>
      </c>
      <c r="W77" s="431">
        <v>159000</v>
      </c>
      <c r="X77" s="431">
        <v>122266</v>
      </c>
      <c r="Y77" s="431">
        <v>0</v>
      </c>
      <c r="Z77" s="431">
        <v>319769</v>
      </c>
      <c r="AA77" s="431">
        <v>0</v>
      </c>
      <c r="AB77" s="431">
        <v>-7303</v>
      </c>
      <c r="AC77" s="431">
        <v>1060319</v>
      </c>
      <c r="AD77" s="431">
        <v>83939</v>
      </c>
      <c r="AE77" s="431">
        <v>1944317</v>
      </c>
      <c r="AF77" s="431">
        <v>0</v>
      </c>
      <c r="AG77" s="431">
        <v>473140</v>
      </c>
      <c r="AH77" s="431">
        <v>249118</v>
      </c>
      <c r="AI77" s="431">
        <v>132904</v>
      </c>
      <c r="AJ77" s="431">
        <v>162338</v>
      </c>
      <c r="AK77" s="431">
        <v>0</v>
      </c>
      <c r="AL77" s="431">
        <v>607435</v>
      </c>
      <c r="AM77" s="431">
        <v>10000</v>
      </c>
    </row>
    <row r="78" spans="1:39" s="155" customFormat="1" x14ac:dyDescent="0.2">
      <c r="A78" s="168">
        <v>24</v>
      </c>
      <c r="B78" s="401">
        <v>116340</v>
      </c>
      <c r="C78" s="418" t="s">
        <v>2976</v>
      </c>
      <c r="D78" s="444">
        <f t="shared" si="12"/>
        <v>2933303</v>
      </c>
      <c r="E78" s="431">
        <v>1397098</v>
      </c>
      <c r="F78" s="431">
        <v>508679</v>
      </c>
      <c r="G78" s="431">
        <v>658362</v>
      </c>
      <c r="H78" s="431">
        <v>0</v>
      </c>
      <c r="I78" s="431">
        <v>410000</v>
      </c>
      <c r="J78" s="431">
        <v>83000</v>
      </c>
      <c r="K78" s="431">
        <v>310370</v>
      </c>
      <c r="L78" s="431">
        <v>0</v>
      </c>
      <c r="M78" s="431">
        <v>103133</v>
      </c>
      <c r="N78" s="431">
        <v>623202</v>
      </c>
      <c r="O78" s="431">
        <v>6500</v>
      </c>
      <c r="P78" s="444">
        <f t="shared" si="13"/>
        <v>2933276</v>
      </c>
      <c r="Q78" s="431">
        <v>674981</v>
      </c>
      <c r="R78" s="431">
        <v>346989</v>
      </c>
      <c r="S78" s="431">
        <v>0</v>
      </c>
      <c r="T78" s="431">
        <v>31000</v>
      </c>
      <c r="U78" s="431">
        <v>0</v>
      </c>
      <c r="V78" s="431">
        <v>0</v>
      </c>
      <c r="W78" s="431">
        <v>884356</v>
      </c>
      <c r="X78" s="431">
        <v>75978</v>
      </c>
      <c r="Y78" s="431">
        <v>109800</v>
      </c>
      <c r="Z78" s="431">
        <v>816564</v>
      </c>
      <c r="AA78" s="431">
        <v>0</v>
      </c>
      <c r="AB78" s="431">
        <v>-6392</v>
      </c>
      <c r="AC78" s="431">
        <v>514318</v>
      </c>
      <c r="AD78" s="431">
        <v>24411</v>
      </c>
      <c r="AE78" s="431">
        <v>1232015</v>
      </c>
      <c r="AF78" s="431">
        <v>17074</v>
      </c>
      <c r="AG78" s="431">
        <v>164595</v>
      </c>
      <c r="AH78" s="431">
        <v>115914</v>
      </c>
      <c r="AI78" s="431">
        <v>139123</v>
      </c>
      <c r="AJ78" s="431">
        <v>63352</v>
      </c>
      <c r="AK78" s="431">
        <v>0</v>
      </c>
      <c r="AL78" s="431">
        <v>655876</v>
      </c>
      <c r="AM78" s="431">
        <v>6598</v>
      </c>
    </row>
    <row r="79" spans="1:39" s="155" customFormat="1" x14ac:dyDescent="0.2">
      <c r="A79" s="168">
        <v>25</v>
      </c>
      <c r="B79" s="401">
        <v>114355</v>
      </c>
      <c r="C79" s="418" t="s">
        <v>2977</v>
      </c>
      <c r="D79" s="444">
        <f t="shared" si="12"/>
        <v>6415279</v>
      </c>
      <c r="E79" s="431">
        <v>4405384</v>
      </c>
      <c r="F79" s="431">
        <v>2583958</v>
      </c>
      <c r="G79" s="431">
        <v>116896</v>
      </c>
      <c r="H79" s="431">
        <v>0</v>
      </c>
      <c r="I79" s="431">
        <v>1594133</v>
      </c>
      <c r="J79" s="431">
        <v>46000</v>
      </c>
      <c r="K79" s="431">
        <v>337540</v>
      </c>
      <c r="L79" s="431">
        <v>0</v>
      </c>
      <c r="M79" s="431">
        <v>32222</v>
      </c>
      <c r="N79" s="431">
        <v>0</v>
      </c>
      <c r="O79" s="431">
        <v>0</v>
      </c>
      <c r="P79" s="444">
        <f t="shared" si="13"/>
        <v>5396026</v>
      </c>
      <c r="Q79" s="431">
        <v>1931651</v>
      </c>
      <c r="R79" s="431">
        <v>1628196</v>
      </c>
      <c r="S79" s="431">
        <v>0</v>
      </c>
      <c r="T79" s="431">
        <v>0</v>
      </c>
      <c r="U79" s="431">
        <v>0</v>
      </c>
      <c r="V79" s="431">
        <v>0</v>
      </c>
      <c r="W79" s="431">
        <v>0</v>
      </c>
      <c r="X79" s="431">
        <v>230989</v>
      </c>
      <c r="Y79" s="431">
        <v>45000</v>
      </c>
      <c r="Z79" s="431">
        <v>1607550</v>
      </c>
      <c r="AA79" s="431">
        <v>0</v>
      </c>
      <c r="AB79" s="431">
        <v>-47360</v>
      </c>
      <c r="AC79" s="431">
        <v>1374210</v>
      </c>
      <c r="AD79" s="431">
        <v>4891</v>
      </c>
      <c r="AE79" s="431">
        <v>1695956</v>
      </c>
      <c r="AF79" s="431">
        <v>23251</v>
      </c>
      <c r="AG79" s="431">
        <v>191112</v>
      </c>
      <c r="AH79" s="431">
        <v>267560</v>
      </c>
      <c r="AI79" s="431">
        <v>200673</v>
      </c>
      <c r="AJ79" s="431">
        <v>134061</v>
      </c>
      <c r="AK79" s="431">
        <v>0</v>
      </c>
      <c r="AL79" s="431">
        <v>1236306</v>
      </c>
      <c r="AM79" s="431">
        <v>268006</v>
      </c>
    </row>
    <row r="80" spans="1:39" s="155" customFormat="1" x14ac:dyDescent="0.2">
      <c r="A80" s="168">
        <v>26</v>
      </c>
      <c r="B80" s="401">
        <v>116395</v>
      </c>
      <c r="C80" s="418" t="s">
        <v>2978</v>
      </c>
      <c r="D80" s="444">
        <f t="shared" si="12"/>
        <v>2774931</v>
      </c>
      <c r="E80" s="431">
        <v>1310218</v>
      </c>
      <c r="F80" s="431">
        <v>119846</v>
      </c>
      <c r="G80" s="431">
        <v>680663</v>
      </c>
      <c r="H80" s="431">
        <v>0</v>
      </c>
      <c r="I80" s="431">
        <v>533097</v>
      </c>
      <c r="J80" s="431">
        <v>53000</v>
      </c>
      <c r="K80" s="431">
        <v>368950</v>
      </c>
      <c r="L80" s="431">
        <v>0</v>
      </c>
      <c r="M80" s="431">
        <v>98645</v>
      </c>
      <c r="N80" s="431">
        <v>411021</v>
      </c>
      <c r="O80" s="431">
        <v>0</v>
      </c>
      <c r="P80" s="444">
        <f t="shared" si="13"/>
        <v>2640097</v>
      </c>
      <c r="Q80" s="431">
        <v>753205</v>
      </c>
      <c r="R80" s="431">
        <v>751001</v>
      </c>
      <c r="S80" s="431">
        <v>0</v>
      </c>
      <c r="T80" s="431">
        <v>0</v>
      </c>
      <c r="U80" s="431">
        <v>0</v>
      </c>
      <c r="V80" s="431">
        <v>0</v>
      </c>
      <c r="W80" s="431">
        <v>678609</v>
      </c>
      <c r="X80" s="431">
        <v>116934</v>
      </c>
      <c r="Y80" s="431">
        <v>3610</v>
      </c>
      <c r="Z80" s="431">
        <v>338688</v>
      </c>
      <c r="AA80" s="431">
        <v>0</v>
      </c>
      <c r="AB80" s="431">
        <v>-1950</v>
      </c>
      <c r="AC80" s="431">
        <v>1040711</v>
      </c>
      <c r="AD80" s="431">
        <v>53776</v>
      </c>
      <c r="AE80" s="431">
        <v>465053</v>
      </c>
      <c r="AF80" s="431">
        <v>30000</v>
      </c>
      <c r="AG80" s="431">
        <v>20578</v>
      </c>
      <c r="AH80" s="431">
        <v>201421</v>
      </c>
      <c r="AI80" s="431">
        <v>160785</v>
      </c>
      <c r="AJ80" s="431">
        <v>52728</v>
      </c>
      <c r="AK80" s="431">
        <v>0</v>
      </c>
      <c r="AL80" s="431">
        <v>615045</v>
      </c>
      <c r="AM80" s="431">
        <v>0</v>
      </c>
    </row>
    <row r="81" spans="1:39" s="155" customFormat="1" x14ac:dyDescent="0.2">
      <c r="A81" s="168">
        <v>27</v>
      </c>
      <c r="B81" s="401">
        <v>116439</v>
      </c>
      <c r="C81" s="418" t="s">
        <v>2979</v>
      </c>
      <c r="D81" s="444">
        <f t="shared" si="12"/>
        <v>5309713</v>
      </c>
      <c r="E81" s="431">
        <v>1381774</v>
      </c>
      <c r="F81" s="431">
        <v>139121</v>
      </c>
      <c r="G81" s="431">
        <v>649635</v>
      </c>
      <c r="H81" s="431">
        <v>0</v>
      </c>
      <c r="I81" s="431">
        <v>962772</v>
      </c>
      <c r="J81" s="431">
        <v>149000</v>
      </c>
      <c r="K81" s="431">
        <v>448170</v>
      </c>
      <c r="L81" s="431">
        <v>0</v>
      </c>
      <c r="M81" s="431">
        <v>863983</v>
      </c>
      <c r="N81" s="431">
        <v>1504014</v>
      </c>
      <c r="O81" s="431">
        <v>0</v>
      </c>
      <c r="P81" s="444">
        <f t="shared" si="13"/>
        <v>6249856</v>
      </c>
      <c r="Q81" s="431">
        <v>1134137</v>
      </c>
      <c r="R81" s="431">
        <v>642685</v>
      </c>
      <c r="S81" s="431">
        <v>0</v>
      </c>
      <c r="T81" s="431">
        <v>0</v>
      </c>
      <c r="U81" s="431">
        <v>3000</v>
      </c>
      <c r="V81" s="431">
        <v>0</v>
      </c>
      <c r="W81" s="431">
        <v>3964052</v>
      </c>
      <c r="X81" s="431">
        <v>237637</v>
      </c>
      <c r="Y81" s="431">
        <v>83316</v>
      </c>
      <c r="Z81" s="431">
        <v>188861</v>
      </c>
      <c r="AA81" s="431">
        <v>0</v>
      </c>
      <c r="AB81" s="431">
        <v>-3832</v>
      </c>
      <c r="AC81" s="431">
        <v>552686</v>
      </c>
      <c r="AD81" s="431">
        <v>3000</v>
      </c>
      <c r="AE81" s="431">
        <v>815530</v>
      </c>
      <c r="AF81" s="431">
        <v>33316</v>
      </c>
      <c r="AG81" s="431">
        <v>106342</v>
      </c>
      <c r="AH81" s="431">
        <v>338119</v>
      </c>
      <c r="AI81" s="431">
        <v>577854</v>
      </c>
      <c r="AJ81" s="431">
        <v>92269</v>
      </c>
      <c r="AK81" s="431">
        <v>0</v>
      </c>
      <c r="AL81" s="431">
        <v>3698862</v>
      </c>
      <c r="AM81" s="431">
        <v>31878</v>
      </c>
    </row>
    <row r="82" spans="1:39" s="155" customFormat="1" x14ac:dyDescent="0.2">
      <c r="A82" s="168">
        <v>28</v>
      </c>
      <c r="B82" s="401">
        <v>116493</v>
      </c>
      <c r="C82" s="418" t="s">
        <v>2980</v>
      </c>
      <c r="D82" s="444">
        <f t="shared" si="12"/>
        <v>7708743</v>
      </c>
      <c r="E82" s="431">
        <v>3879660</v>
      </c>
      <c r="F82" s="431">
        <v>1737361</v>
      </c>
      <c r="G82" s="431">
        <v>170427</v>
      </c>
      <c r="H82" s="431">
        <v>0</v>
      </c>
      <c r="I82" s="431">
        <v>2076711</v>
      </c>
      <c r="J82" s="431">
        <v>75000</v>
      </c>
      <c r="K82" s="431">
        <v>661170</v>
      </c>
      <c r="L82" s="431">
        <v>0</v>
      </c>
      <c r="M82" s="431">
        <v>284284</v>
      </c>
      <c r="N82" s="431">
        <v>726918</v>
      </c>
      <c r="O82" s="431">
        <v>5000</v>
      </c>
      <c r="P82" s="444">
        <f t="shared" si="13"/>
        <v>7316181</v>
      </c>
      <c r="Q82" s="431">
        <v>2259937</v>
      </c>
      <c r="R82" s="431">
        <v>2641360</v>
      </c>
      <c r="S82" s="431">
        <v>0</v>
      </c>
      <c r="T82" s="431">
        <v>0</v>
      </c>
      <c r="U82" s="431">
        <v>0</v>
      </c>
      <c r="V82" s="431">
        <v>0</v>
      </c>
      <c r="W82" s="431">
        <v>939923</v>
      </c>
      <c r="X82" s="431">
        <v>415573</v>
      </c>
      <c r="Y82" s="431">
        <v>386000</v>
      </c>
      <c r="Z82" s="431">
        <v>674042</v>
      </c>
      <c r="AA82" s="431">
        <v>0</v>
      </c>
      <c r="AB82" s="431">
        <v>-654</v>
      </c>
      <c r="AC82" s="431">
        <v>844437</v>
      </c>
      <c r="AD82" s="431">
        <v>245767</v>
      </c>
      <c r="AE82" s="431">
        <v>1947872</v>
      </c>
      <c r="AF82" s="431">
        <v>0</v>
      </c>
      <c r="AG82" s="431">
        <v>1463164</v>
      </c>
      <c r="AH82" s="431">
        <v>462224</v>
      </c>
      <c r="AI82" s="431">
        <v>457450</v>
      </c>
      <c r="AJ82" s="431">
        <v>220931</v>
      </c>
      <c r="AK82" s="431">
        <v>0</v>
      </c>
      <c r="AL82" s="431">
        <v>865300</v>
      </c>
      <c r="AM82" s="431">
        <v>809036</v>
      </c>
    </row>
    <row r="83" spans="1:39" s="155" customFormat="1" x14ac:dyDescent="0.2">
      <c r="A83" s="168">
        <v>29</v>
      </c>
      <c r="B83" s="401">
        <v>116545</v>
      </c>
      <c r="C83" s="418" t="s">
        <v>2981</v>
      </c>
      <c r="D83" s="444">
        <f t="shared" si="12"/>
        <v>10504225</v>
      </c>
      <c r="E83" s="431">
        <v>4729127</v>
      </c>
      <c r="F83" s="431">
        <v>439011</v>
      </c>
      <c r="G83" s="431">
        <v>363175</v>
      </c>
      <c r="H83" s="431">
        <v>0</v>
      </c>
      <c r="I83" s="431">
        <v>3402542</v>
      </c>
      <c r="J83" s="431">
        <v>190000</v>
      </c>
      <c r="K83" s="431">
        <v>906600</v>
      </c>
      <c r="L83" s="431">
        <v>0</v>
      </c>
      <c r="M83" s="431">
        <v>1275956</v>
      </c>
      <c r="N83" s="431">
        <v>0</v>
      </c>
      <c r="O83" s="431">
        <v>0</v>
      </c>
      <c r="P83" s="444">
        <f t="shared" si="13"/>
        <v>10666983</v>
      </c>
      <c r="Q83" s="431">
        <v>3822976</v>
      </c>
      <c r="R83" s="431">
        <v>2433330</v>
      </c>
      <c r="S83" s="431">
        <v>0</v>
      </c>
      <c r="T83" s="431">
        <v>0</v>
      </c>
      <c r="U83" s="431">
        <v>524700</v>
      </c>
      <c r="V83" s="431">
        <v>0</v>
      </c>
      <c r="W83" s="431">
        <v>0</v>
      </c>
      <c r="X83" s="431">
        <v>275347</v>
      </c>
      <c r="Y83" s="431">
        <v>100000</v>
      </c>
      <c r="Z83" s="431">
        <v>3520642</v>
      </c>
      <c r="AA83" s="431">
        <v>0</v>
      </c>
      <c r="AB83" s="431">
        <v>-10012</v>
      </c>
      <c r="AC83" s="431">
        <v>1139176</v>
      </c>
      <c r="AD83" s="431">
        <v>189422</v>
      </c>
      <c r="AE83" s="431">
        <v>3172431</v>
      </c>
      <c r="AF83" s="431">
        <v>350586</v>
      </c>
      <c r="AG83" s="431">
        <v>1068730</v>
      </c>
      <c r="AH83" s="431">
        <v>785047</v>
      </c>
      <c r="AI83" s="431">
        <v>903429</v>
      </c>
      <c r="AJ83" s="431">
        <v>112400</v>
      </c>
      <c r="AK83" s="431">
        <v>0</v>
      </c>
      <c r="AL83" s="431">
        <v>2945762</v>
      </c>
      <c r="AM83" s="431">
        <v>0</v>
      </c>
    </row>
    <row r="84" spans="1:39" s="155" customFormat="1" x14ac:dyDescent="0.2">
      <c r="A84" s="168">
        <v>30</v>
      </c>
      <c r="B84" s="401">
        <v>116590</v>
      </c>
      <c r="C84" s="418" t="s">
        <v>2982</v>
      </c>
      <c r="D84" s="444">
        <f t="shared" si="12"/>
        <v>6862917</v>
      </c>
      <c r="E84" s="431">
        <v>1942251</v>
      </c>
      <c r="F84" s="431">
        <v>458601</v>
      </c>
      <c r="G84" s="431">
        <v>658546</v>
      </c>
      <c r="H84" s="431">
        <v>0</v>
      </c>
      <c r="I84" s="431">
        <v>2128539</v>
      </c>
      <c r="J84" s="431">
        <v>93000</v>
      </c>
      <c r="K84" s="431">
        <v>936220</v>
      </c>
      <c r="L84" s="431">
        <v>0</v>
      </c>
      <c r="M84" s="431">
        <v>737794</v>
      </c>
      <c r="N84" s="431">
        <v>1025113</v>
      </c>
      <c r="O84" s="431">
        <v>0</v>
      </c>
      <c r="P84" s="444">
        <f t="shared" si="13"/>
        <v>6377567</v>
      </c>
      <c r="Q84" s="431">
        <v>2407642</v>
      </c>
      <c r="R84" s="431">
        <v>1257472</v>
      </c>
      <c r="S84" s="431">
        <v>0</v>
      </c>
      <c r="T84" s="431">
        <v>0</v>
      </c>
      <c r="U84" s="431">
        <v>0</v>
      </c>
      <c r="V84" s="431">
        <v>0</v>
      </c>
      <c r="W84" s="431">
        <v>1350500</v>
      </c>
      <c r="X84" s="431">
        <v>293569</v>
      </c>
      <c r="Y84" s="431">
        <v>283453</v>
      </c>
      <c r="Z84" s="431">
        <v>785741</v>
      </c>
      <c r="AA84" s="431">
        <v>0</v>
      </c>
      <c r="AB84" s="431">
        <v>-810</v>
      </c>
      <c r="AC84" s="431">
        <v>1153646</v>
      </c>
      <c r="AD84" s="431">
        <v>142548</v>
      </c>
      <c r="AE84" s="431">
        <v>1951928</v>
      </c>
      <c r="AF84" s="431">
        <v>0</v>
      </c>
      <c r="AG84" s="431">
        <v>1118601</v>
      </c>
      <c r="AH84" s="431">
        <v>433369</v>
      </c>
      <c r="AI84" s="431">
        <v>107113</v>
      </c>
      <c r="AJ84" s="431">
        <v>295543</v>
      </c>
      <c r="AK84" s="431">
        <v>0</v>
      </c>
      <c r="AL84" s="431">
        <v>462835</v>
      </c>
      <c r="AM84" s="431">
        <v>711984</v>
      </c>
    </row>
    <row r="85" spans="1:39" s="155" customFormat="1" x14ac:dyDescent="0.2">
      <c r="A85" s="168">
        <v>31</v>
      </c>
      <c r="B85" s="401">
        <v>116652</v>
      </c>
      <c r="C85" s="418" t="s">
        <v>2983</v>
      </c>
      <c r="D85" s="444">
        <f t="shared" si="12"/>
        <v>9489596</v>
      </c>
      <c r="E85" s="431">
        <v>3497704</v>
      </c>
      <c r="F85" s="431">
        <v>1667721</v>
      </c>
      <c r="G85" s="431">
        <v>90629</v>
      </c>
      <c r="H85" s="431">
        <v>0</v>
      </c>
      <c r="I85" s="431">
        <v>3294324</v>
      </c>
      <c r="J85" s="431">
        <v>0</v>
      </c>
      <c r="K85" s="431">
        <v>296880</v>
      </c>
      <c r="L85" s="431">
        <v>0</v>
      </c>
      <c r="M85" s="431">
        <v>637274</v>
      </c>
      <c r="N85" s="431">
        <v>1696301</v>
      </c>
      <c r="O85" s="431">
        <v>67113</v>
      </c>
      <c r="P85" s="444">
        <f t="shared" si="13"/>
        <v>9497392</v>
      </c>
      <c r="Q85" s="431">
        <v>3541717</v>
      </c>
      <c r="R85" s="431">
        <v>1713242</v>
      </c>
      <c r="S85" s="431">
        <v>0</v>
      </c>
      <c r="T85" s="431">
        <v>0</v>
      </c>
      <c r="U85" s="431">
        <v>0</v>
      </c>
      <c r="V85" s="431">
        <v>0</v>
      </c>
      <c r="W85" s="431">
        <v>1715350</v>
      </c>
      <c r="X85" s="431">
        <v>254259</v>
      </c>
      <c r="Y85" s="431">
        <v>283859</v>
      </c>
      <c r="Z85" s="431">
        <v>2034592</v>
      </c>
      <c r="AA85" s="431">
        <v>0</v>
      </c>
      <c r="AB85" s="431">
        <v>-45627</v>
      </c>
      <c r="AC85" s="431">
        <v>1229670</v>
      </c>
      <c r="AD85" s="431">
        <v>230203</v>
      </c>
      <c r="AE85" s="431">
        <v>3748447</v>
      </c>
      <c r="AF85" s="431">
        <v>14223</v>
      </c>
      <c r="AG85" s="431">
        <v>1842883</v>
      </c>
      <c r="AH85" s="431">
        <v>401013</v>
      </c>
      <c r="AI85" s="431">
        <v>1576762</v>
      </c>
      <c r="AJ85" s="431">
        <v>270445</v>
      </c>
      <c r="AK85" s="431">
        <v>0</v>
      </c>
      <c r="AL85" s="431">
        <v>148590</v>
      </c>
      <c r="AM85" s="431">
        <v>35156</v>
      </c>
    </row>
    <row r="86" spans="1:39" s="155" customFormat="1" x14ac:dyDescent="0.2">
      <c r="A86" s="168">
        <v>32</v>
      </c>
      <c r="B86" s="401">
        <v>116723</v>
      </c>
      <c r="C86" s="418" t="s">
        <v>2984</v>
      </c>
      <c r="D86" s="444">
        <f t="shared" si="12"/>
        <v>2720211</v>
      </c>
      <c r="E86" s="431">
        <v>1251636</v>
      </c>
      <c r="F86" s="431">
        <v>62515</v>
      </c>
      <c r="G86" s="431">
        <v>830951</v>
      </c>
      <c r="H86" s="431">
        <v>0</v>
      </c>
      <c r="I86" s="431">
        <v>998051</v>
      </c>
      <c r="J86" s="431">
        <v>39000</v>
      </c>
      <c r="K86" s="431">
        <v>362560</v>
      </c>
      <c r="L86" s="431">
        <v>0</v>
      </c>
      <c r="M86" s="431">
        <v>68964</v>
      </c>
      <c r="N86" s="431">
        <v>0</v>
      </c>
      <c r="O86" s="431">
        <v>0</v>
      </c>
      <c r="P86" s="444">
        <f t="shared" si="13"/>
        <v>1950398</v>
      </c>
      <c r="Q86" s="431">
        <v>1078279</v>
      </c>
      <c r="R86" s="431">
        <v>405105</v>
      </c>
      <c r="S86" s="431">
        <v>0</v>
      </c>
      <c r="T86" s="431">
        <v>0</v>
      </c>
      <c r="U86" s="431">
        <v>0</v>
      </c>
      <c r="V86" s="431">
        <v>0</v>
      </c>
      <c r="W86" s="431">
        <v>0</v>
      </c>
      <c r="X86" s="431">
        <v>164064</v>
      </c>
      <c r="Y86" s="431">
        <v>4000</v>
      </c>
      <c r="Z86" s="431">
        <v>313663</v>
      </c>
      <c r="AA86" s="431">
        <v>0</v>
      </c>
      <c r="AB86" s="431">
        <v>-14713</v>
      </c>
      <c r="AC86" s="431">
        <v>381578</v>
      </c>
      <c r="AD86" s="431">
        <v>2790</v>
      </c>
      <c r="AE86" s="431">
        <v>1046513</v>
      </c>
      <c r="AF86" s="431">
        <v>37209</v>
      </c>
      <c r="AG86" s="431">
        <v>68728</v>
      </c>
      <c r="AH86" s="431">
        <v>164064</v>
      </c>
      <c r="AI86" s="431">
        <v>158395</v>
      </c>
      <c r="AJ86" s="431">
        <v>0</v>
      </c>
      <c r="AK86" s="431">
        <v>0</v>
      </c>
      <c r="AL86" s="431">
        <v>91121</v>
      </c>
      <c r="AM86" s="431">
        <v>0</v>
      </c>
    </row>
    <row r="87" spans="1:39" s="155" customFormat="1" x14ac:dyDescent="0.2">
      <c r="A87" s="168">
        <v>33</v>
      </c>
      <c r="B87" s="401">
        <v>116796</v>
      </c>
      <c r="C87" s="418" t="s">
        <v>2985</v>
      </c>
      <c r="D87" s="444">
        <f t="shared" ref="D87:D118" si="14">E87+SUM(H87:O87)</f>
        <v>6802938</v>
      </c>
      <c r="E87" s="431">
        <v>1892352</v>
      </c>
      <c r="F87" s="431">
        <v>404640</v>
      </c>
      <c r="G87" s="431">
        <v>662618</v>
      </c>
      <c r="H87" s="431">
        <v>0</v>
      </c>
      <c r="I87" s="431">
        <v>2192879</v>
      </c>
      <c r="J87" s="431">
        <v>153000</v>
      </c>
      <c r="K87" s="431">
        <v>1039290</v>
      </c>
      <c r="L87" s="431">
        <v>0</v>
      </c>
      <c r="M87" s="431">
        <v>338509</v>
      </c>
      <c r="N87" s="431">
        <v>971104</v>
      </c>
      <c r="O87" s="431">
        <v>215804</v>
      </c>
      <c r="P87" s="444">
        <f t="shared" ref="P87:P118" si="15">IF(SUM(Q87:AB87)=SUM(AC87:AM87),SUM(Q87:AB87),"  EROARE ART/CAP")</f>
        <v>7188393</v>
      </c>
      <c r="Q87" s="431">
        <v>2355833</v>
      </c>
      <c r="R87" s="431">
        <v>2052335</v>
      </c>
      <c r="S87" s="431">
        <v>0</v>
      </c>
      <c r="T87" s="431">
        <v>0</v>
      </c>
      <c r="U87" s="431">
        <v>0</v>
      </c>
      <c r="V87" s="431">
        <v>0</v>
      </c>
      <c r="W87" s="431">
        <v>898463</v>
      </c>
      <c r="X87" s="431">
        <v>253019</v>
      </c>
      <c r="Y87" s="431">
        <v>84196</v>
      </c>
      <c r="Z87" s="431">
        <v>1550167</v>
      </c>
      <c r="AA87" s="431">
        <v>0</v>
      </c>
      <c r="AB87" s="431">
        <v>-5620</v>
      </c>
      <c r="AC87" s="431">
        <v>717814</v>
      </c>
      <c r="AD87" s="431">
        <v>99811</v>
      </c>
      <c r="AE87" s="431">
        <v>2056679</v>
      </c>
      <c r="AF87" s="431">
        <v>0</v>
      </c>
      <c r="AG87" s="431">
        <v>565424</v>
      </c>
      <c r="AH87" s="431">
        <v>316629</v>
      </c>
      <c r="AI87" s="431">
        <v>1038732</v>
      </c>
      <c r="AJ87" s="431">
        <v>107356</v>
      </c>
      <c r="AK87" s="431">
        <v>0</v>
      </c>
      <c r="AL87" s="431">
        <v>2089881</v>
      </c>
      <c r="AM87" s="431">
        <v>196067</v>
      </c>
    </row>
    <row r="88" spans="1:39" s="155" customFormat="1" x14ac:dyDescent="0.2">
      <c r="A88" s="168">
        <v>34</v>
      </c>
      <c r="B88" s="401">
        <v>116867</v>
      </c>
      <c r="C88" s="418" t="s">
        <v>2986</v>
      </c>
      <c r="D88" s="444">
        <f t="shared" si="14"/>
        <v>3727788</v>
      </c>
      <c r="E88" s="431">
        <v>1446992</v>
      </c>
      <c r="F88" s="431">
        <v>174199</v>
      </c>
      <c r="G88" s="431">
        <v>636371</v>
      </c>
      <c r="H88" s="431">
        <v>0</v>
      </c>
      <c r="I88" s="431">
        <v>1092225</v>
      </c>
      <c r="J88" s="431">
        <v>132000</v>
      </c>
      <c r="K88" s="431">
        <v>534300</v>
      </c>
      <c r="L88" s="431">
        <v>0</v>
      </c>
      <c r="M88" s="431">
        <v>120321</v>
      </c>
      <c r="N88" s="431">
        <v>387845</v>
      </c>
      <c r="O88" s="431">
        <v>14105</v>
      </c>
      <c r="P88" s="444">
        <f t="shared" si="15"/>
        <v>3504678</v>
      </c>
      <c r="Q88" s="431">
        <v>1360972</v>
      </c>
      <c r="R88" s="431">
        <v>1050162</v>
      </c>
      <c r="S88" s="431">
        <v>0</v>
      </c>
      <c r="T88" s="431">
        <v>0</v>
      </c>
      <c r="U88" s="431">
        <v>144912</v>
      </c>
      <c r="V88" s="431">
        <v>0</v>
      </c>
      <c r="W88" s="431">
        <v>505750</v>
      </c>
      <c r="X88" s="431">
        <v>122804</v>
      </c>
      <c r="Y88" s="431">
        <v>59155</v>
      </c>
      <c r="Z88" s="431">
        <v>276294</v>
      </c>
      <c r="AA88" s="431">
        <v>0</v>
      </c>
      <c r="AB88" s="431">
        <v>-15371</v>
      </c>
      <c r="AC88" s="431">
        <v>744014</v>
      </c>
      <c r="AD88" s="431">
        <v>153731</v>
      </c>
      <c r="AE88" s="431">
        <v>1116559</v>
      </c>
      <c r="AF88" s="431">
        <v>0</v>
      </c>
      <c r="AG88" s="431">
        <v>727015</v>
      </c>
      <c r="AH88" s="431">
        <v>160004</v>
      </c>
      <c r="AI88" s="431">
        <v>75690</v>
      </c>
      <c r="AJ88" s="431">
        <v>120528</v>
      </c>
      <c r="AK88" s="431">
        <v>0</v>
      </c>
      <c r="AL88" s="431">
        <v>407137</v>
      </c>
      <c r="AM88" s="431">
        <v>0</v>
      </c>
    </row>
    <row r="89" spans="1:39" s="155" customFormat="1" x14ac:dyDescent="0.2">
      <c r="A89" s="168">
        <v>35</v>
      </c>
      <c r="B89" s="401">
        <v>116938</v>
      </c>
      <c r="C89" s="418" t="s">
        <v>2987</v>
      </c>
      <c r="D89" s="444">
        <f t="shared" si="14"/>
        <v>4950669</v>
      </c>
      <c r="E89" s="431">
        <v>2074447</v>
      </c>
      <c r="F89" s="431">
        <v>327902</v>
      </c>
      <c r="G89" s="431">
        <v>592041</v>
      </c>
      <c r="H89" s="431">
        <v>0</v>
      </c>
      <c r="I89" s="431">
        <v>1511727</v>
      </c>
      <c r="J89" s="431">
        <v>24000</v>
      </c>
      <c r="K89" s="431">
        <v>736210</v>
      </c>
      <c r="L89" s="431">
        <v>0</v>
      </c>
      <c r="M89" s="431">
        <v>179580</v>
      </c>
      <c r="N89" s="431">
        <v>399577</v>
      </c>
      <c r="O89" s="431">
        <v>25128</v>
      </c>
      <c r="P89" s="444">
        <f t="shared" si="15"/>
        <v>5050371</v>
      </c>
      <c r="Q89" s="431">
        <v>1946542</v>
      </c>
      <c r="R89" s="431">
        <v>1133114</v>
      </c>
      <c r="S89" s="431">
        <v>8547</v>
      </c>
      <c r="T89" s="431">
        <v>0</v>
      </c>
      <c r="U89" s="431">
        <v>0</v>
      </c>
      <c r="V89" s="431">
        <v>0</v>
      </c>
      <c r="W89" s="431">
        <v>548158</v>
      </c>
      <c r="X89" s="431">
        <v>173840</v>
      </c>
      <c r="Y89" s="431">
        <v>15996</v>
      </c>
      <c r="Z89" s="431">
        <v>1205424</v>
      </c>
      <c r="AA89" s="431">
        <v>18750</v>
      </c>
      <c r="AB89" s="431">
        <v>0</v>
      </c>
      <c r="AC89" s="431">
        <v>857853</v>
      </c>
      <c r="AD89" s="431">
        <v>6652</v>
      </c>
      <c r="AE89" s="431">
        <v>1440371</v>
      </c>
      <c r="AF89" s="431">
        <v>0</v>
      </c>
      <c r="AG89" s="431">
        <v>61154</v>
      </c>
      <c r="AH89" s="431">
        <v>157912</v>
      </c>
      <c r="AI89" s="431">
        <v>2404848</v>
      </c>
      <c r="AJ89" s="431">
        <v>100581</v>
      </c>
      <c r="AK89" s="431">
        <v>0</v>
      </c>
      <c r="AL89" s="431">
        <v>0</v>
      </c>
      <c r="AM89" s="431">
        <v>21000</v>
      </c>
    </row>
    <row r="90" spans="1:39" s="155" customFormat="1" x14ac:dyDescent="0.2">
      <c r="A90" s="168">
        <v>36</v>
      </c>
      <c r="B90" s="401">
        <v>116983</v>
      </c>
      <c r="C90" s="418" t="s">
        <v>2988</v>
      </c>
      <c r="D90" s="444">
        <f t="shared" si="14"/>
        <v>7889507</v>
      </c>
      <c r="E90" s="431">
        <v>1475425</v>
      </c>
      <c r="F90" s="431">
        <v>134707</v>
      </c>
      <c r="G90" s="431">
        <v>692889</v>
      </c>
      <c r="H90" s="431">
        <v>0</v>
      </c>
      <c r="I90" s="431">
        <v>1531425</v>
      </c>
      <c r="J90" s="431">
        <v>50000</v>
      </c>
      <c r="K90" s="431">
        <v>2884880</v>
      </c>
      <c r="L90" s="431">
        <v>0</v>
      </c>
      <c r="M90" s="431">
        <v>522681</v>
      </c>
      <c r="N90" s="431">
        <v>317376</v>
      </c>
      <c r="O90" s="431">
        <v>1107720</v>
      </c>
      <c r="P90" s="444">
        <f t="shared" si="15"/>
        <v>5443748</v>
      </c>
      <c r="Q90" s="431">
        <v>1693716</v>
      </c>
      <c r="R90" s="431">
        <v>1467096</v>
      </c>
      <c r="S90" s="431">
        <v>0</v>
      </c>
      <c r="T90" s="431">
        <v>0</v>
      </c>
      <c r="U90" s="431">
        <v>0</v>
      </c>
      <c r="V90" s="431">
        <v>0</v>
      </c>
      <c r="W90" s="431">
        <v>558479</v>
      </c>
      <c r="X90" s="431">
        <v>191312</v>
      </c>
      <c r="Y90" s="431">
        <v>0</v>
      </c>
      <c r="Z90" s="431">
        <v>1533145</v>
      </c>
      <c r="AA90" s="431">
        <v>0</v>
      </c>
      <c r="AB90" s="431">
        <v>0</v>
      </c>
      <c r="AC90" s="431">
        <v>1133624</v>
      </c>
      <c r="AD90" s="431">
        <v>0</v>
      </c>
      <c r="AE90" s="431">
        <v>1482566</v>
      </c>
      <c r="AF90" s="431">
        <v>0</v>
      </c>
      <c r="AG90" s="431">
        <v>414781</v>
      </c>
      <c r="AH90" s="431">
        <v>191312</v>
      </c>
      <c r="AI90" s="431">
        <v>577778</v>
      </c>
      <c r="AJ90" s="431">
        <v>1593698</v>
      </c>
      <c r="AK90" s="431">
        <v>0</v>
      </c>
      <c r="AL90" s="431">
        <v>49989</v>
      </c>
      <c r="AM90" s="431">
        <v>0</v>
      </c>
    </row>
    <row r="91" spans="1:39" s="155" customFormat="1" x14ac:dyDescent="0.2">
      <c r="A91" s="168">
        <v>37</v>
      </c>
      <c r="B91" s="401">
        <v>117042</v>
      </c>
      <c r="C91" s="418" t="s">
        <v>2989</v>
      </c>
      <c r="D91" s="444">
        <f t="shared" si="14"/>
        <v>6378608</v>
      </c>
      <c r="E91" s="431">
        <v>1547721</v>
      </c>
      <c r="F91" s="431">
        <v>454205</v>
      </c>
      <c r="G91" s="431">
        <v>561236</v>
      </c>
      <c r="H91" s="431">
        <v>0</v>
      </c>
      <c r="I91" s="431">
        <v>1574000</v>
      </c>
      <c r="J91" s="431">
        <v>117000</v>
      </c>
      <c r="K91" s="431">
        <v>564750</v>
      </c>
      <c r="L91" s="431">
        <v>0</v>
      </c>
      <c r="M91" s="431">
        <v>1142942</v>
      </c>
      <c r="N91" s="431">
        <v>1432195</v>
      </c>
      <c r="O91" s="431">
        <v>0</v>
      </c>
      <c r="P91" s="444">
        <f t="shared" si="15"/>
        <v>6200244</v>
      </c>
      <c r="Q91" s="431">
        <v>1763101</v>
      </c>
      <c r="R91" s="431">
        <v>1292719</v>
      </c>
      <c r="S91" s="431">
        <v>0</v>
      </c>
      <c r="T91" s="431">
        <v>0</v>
      </c>
      <c r="U91" s="431">
        <v>0</v>
      </c>
      <c r="V91" s="431">
        <v>0</v>
      </c>
      <c r="W91" s="431">
        <v>2738479</v>
      </c>
      <c r="X91" s="431">
        <v>255543</v>
      </c>
      <c r="Y91" s="431">
        <v>0</v>
      </c>
      <c r="Z91" s="431">
        <v>156189</v>
      </c>
      <c r="AA91" s="431">
        <v>0</v>
      </c>
      <c r="AB91" s="431">
        <v>-5787</v>
      </c>
      <c r="AC91" s="431">
        <v>669325</v>
      </c>
      <c r="AD91" s="431">
        <v>8822</v>
      </c>
      <c r="AE91" s="431">
        <v>1518504</v>
      </c>
      <c r="AF91" s="431">
        <v>0</v>
      </c>
      <c r="AG91" s="431">
        <v>341380</v>
      </c>
      <c r="AH91" s="431">
        <v>339264</v>
      </c>
      <c r="AI91" s="431">
        <v>286279</v>
      </c>
      <c r="AJ91" s="431">
        <v>59090</v>
      </c>
      <c r="AK91" s="431">
        <v>0</v>
      </c>
      <c r="AL91" s="431">
        <v>2779138</v>
      </c>
      <c r="AM91" s="431">
        <v>198442</v>
      </c>
    </row>
    <row r="92" spans="1:39" s="155" customFormat="1" x14ac:dyDescent="0.2">
      <c r="A92" s="168">
        <v>38</v>
      </c>
      <c r="B92" s="401">
        <v>117113</v>
      </c>
      <c r="C92" s="418" t="s">
        <v>2990</v>
      </c>
      <c r="D92" s="444">
        <f t="shared" si="14"/>
        <v>8588175</v>
      </c>
      <c r="E92" s="431">
        <v>1905127</v>
      </c>
      <c r="F92" s="431">
        <v>308901</v>
      </c>
      <c r="G92" s="431">
        <v>565163</v>
      </c>
      <c r="H92" s="431">
        <v>0</v>
      </c>
      <c r="I92" s="431">
        <v>2219407</v>
      </c>
      <c r="J92" s="431">
        <v>42000</v>
      </c>
      <c r="K92" s="431">
        <v>983920</v>
      </c>
      <c r="L92" s="431">
        <v>0</v>
      </c>
      <c r="M92" s="431">
        <v>1145194</v>
      </c>
      <c r="N92" s="431">
        <v>1689035</v>
      </c>
      <c r="O92" s="431">
        <v>603492</v>
      </c>
      <c r="P92" s="444">
        <f t="shared" si="15"/>
        <v>7565125</v>
      </c>
      <c r="Q92" s="431">
        <v>2678517</v>
      </c>
      <c r="R92" s="431">
        <v>1212722</v>
      </c>
      <c r="S92" s="431">
        <v>0</v>
      </c>
      <c r="T92" s="431">
        <v>0</v>
      </c>
      <c r="U92" s="431">
        <v>0</v>
      </c>
      <c r="V92" s="431">
        <v>0</v>
      </c>
      <c r="W92" s="431">
        <v>1940740</v>
      </c>
      <c r="X92" s="431">
        <v>254464</v>
      </c>
      <c r="Y92" s="431">
        <v>42000</v>
      </c>
      <c r="Z92" s="431">
        <v>1440491</v>
      </c>
      <c r="AA92" s="431">
        <v>0</v>
      </c>
      <c r="AB92" s="431">
        <v>-3809</v>
      </c>
      <c r="AC92" s="431">
        <v>1693193</v>
      </c>
      <c r="AD92" s="431">
        <v>139509</v>
      </c>
      <c r="AE92" s="431">
        <v>2513737</v>
      </c>
      <c r="AF92" s="431">
        <v>40041</v>
      </c>
      <c r="AG92" s="431">
        <v>193521</v>
      </c>
      <c r="AH92" s="431">
        <v>471984</v>
      </c>
      <c r="AI92" s="431">
        <v>74719</v>
      </c>
      <c r="AJ92" s="431">
        <v>856794</v>
      </c>
      <c r="AK92" s="431">
        <v>0</v>
      </c>
      <c r="AL92" s="431">
        <v>1413338</v>
      </c>
      <c r="AM92" s="431">
        <v>168289</v>
      </c>
    </row>
    <row r="93" spans="1:39" s="155" customFormat="1" x14ac:dyDescent="0.2">
      <c r="A93" s="168">
        <v>39</v>
      </c>
      <c r="B93" s="401">
        <v>117177</v>
      </c>
      <c r="C93" s="418" t="s">
        <v>2991</v>
      </c>
      <c r="D93" s="444">
        <f t="shared" si="14"/>
        <v>9784855</v>
      </c>
      <c r="E93" s="431">
        <v>2027489</v>
      </c>
      <c r="F93" s="431">
        <v>386494</v>
      </c>
      <c r="G93" s="431">
        <v>582480</v>
      </c>
      <c r="H93" s="431">
        <v>0</v>
      </c>
      <c r="I93" s="431">
        <v>3351921</v>
      </c>
      <c r="J93" s="431">
        <v>301000</v>
      </c>
      <c r="K93" s="431">
        <v>1513520</v>
      </c>
      <c r="L93" s="431">
        <v>0</v>
      </c>
      <c r="M93" s="431">
        <v>1156836</v>
      </c>
      <c r="N93" s="431">
        <v>1375117</v>
      </c>
      <c r="O93" s="431">
        <v>58972</v>
      </c>
      <c r="P93" s="444">
        <f t="shared" si="15"/>
        <v>8563895</v>
      </c>
      <c r="Q93" s="431">
        <v>3563300</v>
      </c>
      <c r="R93" s="431">
        <v>1754847</v>
      </c>
      <c r="S93" s="431">
        <v>446</v>
      </c>
      <c r="T93" s="431">
        <v>0</v>
      </c>
      <c r="U93" s="431">
        <v>0</v>
      </c>
      <c r="V93" s="431">
        <v>0</v>
      </c>
      <c r="W93" s="431">
        <v>2243787</v>
      </c>
      <c r="X93" s="431">
        <v>359348</v>
      </c>
      <c r="Y93" s="431">
        <v>62000</v>
      </c>
      <c r="Z93" s="431">
        <v>593464</v>
      </c>
      <c r="AA93" s="431">
        <v>0</v>
      </c>
      <c r="AB93" s="431">
        <v>-13297</v>
      </c>
      <c r="AC93" s="431">
        <v>2142647</v>
      </c>
      <c r="AD93" s="431">
        <v>108055</v>
      </c>
      <c r="AE93" s="431">
        <v>3140369</v>
      </c>
      <c r="AF93" s="431">
        <v>14689</v>
      </c>
      <c r="AG93" s="431">
        <v>1238967</v>
      </c>
      <c r="AH93" s="431">
        <v>610145</v>
      </c>
      <c r="AI93" s="431">
        <v>406799</v>
      </c>
      <c r="AJ93" s="431">
        <v>478681</v>
      </c>
      <c r="AK93" s="431">
        <v>0</v>
      </c>
      <c r="AL93" s="431">
        <v>356283</v>
      </c>
      <c r="AM93" s="431">
        <v>67260</v>
      </c>
    </row>
    <row r="94" spans="1:39" s="155" customFormat="1" x14ac:dyDescent="0.2">
      <c r="A94" s="168">
        <v>40</v>
      </c>
      <c r="B94" s="401">
        <v>117275</v>
      </c>
      <c r="C94" s="419" t="s">
        <v>2992</v>
      </c>
      <c r="D94" s="444">
        <f t="shared" si="14"/>
        <v>3289993</v>
      </c>
      <c r="E94" s="431">
        <v>1239684</v>
      </c>
      <c r="F94" s="431">
        <v>374845</v>
      </c>
      <c r="G94" s="431">
        <v>415960</v>
      </c>
      <c r="H94" s="431">
        <v>0</v>
      </c>
      <c r="I94" s="431">
        <v>1060000</v>
      </c>
      <c r="J94" s="431">
        <v>56000</v>
      </c>
      <c r="K94" s="431">
        <v>292610</v>
      </c>
      <c r="L94" s="431">
        <v>0</v>
      </c>
      <c r="M94" s="431">
        <v>521138</v>
      </c>
      <c r="N94" s="431">
        <v>120561</v>
      </c>
      <c r="O94" s="431">
        <v>0</v>
      </c>
      <c r="P94" s="444">
        <f t="shared" si="15"/>
        <v>3220233</v>
      </c>
      <c r="Q94" s="431">
        <v>1288174</v>
      </c>
      <c r="R94" s="431">
        <v>873501</v>
      </c>
      <c r="S94" s="431">
        <v>0</v>
      </c>
      <c r="T94" s="431">
        <v>0</v>
      </c>
      <c r="U94" s="431">
        <v>0</v>
      </c>
      <c r="V94" s="431">
        <v>0</v>
      </c>
      <c r="W94" s="431">
        <v>30458</v>
      </c>
      <c r="X94" s="431">
        <v>89037</v>
      </c>
      <c r="Y94" s="431">
        <v>0</v>
      </c>
      <c r="Z94" s="431">
        <v>939063</v>
      </c>
      <c r="AA94" s="431">
        <v>0</v>
      </c>
      <c r="AB94" s="431">
        <v>0</v>
      </c>
      <c r="AC94" s="431">
        <v>1041233</v>
      </c>
      <c r="AD94" s="431">
        <v>0</v>
      </c>
      <c r="AE94" s="431">
        <v>995590</v>
      </c>
      <c r="AF94" s="431">
        <v>0</v>
      </c>
      <c r="AG94" s="431">
        <v>230698</v>
      </c>
      <c r="AH94" s="431">
        <v>118923</v>
      </c>
      <c r="AI94" s="431">
        <v>60007</v>
      </c>
      <c r="AJ94" s="431">
        <v>0</v>
      </c>
      <c r="AK94" s="431">
        <v>0</v>
      </c>
      <c r="AL94" s="431">
        <v>741374</v>
      </c>
      <c r="AM94" s="431">
        <v>32408</v>
      </c>
    </row>
    <row r="95" spans="1:39" s="155" customFormat="1" x14ac:dyDescent="0.2">
      <c r="A95" s="168">
        <v>41</v>
      </c>
      <c r="B95" s="401">
        <v>117319</v>
      </c>
      <c r="C95" s="420" t="s">
        <v>2993</v>
      </c>
      <c r="D95" s="444">
        <f t="shared" si="14"/>
        <v>10471698</v>
      </c>
      <c r="E95" s="431">
        <v>3486848</v>
      </c>
      <c r="F95" s="431">
        <v>711681</v>
      </c>
      <c r="G95" s="431">
        <v>589752</v>
      </c>
      <c r="H95" s="431">
        <v>0</v>
      </c>
      <c r="I95" s="431">
        <v>4544719</v>
      </c>
      <c r="J95" s="431">
        <v>302000</v>
      </c>
      <c r="K95" s="431">
        <v>1559750</v>
      </c>
      <c r="L95" s="431">
        <v>0</v>
      </c>
      <c r="M95" s="431">
        <v>339505</v>
      </c>
      <c r="N95" s="431">
        <v>238876</v>
      </c>
      <c r="O95" s="431">
        <v>0</v>
      </c>
      <c r="P95" s="444">
        <f t="shared" si="15"/>
        <v>10152714</v>
      </c>
      <c r="Q95" s="431">
        <v>4693154</v>
      </c>
      <c r="R95" s="431">
        <v>2746117</v>
      </c>
      <c r="S95" s="431">
        <v>0</v>
      </c>
      <c r="T95" s="431">
        <v>0</v>
      </c>
      <c r="U95" s="431">
        <v>0</v>
      </c>
      <c r="V95" s="431">
        <v>0</v>
      </c>
      <c r="W95" s="431">
        <v>309186</v>
      </c>
      <c r="X95" s="431">
        <v>538283</v>
      </c>
      <c r="Y95" s="431">
        <v>385287</v>
      </c>
      <c r="Z95" s="431">
        <v>1484608</v>
      </c>
      <c r="AA95" s="431">
        <v>0</v>
      </c>
      <c r="AB95" s="431">
        <v>-3921</v>
      </c>
      <c r="AC95" s="431">
        <v>781196</v>
      </c>
      <c r="AD95" s="431">
        <v>394544</v>
      </c>
      <c r="AE95" s="431">
        <v>4681132</v>
      </c>
      <c r="AF95" s="431">
        <v>231031</v>
      </c>
      <c r="AG95" s="431">
        <v>546466</v>
      </c>
      <c r="AH95" s="431">
        <v>687638</v>
      </c>
      <c r="AI95" s="431">
        <v>1720095</v>
      </c>
      <c r="AJ95" s="431">
        <v>122181</v>
      </c>
      <c r="AK95" s="431">
        <v>0</v>
      </c>
      <c r="AL95" s="431">
        <v>964771</v>
      </c>
      <c r="AM95" s="431">
        <v>23660</v>
      </c>
    </row>
    <row r="96" spans="1:39" s="155" customFormat="1" x14ac:dyDescent="0.2">
      <c r="A96" s="168">
        <v>42</v>
      </c>
      <c r="B96" s="401">
        <v>117426</v>
      </c>
      <c r="C96" s="420" t="s">
        <v>2994</v>
      </c>
      <c r="D96" s="444">
        <f t="shared" si="14"/>
        <v>6256196</v>
      </c>
      <c r="E96" s="431">
        <v>1851056</v>
      </c>
      <c r="F96" s="431">
        <v>268469</v>
      </c>
      <c r="G96" s="431">
        <v>525720</v>
      </c>
      <c r="H96" s="431">
        <v>0</v>
      </c>
      <c r="I96" s="431">
        <v>2856248</v>
      </c>
      <c r="J96" s="431">
        <v>112000</v>
      </c>
      <c r="K96" s="431">
        <v>1338280</v>
      </c>
      <c r="L96" s="431">
        <v>0</v>
      </c>
      <c r="M96" s="431">
        <v>98612</v>
      </c>
      <c r="N96" s="431">
        <v>0</v>
      </c>
      <c r="O96" s="431">
        <v>0</v>
      </c>
      <c r="P96" s="444">
        <f t="shared" si="15"/>
        <v>4982126</v>
      </c>
      <c r="Q96" s="431">
        <v>2950266</v>
      </c>
      <c r="R96" s="431">
        <v>1255252</v>
      </c>
      <c r="S96" s="431">
        <v>0</v>
      </c>
      <c r="T96" s="431">
        <v>0</v>
      </c>
      <c r="U96" s="431">
        <v>0</v>
      </c>
      <c r="V96" s="431">
        <v>0</v>
      </c>
      <c r="W96" s="431">
        <v>0</v>
      </c>
      <c r="X96" s="431">
        <v>446776</v>
      </c>
      <c r="Y96" s="431">
        <v>256905</v>
      </c>
      <c r="Z96" s="431">
        <v>74477</v>
      </c>
      <c r="AA96" s="431">
        <v>0</v>
      </c>
      <c r="AB96" s="431">
        <v>-1550</v>
      </c>
      <c r="AC96" s="431">
        <v>674763</v>
      </c>
      <c r="AD96" s="431">
        <v>110502</v>
      </c>
      <c r="AE96" s="431">
        <v>2253086</v>
      </c>
      <c r="AF96" s="431">
        <v>162171</v>
      </c>
      <c r="AG96" s="431">
        <v>106466</v>
      </c>
      <c r="AH96" s="431">
        <v>804643</v>
      </c>
      <c r="AI96" s="431">
        <v>396078</v>
      </c>
      <c r="AJ96" s="431">
        <v>187044</v>
      </c>
      <c r="AK96" s="431">
        <v>0</v>
      </c>
      <c r="AL96" s="431">
        <v>248436</v>
      </c>
      <c r="AM96" s="431">
        <v>38937</v>
      </c>
    </row>
    <row r="97" spans="1:39" s="155" customFormat="1" x14ac:dyDescent="0.2">
      <c r="A97" s="168">
        <v>43</v>
      </c>
      <c r="B97" s="401">
        <v>117505</v>
      </c>
      <c r="C97" s="420" t="s">
        <v>2995</v>
      </c>
      <c r="D97" s="444">
        <f t="shared" si="14"/>
        <v>3144607</v>
      </c>
      <c r="E97" s="431">
        <v>1194083</v>
      </c>
      <c r="F97" s="431">
        <v>57133</v>
      </c>
      <c r="G97" s="431">
        <v>856161</v>
      </c>
      <c r="H97" s="431">
        <v>0</v>
      </c>
      <c r="I97" s="431">
        <v>730160</v>
      </c>
      <c r="J97" s="431">
        <v>112000</v>
      </c>
      <c r="K97" s="431">
        <v>419210</v>
      </c>
      <c r="L97" s="431">
        <v>0</v>
      </c>
      <c r="M97" s="431">
        <v>176185</v>
      </c>
      <c r="N97" s="431">
        <v>512969</v>
      </c>
      <c r="O97" s="431">
        <v>0</v>
      </c>
      <c r="P97" s="444">
        <f t="shared" si="15"/>
        <v>2591825</v>
      </c>
      <c r="Q97" s="431">
        <v>1051118</v>
      </c>
      <c r="R97" s="431">
        <v>697178</v>
      </c>
      <c r="S97" s="431">
        <v>0</v>
      </c>
      <c r="T97" s="431">
        <v>0</v>
      </c>
      <c r="U97" s="431">
        <v>0</v>
      </c>
      <c r="V97" s="431">
        <v>11185</v>
      </c>
      <c r="W97" s="431">
        <v>379460</v>
      </c>
      <c r="X97" s="431">
        <v>51802</v>
      </c>
      <c r="Y97" s="431">
        <v>62064</v>
      </c>
      <c r="Z97" s="431">
        <v>355248</v>
      </c>
      <c r="AA97" s="431">
        <v>0</v>
      </c>
      <c r="AB97" s="431">
        <v>-16230</v>
      </c>
      <c r="AC97" s="431">
        <v>655485</v>
      </c>
      <c r="AD97" s="431">
        <v>47694</v>
      </c>
      <c r="AE97" s="431">
        <v>867413</v>
      </c>
      <c r="AF97" s="431">
        <v>0</v>
      </c>
      <c r="AG97" s="431">
        <v>267449</v>
      </c>
      <c r="AH97" s="431">
        <v>336812</v>
      </c>
      <c r="AI97" s="431">
        <v>241950</v>
      </c>
      <c r="AJ97" s="431">
        <v>35601</v>
      </c>
      <c r="AK97" s="431">
        <v>0</v>
      </c>
      <c r="AL97" s="431">
        <v>139421</v>
      </c>
      <c r="AM97" s="431">
        <v>0</v>
      </c>
    </row>
    <row r="98" spans="1:39" s="155" customFormat="1" x14ac:dyDescent="0.2">
      <c r="A98" s="168">
        <v>44</v>
      </c>
      <c r="B98" s="401">
        <v>117550</v>
      </c>
      <c r="C98" s="420" t="s">
        <v>2996</v>
      </c>
      <c r="D98" s="444">
        <f t="shared" si="14"/>
        <v>12416176</v>
      </c>
      <c r="E98" s="431">
        <v>3067238</v>
      </c>
      <c r="F98" s="431">
        <v>400378</v>
      </c>
      <c r="G98" s="431">
        <v>521783</v>
      </c>
      <c r="H98" s="431">
        <v>0</v>
      </c>
      <c r="I98" s="431">
        <v>2572563</v>
      </c>
      <c r="J98" s="431">
        <v>124000</v>
      </c>
      <c r="K98" s="431">
        <v>1340440</v>
      </c>
      <c r="L98" s="431">
        <v>0</v>
      </c>
      <c r="M98" s="431">
        <v>1042355</v>
      </c>
      <c r="N98" s="431">
        <v>4260510</v>
      </c>
      <c r="O98" s="431">
        <v>9070</v>
      </c>
      <c r="P98" s="444">
        <f t="shared" si="15"/>
        <v>15786718</v>
      </c>
      <c r="Q98" s="431">
        <v>2799724</v>
      </c>
      <c r="R98" s="431">
        <v>2559600</v>
      </c>
      <c r="S98" s="431">
        <v>0</v>
      </c>
      <c r="T98" s="431">
        <v>0</v>
      </c>
      <c r="U98" s="431">
        <v>0</v>
      </c>
      <c r="V98" s="431">
        <v>0</v>
      </c>
      <c r="W98" s="431">
        <v>9660561</v>
      </c>
      <c r="X98" s="431">
        <v>219151</v>
      </c>
      <c r="Y98" s="431">
        <v>325147</v>
      </c>
      <c r="Z98" s="431">
        <v>294420</v>
      </c>
      <c r="AA98" s="431">
        <v>0</v>
      </c>
      <c r="AB98" s="431">
        <v>-71885</v>
      </c>
      <c r="AC98" s="431">
        <v>887194</v>
      </c>
      <c r="AD98" s="431">
        <v>158234</v>
      </c>
      <c r="AE98" s="431">
        <v>2321107</v>
      </c>
      <c r="AF98" s="431">
        <v>129971</v>
      </c>
      <c r="AG98" s="431">
        <v>487403</v>
      </c>
      <c r="AH98" s="431">
        <v>438334</v>
      </c>
      <c r="AI98" s="431">
        <v>608529</v>
      </c>
      <c r="AJ98" s="431">
        <v>9771750</v>
      </c>
      <c r="AK98" s="431">
        <v>0</v>
      </c>
      <c r="AL98" s="431">
        <v>984196</v>
      </c>
      <c r="AM98" s="431">
        <v>0</v>
      </c>
    </row>
    <row r="99" spans="1:39" s="155" customFormat="1" x14ac:dyDescent="0.2">
      <c r="A99" s="168">
        <v>45</v>
      </c>
      <c r="B99" s="401">
        <v>117667</v>
      </c>
      <c r="C99" s="420" t="s">
        <v>2997</v>
      </c>
      <c r="D99" s="444">
        <f t="shared" si="14"/>
        <v>3774840</v>
      </c>
      <c r="E99" s="431">
        <v>1440742</v>
      </c>
      <c r="F99" s="431">
        <v>212507</v>
      </c>
      <c r="G99" s="431">
        <v>642848</v>
      </c>
      <c r="H99" s="431">
        <v>0</v>
      </c>
      <c r="I99" s="431">
        <v>1047169</v>
      </c>
      <c r="J99" s="431">
        <v>361000</v>
      </c>
      <c r="K99" s="431">
        <v>409580</v>
      </c>
      <c r="L99" s="431">
        <v>0</v>
      </c>
      <c r="M99" s="431">
        <v>120064</v>
      </c>
      <c r="N99" s="431">
        <v>396285</v>
      </c>
      <c r="O99" s="431">
        <v>0</v>
      </c>
      <c r="P99" s="444">
        <f t="shared" si="15"/>
        <v>3503818</v>
      </c>
      <c r="Q99" s="431">
        <v>1376893</v>
      </c>
      <c r="R99" s="431">
        <v>982064</v>
      </c>
      <c r="S99" s="431">
        <v>0</v>
      </c>
      <c r="T99" s="431">
        <v>0</v>
      </c>
      <c r="U99" s="431">
        <v>3000</v>
      </c>
      <c r="V99" s="431">
        <v>0</v>
      </c>
      <c r="W99" s="431">
        <v>599449</v>
      </c>
      <c r="X99" s="431">
        <v>140167</v>
      </c>
      <c r="Y99" s="431">
        <v>38000</v>
      </c>
      <c r="Z99" s="431">
        <v>364245</v>
      </c>
      <c r="AA99" s="431">
        <v>0</v>
      </c>
      <c r="AB99" s="431">
        <v>0</v>
      </c>
      <c r="AC99" s="431">
        <v>712784</v>
      </c>
      <c r="AD99" s="431">
        <v>51547</v>
      </c>
      <c r="AE99" s="431">
        <v>967013</v>
      </c>
      <c r="AF99" s="431">
        <v>87986</v>
      </c>
      <c r="AG99" s="431">
        <v>585398</v>
      </c>
      <c r="AH99" s="431">
        <v>268858</v>
      </c>
      <c r="AI99" s="431">
        <v>589611</v>
      </c>
      <c r="AJ99" s="431">
        <v>49467</v>
      </c>
      <c r="AK99" s="431">
        <v>0</v>
      </c>
      <c r="AL99" s="431">
        <v>191154</v>
      </c>
      <c r="AM99" s="431">
        <v>0</v>
      </c>
    </row>
    <row r="100" spans="1:39" s="155" customFormat="1" x14ac:dyDescent="0.2">
      <c r="A100" s="168">
        <v>46</v>
      </c>
      <c r="B100" s="401">
        <v>117783</v>
      </c>
      <c r="C100" s="420" t="s">
        <v>2998</v>
      </c>
      <c r="D100" s="444">
        <f t="shared" si="14"/>
        <v>2561600</v>
      </c>
      <c r="E100" s="431">
        <v>1257883</v>
      </c>
      <c r="F100" s="431">
        <v>115430</v>
      </c>
      <c r="G100" s="431">
        <v>624135</v>
      </c>
      <c r="H100" s="431">
        <v>0</v>
      </c>
      <c r="I100" s="431">
        <v>703615</v>
      </c>
      <c r="J100" s="431">
        <v>68000</v>
      </c>
      <c r="K100" s="431">
        <v>474780</v>
      </c>
      <c r="L100" s="431">
        <v>0</v>
      </c>
      <c r="M100" s="431">
        <v>57322</v>
      </c>
      <c r="N100" s="431">
        <v>0</v>
      </c>
      <c r="O100" s="431">
        <v>0</v>
      </c>
      <c r="P100" s="444">
        <f t="shared" si="15"/>
        <v>2653624</v>
      </c>
      <c r="Q100" s="431">
        <v>1037769</v>
      </c>
      <c r="R100" s="431">
        <v>1234861</v>
      </c>
      <c r="S100" s="431">
        <v>0</v>
      </c>
      <c r="T100" s="431">
        <v>0</v>
      </c>
      <c r="U100" s="431">
        <v>46000</v>
      </c>
      <c r="V100" s="431">
        <v>0</v>
      </c>
      <c r="W100" s="431">
        <v>0</v>
      </c>
      <c r="X100" s="431">
        <v>149827</v>
      </c>
      <c r="Y100" s="431">
        <v>44200</v>
      </c>
      <c r="Z100" s="431">
        <v>140967</v>
      </c>
      <c r="AA100" s="431">
        <v>0</v>
      </c>
      <c r="AB100" s="431">
        <v>0</v>
      </c>
      <c r="AC100" s="431">
        <v>1131027</v>
      </c>
      <c r="AD100" s="431">
        <v>63311</v>
      </c>
      <c r="AE100" s="431">
        <v>637245</v>
      </c>
      <c r="AF100" s="431">
        <v>38205</v>
      </c>
      <c r="AG100" s="431">
        <v>97410</v>
      </c>
      <c r="AH100" s="431">
        <v>219622</v>
      </c>
      <c r="AI100" s="431">
        <v>314983</v>
      </c>
      <c r="AJ100" s="431">
        <v>69371</v>
      </c>
      <c r="AK100" s="431">
        <v>0</v>
      </c>
      <c r="AL100" s="431">
        <v>82450</v>
      </c>
      <c r="AM100" s="431">
        <v>0</v>
      </c>
    </row>
    <row r="101" spans="1:39" s="155" customFormat="1" x14ac:dyDescent="0.2">
      <c r="A101" s="168">
        <v>47</v>
      </c>
      <c r="B101" s="401">
        <v>117925</v>
      </c>
      <c r="C101" s="420" t="s">
        <v>2999</v>
      </c>
      <c r="D101" s="444">
        <f t="shared" si="14"/>
        <v>4973119</v>
      </c>
      <c r="E101" s="431">
        <v>2059669</v>
      </c>
      <c r="F101" s="431">
        <v>898552</v>
      </c>
      <c r="G101" s="431">
        <v>171407</v>
      </c>
      <c r="H101" s="431">
        <v>0</v>
      </c>
      <c r="I101" s="431">
        <v>1467620</v>
      </c>
      <c r="J101" s="431">
        <v>77000</v>
      </c>
      <c r="K101" s="431">
        <v>580270</v>
      </c>
      <c r="L101" s="431">
        <v>0</v>
      </c>
      <c r="M101" s="431">
        <v>407293</v>
      </c>
      <c r="N101" s="431">
        <v>381267</v>
      </c>
      <c r="O101" s="431">
        <v>0</v>
      </c>
      <c r="P101" s="444">
        <f t="shared" si="15"/>
        <v>4354961</v>
      </c>
      <c r="Q101" s="431">
        <v>1766294</v>
      </c>
      <c r="R101" s="431">
        <v>1451796</v>
      </c>
      <c r="S101" s="431">
        <v>0</v>
      </c>
      <c r="T101" s="431">
        <v>0</v>
      </c>
      <c r="U101" s="431">
        <v>3065</v>
      </c>
      <c r="V101" s="431">
        <v>0</v>
      </c>
      <c r="W101" s="431">
        <v>162277</v>
      </c>
      <c r="X101" s="431">
        <v>160623</v>
      </c>
      <c r="Y101" s="431">
        <v>67570</v>
      </c>
      <c r="Z101" s="431">
        <v>756085</v>
      </c>
      <c r="AA101" s="431">
        <v>0</v>
      </c>
      <c r="AB101" s="431">
        <v>-12749</v>
      </c>
      <c r="AC101" s="431">
        <v>1069464</v>
      </c>
      <c r="AD101" s="431">
        <v>22541</v>
      </c>
      <c r="AE101" s="431">
        <v>1326580</v>
      </c>
      <c r="AF101" s="431">
        <v>0</v>
      </c>
      <c r="AG101" s="431">
        <v>422889</v>
      </c>
      <c r="AH101" s="431">
        <v>266969</v>
      </c>
      <c r="AI101" s="431">
        <v>601764</v>
      </c>
      <c r="AJ101" s="431">
        <v>2832</v>
      </c>
      <c r="AK101" s="431">
        <v>0</v>
      </c>
      <c r="AL101" s="431">
        <v>461674</v>
      </c>
      <c r="AM101" s="431">
        <v>180248</v>
      </c>
    </row>
    <row r="102" spans="1:39" s="155" customFormat="1" x14ac:dyDescent="0.2">
      <c r="A102" s="168">
        <v>48</v>
      </c>
      <c r="B102" s="401">
        <v>117998</v>
      </c>
      <c r="C102" s="420" t="s">
        <v>1925</v>
      </c>
      <c r="D102" s="444">
        <f t="shared" si="14"/>
        <v>4010039</v>
      </c>
      <c r="E102" s="431">
        <v>1699487</v>
      </c>
      <c r="F102" s="431">
        <v>126423</v>
      </c>
      <c r="G102" s="431">
        <v>680110</v>
      </c>
      <c r="H102" s="431">
        <v>0</v>
      </c>
      <c r="I102" s="431">
        <v>1309669</v>
      </c>
      <c r="J102" s="431">
        <v>244000</v>
      </c>
      <c r="K102" s="431">
        <v>713400</v>
      </c>
      <c r="L102" s="431">
        <v>0</v>
      </c>
      <c r="M102" s="431">
        <v>43483</v>
      </c>
      <c r="N102" s="431">
        <v>0</v>
      </c>
      <c r="O102" s="431">
        <v>0</v>
      </c>
      <c r="P102" s="444">
        <f t="shared" si="15"/>
        <v>3744408</v>
      </c>
      <c r="Q102" s="431">
        <v>1531810</v>
      </c>
      <c r="R102" s="431">
        <v>1066885</v>
      </c>
      <c r="S102" s="431">
        <v>0</v>
      </c>
      <c r="T102" s="431">
        <v>0</v>
      </c>
      <c r="U102" s="431">
        <v>0</v>
      </c>
      <c r="V102" s="431">
        <v>0</v>
      </c>
      <c r="W102" s="431">
        <v>0</v>
      </c>
      <c r="X102" s="431">
        <v>166921</v>
      </c>
      <c r="Y102" s="431">
        <v>0</v>
      </c>
      <c r="Z102" s="431">
        <v>978792</v>
      </c>
      <c r="AA102" s="431">
        <v>0</v>
      </c>
      <c r="AB102" s="431">
        <v>0</v>
      </c>
      <c r="AC102" s="431">
        <v>1012207</v>
      </c>
      <c r="AD102" s="431">
        <v>77236</v>
      </c>
      <c r="AE102" s="431">
        <v>1238248</v>
      </c>
      <c r="AF102" s="431">
        <v>0</v>
      </c>
      <c r="AG102" s="431">
        <v>318694</v>
      </c>
      <c r="AH102" s="431">
        <v>255163</v>
      </c>
      <c r="AI102" s="431">
        <v>170254</v>
      </c>
      <c r="AJ102" s="431">
        <v>105500</v>
      </c>
      <c r="AK102" s="431">
        <v>0</v>
      </c>
      <c r="AL102" s="431">
        <v>521817</v>
      </c>
      <c r="AM102" s="431">
        <v>45289</v>
      </c>
    </row>
    <row r="103" spans="1:39" s="155" customFormat="1" x14ac:dyDescent="0.2">
      <c r="A103" s="168">
        <v>49</v>
      </c>
      <c r="B103" s="401">
        <v>118058</v>
      </c>
      <c r="C103" s="420" t="s">
        <v>3000</v>
      </c>
      <c r="D103" s="444">
        <f t="shared" si="14"/>
        <v>3998405</v>
      </c>
      <c r="E103" s="431">
        <v>2260172</v>
      </c>
      <c r="F103" s="431">
        <v>361226</v>
      </c>
      <c r="G103" s="431">
        <v>164842</v>
      </c>
      <c r="H103" s="431">
        <v>0</v>
      </c>
      <c r="I103" s="431">
        <v>1118891</v>
      </c>
      <c r="J103" s="431">
        <v>108000</v>
      </c>
      <c r="K103" s="431">
        <v>486170</v>
      </c>
      <c r="L103" s="431">
        <v>0</v>
      </c>
      <c r="M103" s="431">
        <v>25172</v>
      </c>
      <c r="N103" s="431">
        <v>0</v>
      </c>
      <c r="O103" s="431">
        <v>0</v>
      </c>
      <c r="P103" s="444">
        <f t="shared" si="15"/>
        <v>4010062</v>
      </c>
      <c r="Q103" s="431">
        <v>1367003</v>
      </c>
      <c r="R103" s="431">
        <v>1109311</v>
      </c>
      <c r="S103" s="431">
        <v>0</v>
      </c>
      <c r="T103" s="431">
        <v>0</v>
      </c>
      <c r="U103" s="431">
        <v>28944</v>
      </c>
      <c r="V103" s="431">
        <v>0</v>
      </c>
      <c r="W103" s="431">
        <v>0</v>
      </c>
      <c r="X103" s="431">
        <v>122002</v>
      </c>
      <c r="Y103" s="431">
        <v>138862</v>
      </c>
      <c r="Z103" s="431">
        <v>1243940</v>
      </c>
      <c r="AA103" s="431">
        <v>0</v>
      </c>
      <c r="AB103" s="431">
        <v>0</v>
      </c>
      <c r="AC103" s="431">
        <v>1104331</v>
      </c>
      <c r="AD103" s="431">
        <v>2540</v>
      </c>
      <c r="AE103" s="431">
        <v>1086881</v>
      </c>
      <c r="AF103" s="431">
        <v>82464</v>
      </c>
      <c r="AG103" s="431">
        <v>206449</v>
      </c>
      <c r="AH103" s="431">
        <v>122002</v>
      </c>
      <c r="AI103" s="431">
        <v>401658</v>
      </c>
      <c r="AJ103" s="431">
        <v>808325</v>
      </c>
      <c r="AK103" s="431">
        <v>0</v>
      </c>
      <c r="AL103" s="431">
        <v>195121</v>
      </c>
      <c r="AM103" s="431">
        <v>291</v>
      </c>
    </row>
    <row r="104" spans="1:39" s="155" customFormat="1" x14ac:dyDescent="0.2">
      <c r="A104" s="168">
        <v>50</v>
      </c>
      <c r="B104" s="401">
        <v>118094</v>
      </c>
      <c r="C104" s="420" t="s">
        <v>3001</v>
      </c>
      <c r="D104" s="444">
        <f t="shared" si="14"/>
        <v>2648280</v>
      </c>
      <c r="E104" s="431">
        <v>1231057</v>
      </c>
      <c r="F104" s="431">
        <v>73630</v>
      </c>
      <c r="G104" s="431">
        <v>724295</v>
      </c>
      <c r="H104" s="431">
        <v>0</v>
      </c>
      <c r="I104" s="431">
        <v>700000</v>
      </c>
      <c r="J104" s="431">
        <v>88000</v>
      </c>
      <c r="K104" s="431">
        <v>427000</v>
      </c>
      <c r="L104" s="431">
        <v>0</v>
      </c>
      <c r="M104" s="431">
        <v>90408</v>
      </c>
      <c r="N104" s="431">
        <v>111815</v>
      </c>
      <c r="O104" s="431">
        <v>0</v>
      </c>
      <c r="P104" s="444">
        <f t="shared" si="15"/>
        <v>2242622</v>
      </c>
      <c r="Q104" s="431">
        <v>882886</v>
      </c>
      <c r="R104" s="431">
        <v>760030</v>
      </c>
      <c r="S104" s="431">
        <v>0</v>
      </c>
      <c r="T104" s="431">
        <v>0</v>
      </c>
      <c r="U104" s="431">
        <v>90000</v>
      </c>
      <c r="V104" s="431">
        <v>0</v>
      </c>
      <c r="W104" s="431">
        <v>139252</v>
      </c>
      <c r="X104" s="431">
        <v>140221</v>
      </c>
      <c r="Y104" s="431">
        <v>30000</v>
      </c>
      <c r="Z104" s="431">
        <v>200233</v>
      </c>
      <c r="AA104" s="431">
        <v>0</v>
      </c>
      <c r="AB104" s="431">
        <v>0</v>
      </c>
      <c r="AC104" s="431">
        <v>883222</v>
      </c>
      <c r="AD104" s="431">
        <v>0</v>
      </c>
      <c r="AE104" s="431">
        <v>636173</v>
      </c>
      <c r="AF104" s="431">
        <v>0</v>
      </c>
      <c r="AG104" s="431">
        <v>270423</v>
      </c>
      <c r="AH104" s="431">
        <v>254221</v>
      </c>
      <c r="AI104" s="431">
        <v>8941</v>
      </c>
      <c r="AJ104" s="431">
        <v>24873</v>
      </c>
      <c r="AK104" s="431">
        <v>0</v>
      </c>
      <c r="AL104" s="431">
        <v>164769</v>
      </c>
      <c r="AM104" s="431">
        <v>0</v>
      </c>
    </row>
    <row r="105" spans="1:39" s="155" customFormat="1" x14ac:dyDescent="0.2">
      <c r="A105" s="168">
        <v>51</v>
      </c>
      <c r="B105" s="401">
        <v>118209</v>
      </c>
      <c r="C105" s="420" t="s">
        <v>3002</v>
      </c>
      <c r="D105" s="444">
        <f t="shared" si="14"/>
        <v>6154236</v>
      </c>
      <c r="E105" s="431">
        <v>1795941</v>
      </c>
      <c r="F105" s="431">
        <v>248127</v>
      </c>
      <c r="G105" s="431">
        <v>746508</v>
      </c>
      <c r="H105" s="431">
        <v>0</v>
      </c>
      <c r="I105" s="431">
        <v>2838613</v>
      </c>
      <c r="J105" s="431">
        <v>146862</v>
      </c>
      <c r="K105" s="431">
        <v>964610</v>
      </c>
      <c r="L105" s="431">
        <v>0</v>
      </c>
      <c r="M105" s="431">
        <v>141809</v>
      </c>
      <c r="N105" s="431">
        <v>266401</v>
      </c>
      <c r="O105" s="431">
        <v>0</v>
      </c>
      <c r="P105" s="444">
        <f t="shared" si="15"/>
        <v>5811465</v>
      </c>
      <c r="Q105" s="431">
        <v>2684898</v>
      </c>
      <c r="R105" s="431">
        <v>978318</v>
      </c>
      <c r="S105" s="431">
        <v>0</v>
      </c>
      <c r="T105" s="431">
        <v>0</v>
      </c>
      <c r="U105" s="431">
        <v>0</v>
      </c>
      <c r="V105" s="431">
        <v>0</v>
      </c>
      <c r="W105" s="431">
        <v>330548</v>
      </c>
      <c r="X105" s="431">
        <v>441559</v>
      </c>
      <c r="Y105" s="431">
        <v>18974</v>
      </c>
      <c r="Z105" s="431">
        <v>1358332</v>
      </c>
      <c r="AA105" s="431">
        <v>0</v>
      </c>
      <c r="AB105" s="431">
        <v>-1164</v>
      </c>
      <c r="AC105" s="431">
        <v>748559</v>
      </c>
      <c r="AD105" s="431">
        <v>76682</v>
      </c>
      <c r="AE105" s="431">
        <v>2580296</v>
      </c>
      <c r="AF105" s="431">
        <v>0</v>
      </c>
      <c r="AG105" s="431">
        <v>3000</v>
      </c>
      <c r="AH105" s="431">
        <v>446359</v>
      </c>
      <c r="AI105" s="431">
        <v>97560</v>
      </c>
      <c r="AJ105" s="431">
        <v>96272</v>
      </c>
      <c r="AK105" s="431">
        <v>0</v>
      </c>
      <c r="AL105" s="431">
        <v>1703499</v>
      </c>
      <c r="AM105" s="431">
        <v>59238</v>
      </c>
    </row>
    <row r="106" spans="1:39" s="155" customFormat="1" x14ac:dyDescent="0.2">
      <c r="A106" s="168">
        <v>52</v>
      </c>
      <c r="B106" s="401">
        <v>120478</v>
      </c>
      <c r="C106" s="420" t="s">
        <v>3003</v>
      </c>
      <c r="D106" s="444">
        <f t="shared" si="14"/>
        <v>3578393</v>
      </c>
      <c r="E106" s="431">
        <v>1299408</v>
      </c>
      <c r="F106" s="431">
        <v>68452</v>
      </c>
      <c r="G106" s="431">
        <v>794106</v>
      </c>
      <c r="H106" s="431">
        <v>0</v>
      </c>
      <c r="I106" s="431">
        <v>665495</v>
      </c>
      <c r="J106" s="431">
        <v>0</v>
      </c>
      <c r="K106" s="431">
        <v>460210</v>
      </c>
      <c r="L106" s="431">
        <v>0</v>
      </c>
      <c r="M106" s="431">
        <v>323765</v>
      </c>
      <c r="N106" s="431">
        <v>829515</v>
      </c>
      <c r="O106" s="431">
        <v>0</v>
      </c>
      <c r="P106" s="444">
        <f t="shared" si="15"/>
        <v>3158132</v>
      </c>
      <c r="Q106" s="431">
        <v>893456</v>
      </c>
      <c r="R106" s="431">
        <v>684725</v>
      </c>
      <c r="S106" s="431">
        <v>0</v>
      </c>
      <c r="T106" s="431">
        <v>0</v>
      </c>
      <c r="U106" s="431">
        <v>0</v>
      </c>
      <c r="V106" s="431">
        <v>0</v>
      </c>
      <c r="W106" s="431">
        <v>749222</v>
      </c>
      <c r="X106" s="431">
        <v>104527</v>
      </c>
      <c r="Y106" s="431">
        <v>0</v>
      </c>
      <c r="Z106" s="431">
        <v>726202</v>
      </c>
      <c r="AA106" s="431">
        <v>0</v>
      </c>
      <c r="AB106" s="431">
        <v>0</v>
      </c>
      <c r="AC106" s="431">
        <v>774161</v>
      </c>
      <c r="AD106" s="431">
        <v>11105</v>
      </c>
      <c r="AE106" s="431">
        <v>699728</v>
      </c>
      <c r="AF106" s="431">
        <v>0</v>
      </c>
      <c r="AG106" s="431">
        <v>269924</v>
      </c>
      <c r="AH106" s="431">
        <v>145072</v>
      </c>
      <c r="AI106" s="431">
        <v>86142</v>
      </c>
      <c r="AJ106" s="431">
        <v>334597</v>
      </c>
      <c r="AK106" s="431">
        <v>0</v>
      </c>
      <c r="AL106" s="431">
        <v>830707</v>
      </c>
      <c r="AM106" s="431">
        <v>6696</v>
      </c>
    </row>
    <row r="107" spans="1:39" s="155" customFormat="1" x14ac:dyDescent="0.2">
      <c r="A107" s="168">
        <v>53</v>
      </c>
      <c r="B107" s="401">
        <v>118370</v>
      </c>
      <c r="C107" s="420" t="s">
        <v>3004</v>
      </c>
      <c r="D107" s="444">
        <f t="shared" si="14"/>
        <v>3166270</v>
      </c>
      <c r="E107" s="431">
        <v>1371424</v>
      </c>
      <c r="F107" s="431">
        <v>88452</v>
      </c>
      <c r="G107" s="431">
        <v>771379</v>
      </c>
      <c r="H107" s="431">
        <v>0</v>
      </c>
      <c r="I107" s="431">
        <v>953000</v>
      </c>
      <c r="J107" s="431">
        <v>98000</v>
      </c>
      <c r="K107" s="431">
        <v>498150</v>
      </c>
      <c r="L107" s="431">
        <v>0</v>
      </c>
      <c r="M107" s="431">
        <v>115628</v>
      </c>
      <c r="N107" s="431">
        <v>130068</v>
      </c>
      <c r="O107" s="431">
        <v>0</v>
      </c>
      <c r="P107" s="444">
        <f t="shared" si="15"/>
        <v>3106989</v>
      </c>
      <c r="Q107" s="431">
        <v>1292475</v>
      </c>
      <c r="R107" s="431">
        <v>808166</v>
      </c>
      <c r="S107" s="431">
        <v>0</v>
      </c>
      <c r="T107" s="431">
        <v>0</v>
      </c>
      <c r="U107" s="431">
        <v>0</v>
      </c>
      <c r="V107" s="431">
        <v>0</v>
      </c>
      <c r="W107" s="431">
        <v>387152</v>
      </c>
      <c r="X107" s="431">
        <v>170980</v>
      </c>
      <c r="Y107" s="431">
        <v>65500</v>
      </c>
      <c r="Z107" s="431">
        <v>383316</v>
      </c>
      <c r="AA107" s="431">
        <v>0</v>
      </c>
      <c r="AB107" s="431">
        <v>-600</v>
      </c>
      <c r="AC107" s="431">
        <v>1149430</v>
      </c>
      <c r="AD107" s="431">
        <v>24805</v>
      </c>
      <c r="AE107" s="431">
        <v>838227</v>
      </c>
      <c r="AF107" s="431">
        <v>21458</v>
      </c>
      <c r="AG107" s="431">
        <v>490439</v>
      </c>
      <c r="AH107" s="431">
        <v>170980</v>
      </c>
      <c r="AI107" s="431">
        <v>79651</v>
      </c>
      <c r="AJ107" s="431">
        <v>0</v>
      </c>
      <c r="AK107" s="431">
        <v>0</v>
      </c>
      <c r="AL107" s="431">
        <v>331999</v>
      </c>
      <c r="AM107" s="431">
        <v>0</v>
      </c>
    </row>
    <row r="108" spans="1:39" s="155" customFormat="1" x14ac:dyDescent="0.2">
      <c r="A108" s="168">
        <v>54</v>
      </c>
      <c r="B108" s="401">
        <v>118469</v>
      </c>
      <c r="C108" s="420" t="s">
        <v>3005</v>
      </c>
      <c r="D108" s="444">
        <f t="shared" si="14"/>
        <v>6103748</v>
      </c>
      <c r="E108" s="431">
        <v>1510046</v>
      </c>
      <c r="F108" s="431">
        <v>403440</v>
      </c>
      <c r="G108" s="431">
        <v>396801</v>
      </c>
      <c r="H108" s="431">
        <v>0</v>
      </c>
      <c r="I108" s="431">
        <v>1351848</v>
      </c>
      <c r="J108" s="431">
        <v>86000</v>
      </c>
      <c r="K108" s="431">
        <v>487550</v>
      </c>
      <c r="L108" s="431">
        <v>0</v>
      </c>
      <c r="M108" s="431">
        <v>638930</v>
      </c>
      <c r="N108" s="431">
        <v>2029374</v>
      </c>
      <c r="O108" s="431">
        <v>0</v>
      </c>
      <c r="P108" s="444">
        <f t="shared" si="15"/>
        <v>4146247</v>
      </c>
      <c r="Q108" s="431">
        <v>1712752</v>
      </c>
      <c r="R108" s="431">
        <v>1012655</v>
      </c>
      <c r="S108" s="431">
        <v>36002</v>
      </c>
      <c r="T108" s="431">
        <v>0</v>
      </c>
      <c r="U108" s="431">
        <v>0</v>
      </c>
      <c r="V108" s="431">
        <v>0</v>
      </c>
      <c r="W108" s="431">
        <v>462520</v>
      </c>
      <c r="X108" s="431">
        <v>130382</v>
      </c>
      <c r="Y108" s="431">
        <v>32900</v>
      </c>
      <c r="Z108" s="431">
        <v>529956</v>
      </c>
      <c r="AA108" s="431">
        <v>230000</v>
      </c>
      <c r="AB108" s="431">
        <v>-920</v>
      </c>
      <c r="AC108" s="431">
        <v>1068647</v>
      </c>
      <c r="AD108" s="431">
        <v>0</v>
      </c>
      <c r="AE108" s="431">
        <v>1331823</v>
      </c>
      <c r="AF108" s="431">
        <v>0</v>
      </c>
      <c r="AG108" s="431">
        <v>28086</v>
      </c>
      <c r="AH108" s="431">
        <v>371334</v>
      </c>
      <c r="AI108" s="431">
        <v>700472</v>
      </c>
      <c r="AJ108" s="431">
        <v>1860</v>
      </c>
      <c r="AK108" s="431">
        <v>0</v>
      </c>
      <c r="AL108" s="431">
        <v>571766</v>
      </c>
      <c r="AM108" s="431">
        <v>72259</v>
      </c>
    </row>
    <row r="109" spans="1:39" s="155" customFormat="1" x14ac:dyDescent="0.2">
      <c r="A109" s="168">
        <v>55</v>
      </c>
      <c r="B109" s="401">
        <v>118511</v>
      </c>
      <c r="C109" s="420" t="s">
        <v>3006</v>
      </c>
      <c r="D109" s="444">
        <f t="shared" si="14"/>
        <v>3692899</v>
      </c>
      <c r="E109" s="431">
        <v>1223982</v>
      </c>
      <c r="F109" s="431">
        <v>59693</v>
      </c>
      <c r="G109" s="431">
        <v>793137</v>
      </c>
      <c r="H109" s="431">
        <v>0</v>
      </c>
      <c r="I109" s="431">
        <v>547000</v>
      </c>
      <c r="J109" s="431">
        <v>33000</v>
      </c>
      <c r="K109" s="431">
        <v>444870</v>
      </c>
      <c r="L109" s="431">
        <v>0</v>
      </c>
      <c r="M109" s="431">
        <v>364283</v>
      </c>
      <c r="N109" s="431">
        <v>1079764</v>
      </c>
      <c r="O109" s="431">
        <v>0</v>
      </c>
      <c r="P109" s="444">
        <f t="shared" si="15"/>
        <v>3225117</v>
      </c>
      <c r="Q109" s="431">
        <v>904359</v>
      </c>
      <c r="R109" s="431">
        <v>565592</v>
      </c>
      <c r="S109" s="431">
        <v>0</v>
      </c>
      <c r="T109" s="431">
        <v>0</v>
      </c>
      <c r="U109" s="431">
        <v>0</v>
      </c>
      <c r="V109" s="431">
        <v>0</v>
      </c>
      <c r="W109" s="431">
        <v>1455622</v>
      </c>
      <c r="X109" s="431">
        <v>80441</v>
      </c>
      <c r="Y109" s="431">
        <v>126463</v>
      </c>
      <c r="Z109" s="431">
        <v>115465</v>
      </c>
      <c r="AA109" s="431">
        <v>0</v>
      </c>
      <c r="AB109" s="431">
        <v>-22825</v>
      </c>
      <c r="AC109" s="431">
        <v>678977</v>
      </c>
      <c r="AD109" s="431">
        <v>72443</v>
      </c>
      <c r="AE109" s="431">
        <v>535849</v>
      </c>
      <c r="AF109" s="431">
        <v>0</v>
      </c>
      <c r="AG109" s="431">
        <v>755424</v>
      </c>
      <c r="AH109" s="431">
        <v>146904</v>
      </c>
      <c r="AI109" s="431">
        <v>38424</v>
      </c>
      <c r="AJ109" s="431">
        <v>51711</v>
      </c>
      <c r="AK109" s="431">
        <v>0</v>
      </c>
      <c r="AL109" s="431">
        <v>934760</v>
      </c>
      <c r="AM109" s="431">
        <v>10625</v>
      </c>
    </row>
    <row r="110" spans="1:39" s="155" customFormat="1" x14ac:dyDescent="0.2">
      <c r="A110" s="168">
        <v>56</v>
      </c>
      <c r="B110" s="401">
        <v>118575</v>
      </c>
      <c r="C110" s="420" t="s">
        <v>3007</v>
      </c>
      <c r="D110" s="444">
        <f t="shared" si="14"/>
        <v>4290469</v>
      </c>
      <c r="E110" s="431">
        <v>1416850</v>
      </c>
      <c r="F110" s="431">
        <v>136121</v>
      </c>
      <c r="G110" s="431">
        <v>541165</v>
      </c>
      <c r="H110" s="431">
        <v>0</v>
      </c>
      <c r="I110" s="431">
        <v>1464000</v>
      </c>
      <c r="J110" s="431">
        <v>315000</v>
      </c>
      <c r="K110" s="431">
        <v>512880</v>
      </c>
      <c r="L110" s="431">
        <v>0</v>
      </c>
      <c r="M110" s="431">
        <v>176326</v>
      </c>
      <c r="N110" s="431">
        <v>400334</v>
      </c>
      <c r="O110" s="431">
        <v>5079</v>
      </c>
      <c r="P110" s="444">
        <f t="shared" si="15"/>
        <v>4282183</v>
      </c>
      <c r="Q110" s="431">
        <v>1917199</v>
      </c>
      <c r="R110" s="431">
        <v>922014</v>
      </c>
      <c r="S110" s="431">
        <v>65416</v>
      </c>
      <c r="T110" s="431">
        <v>0</v>
      </c>
      <c r="U110" s="431">
        <v>0</v>
      </c>
      <c r="V110" s="431">
        <v>0</v>
      </c>
      <c r="W110" s="431">
        <v>497900</v>
      </c>
      <c r="X110" s="431">
        <v>116516</v>
      </c>
      <c r="Y110" s="431">
        <v>0</v>
      </c>
      <c r="Z110" s="431">
        <v>739477</v>
      </c>
      <c r="AA110" s="431">
        <v>30000</v>
      </c>
      <c r="AB110" s="431">
        <v>-6339</v>
      </c>
      <c r="AC110" s="431">
        <v>760433</v>
      </c>
      <c r="AD110" s="431">
        <v>6900</v>
      </c>
      <c r="AE110" s="431">
        <v>1437751</v>
      </c>
      <c r="AF110" s="431">
        <v>50882</v>
      </c>
      <c r="AG110" s="431">
        <v>124278</v>
      </c>
      <c r="AH110" s="431">
        <v>292409</v>
      </c>
      <c r="AI110" s="431">
        <v>386149</v>
      </c>
      <c r="AJ110" s="431">
        <v>96595</v>
      </c>
      <c r="AK110" s="431">
        <v>0</v>
      </c>
      <c r="AL110" s="431">
        <v>1060110</v>
      </c>
      <c r="AM110" s="431">
        <v>66676</v>
      </c>
    </row>
    <row r="111" spans="1:39" s="155" customFormat="1" x14ac:dyDescent="0.2">
      <c r="A111" s="168">
        <v>57</v>
      </c>
      <c r="B111" s="401">
        <v>118637</v>
      </c>
      <c r="C111" s="420" t="s">
        <v>3008</v>
      </c>
      <c r="D111" s="444">
        <f t="shared" si="14"/>
        <v>5506449</v>
      </c>
      <c r="E111" s="431">
        <v>1218711</v>
      </c>
      <c r="F111" s="431">
        <v>77476</v>
      </c>
      <c r="G111" s="431">
        <v>890097</v>
      </c>
      <c r="H111" s="431">
        <v>0</v>
      </c>
      <c r="I111" s="431">
        <v>683822</v>
      </c>
      <c r="J111" s="431">
        <v>64000</v>
      </c>
      <c r="K111" s="431">
        <v>410800</v>
      </c>
      <c r="L111" s="431">
        <v>0</v>
      </c>
      <c r="M111" s="431">
        <v>633739</v>
      </c>
      <c r="N111" s="431">
        <v>2072350</v>
      </c>
      <c r="O111" s="431">
        <v>423027</v>
      </c>
      <c r="P111" s="444">
        <f t="shared" si="15"/>
        <v>5278680</v>
      </c>
      <c r="Q111" s="431">
        <v>1058698</v>
      </c>
      <c r="R111" s="431">
        <v>465415</v>
      </c>
      <c r="S111" s="431">
        <v>0</v>
      </c>
      <c r="T111" s="431">
        <v>0</v>
      </c>
      <c r="U111" s="431">
        <v>0</v>
      </c>
      <c r="V111" s="431">
        <v>0</v>
      </c>
      <c r="W111" s="431">
        <v>3565121</v>
      </c>
      <c r="X111" s="431">
        <v>44428</v>
      </c>
      <c r="Y111" s="431">
        <v>5991</v>
      </c>
      <c r="Z111" s="431">
        <v>143461</v>
      </c>
      <c r="AA111" s="431">
        <v>0</v>
      </c>
      <c r="AB111" s="431">
        <v>-4434</v>
      </c>
      <c r="AC111" s="431">
        <v>593471</v>
      </c>
      <c r="AD111" s="431">
        <v>1971</v>
      </c>
      <c r="AE111" s="431">
        <v>610306</v>
      </c>
      <c r="AF111" s="431">
        <v>0</v>
      </c>
      <c r="AG111" s="431">
        <v>6799</v>
      </c>
      <c r="AH111" s="431">
        <v>571637</v>
      </c>
      <c r="AI111" s="431">
        <v>224417</v>
      </c>
      <c r="AJ111" s="431">
        <v>32603</v>
      </c>
      <c r="AK111" s="431">
        <v>0</v>
      </c>
      <c r="AL111" s="431">
        <v>3218922</v>
      </c>
      <c r="AM111" s="431">
        <v>18554</v>
      </c>
    </row>
    <row r="112" spans="1:39" s="155" customFormat="1" x14ac:dyDescent="0.2">
      <c r="A112" s="168">
        <v>58</v>
      </c>
      <c r="B112" s="401">
        <v>118691</v>
      </c>
      <c r="C112" s="420" t="s">
        <v>3009</v>
      </c>
      <c r="D112" s="444">
        <f t="shared" si="14"/>
        <v>7544046</v>
      </c>
      <c r="E112" s="431">
        <v>2257552</v>
      </c>
      <c r="F112" s="431">
        <v>282205</v>
      </c>
      <c r="G112" s="431">
        <v>700850</v>
      </c>
      <c r="H112" s="431">
        <v>0</v>
      </c>
      <c r="I112" s="431">
        <v>2831300</v>
      </c>
      <c r="J112" s="431">
        <v>92000</v>
      </c>
      <c r="K112" s="431">
        <v>1349050</v>
      </c>
      <c r="L112" s="431">
        <v>0</v>
      </c>
      <c r="M112" s="431">
        <v>1014144</v>
      </c>
      <c r="N112" s="431">
        <v>0</v>
      </c>
      <c r="O112" s="431">
        <v>0</v>
      </c>
      <c r="P112" s="444">
        <f t="shared" si="15"/>
        <v>6806881</v>
      </c>
      <c r="Q112" s="431">
        <v>2993177</v>
      </c>
      <c r="R112" s="431">
        <v>1820444</v>
      </c>
      <c r="S112" s="431">
        <v>0</v>
      </c>
      <c r="T112" s="431">
        <v>0</v>
      </c>
      <c r="U112" s="431">
        <v>0</v>
      </c>
      <c r="V112" s="431">
        <v>0</v>
      </c>
      <c r="W112" s="431">
        <v>0</v>
      </c>
      <c r="X112" s="431">
        <v>285811</v>
      </c>
      <c r="Y112" s="431">
        <v>86500</v>
      </c>
      <c r="Z112" s="431">
        <v>1626878</v>
      </c>
      <c r="AA112" s="431">
        <v>0</v>
      </c>
      <c r="AB112" s="431">
        <v>-5929</v>
      </c>
      <c r="AC112" s="431">
        <v>948168</v>
      </c>
      <c r="AD112" s="431">
        <v>129576</v>
      </c>
      <c r="AE112" s="431">
        <v>2957831</v>
      </c>
      <c r="AF112" s="431">
        <v>0</v>
      </c>
      <c r="AG112" s="431">
        <v>257493</v>
      </c>
      <c r="AH112" s="431">
        <v>551651</v>
      </c>
      <c r="AI112" s="431">
        <v>118829</v>
      </c>
      <c r="AJ112" s="431">
        <v>376203</v>
      </c>
      <c r="AK112" s="431">
        <v>0</v>
      </c>
      <c r="AL112" s="431">
        <v>1467130</v>
      </c>
      <c r="AM112" s="431">
        <v>0</v>
      </c>
    </row>
    <row r="113" spans="1:39" s="155" customFormat="1" x14ac:dyDescent="0.2">
      <c r="A113" s="168">
        <v>59</v>
      </c>
      <c r="B113" s="401">
        <v>118753</v>
      </c>
      <c r="C113" s="420" t="s">
        <v>3010</v>
      </c>
      <c r="D113" s="444">
        <f t="shared" si="14"/>
        <v>2732714</v>
      </c>
      <c r="E113" s="431">
        <v>1257429</v>
      </c>
      <c r="F113" s="431">
        <v>88628</v>
      </c>
      <c r="G113" s="431">
        <v>773745</v>
      </c>
      <c r="H113" s="431">
        <v>0</v>
      </c>
      <c r="I113" s="431">
        <v>770818</v>
      </c>
      <c r="J113" s="431">
        <v>33000</v>
      </c>
      <c r="K113" s="431">
        <v>426090</v>
      </c>
      <c r="L113" s="431">
        <v>0</v>
      </c>
      <c r="M113" s="431">
        <v>45506</v>
      </c>
      <c r="N113" s="431">
        <v>199871</v>
      </c>
      <c r="O113" s="431">
        <v>0</v>
      </c>
      <c r="P113" s="444">
        <f t="shared" si="15"/>
        <v>2674726</v>
      </c>
      <c r="Q113" s="431">
        <v>989848</v>
      </c>
      <c r="R113" s="431">
        <v>928568</v>
      </c>
      <c r="S113" s="431">
        <v>0</v>
      </c>
      <c r="T113" s="431">
        <v>0</v>
      </c>
      <c r="U113" s="431">
        <v>7000</v>
      </c>
      <c r="V113" s="431">
        <v>0</v>
      </c>
      <c r="W113" s="431">
        <v>195795</v>
      </c>
      <c r="X113" s="431">
        <v>103037</v>
      </c>
      <c r="Y113" s="431">
        <v>55000</v>
      </c>
      <c r="Z113" s="431">
        <v>395478</v>
      </c>
      <c r="AA113" s="431">
        <v>0</v>
      </c>
      <c r="AB113" s="431">
        <v>0</v>
      </c>
      <c r="AC113" s="431">
        <v>646604</v>
      </c>
      <c r="AD113" s="431">
        <v>57927</v>
      </c>
      <c r="AE113" s="431">
        <v>758838</v>
      </c>
      <c r="AF113" s="431">
        <v>0</v>
      </c>
      <c r="AG113" s="431">
        <v>388137</v>
      </c>
      <c r="AH113" s="431">
        <v>151665</v>
      </c>
      <c r="AI113" s="431">
        <v>419553</v>
      </c>
      <c r="AJ113" s="431">
        <v>63304</v>
      </c>
      <c r="AK113" s="431">
        <v>0</v>
      </c>
      <c r="AL113" s="431">
        <v>187801</v>
      </c>
      <c r="AM113" s="431">
        <v>897</v>
      </c>
    </row>
    <row r="114" spans="1:39" s="155" customFormat="1" x14ac:dyDescent="0.2">
      <c r="A114" s="168">
        <v>60</v>
      </c>
      <c r="B114" s="401">
        <v>118799</v>
      </c>
      <c r="C114" s="420" t="s">
        <v>3011</v>
      </c>
      <c r="D114" s="444">
        <f t="shared" si="14"/>
        <v>3418755</v>
      </c>
      <c r="E114" s="431">
        <v>1423686</v>
      </c>
      <c r="F114" s="431">
        <v>182015</v>
      </c>
      <c r="G114" s="431">
        <v>658885</v>
      </c>
      <c r="H114" s="431">
        <v>0</v>
      </c>
      <c r="I114" s="431">
        <v>1214295</v>
      </c>
      <c r="J114" s="431">
        <v>23000</v>
      </c>
      <c r="K114" s="431">
        <v>497520</v>
      </c>
      <c r="L114" s="431">
        <v>0</v>
      </c>
      <c r="M114" s="431">
        <v>260254</v>
      </c>
      <c r="N114" s="431">
        <v>0</v>
      </c>
      <c r="O114" s="431">
        <v>0</v>
      </c>
      <c r="P114" s="444">
        <f t="shared" si="15"/>
        <v>2872621</v>
      </c>
      <c r="Q114" s="431">
        <v>1340930</v>
      </c>
      <c r="R114" s="431">
        <v>846580</v>
      </c>
      <c r="S114" s="431">
        <v>0</v>
      </c>
      <c r="T114" s="431">
        <v>0</v>
      </c>
      <c r="U114" s="431">
        <v>0</v>
      </c>
      <c r="V114" s="431">
        <v>0</v>
      </c>
      <c r="W114" s="431">
        <v>4758</v>
      </c>
      <c r="X114" s="431">
        <v>249247</v>
      </c>
      <c r="Y114" s="431">
        <v>15000</v>
      </c>
      <c r="Z114" s="431">
        <v>416106</v>
      </c>
      <c r="AA114" s="431">
        <v>0</v>
      </c>
      <c r="AB114" s="431">
        <v>0</v>
      </c>
      <c r="AC114" s="431">
        <v>801257</v>
      </c>
      <c r="AD114" s="431">
        <v>44640</v>
      </c>
      <c r="AE114" s="431">
        <v>1088156</v>
      </c>
      <c r="AF114" s="431">
        <v>15610</v>
      </c>
      <c r="AG114" s="431">
        <v>17342</v>
      </c>
      <c r="AH114" s="431">
        <v>288340</v>
      </c>
      <c r="AI114" s="431">
        <v>90531</v>
      </c>
      <c r="AJ114" s="431">
        <v>386967</v>
      </c>
      <c r="AK114" s="431">
        <v>0</v>
      </c>
      <c r="AL114" s="431">
        <v>139778</v>
      </c>
      <c r="AM114" s="431">
        <v>0</v>
      </c>
    </row>
    <row r="115" spans="1:39" s="155" customFormat="1" x14ac:dyDescent="0.2">
      <c r="A115" s="168">
        <v>61</v>
      </c>
      <c r="B115" s="401">
        <v>118824</v>
      </c>
      <c r="C115" s="420" t="s">
        <v>3012</v>
      </c>
      <c r="D115" s="444">
        <f t="shared" si="14"/>
        <v>5489943</v>
      </c>
      <c r="E115" s="431">
        <v>1264989</v>
      </c>
      <c r="F115" s="431">
        <v>189567</v>
      </c>
      <c r="G115" s="431">
        <v>596491</v>
      </c>
      <c r="H115" s="431">
        <v>0</v>
      </c>
      <c r="I115" s="431">
        <v>1171833</v>
      </c>
      <c r="J115" s="431">
        <v>168000</v>
      </c>
      <c r="K115" s="431">
        <v>438500</v>
      </c>
      <c r="L115" s="431">
        <v>0</v>
      </c>
      <c r="M115" s="431">
        <v>883590</v>
      </c>
      <c r="N115" s="431">
        <v>1559531</v>
      </c>
      <c r="O115" s="431">
        <v>3500</v>
      </c>
      <c r="P115" s="444">
        <f t="shared" si="15"/>
        <v>6590538</v>
      </c>
      <c r="Q115" s="431">
        <v>1347394</v>
      </c>
      <c r="R115" s="431">
        <v>1060061</v>
      </c>
      <c r="S115" s="431">
        <v>0</v>
      </c>
      <c r="T115" s="431">
        <v>0</v>
      </c>
      <c r="U115" s="431">
        <v>0</v>
      </c>
      <c r="V115" s="431">
        <v>0</v>
      </c>
      <c r="W115" s="431">
        <v>3688651</v>
      </c>
      <c r="X115" s="431">
        <v>246046</v>
      </c>
      <c r="Y115" s="431">
        <v>3000</v>
      </c>
      <c r="Z115" s="431">
        <v>245386</v>
      </c>
      <c r="AA115" s="431">
        <v>0</v>
      </c>
      <c r="AB115" s="431">
        <v>0</v>
      </c>
      <c r="AC115" s="431">
        <v>1094708</v>
      </c>
      <c r="AD115" s="431">
        <v>3806</v>
      </c>
      <c r="AE115" s="431">
        <v>1519597</v>
      </c>
      <c r="AF115" s="431">
        <v>34000</v>
      </c>
      <c r="AG115" s="431">
        <v>383552</v>
      </c>
      <c r="AH115" s="431">
        <v>246046</v>
      </c>
      <c r="AI115" s="431">
        <v>182692</v>
      </c>
      <c r="AJ115" s="431">
        <v>64480</v>
      </c>
      <c r="AK115" s="431">
        <v>0</v>
      </c>
      <c r="AL115" s="431">
        <v>3061657</v>
      </c>
      <c r="AM115" s="431">
        <v>0</v>
      </c>
    </row>
    <row r="116" spans="1:39" s="155" customFormat="1" x14ac:dyDescent="0.2">
      <c r="A116" s="168">
        <v>62</v>
      </c>
      <c r="B116" s="401">
        <v>118931</v>
      </c>
      <c r="C116" s="420" t="s">
        <v>3013</v>
      </c>
      <c r="D116" s="444">
        <f t="shared" si="14"/>
        <v>3226036</v>
      </c>
      <c r="E116" s="431">
        <v>1474805</v>
      </c>
      <c r="F116" s="431">
        <v>519854</v>
      </c>
      <c r="G116" s="431">
        <v>303709</v>
      </c>
      <c r="H116" s="431">
        <v>0</v>
      </c>
      <c r="I116" s="431">
        <v>925386</v>
      </c>
      <c r="J116" s="431">
        <v>56000</v>
      </c>
      <c r="K116" s="431">
        <v>344370</v>
      </c>
      <c r="L116" s="431">
        <v>0</v>
      </c>
      <c r="M116" s="431">
        <v>425475</v>
      </c>
      <c r="N116" s="431">
        <v>0</v>
      </c>
      <c r="O116" s="431">
        <v>0</v>
      </c>
      <c r="P116" s="444">
        <f t="shared" si="15"/>
        <v>3194913</v>
      </c>
      <c r="Q116" s="431">
        <v>1318072</v>
      </c>
      <c r="R116" s="431">
        <v>1287043</v>
      </c>
      <c r="S116" s="431">
        <v>0</v>
      </c>
      <c r="T116" s="431">
        <v>0</v>
      </c>
      <c r="U116" s="431">
        <v>30012</v>
      </c>
      <c r="V116" s="431">
        <v>0</v>
      </c>
      <c r="W116" s="431">
        <v>0</v>
      </c>
      <c r="X116" s="431">
        <v>146868</v>
      </c>
      <c r="Y116" s="431">
        <v>48935</v>
      </c>
      <c r="Z116" s="431">
        <v>371573</v>
      </c>
      <c r="AA116" s="431">
        <v>0</v>
      </c>
      <c r="AB116" s="431">
        <v>-7590</v>
      </c>
      <c r="AC116" s="431">
        <v>936832</v>
      </c>
      <c r="AD116" s="431">
        <v>16541</v>
      </c>
      <c r="AE116" s="431">
        <v>962197</v>
      </c>
      <c r="AF116" s="431">
        <v>45377</v>
      </c>
      <c r="AG116" s="431">
        <v>35000</v>
      </c>
      <c r="AH116" s="431">
        <v>207717</v>
      </c>
      <c r="AI116" s="431">
        <v>546828</v>
      </c>
      <c r="AJ116" s="431">
        <v>64934</v>
      </c>
      <c r="AK116" s="431">
        <v>0</v>
      </c>
      <c r="AL116" s="431">
        <v>197467</v>
      </c>
      <c r="AM116" s="431">
        <v>182020</v>
      </c>
    </row>
    <row r="117" spans="1:39" s="155" customFormat="1" x14ac:dyDescent="0.2">
      <c r="A117" s="168">
        <v>63</v>
      </c>
      <c r="B117" s="401">
        <v>118995</v>
      </c>
      <c r="C117" s="420" t="s">
        <v>3014</v>
      </c>
      <c r="D117" s="444">
        <f t="shared" si="14"/>
        <v>6856513</v>
      </c>
      <c r="E117" s="431">
        <v>1973484</v>
      </c>
      <c r="F117" s="431">
        <v>455185</v>
      </c>
      <c r="G117" s="431">
        <v>427091</v>
      </c>
      <c r="H117" s="431">
        <v>0</v>
      </c>
      <c r="I117" s="431">
        <v>1899000</v>
      </c>
      <c r="J117" s="431">
        <v>187000</v>
      </c>
      <c r="K117" s="431">
        <v>881350</v>
      </c>
      <c r="L117" s="431">
        <v>0</v>
      </c>
      <c r="M117" s="431">
        <v>1580348</v>
      </c>
      <c r="N117" s="431">
        <v>335331</v>
      </c>
      <c r="O117" s="431">
        <v>0</v>
      </c>
      <c r="P117" s="444">
        <f t="shared" si="15"/>
        <v>6687578</v>
      </c>
      <c r="Q117" s="431">
        <v>1935041</v>
      </c>
      <c r="R117" s="431">
        <v>1853900</v>
      </c>
      <c r="S117" s="431">
        <v>4400</v>
      </c>
      <c r="T117" s="431">
        <v>0</v>
      </c>
      <c r="U117" s="431">
        <v>35283</v>
      </c>
      <c r="V117" s="431">
        <v>0</v>
      </c>
      <c r="W117" s="431">
        <v>9898</v>
      </c>
      <c r="X117" s="431">
        <v>235407</v>
      </c>
      <c r="Y117" s="431">
        <v>29069</v>
      </c>
      <c r="Z117" s="431">
        <v>2147241</v>
      </c>
      <c r="AA117" s="431">
        <v>437695</v>
      </c>
      <c r="AB117" s="431">
        <v>-356</v>
      </c>
      <c r="AC117" s="431">
        <v>1609926</v>
      </c>
      <c r="AD117" s="431">
        <v>0</v>
      </c>
      <c r="AE117" s="431">
        <v>1676106</v>
      </c>
      <c r="AF117" s="431">
        <v>0</v>
      </c>
      <c r="AG117" s="431">
        <v>215445</v>
      </c>
      <c r="AH117" s="431">
        <v>235407</v>
      </c>
      <c r="AI117" s="431">
        <v>199203</v>
      </c>
      <c r="AJ117" s="431">
        <v>196478</v>
      </c>
      <c r="AK117" s="431">
        <v>0</v>
      </c>
      <c r="AL117" s="431">
        <v>2555013</v>
      </c>
      <c r="AM117" s="431">
        <v>0</v>
      </c>
    </row>
    <row r="118" spans="1:39" s="155" customFormat="1" x14ac:dyDescent="0.2">
      <c r="A118" s="168">
        <v>64</v>
      </c>
      <c r="B118" s="401">
        <v>119153</v>
      </c>
      <c r="C118" s="420" t="s">
        <v>3015</v>
      </c>
      <c r="D118" s="444">
        <f t="shared" si="14"/>
        <v>6743599</v>
      </c>
      <c r="E118" s="431">
        <v>4456559</v>
      </c>
      <c r="F118" s="431">
        <v>110301</v>
      </c>
      <c r="G118" s="431">
        <v>281418</v>
      </c>
      <c r="H118" s="431">
        <v>0</v>
      </c>
      <c r="I118" s="431">
        <v>761000</v>
      </c>
      <c r="J118" s="431">
        <v>63000</v>
      </c>
      <c r="K118" s="431">
        <v>729550</v>
      </c>
      <c r="L118" s="431">
        <v>0</v>
      </c>
      <c r="M118" s="431">
        <v>733490</v>
      </c>
      <c r="N118" s="431">
        <v>0</v>
      </c>
      <c r="O118" s="431">
        <v>0</v>
      </c>
      <c r="P118" s="444">
        <f t="shared" si="15"/>
        <v>6108771</v>
      </c>
      <c r="Q118" s="431">
        <v>1154163</v>
      </c>
      <c r="R118" s="431">
        <v>2578256</v>
      </c>
      <c r="S118" s="431">
        <v>0</v>
      </c>
      <c r="T118" s="431">
        <v>0</v>
      </c>
      <c r="U118" s="431">
        <v>0</v>
      </c>
      <c r="V118" s="431">
        <v>0</v>
      </c>
      <c r="W118" s="431">
        <v>0</v>
      </c>
      <c r="X118" s="431">
        <v>532522</v>
      </c>
      <c r="Y118" s="431">
        <v>172300</v>
      </c>
      <c r="Z118" s="431">
        <v>1671530</v>
      </c>
      <c r="AA118" s="431">
        <v>0</v>
      </c>
      <c r="AB118" s="431">
        <v>0</v>
      </c>
      <c r="AC118" s="431">
        <v>821507</v>
      </c>
      <c r="AD118" s="431">
        <v>47302</v>
      </c>
      <c r="AE118" s="431">
        <v>761738</v>
      </c>
      <c r="AF118" s="431">
        <v>43313</v>
      </c>
      <c r="AG118" s="431">
        <v>248951</v>
      </c>
      <c r="AH118" s="431">
        <v>572637</v>
      </c>
      <c r="AI118" s="431">
        <v>830178</v>
      </c>
      <c r="AJ118" s="431">
        <v>349444</v>
      </c>
      <c r="AK118" s="431">
        <v>0</v>
      </c>
      <c r="AL118" s="431">
        <v>2095664</v>
      </c>
      <c r="AM118" s="431">
        <v>338037</v>
      </c>
    </row>
    <row r="119" spans="1:39" s="155" customFormat="1" x14ac:dyDescent="0.2">
      <c r="A119" s="168">
        <v>65</v>
      </c>
      <c r="B119" s="401">
        <v>119206</v>
      </c>
      <c r="C119" s="420" t="s">
        <v>3016</v>
      </c>
      <c r="D119" s="444">
        <f t="shared" ref="D119:D145" si="16">E119+SUM(H119:O119)</f>
        <v>7047763</v>
      </c>
      <c r="E119" s="431">
        <v>1119401</v>
      </c>
      <c r="F119" s="431">
        <v>212721</v>
      </c>
      <c r="G119" s="431">
        <v>391352</v>
      </c>
      <c r="H119" s="431">
        <v>0</v>
      </c>
      <c r="I119" s="431">
        <v>1100080</v>
      </c>
      <c r="J119" s="431">
        <v>190000</v>
      </c>
      <c r="K119" s="431">
        <v>549570</v>
      </c>
      <c r="L119" s="431">
        <v>0</v>
      </c>
      <c r="M119" s="431">
        <v>951345</v>
      </c>
      <c r="N119" s="431">
        <v>3098364</v>
      </c>
      <c r="O119" s="431">
        <v>39003</v>
      </c>
      <c r="P119" s="444">
        <f t="shared" ref="P119:P145" si="17">IF(SUM(Q119:AB119)=SUM(AC119:AM119),SUM(Q119:AB119),"  EROARE ART/CAP")</f>
        <v>8406394</v>
      </c>
      <c r="Q119" s="431">
        <v>1502645</v>
      </c>
      <c r="R119" s="431">
        <v>859165</v>
      </c>
      <c r="S119" s="431">
        <v>0</v>
      </c>
      <c r="T119" s="431">
        <v>0</v>
      </c>
      <c r="U119" s="431">
        <v>0</v>
      </c>
      <c r="V119" s="431">
        <v>0</v>
      </c>
      <c r="W119" s="431">
        <v>5289794</v>
      </c>
      <c r="X119" s="431">
        <v>99602</v>
      </c>
      <c r="Y119" s="431">
        <v>0</v>
      </c>
      <c r="Z119" s="431">
        <v>671501</v>
      </c>
      <c r="AA119" s="431">
        <v>0</v>
      </c>
      <c r="AB119" s="431">
        <v>-16313</v>
      </c>
      <c r="AC119" s="431">
        <v>636198</v>
      </c>
      <c r="AD119" s="431">
        <v>0</v>
      </c>
      <c r="AE119" s="431">
        <v>919635</v>
      </c>
      <c r="AF119" s="431">
        <v>30692</v>
      </c>
      <c r="AG119" s="431">
        <v>250835</v>
      </c>
      <c r="AH119" s="431">
        <v>291103</v>
      </c>
      <c r="AI119" s="431">
        <v>213266</v>
      </c>
      <c r="AJ119" s="431">
        <v>482276</v>
      </c>
      <c r="AK119" s="431">
        <v>0</v>
      </c>
      <c r="AL119" s="431">
        <v>5441943</v>
      </c>
      <c r="AM119" s="431">
        <v>140446</v>
      </c>
    </row>
    <row r="120" spans="1:39" s="155" customFormat="1" x14ac:dyDescent="0.2">
      <c r="A120" s="168">
        <v>66</v>
      </c>
      <c r="B120" s="401">
        <v>114382</v>
      </c>
      <c r="C120" s="420" t="s">
        <v>3017</v>
      </c>
      <c r="D120" s="444">
        <f t="shared" si="16"/>
        <v>9972517</v>
      </c>
      <c r="E120" s="431">
        <v>6023913</v>
      </c>
      <c r="F120" s="431">
        <v>3212319</v>
      </c>
      <c r="G120" s="431">
        <v>194726</v>
      </c>
      <c r="H120" s="431">
        <v>0</v>
      </c>
      <c r="I120" s="431">
        <v>2267659</v>
      </c>
      <c r="J120" s="431">
        <v>0</v>
      </c>
      <c r="K120" s="431">
        <v>506100</v>
      </c>
      <c r="L120" s="431">
        <v>0</v>
      </c>
      <c r="M120" s="431">
        <v>1174845</v>
      </c>
      <c r="N120" s="431">
        <v>0</v>
      </c>
      <c r="O120" s="431">
        <v>0</v>
      </c>
      <c r="P120" s="444">
        <f t="shared" si="17"/>
        <v>9296448</v>
      </c>
      <c r="Q120" s="431">
        <v>2607830</v>
      </c>
      <c r="R120" s="431">
        <v>2740628</v>
      </c>
      <c r="S120" s="431">
        <v>0</v>
      </c>
      <c r="T120" s="431">
        <v>0</v>
      </c>
      <c r="U120" s="431">
        <v>0</v>
      </c>
      <c r="V120" s="431">
        <v>0</v>
      </c>
      <c r="W120" s="431">
        <v>0</v>
      </c>
      <c r="X120" s="431">
        <v>387713</v>
      </c>
      <c r="Y120" s="431">
        <v>21796</v>
      </c>
      <c r="Z120" s="431">
        <v>3541697</v>
      </c>
      <c r="AA120" s="431">
        <v>0</v>
      </c>
      <c r="AB120" s="431">
        <v>-3216</v>
      </c>
      <c r="AC120" s="431">
        <v>1217390</v>
      </c>
      <c r="AD120" s="431">
        <v>128376</v>
      </c>
      <c r="AE120" s="431">
        <v>2630250</v>
      </c>
      <c r="AF120" s="431">
        <v>0</v>
      </c>
      <c r="AG120" s="431">
        <v>219782</v>
      </c>
      <c r="AH120" s="431">
        <v>444962</v>
      </c>
      <c r="AI120" s="431">
        <v>453251</v>
      </c>
      <c r="AJ120" s="431">
        <v>962537</v>
      </c>
      <c r="AK120" s="431">
        <v>0</v>
      </c>
      <c r="AL120" s="431">
        <v>3195749</v>
      </c>
      <c r="AM120" s="431">
        <v>44151</v>
      </c>
    </row>
    <row r="121" spans="1:39" s="155" customFormat="1" x14ac:dyDescent="0.2">
      <c r="A121" s="168">
        <v>67</v>
      </c>
      <c r="B121" s="401">
        <v>114417</v>
      </c>
      <c r="C121" s="420" t="s">
        <v>3018</v>
      </c>
      <c r="D121" s="444">
        <f t="shared" si="16"/>
        <v>11553464</v>
      </c>
      <c r="E121" s="431">
        <v>6434932</v>
      </c>
      <c r="F121" s="431">
        <v>3162087</v>
      </c>
      <c r="G121" s="431">
        <v>299142</v>
      </c>
      <c r="H121" s="431">
        <v>0</v>
      </c>
      <c r="I121" s="431">
        <v>3830230</v>
      </c>
      <c r="J121" s="431">
        <v>84000</v>
      </c>
      <c r="K121" s="431">
        <v>973820</v>
      </c>
      <c r="L121" s="431">
        <v>0</v>
      </c>
      <c r="M121" s="431">
        <v>230482</v>
      </c>
      <c r="N121" s="431">
        <v>0</v>
      </c>
      <c r="O121" s="431">
        <v>0</v>
      </c>
      <c r="P121" s="444">
        <f t="shared" si="17"/>
        <v>10706976</v>
      </c>
      <c r="Q121" s="431">
        <v>3998794</v>
      </c>
      <c r="R121" s="431">
        <v>4148954</v>
      </c>
      <c r="S121" s="431">
        <v>0</v>
      </c>
      <c r="T121" s="431">
        <v>0</v>
      </c>
      <c r="U121" s="431">
        <v>0</v>
      </c>
      <c r="V121" s="431">
        <v>0</v>
      </c>
      <c r="W121" s="431">
        <v>903965</v>
      </c>
      <c r="X121" s="431">
        <v>348205</v>
      </c>
      <c r="Y121" s="431">
        <v>513706</v>
      </c>
      <c r="Z121" s="431">
        <v>818477</v>
      </c>
      <c r="AA121" s="431">
        <v>0</v>
      </c>
      <c r="AB121" s="431">
        <v>-25125</v>
      </c>
      <c r="AC121" s="431">
        <v>1934566</v>
      </c>
      <c r="AD121" s="431">
        <v>0</v>
      </c>
      <c r="AE121" s="431">
        <v>3434868</v>
      </c>
      <c r="AF121" s="431">
        <v>0</v>
      </c>
      <c r="AG121" s="431">
        <v>862580</v>
      </c>
      <c r="AH121" s="431">
        <v>1281135</v>
      </c>
      <c r="AI121" s="431">
        <v>1600920</v>
      </c>
      <c r="AJ121" s="431">
        <v>268638</v>
      </c>
      <c r="AK121" s="431">
        <v>0</v>
      </c>
      <c r="AL121" s="431">
        <v>1324269</v>
      </c>
      <c r="AM121" s="431">
        <v>0</v>
      </c>
    </row>
    <row r="122" spans="1:39" s="155" customFormat="1" x14ac:dyDescent="0.2">
      <c r="A122" s="168">
        <v>68</v>
      </c>
      <c r="B122" s="401">
        <v>119386</v>
      </c>
      <c r="C122" s="420" t="s">
        <v>3019</v>
      </c>
      <c r="D122" s="444">
        <f t="shared" si="16"/>
        <v>4004925</v>
      </c>
      <c r="E122" s="431">
        <v>1388737</v>
      </c>
      <c r="F122" s="431">
        <v>99941</v>
      </c>
      <c r="G122" s="431">
        <v>812529</v>
      </c>
      <c r="H122" s="431">
        <v>0</v>
      </c>
      <c r="I122" s="431">
        <v>1372341</v>
      </c>
      <c r="J122" s="431">
        <v>251000</v>
      </c>
      <c r="K122" s="431">
        <v>481030</v>
      </c>
      <c r="L122" s="431">
        <v>0</v>
      </c>
      <c r="M122" s="431">
        <v>117179</v>
      </c>
      <c r="N122" s="431">
        <v>394638</v>
      </c>
      <c r="O122" s="431">
        <v>0</v>
      </c>
      <c r="P122" s="444">
        <f t="shared" si="17"/>
        <v>4040553</v>
      </c>
      <c r="Q122" s="431">
        <v>1468977</v>
      </c>
      <c r="R122" s="431">
        <v>1125011</v>
      </c>
      <c r="S122" s="431">
        <v>0</v>
      </c>
      <c r="T122" s="431">
        <v>0</v>
      </c>
      <c r="U122" s="431">
        <v>0</v>
      </c>
      <c r="V122" s="431">
        <v>0</v>
      </c>
      <c r="W122" s="431">
        <v>623945</v>
      </c>
      <c r="X122" s="431">
        <v>288868</v>
      </c>
      <c r="Y122" s="431">
        <v>0</v>
      </c>
      <c r="Z122" s="431">
        <v>549696</v>
      </c>
      <c r="AA122" s="431">
        <v>0</v>
      </c>
      <c r="AB122" s="431">
        <v>-15944</v>
      </c>
      <c r="AC122" s="431">
        <v>918435</v>
      </c>
      <c r="AD122" s="431">
        <v>1005</v>
      </c>
      <c r="AE122" s="431">
        <v>1133417</v>
      </c>
      <c r="AF122" s="431">
        <v>323057</v>
      </c>
      <c r="AG122" s="431">
        <v>125667</v>
      </c>
      <c r="AH122" s="431">
        <v>288868</v>
      </c>
      <c r="AI122" s="431">
        <v>354477</v>
      </c>
      <c r="AJ122" s="431">
        <v>27793</v>
      </c>
      <c r="AK122" s="431">
        <v>0</v>
      </c>
      <c r="AL122" s="431">
        <v>864934</v>
      </c>
      <c r="AM122" s="431">
        <v>2900</v>
      </c>
    </row>
    <row r="123" spans="1:39" s="155" customFormat="1" x14ac:dyDescent="0.2">
      <c r="A123" s="168">
        <v>69</v>
      </c>
      <c r="B123" s="401">
        <v>119466</v>
      </c>
      <c r="C123" s="420" t="s">
        <v>3020</v>
      </c>
      <c r="D123" s="444">
        <f t="shared" si="16"/>
        <v>8915959</v>
      </c>
      <c r="E123" s="431">
        <v>3275141</v>
      </c>
      <c r="F123" s="431">
        <v>1532469</v>
      </c>
      <c r="G123" s="431">
        <v>182247</v>
      </c>
      <c r="H123" s="431">
        <v>0</v>
      </c>
      <c r="I123" s="431">
        <v>2546000</v>
      </c>
      <c r="J123" s="431">
        <v>164000</v>
      </c>
      <c r="K123" s="431">
        <v>759430</v>
      </c>
      <c r="L123" s="431">
        <v>0</v>
      </c>
      <c r="M123" s="431">
        <v>486740</v>
      </c>
      <c r="N123" s="431">
        <v>217156</v>
      </c>
      <c r="O123" s="431">
        <v>1467492</v>
      </c>
      <c r="P123" s="444">
        <f t="shared" si="17"/>
        <v>8858551</v>
      </c>
      <c r="Q123" s="431">
        <v>2931799</v>
      </c>
      <c r="R123" s="431">
        <v>1711392</v>
      </c>
      <c r="S123" s="431">
        <v>102658</v>
      </c>
      <c r="T123" s="431">
        <v>0</v>
      </c>
      <c r="U123" s="431">
        <v>0</v>
      </c>
      <c r="V123" s="431">
        <v>0</v>
      </c>
      <c r="W123" s="431">
        <v>695969</v>
      </c>
      <c r="X123" s="431">
        <v>191557</v>
      </c>
      <c r="Y123" s="431">
        <v>211500</v>
      </c>
      <c r="Z123" s="431">
        <v>2568824</v>
      </c>
      <c r="AA123" s="431">
        <v>444852</v>
      </c>
      <c r="AB123" s="431">
        <v>0</v>
      </c>
      <c r="AC123" s="431">
        <v>1238267</v>
      </c>
      <c r="AD123" s="431">
        <v>175203</v>
      </c>
      <c r="AE123" s="431">
        <v>2518749</v>
      </c>
      <c r="AF123" s="431">
        <v>50000</v>
      </c>
      <c r="AG123" s="431">
        <v>530557</v>
      </c>
      <c r="AH123" s="431">
        <v>698331</v>
      </c>
      <c r="AI123" s="431">
        <v>142340</v>
      </c>
      <c r="AJ123" s="431">
        <v>2548510</v>
      </c>
      <c r="AK123" s="431">
        <v>0</v>
      </c>
      <c r="AL123" s="431">
        <v>766527</v>
      </c>
      <c r="AM123" s="431">
        <v>190067</v>
      </c>
    </row>
    <row r="124" spans="1:39" s="155" customFormat="1" x14ac:dyDescent="0.2">
      <c r="A124" s="168">
        <v>70</v>
      </c>
      <c r="B124" s="401">
        <v>119527</v>
      </c>
      <c r="C124" s="420" t="s">
        <v>3021</v>
      </c>
      <c r="D124" s="444">
        <f t="shared" si="16"/>
        <v>5860756</v>
      </c>
      <c r="E124" s="431">
        <v>1412112</v>
      </c>
      <c r="F124" s="431">
        <v>68508</v>
      </c>
      <c r="G124" s="431">
        <v>840143</v>
      </c>
      <c r="H124" s="431">
        <v>0</v>
      </c>
      <c r="I124" s="431">
        <v>1025000</v>
      </c>
      <c r="J124" s="431">
        <v>180000</v>
      </c>
      <c r="K124" s="431">
        <v>711680</v>
      </c>
      <c r="L124" s="431">
        <v>0</v>
      </c>
      <c r="M124" s="431">
        <v>307200</v>
      </c>
      <c r="N124" s="431">
        <v>2224764</v>
      </c>
      <c r="O124" s="431">
        <v>0</v>
      </c>
      <c r="P124" s="444">
        <f t="shared" si="17"/>
        <v>4657877</v>
      </c>
      <c r="Q124" s="431">
        <v>1345700</v>
      </c>
      <c r="R124" s="431">
        <v>1382718</v>
      </c>
      <c r="S124" s="431">
        <v>0</v>
      </c>
      <c r="T124" s="431">
        <v>0</v>
      </c>
      <c r="U124" s="431">
        <v>0</v>
      </c>
      <c r="V124" s="431">
        <v>0</v>
      </c>
      <c r="W124" s="431">
        <v>1160811</v>
      </c>
      <c r="X124" s="431">
        <v>200571</v>
      </c>
      <c r="Y124" s="431">
        <v>12000</v>
      </c>
      <c r="Z124" s="431">
        <v>556077</v>
      </c>
      <c r="AA124" s="431">
        <v>0</v>
      </c>
      <c r="AB124" s="431">
        <v>0</v>
      </c>
      <c r="AC124" s="431">
        <v>2103435</v>
      </c>
      <c r="AD124" s="431">
        <v>0</v>
      </c>
      <c r="AE124" s="431">
        <v>900719</v>
      </c>
      <c r="AF124" s="431">
        <v>15120</v>
      </c>
      <c r="AG124" s="431">
        <v>6000</v>
      </c>
      <c r="AH124" s="431">
        <v>200571</v>
      </c>
      <c r="AI124" s="431">
        <v>840881</v>
      </c>
      <c r="AJ124" s="431">
        <v>0</v>
      </c>
      <c r="AK124" s="431">
        <v>0</v>
      </c>
      <c r="AL124" s="431">
        <v>591151</v>
      </c>
      <c r="AM124" s="431">
        <v>0</v>
      </c>
    </row>
    <row r="125" spans="1:39" s="155" customFormat="1" x14ac:dyDescent="0.2">
      <c r="A125" s="168">
        <v>71</v>
      </c>
      <c r="B125" s="401">
        <v>114453</v>
      </c>
      <c r="C125" s="420" t="s">
        <v>3022</v>
      </c>
      <c r="D125" s="444">
        <f t="shared" si="16"/>
        <v>7028455</v>
      </c>
      <c r="E125" s="431">
        <v>4020938</v>
      </c>
      <c r="F125" s="431">
        <v>1712572</v>
      </c>
      <c r="G125" s="431">
        <v>175023</v>
      </c>
      <c r="H125" s="431">
        <v>0</v>
      </c>
      <c r="I125" s="431">
        <v>1546000</v>
      </c>
      <c r="J125" s="431">
        <v>89000</v>
      </c>
      <c r="K125" s="431">
        <v>570750</v>
      </c>
      <c r="L125" s="431">
        <v>0</v>
      </c>
      <c r="M125" s="431">
        <v>772709</v>
      </c>
      <c r="N125" s="431">
        <v>29058</v>
      </c>
      <c r="O125" s="431">
        <v>0</v>
      </c>
      <c r="P125" s="444">
        <f t="shared" si="17"/>
        <v>4209712</v>
      </c>
      <c r="Q125" s="431">
        <v>1970297</v>
      </c>
      <c r="R125" s="431">
        <v>1304228</v>
      </c>
      <c r="S125" s="431">
        <v>176500</v>
      </c>
      <c r="T125" s="431">
        <v>0</v>
      </c>
      <c r="U125" s="431">
        <v>0</v>
      </c>
      <c r="V125" s="431">
        <v>0</v>
      </c>
      <c r="W125" s="431">
        <v>0</v>
      </c>
      <c r="X125" s="431">
        <v>176288</v>
      </c>
      <c r="Y125" s="431">
        <v>15000</v>
      </c>
      <c r="Z125" s="431">
        <v>115261</v>
      </c>
      <c r="AA125" s="431">
        <v>488113</v>
      </c>
      <c r="AB125" s="431">
        <v>-35975</v>
      </c>
      <c r="AC125" s="431">
        <v>1239800</v>
      </c>
      <c r="AD125" s="431">
        <v>162871</v>
      </c>
      <c r="AE125" s="431">
        <v>1326195</v>
      </c>
      <c r="AF125" s="431">
        <v>0</v>
      </c>
      <c r="AG125" s="431">
        <v>143913</v>
      </c>
      <c r="AH125" s="431">
        <v>349285</v>
      </c>
      <c r="AI125" s="431">
        <v>271416</v>
      </c>
      <c r="AJ125" s="431">
        <v>180501</v>
      </c>
      <c r="AK125" s="431">
        <v>0</v>
      </c>
      <c r="AL125" s="431">
        <v>406007</v>
      </c>
      <c r="AM125" s="431">
        <v>129724</v>
      </c>
    </row>
    <row r="126" spans="1:39" s="155" customFormat="1" x14ac:dyDescent="0.2">
      <c r="A126" s="168">
        <v>72</v>
      </c>
      <c r="B126" s="401">
        <v>119590</v>
      </c>
      <c r="C126" s="420" t="s">
        <v>3023</v>
      </c>
      <c r="D126" s="444">
        <f t="shared" si="16"/>
        <v>4084515</v>
      </c>
      <c r="E126" s="431">
        <v>1777628</v>
      </c>
      <c r="F126" s="431">
        <v>437629</v>
      </c>
      <c r="G126" s="431">
        <v>518419</v>
      </c>
      <c r="H126" s="431">
        <v>0</v>
      </c>
      <c r="I126" s="431">
        <v>1314451</v>
      </c>
      <c r="J126" s="431">
        <v>18000</v>
      </c>
      <c r="K126" s="431">
        <v>477820</v>
      </c>
      <c r="L126" s="431">
        <v>0</v>
      </c>
      <c r="M126" s="431">
        <v>496616</v>
      </c>
      <c r="N126" s="431">
        <v>0</v>
      </c>
      <c r="O126" s="431">
        <v>0</v>
      </c>
      <c r="P126" s="444">
        <f t="shared" si="17"/>
        <v>3974880</v>
      </c>
      <c r="Q126" s="431">
        <v>1580981</v>
      </c>
      <c r="R126" s="431">
        <v>1631222</v>
      </c>
      <c r="S126" s="431">
        <v>0</v>
      </c>
      <c r="T126" s="431">
        <v>0</v>
      </c>
      <c r="U126" s="431">
        <v>0</v>
      </c>
      <c r="V126" s="431">
        <v>0</v>
      </c>
      <c r="W126" s="431">
        <v>0</v>
      </c>
      <c r="X126" s="431">
        <v>148371</v>
      </c>
      <c r="Y126" s="431">
        <v>159942</v>
      </c>
      <c r="Z126" s="431">
        <v>454364</v>
      </c>
      <c r="AA126" s="431">
        <v>0</v>
      </c>
      <c r="AB126" s="431">
        <v>0</v>
      </c>
      <c r="AC126" s="431">
        <v>791241</v>
      </c>
      <c r="AD126" s="431">
        <v>385</v>
      </c>
      <c r="AE126" s="431">
        <v>1160016</v>
      </c>
      <c r="AF126" s="431">
        <v>0</v>
      </c>
      <c r="AG126" s="431">
        <v>170116</v>
      </c>
      <c r="AH126" s="431">
        <v>292777</v>
      </c>
      <c r="AI126" s="431">
        <v>749353</v>
      </c>
      <c r="AJ126" s="431">
        <v>215650</v>
      </c>
      <c r="AK126" s="431">
        <v>0</v>
      </c>
      <c r="AL126" s="431">
        <v>595342</v>
      </c>
      <c r="AM126" s="431">
        <v>0</v>
      </c>
    </row>
    <row r="127" spans="1:39" s="155" customFormat="1" x14ac:dyDescent="0.2">
      <c r="A127" s="168">
        <v>73</v>
      </c>
      <c r="B127" s="401">
        <v>119625</v>
      </c>
      <c r="C127" s="420" t="s">
        <v>3024</v>
      </c>
      <c r="D127" s="444">
        <f t="shared" si="16"/>
        <v>4578768</v>
      </c>
      <c r="E127" s="431">
        <v>2406729</v>
      </c>
      <c r="F127" s="431">
        <v>409103</v>
      </c>
      <c r="G127" s="431">
        <v>156572</v>
      </c>
      <c r="H127" s="431">
        <v>0</v>
      </c>
      <c r="I127" s="431">
        <v>674641</v>
      </c>
      <c r="J127" s="431">
        <v>47000</v>
      </c>
      <c r="K127" s="431">
        <v>471600</v>
      </c>
      <c r="L127" s="431">
        <v>0</v>
      </c>
      <c r="M127" s="431">
        <v>300713</v>
      </c>
      <c r="N127" s="431">
        <v>678085</v>
      </c>
      <c r="O127" s="431">
        <v>0</v>
      </c>
      <c r="P127" s="444">
        <f t="shared" si="17"/>
        <v>4886957</v>
      </c>
      <c r="Q127" s="431">
        <v>1003332</v>
      </c>
      <c r="R127" s="431">
        <v>1402208</v>
      </c>
      <c r="S127" s="431">
        <v>0</v>
      </c>
      <c r="T127" s="431">
        <v>0</v>
      </c>
      <c r="U127" s="431">
        <v>0</v>
      </c>
      <c r="V127" s="431">
        <v>0</v>
      </c>
      <c r="W127" s="431">
        <v>1894163</v>
      </c>
      <c r="X127" s="431">
        <v>150951</v>
      </c>
      <c r="Y127" s="431">
        <v>60605</v>
      </c>
      <c r="Z127" s="431">
        <v>375698</v>
      </c>
      <c r="AA127" s="431">
        <v>0</v>
      </c>
      <c r="AB127" s="431">
        <v>0</v>
      </c>
      <c r="AC127" s="431">
        <v>969943</v>
      </c>
      <c r="AD127" s="431">
        <v>108835</v>
      </c>
      <c r="AE127" s="431">
        <v>673851</v>
      </c>
      <c r="AF127" s="431">
        <v>52034</v>
      </c>
      <c r="AG127" s="431">
        <v>143224</v>
      </c>
      <c r="AH127" s="431">
        <v>150951</v>
      </c>
      <c r="AI127" s="431">
        <v>261118</v>
      </c>
      <c r="AJ127" s="431">
        <v>87727</v>
      </c>
      <c r="AK127" s="431">
        <v>0</v>
      </c>
      <c r="AL127" s="431">
        <v>2381768</v>
      </c>
      <c r="AM127" s="431">
        <v>57506</v>
      </c>
    </row>
    <row r="128" spans="1:39" s="155" customFormat="1" x14ac:dyDescent="0.2">
      <c r="A128" s="168">
        <v>74</v>
      </c>
      <c r="B128" s="401">
        <v>119661</v>
      </c>
      <c r="C128" s="420" t="s">
        <v>3025</v>
      </c>
      <c r="D128" s="444">
        <f t="shared" si="16"/>
        <v>5429068</v>
      </c>
      <c r="E128" s="431">
        <v>1365117</v>
      </c>
      <c r="F128" s="431">
        <v>128066</v>
      </c>
      <c r="G128" s="431">
        <v>725264</v>
      </c>
      <c r="H128" s="431">
        <v>0</v>
      </c>
      <c r="I128" s="431">
        <v>1400850</v>
      </c>
      <c r="J128" s="431">
        <v>144000</v>
      </c>
      <c r="K128" s="431">
        <v>412180</v>
      </c>
      <c r="L128" s="431">
        <v>0</v>
      </c>
      <c r="M128" s="431">
        <v>985999</v>
      </c>
      <c r="N128" s="431">
        <v>395294</v>
      </c>
      <c r="O128" s="431">
        <v>725628</v>
      </c>
      <c r="P128" s="444">
        <f t="shared" si="17"/>
        <v>5422958</v>
      </c>
      <c r="Q128" s="431">
        <v>1518765</v>
      </c>
      <c r="R128" s="431">
        <v>1061303</v>
      </c>
      <c r="S128" s="431">
        <v>0</v>
      </c>
      <c r="T128" s="431">
        <v>0</v>
      </c>
      <c r="U128" s="431">
        <v>0</v>
      </c>
      <c r="V128" s="431">
        <v>0</v>
      </c>
      <c r="W128" s="431">
        <v>484280</v>
      </c>
      <c r="X128" s="431">
        <v>184032</v>
      </c>
      <c r="Y128" s="431">
        <v>3000</v>
      </c>
      <c r="Z128" s="431">
        <v>2171703</v>
      </c>
      <c r="AA128" s="431">
        <v>0</v>
      </c>
      <c r="AB128" s="431">
        <v>-125</v>
      </c>
      <c r="AC128" s="431">
        <v>637906</v>
      </c>
      <c r="AD128" s="431">
        <v>12204</v>
      </c>
      <c r="AE128" s="431">
        <v>1296247</v>
      </c>
      <c r="AF128" s="431">
        <v>72757</v>
      </c>
      <c r="AG128" s="431">
        <v>1012587</v>
      </c>
      <c r="AH128" s="431">
        <v>184032</v>
      </c>
      <c r="AI128" s="431">
        <v>997494</v>
      </c>
      <c r="AJ128" s="431">
        <v>867549</v>
      </c>
      <c r="AK128" s="431">
        <v>0</v>
      </c>
      <c r="AL128" s="431">
        <v>189432</v>
      </c>
      <c r="AM128" s="431">
        <v>152750</v>
      </c>
    </row>
    <row r="129" spans="1:39" s="155" customFormat="1" x14ac:dyDescent="0.2">
      <c r="A129" s="168">
        <v>75</v>
      </c>
      <c r="B129" s="401">
        <v>119723</v>
      </c>
      <c r="C129" s="420" t="s">
        <v>3026</v>
      </c>
      <c r="D129" s="444">
        <f t="shared" si="16"/>
        <v>2877113</v>
      </c>
      <c r="E129" s="431">
        <v>1421701</v>
      </c>
      <c r="F129" s="431">
        <v>109193</v>
      </c>
      <c r="G129" s="431">
        <v>638000</v>
      </c>
      <c r="H129" s="431">
        <v>0</v>
      </c>
      <c r="I129" s="431">
        <v>937078</v>
      </c>
      <c r="J129" s="431">
        <v>45000</v>
      </c>
      <c r="K129" s="431">
        <v>368710</v>
      </c>
      <c r="L129" s="431">
        <v>0</v>
      </c>
      <c r="M129" s="431">
        <v>104624</v>
      </c>
      <c r="N129" s="431">
        <v>0</v>
      </c>
      <c r="O129" s="431">
        <v>0</v>
      </c>
      <c r="P129" s="444">
        <f t="shared" si="17"/>
        <v>2832839</v>
      </c>
      <c r="Q129" s="431">
        <v>1143155</v>
      </c>
      <c r="R129" s="431">
        <v>911539</v>
      </c>
      <c r="S129" s="431">
        <v>0</v>
      </c>
      <c r="T129" s="431">
        <v>0</v>
      </c>
      <c r="U129" s="431">
        <v>0</v>
      </c>
      <c r="V129" s="431">
        <v>0</v>
      </c>
      <c r="W129" s="431">
        <v>0</v>
      </c>
      <c r="X129" s="431">
        <v>198667</v>
      </c>
      <c r="Y129" s="431">
        <v>45000</v>
      </c>
      <c r="Z129" s="431">
        <v>543313</v>
      </c>
      <c r="AA129" s="431">
        <v>0</v>
      </c>
      <c r="AB129" s="431">
        <v>-8835</v>
      </c>
      <c r="AC129" s="431">
        <v>590314</v>
      </c>
      <c r="AD129" s="431">
        <v>45811</v>
      </c>
      <c r="AE129" s="431">
        <v>1191682</v>
      </c>
      <c r="AF129" s="431">
        <v>34980</v>
      </c>
      <c r="AG129" s="431">
        <v>207070</v>
      </c>
      <c r="AH129" s="431">
        <v>198667</v>
      </c>
      <c r="AI129" s="431">
        <v>335689</v>
      </c>
      <c r="AJ129" s="431">
        <v>38257</v>
      </c>
      <c r="AK129" s="431">
        <v>0</v>
      </c>
      <c r="AL129" s="431">
        <v>175369</v>
      </c>
      <c r="AM129" s="431">
        <v>15000</v>
      </c>
    </row>
    <row r="130" spans="1:39" s="155" customFormat="1" x14ac:dyDescent="0.2">
      <c r="A130" s="168">
        <v>76</v>
      </c>
      <c r="B130" s="401">
        <v>119750</v>
      </c>
      <c r="C130" s="420" t="s">
        <v>3027</v>
      </c>
      <c r="D130" s="444">
        <f t="shared" si="16"/>
        <v>3744069</v>
      </c>
      <c r="E130" s="431">
        <v>1349665</v>
      </c>
      <c r="F130" s="431">
        <v>190483</v>
      </c>
      <c r="G130" s="431">
        <v>754352</v>
      </c>
      <c r="H130" s="431">
        <v>0</v>
      </c>
      <c r="I130" s="431">
        <v>1194561</v>
      </c>
      <c r="J130" s="431">
        <v>231000</v>
      </c>
      <c r="K130" s="431">
        <v>442940</v>
      </c>
      <c r="L130" s="431">
        <v>0</v>
      </c>
      <c r="M130" s="431">
        <v>136153</v>
      </c>
      <c r="N130" s="431">
        <v>389750</v>
      </c>
      <c r="O130" s="431">
        <v>0</v>
      </c>
      <c r="P130" s="444">
        <f t="shared" si="17"/>
        <v>3728746</v>
      </c>
      <c r="Q130" s="431">
        <v>1344512</v>
      </c>
      <c r="R130" s="431">
        <v>1236670</v>
      </c>
      <c r="S130" s="431">
        <v>823</v>
      </c>
      <c r="T130" s="431">
        <v>0</v>
      </c>
      <c r="U130" s="431">
        <v>23000</v>
      </c>
      <c r="V130" s="431">
        <v>6683</v>
      </c>
      <c r="W130" s="431">
        <v>0</v>
      </c>
      <c r="X130" s="431">
        <v>182915</v>
      </c>
      <c r="Y130" s="431">
        <v>0</v>
      </c>
      <c r="Z130" s="431">
        <v>496641</v>
      </c>
      <c r="AA130" s="431">
        <v>498986</v>
      </c>
      <c r="AB130" s="431">
        <v>-61484</v>
      </c>
      <c r="AC130" s="431">
        <v>798920</v>
      </c>
      <c r="AD130" s="431">
        <v>0</v>
      </c>
      <c r="AE130" s="431">
        <v>1042515</v>
      </c>
      <c r="AF130" s="431">
        <v>0</v>
      </c>
      <c r="AG130" s="431">
        <v>328245</v>
      </c>
      <c r="AH130" s="431">
        <v>213765</v>
      </c>
      <c r="AI130" s="431">
        <v>691994</v>
      </c>
      <c r="AJ130" s="431">
        <v>37299</v>
      </c>
      <c r="AK130" s="431">
        <v>0</v>
      </c>
      <c r="AL130" s="431">
        <v>622472</v>
      </c>
      <c r="AM130" s="431">
        <v>-6464</v>
      </c>
    </row>
    <row r="131" spans="1:39" s="155" customFormat="1" x14ac:dyDescent="0.2">
      <c r="A131" s="168">
        <v>77</v>
      </c>
      <c r="B131" s="401">
        <v>119803</v>
      </c>
      <c r="C131" s="420" t="s">
        <v>3028</v>
      </c>
      <c r="D131" s="444">
        <f t="shared" si="16"/>
        <v>6139294</v>
      </c>
      <c r="E131" s="431">
        <v>1208476</v>
      </c>
      <c r="F131" s="431">
        <v>151974</v>
      </c>
      <c r="G131" s="431">
        <v>734960</v>
      </c>
      <c r="H131" s="431">
        <v>0</v>
      </c>
      <c r="I131" s="431">
        <v>933266</v>
      </c>
      <c r="J131" s="431">
        <v>135000</v>
      </c>
      <c r="K131" s="431">
        <v>396750</v>
      </c>
      <c r="L131" s="431">
        <v>0</v>
      </c>
      <c r="M131" s="431">
        <v>689765</v>
      </c>
      <c r="N131" s="431">
        <v>2776037</v>
      </c>
      <c r="O131" s="431">
        <v>0</v>
      </c>
      <c r="P131" s="444">
        <f t="shared" si="17"/>
        <v>8692033</v>
      </c>
      <c r="Q131" s="431">
        <v>1136991</v>
      </c>
      <c r="R131" s="431">
        <v>663960</v>
      </c>
      <c r="S131" s="431">
        <v>0</v>
      </c>
      <c r="T131" s="431">
        <v>0</v>
      </c>
      <c r="U131" s="431">
        <v>0</v>
      </c>
      <c r="V131" s="431">
        <v>108577</v>
      </c>
      <c r="W131" s="431">
        <v>6456942</v>
      </c>
      <c r="X131" s="431">
        <v>173023</v>
      </c>
      <c r="Y131" s="431">
        <v>66920</v>
      </c>
      <c r="Z131" s="431">
        <v>88120</v>
      </c>
      <c r="AA131" s="431">
        <v>0</v>
      </c>
      <c r="AB131" s="431">
        <v>-2500</v>
      </c>
      <c r="AC131" s="431">
        <v>817470</v>
      </c>
      <c r="AD131" s="431">
        <v>57354</v>
      </c>
      <c r="AE131" s="431">
        <v>793109</v>
      </c>
      <c r="AF131" s="431">
        <v>0</v>
      </c>
      <c r="AG131" s="431">
        <v>74858</v>
      </c>
      <c r="AH131" s="431">
        <v>239943</v>
      </c>
      <c r="AI131" s="431">
        <v>54411</v>
      </c>
      <c r="AJ131" s="431">
        <v>133281</v>
      </c>
      <c r="AK131" s="431">
        <v>0</v>
      </c>
      <c r="AL131" s="431">
        <v>6512877</v>
      </c>
      <c r="AM131" s="431">
        <v>8730</v>
      </c>
    </row>
    <row r="132" spans="1:39" s="155" customFormat="1" x14ac:dyDescent="0.2">
      <c r="A132" s="168">
        <v>78</v>
      </c>
      <c r="B132" s="401">
        <v>119858</v>
      </c>
      <c r="C132" s="420" t="s">
        <v>3029</v>
      </c>
      <c r="D132" s="444">
        <f t="shared" si="16"/>
        <v>2808688</v>
      </c>
      <c r="E132" s="431">
        <v>1069215</v>
      </c>
      <c r="F132" s="431">
        <v>118016</v>
      </c>
      <c r="G132" s="431">
        <v>751444</v>
      </c>
      <c r="H132" s="431">
        <v>0</v>
      </c>
      <c r="I132" s="431">
        <v>678300</v>
      </c>
      <c r="J132" s="431">
        <v>133000</v>
      </c>
      <c r="K132" s="431">
        <v>401170</v>
      </c>
      <c r="L132" s="431">
        <v>0</v>
      </c>
      <c r="M132" s="431">
        <v>124990</v>
      </c>
      <c r="N132" s="431">
        <v>402013</v>
      </c>
      <c r="O132" s="431">
        <v>0</v>
      </c>
      <c r="P132" s="444">
        <f t="shared" si="17"/>
        <v>4483328</v>
      </c>
      <c r="Q132" s="431">
        <v>948321</v>
      </c>
      <c r="R132" s="431">
        <v>646668</v>
      </c>
      <c r="S132" s="431">
        <v>0</v>
      </c>
      <c r="T132" s="431">
        <v>0</v>
      </c>
      <c r="U132" s="431">
        <v>0</v>
      </c>
      <c r="V132" s="431">
        <v>0</v>
      </c>
      <c r="W132" s="431">
        <v>1919291</v>
      </c>
      <c r="X132" s="431">
        <v>74209</v>
      </c>
      <c r="Y132" s="431">
        <v>0</v>
      </c>
      <c r="Z132" s="431">
        <v>899307</v>
      </c>
      <c r="AA132" s="431">
        <v>0</v>
      </c>
      <c r="AB132" s="431">
        <v>-4468</v>
      </c>
      <c r="AC132" s="431">
        <v>502676</v>
      </c>
      <c r="AD132" s="431">
        <v>79253</v>
      </c>
      <c r="AE132" s="431">
        <v>783835</v>
      </c>
      <c r="AF132" s="431">
        <v>0</v>
      </c>
      <c r="AG132" s="431">
        <v>64068</v>
      </c>
      <c r="AH132" s="431">
        <v>154410</v>
      </c>
      <c r="AI132" s="431">
        <v>976887</v>
      </c>
      <c r="AJ132" s="431">
        <v>415706</v>
      </c>
      <c r="AK132" s="431">
        <v>0</v>
      </c>
      <c r="AL132" s="431">
        <v>1506493</v>
      </c>
      <c r="AM132" s="431">
        <v>0</v>
      </c>
    </row>
    <row r="133" spans="1:39" s="155" customFormat="1" x14ac:dyDescent="0.2">
      <c r="A133" s="168">
        <v>79</v>
      </c>
      <c r="B133" s="401">
        <v>119974</v>
      </c>
      <c r="C133" s="420" t="s">
        <v>3030</v>
      </c>
      <c r="D133" s="444">
        <f t="shared" si="16"/>
        <v>4437290</v>
      </c>
      <c r="E133" s="431">
        <v>1444282</v>
      </c>
      <c r="F133" s="431">
        <v>165091</v>
      </c>
      <c r="G133" s="431">
        <v>767103</v>
      </c>
      <c r="H133" s="431">
        <v>0</v>
      </c>
      <c r="I133" s="431">
        <v>1436598</v>
      </c>
      <c r="J133" s="431">
        <v>117000</v>
      </c>
      <c r="K133" s="431">
        <v>674090</v>
      </c>
      <c r="L133" s="431">
        <v>0</v>
      </c>
      <c r="M133" s="431">
        <v>191527</v>
      </c>
      <c r="N133" s="431">
        <v>573793</v>
      </c>
      <c r="O133" s="431">
        <v>0</v>
      </c>
      <c r="P133" s="444">
        <f t="shared" si="17"/>
        <v>3790128</v>
      </c>
      <c r="Q133" s="431">
        <v>1770750</v>
      </c>
      <c r="R133" s="431">
        <v>796210</v>
      </c>
      <c r="S133" s="431">
        <v>0</v>
      </c>
      <c r="T133" s="431">
        <v>0</v>
      </c>
      <c r="U133" s="431">
        <v>0</v>
      </c>
      <c r="V133" s="431">
        <v>0</v>
      </c>
      <c r="W133" s="431">
        <v>756357</v>
      </c>
      <c r="X133" s="431">
        <v>139170</v>
      </c>
      <c r="Y133" s="431">
        <v>32000</v>
      </c>
      <c r="Z133" s="431">
        <v>299179</v>
      </c>
      <c r="AA133" s="431">
        <v>0</v>
      </c>
      <c r="AB133" s="431">
        <v>-3538</v>
      </c>
      <c r="AC133" s="431">
        <v>516212</v>
      </c>
      <c r="AD133" s="431">
        <v>94690</v>
      </c>
      <c r="AE133" s="431">
        <v>1116560</v>
      </c>
      <c r="AF133" s="431">
        <v>22376</v>
      </c>
      <c r="AG133" s="431">
        <v>109499</v>
      </c>
      <c r="AH133" s="431">
        <v>413637</v>
      </c>
      <c r="AI133" s="431">
        <v>704221</v>
      </c>
      <c r="AJ133" s="431">
        <v>71083</v>
      </c>
      <c r="AK133" s="431">
        <v>0</v>
      </c>
      <c r="AL133" s="431">
        <v>612602</v>
      </c>
      <c r="AM133" s="431">
        <v>129248</v>
      </c>
    </row>
    <row r="134" spans="1:39" s="155" customFormat="1" x14ac:dyDescent="0.2">
      <c r="A134" s="168">
        <v>80</v>
      </c>
      <c r="B134" s="401">
        <v>120076</v>
      </c>
      <c r="C134" s="420" t="s">
        <v>3031</v>
      </c>
      <c r="D134" s="444">
        <f t="shared" si="16"/>
        <v>5165561</v>
      </c>
      <c r="E134" s="431">
        <v>1295148</v>
      </c>
      <c r="F134" s="431">
        <v>132000</v>
      </c>
      <c r="G134" s="431">
        <v>797015</v>
      </c>
      <c r="H134" s="431">
        <v>0</v>
      </c>
      <c r="I134" s="431">
        <v>1042832</v>
      </c>
      <c r="J134" s="431">
        <v>68000</v>
      </c>
      <c r="K134" s="431">
        <v>457560</v>
      </c>
      <c r="L134" s="431">
        <v>0</v>
      </c>
      <c r="M134" s="431">
        <v>244883</v>
      </c>
      <c r="N134" s="431">
        <v>1935388</v>
      </c>
      <c r="O134" s="431">
        <v>121750</v>
      </c>
      <c r="P134" s="444">
        <f t="shared" si="17"/>
        <v>3298392</v>
      </c>
      <c r="Q134" s="431">
        <v>1323232</v>
      </c>
      <c r="R134" s="431">
        <v>747916</v>
      </c>
      <c r="S134" s="431">
        <v>14094</v>
      </c>
      <c r="T134" s="431">
        <v>0</v>
      </c>
      <c r="U134" s="431">
        <v>0</v>
      </c>
      <c r="V134" s="431">
        <v>0</v>
      </c>
      <c r="W134" s="431">
        <v>186018</v>
      </c>
      <c r="X134" s="431">
        <v>92592</v>
      </c>
      <c r="Y134" s="431">
        <v>121874</v>
      </c>
      <c r="Z134" s="431">
        <v>409776</v>
      </c>
      <c r="AA134" s="431">
        <v>414486</v>
      </c>
      <c r="AB134" s="431">
        <v>-11596</v>
      </c>
      <c r="AC134" s="431">
        <v>850247</v>
      </c>
      <c r="AD134" s="431">
        <v>11054</v>
      </c>
      <c r="AE134" s="431">
        <v>989733</v>
      </c>
      <c r="AF134" s="431">
        <v>14702</v>
      </c>
      <c r="AG134" s="431">
        <v>411293</v>
      </c>
      <c r="AH134" s="431">
        <v>237381</v>
      </c>
      <c r="AI134" s="431">
        <v>174695</v>
      </c>
      <c r="AJ134" s="431">
        <v>285476</v>
      </c>
      <c r="AK134" s="431">
        <v>0</v>
      </c>
      <c r="AL134" s="431">
        <v>323811</v>
      </c>
      <c r="AM134" s="431">
        <v>0</v>
      </c>
    </row>
    <row r="135" spans="1:39" s="155" customFormat="1" x14ac:dyDescent="0.2">
      <c r="A135" s="168">
        <v>81</v>
      </c>
      <c r="B135" s="401">
        <v>120138</v>
      </c>
      <c r="C135" s="420" t="s">
        <v>3032</v>
      </c>
      <c r="D135" s="444">
        <f t="shared" si="16"/>
        <v>2784689</v>
      </c>
      <c r="E135" s="431">
        <v>1289960</v>
      </c>
      <c r="F135" s="431">
        <v>126012</v>
      </c>
      <c r="G135" s="431">
        <v>342561</v>
      </c>
      <c r="H135" s="431">
        <v>0</v>
      </c>
      <c r="I135" s="431">
        <v>822909</v>
      </c>
      <c r="J135" s="431">
        <v>88000</v>
      </c>
      <c r="K135" s="431">
        <v>545200</v>
      </c>
      <c r="L135" s="431">
        <v>0</v>
      </c>
      <c r="M135" s="431">
        <v>38620</v>
      </c>
      <c r="N135" s="431">
        <v>0</v>
      </c>
      <c r="O135" s="431">
        <v>0</v>
      </c>
      <c r="P135" s="444">
        <f t="shared" si="17"/>
        <v>2761192</v>
      </c>
      <c r="Q135" s="431">
        <v>1011352</v>
      </c>
      <c r="R135" s="431">
        <v>1161037</v>
      </c>
      <c r="S135" s="431">
        <v>0</v>
      </c>
      <c r="T135" s="431">
        <v>0</v>
      </c>
      <c r="U135" s="431">
        <v>0</v>
      </c>
      <c r="V135" s="431">
        <v>0</v>
      </c>
      <c r="W135" s="431">
        <v>0</v>
      </c>
      <c r="X135" s="431">
        <v>217600</v>
      </c>
      <c r="Y135" s="431">
        <v>105301</v>
      </c>
      <c r="Z135" s="431">
        <v>314413</v>
      </c>
      <c r="AA135" s="431">
        <v>0</v>
      </c>
      <c r="AB135" s="431">
        <v>-48511</v>
      </c>
      <c r="AC135" s="431">
        <v>643629</v>
      </c>
      <c r="AD135" s="431">
        <v>207246</v>
      </c>
      <c r="AE135" s="431">
        <v>763561</v>
      </c>
      <c r="AF135" s="431">
        <v>21775</v>
      </c>
      <c r="AG135" s="431">
        <v>125217</v>
      </c>
      <c r="AH135" s="431">
        <v>217600</v>
      </c>
      <c r="AI135" s="431">
        <v>330956</v>
      </c>
      <c r="AJ135" s="431">
        <v>192948</v>
      </c>
      <c r="AK135" s="431">
        <v>0</v>
      </c>
      <c r="AL135" s="431">
        <v>258260</v>
      </c>
      <c r="AM135" s="431">
        <v>0</v>
      </c>
    </row>
    <row r="136" spans="1:39" s="155" customFormat="1" x14ac:dyDescent="0.2">
      <c r="A136" s="168">
        <v>82</v>
      </c>
      <c r="B136" s="401">
        <v>120174</v>
      </c>
      <c r="C136" s="420" t="s">
        <v>3033</v>
      </c>
      <c r="D136" s="444">
        <f t="shared" si="16"/>
        <v>2770952</v>
      </c>
      <c r="E136" s="431">
        <v>1084198</v>
      </c>
      <c r="F136" s="431">
        <v>27759</v>
      </c>
      <c r="G136" s="431">
        <v>854222</v>
      </c>
      <c r="H136" s="431">
        <v>0</v>
      </c>
      <c r="I136" s="431">
        <v>489883</v>
      </c>
      <c r="J136" s="431">
        <v>34000</v>
      </c>
      <c r="K136" s="431">
        <v>443840</v>
      </c>
      <c r="L136" s="431">
        <v>0</v>
      </c>
      <c r="M136" s="431">
        <v>171191</v>
      </c>
      <c r="N136" s="431">
        <v>547840</v>
      </c>
      <c r="O136" s="431">
        <v>0</v>
      </c>
      <c r="P136" s="444">
        <f t="shared" si="17"/>
        <v>2141395</v>
      </c>
      <c r="Q136" s="431">
        <v>635627</v>
      </c>
      <c r="R136" s="431">
        <v>579268</v>
      </c>
      <c r="S136" s="431">
        <v>0</v>
      </c>
      <c r="T136" s="431">
        <v>0</v>
      </c>
      <c r="U136" s="431">
        <v>0</v>
      </c>
      <c r="V136" s="431">
        <v>0</v>
      </c>
      <c r="W136" s="431">
        <v>743559</v>
      </c>
      <c r="X136" s="431">
        <v>78499</v>
      </c>
      <c r="Y136" s="431">
        <v>10000</v>
      </c>
      <c r="Z136" s="431">
        <v>100442</v>
      </c>
      <c r="AA136" s="431">
        <v>0</v>
      </c>
      <c r="AB136" s="431">
        <v>-6000</v>
      </c>
      <c r="AC136" s="431">
        <v>544570</v>
      </c>
      <c r="AD136" s="431">
        <v>0</v>
      </c>
      <c r="AE136" s="431">
        <v>460822</v>
      </c>
      <c r="AF136" s="431">
        <v>0</v>
      </c>
      <c r="AG136" s="431">
        <v>222155</v>
      </c>
      <c r="AH136" s="431">
        <v>78499</v>
      </c>
      <c r="AI136" s="431">
        <v>69774</v>
      </c>
      <c r="AJ136" s="431">
        <v>28813</v>
      </c>
      <c r="AK136" s="431">
        <v>0</v>
      </c>
      <c r="AL136" s="431">
        <v>699223</v>
      </c>
      <c r="AM136" s="431">
        <v>37539</v>
      </c>
    </row>
    <row r="137" spans="1:39" s="155" customFormat="1" x14ac:dyDescent="0.2">
      <c r="A137" s="168">
        <v>83</v>
      </c>
      <c r="B137" s="401">
        <v>120218</v>
      </c>
      <c r="C137" s="420" t="s">
        <v>1969</v>
      </c>
      <c r="D137" s="444">
        <f t="shared" si="16"/>
        <v>3441281</v>
      </c>
      <c r="E137" s="431">
        <v>1335338</v>
      </c>
      <c r="F137" s="431">
        <v>62994</v>
      </c>
      <c r="G137" s="431">
        <v>701994</v>
      </c>
      <c r="H137" s="431">
        <v>0</v>
      </c>
      <c r="I137" s="431">
        <v>1242807</v>
      </c>
      <c r="J137" s="431">
        <v>44000</v>
      </c>
      <c r="K137" s="431">
        <v>444100</v>
      </c>
      <c r="L137" s="431">
        <v>0</v>
      </c>
      <c r="M137" s="431">
        <v>96516</v>
      </c>
      <c r="N137" s="431">
        <v>278520</v>
      </c>
      <c r="O137" s="431">
        <v>0</v>
      </c>
      <c r="P137" s="444">
        <f t="shared" si="17"/>
        <v>3406039</v>
      </c>
      <c r="Q137" s="431">
        <v>1467811</v>
      </c>
      <c r="R137" s="431">
        <v>900965</v>
      </c>
      <c r="S137" s="431">
        <v>0</v>
      </c>
      <c r="T137" s="431">
        <v>0</v>
      </c>
      <c r="U137" s="431">
        <v>0</v>
      </c>
      <c r="V137" s="431">
        <v>0</v>
      </c>
      <c r="W137" s="431">
        <v>428084</v>
      </c>
      <c r="X137" s="431">
        <v>110185</v>
      </c>
      <c r="Y137" s="431">
        <v>21080</v>
      </c>
      <c r="Z137" s="431">
        <v>482629</v>
      </c>
      <c r="AA137" s="431">
        <v>0</v>
      </c>
      <c r="AB137" s="431">
        <v>-4715</v>
      </c>
      <c r="AC137" s="431">
        <v>621873</v>
      </c>
      <c r="AD137" s="431">
        <v>75000</v>
      </c>
      <c r="AE137" s="431">
        <v>1573501</v>
      </c>
      <c r="AF137" s="431">
        <v>4233</v>
      </c>
      <c r="AG137" s="431">
        <v>295818</v>
      </c>
      <c r="AH137" s="431">
        <v>146328</v>
      </c>
      <c r="AI137" s="431">
        <v>141521</v>
      </c>
      <c r="AJ137" s="431">
        <v>42529</v>
      </c>
      <c r="AK137" s="431">
        <v>0</v>
      </c>
      <c r="AL137" s="431">
        <v>203843</v>
      </c>
      <c r="AM137" s="431">
        <v>301393</v>
      </c>
    </row>
    <row r="138" spans="1:39" s="155" customFormat="1" x14ac:dyDescent="0.2">
      <c r="A138" s="168">
        <v>84</v>
      </c>
      <c r="B138" s="401">
        <v>120254</v>
      </c>
      <c r="C138" s="420" t="s">
        <v>3034</v>
      </c>
      <c r="D138" s="444">
        <f t="shared" si="16"/>
        <v>6009712</v>
      </c>
      <c r="E138" s="431">
        <v>2022816</v>
      </c>
      <c r="F138" s="431">
        <v>236460</v>
      </c>
      <c r="G138" s="431">
        <v>630776</v>
      </c>
      <c r="H138" s="431">
        <v>0</v>
      </c>
      <c r="I138" s="431">
        <v>2379000</v>
      </c>
      <c r="J138" s="431">
        <v>48000</v>
      </c>
      <c r="K138" s="431">
        <v>923520</v>
      </c>
      <c r="L138" s="431">
        <v>0</v>
      </c>
      <c r="M138" s="431">
        <v>198385</v>
      </c>
      <c r="N138" s="431">
        <v>437991</v>
      </c>
      <c r="O138" s="431">
        <v>0</v>
      </c>
      <c r="P138" s="444">
        <f t="shared" si="17"/>
        <v>5490510</v>
      </c>
      <c r="Q138" s="431">
        <v>2013502</v>
      </c>
      <c r="R138" s="431">
        <v>2303394</v>
      </c>
      <c r="S138" s="431">
        <v>0</v>
      </c>
      <c r="T138" s="431">
        <v>0</v>
      </c>
      <c r="U138" s="431">
        <v>0</v>
      </c>
      <c r="V138" s="431">
        <v>0</v>
      </c>
      <c r="W138" s="431">
        <v>583781</v>
      </c>
      <c r="X138" s="431">
        <v>580833</v>
      </c>
      <c r="Y138" s="431">
        <v>9000</v>
      </c>
      <c r="Z138" s="431">
        <v>0</v>
      </c>
      <c r="AA138" s="431">
        <v>0</v>
      </c>
      <c r="AB138" s="431">
        <v>0</v>
      </c>
      <c r="AC138" s="431">
        <v>1753067</v>
      </c>
      <c r="AD138" s="431">
        <v>0</v>
      </c>
      <c r="AE138" s="431">
        <v>1804858</v>
      </c>
      <c r="AF138" s="431">
        <v>0</v>
      </c>
      <c r="AG138" s="431">
        <v>229000</v>
      </c>
      <c r="AH138" s="431">
        <v>610306</v>
      </c>
      <c r="AI138" s="431">
        <v>227715</v>
      </c>
      <c r="AJ138" s="431">
        <v>24338</v>
      </c>
      <c r="AK138" s="431">
        <v>0</v>
      </c>
      <c r="AL138" s="431">
        <v>834780</v>
      </c>
      <c r="AM138" s="431">
        <v>6446</v>
      </c>
    </row>
    <row r="139" spans="1:39" s="155" customFormat="1" x14ac:dyDescent="0.2">
      <c r="A139" s="168">
        <v>85</v>
      </c>
      <c r="B139" s="401">
        <v>120316</v>
      </c>
      <c r="C139" s="420" t="s">
        <v>3035</v>
      </c>
      <c r="D139" s="444">
        <f t="shared" si="16"/>
        <v>4542779</v>
      </c>
      <c r="E139" s="431">
        <v>1324482</v>
      </c>
      <c r="F139" s="431">
        <v>85597</v>
      </c>
      <c r="G139" s="431">
        <v>706842</v>
      </c>
      <c r="H139" s="431">
        <v>0</v>
      </c>
      <c r="I139" s="431">
        <v>1080829</v>
      </c>
      <c r="J139" s="431">
        <v>105000</v>
      </c>
      <c r="K139" s="431">
        <v>416860</v>
      </c>
      <c r="L139" s="431">
        <v>0</v>
      </c>
      <c r="M139" s="431">
        <v>328804</v>
      </c>
      <c r="N139" s="431">
        <v>1286804</v>
      </c>
      <c r="O139" s="431">
        <v>0</v>
      </c>
      <c r="P139" s="444">
        <f t="shared" si="17"/>
        <v>4246911</v>
      </c>
      <c r="Q139" s="431">
        <v>1359640</v>
      </c>
      <c r="R139" s="431">
        <v>962834</v>
      </c>
      <c r="S139" s="431">
        <v>0</v>
      </c>
      <c r="T139" s="431">
        <v>0</v>
      </c>
      <c r="U139" s="431">
        <v>19324</v>
      </c>
      <c r="V139" s="431">
        <v>0</v>
      </c>
      <c r="W139" s="431">
        <v>1728803</v>
      </c>
      <c r="X139" s="431">
        <v>93676</v>
      </c>
      <c r="Y139" s="431">
        <v>0</v>
      </c>
      <c r="Z139" s="431">
        <v>82634</v>
      </c>
      <c r="AA139" s="431">
        <v>0</v>
      </c>
      <c r="AB139" s="431">
        <v>0</v>
      </c>
      <c r="AC139" s="431">
        <v>688664</v>
      </c>
      <c r="AD139" s="431">
        <v>52571</v>
      </c>
      <c r="AE139" s="431">
        <v>1644515</v>
      </c>
      <c r="AF139" s="431">
        <v>0</v>
      </c>
      <c r="AG139" s="431">
        <v>254766</v>
      </c>
      <c r="AH139" s="431">
        <v>273161</v>
      </c>
      <c r="AI139" s="431">
        <v>94042</v>
      </c>
      <c r="AJ139" s="431">
        <v>93738</v>
      </c>
      <c r="AK139" s="431">
        <v>0</v>
      </c>
      <c r="AL139" s="431">
        <v>969421</v>
      </c>
      <c r="AM139" s="431">
        <v>176033</v>
      </c>
    </row>
    <row r="140" spans="1:39" s="155" customFormat="1" x14ac:dyDescent="0.2">
      <c r="A140" s="168">
        <v>86</v>
      </c>
      <c r="B140" s="401">
        <v>120343</v>
      </c>
      <c r="C140" s="420" t="s">
        <v>3036</v>
      </c>
      <c r="D140" s="444">
        <f t="shared" si="16"/>
        <v>2467228</v>
      </c>
      <c r="E140" s="431">
        <v>1268653</v>
      </c>
      <c r="F140" s="431">
        <v>180554</v>
      </c>
      <c r="G140" s="431">
        <v>753383</v>
      </c>
      <c r="H140" s="431">
        <v>0</v>
      </c>
      <c r="I140" s="431">
        <v>776193</v>
      </c>
      <c r="J140" s="431">
        <v>70000</v>
      </c>
      <c r="K140" s="431">
        <v>348380</v>
      </c>
      <c r="L140" s="431">
        <v>0</v>
      </c>
      <c r="M140" s="431">
        <v>4002</v>
      </c>
      <c r="N140" s="431">
        <v>0</v>
      </c>
      <c r="O140" s="431">
        <v>0</v>
      </c>
      <c r="P140" s="444">
        <f t="shared" si="17"/>
        <v>2848549</v>
      </c>
      <c r="Q140" s="431">
        <v>980100</v>
      </c>
      <c r="R140" s="431">
        <v>827865</v>
      </c>
      <c r="S140" s="431">
        <v>0</v>
      </c>
      <c r="T140" s="431">
        <v>0</v>
      </c>
      <c r="U140" s="431">
        <v>0</v>
      </c>
      <c r="V140" s="431">
        <v>0</v>
      </c>
      <c r="W140" s="431">
        <v>0</v>
      </c>
      <c r="X140" s="431">
        <v>98473</v>
      </c>
      <c r="Y140" s="431">
        <v>0</v>
      </c>
      <c r="Z140" s="431">
        <v>943364</v>
      </c>
      <c r="AA140" s="431">
        <v>0</v>
      </c>
      <c r="AB140" s="431">
        <v>-1253</v>
      </c>
      <c r="AC140" s="431">
        <v>684779</v>
      </c>
      <c r="AD140" s="431">
        <v>26945</v>
      </c>
      <c r="AE140" s="431">
        <v>829798</v>
      </c>
      <c r="AF140" s="431">
        <v>0</v>
      </c>
      <c r="AG140" s="431">
        <v>322824</v>
      </c>
      <c r="AH140" s="431">
        <v>105638</v>
      </c>
      <c r="AI140" s="431">
        <v>121168</v>
      </c>
      <c r="AJ140" s="431">
        <v>40859</v>
      </c>
      <c r="AK140" s="431">
        <v>0</v>
      </c>
      <c r="AL140" s="431">
        <v>700350</v>
      </c>
      <c r="AM140" s="431">
        <v>16188</v>
      </c>
    </row>
    <row r="141" spans="1:39" s="155" customFormat="1" x14ac:dyDescent="0.2">
      <c r="A141" s="168">
        <v>87</v>
      </c>
      <c r="B141" s="401">
        <v>120370</v>
      </c>
      <c r="C141" s="420" t="s">
        <v>3037</v>
      </c>
      <c r="D141" s="444">
        <f t="shared" si="16"/>
        <v>5220122</v>
      </c>
      <c r="E141" s="431">
        <v>1600550</v>
      </c>
      <c r="F141" s="431">
        <v>272388</v>
      </c>
      <c r="G141" s="431">
        <v>689980</v>
      </c>
      <c r="H141" s="431">
        <v>0</v>
      </c>
      <c r="I141" s="431">
        <v>1497413</v>
      </c>
      <c r="J141" s="431">
        <v>269000</v>
      </c>
      <c r="K141" s="431">
        <v>679590</v>
      </c>
      <c r="L141" s="431">
        <v>0</v>
      </c>
      <c r="M141" s="431">
        <v>773899</v>
      </c>
      <c r="N141" s="431">
        <v>399670</v>
      </c>
      <c r="O141" s="431">
        <v>0</v>
      </c>
      <c r="P141" s="444">
        <f t="shared" si="17"/>
        <v>5273904</v>
      </c>
      <c r="Q141" s="431">
        <v>1641267</v>
      </c>
      <c r="R141" s="431">
        <v>1491105</v>
      </c>
      <c r="S141" s="431">
        <v>0</v>
      </c>
      <c r="T141" s="431">
        <v>0</v>
      </c>
      <c r="U141" s="431">
        <v>0</v>
      </c>
      <c r="V141" s="431">
        <v>0</v>
      </c>
      <c r="W141" s="431">
        <v>535119</v>
      </c>
      <c r="X141" s="431">
        <v>147631</v>
      </c>
      <c r="Y141" s="431">
        <v>0</v>
      </c>
      <c r="Z141" s="431">
        <v>1459130</v>
      </c>
      <c r="AA141" s="431">
        <v>0</v>
      </c>
      <c r="AB141" s="431">
        <v>-348</v>
      </c>
      <c r="AC141" s="431">
        <v>1190704</v>
      </c>
      <c r="AD141" s="431">
        <v>0</v>
      </c>
      <c r="AE141" s="431">
        <v>1353061</v>
      </c>
      <c r="AF141" s="431">
        <v>4731</v>
      </c>
      <c r="AG141" s="431">
        <v>171429</v>
      </c>
      <c r="AH141" s="431">
        <v>260817</v>
      </c>
      <c r="AI141" s="431">
        <v>172963</v>
      </c>
      <c r="AJ141" s="431">
        <v>846888</v>
      </c>
      <c r="AK141" s="431">
        <v>0</v>
      </c>
      <c r="AL141" s="431">
        <v>1219744</v>
      </c>
      <c r="AM141" s="431">
        <v>53567</v>
      </c>
    </row>
    <row r="142" spans="1:39" s="155" customFormat="1" x14ac:dyDescent="0.2">
      <c r="A142" s="168">
        <v>88</v>
      </c>
      <c r="B142" s="401">
        <v>120511</v>
      </c>
      <c r="C142" s="420" t="s">
        <v>3038</v>
      </c>
      <c r="D142" s="444">
        <f t="shared" si="16"/>
        <v>3293092</v>
      </c>
      <c r="E142" s="431">
        <v>1352727</v>
      </c>
      <c r="F142" s="431">
        <v>154442</v>
      </c>
      <c r="G142" s="431">
        <v>819316</v>
      </c>
      <c r="H142" s="431">
        <v>0</v>
      </c>
      <c r="I142" s="431">
        <v>851040</v>
      </c>
      <c r="J142" s="431">
        <v>435000</v>
      </c>
      <c r="K142" s="431">
        <v>456300</v>
      </c>
      <c r="L142" s="431">
        <v>0</v>
      </c>
      <c r="M142" s="431">
        <v>66875</v>
      </c>
      <c r="N142" s="431">
        <v>131150</v>
      </c>
      <c r="O142" s="431">
        <v>0</v>
      </c>
      <c r="P142" s="444">
        <f t="shared" si="17"/>
        <v>2666940</v>
      </c>
      <c r="Q142" s="431">
        <v>1147823</v>
      </c>
      <c r="R142" s="431">
        <v>1037948</v>
      </c>
      <c r="S142" s="431">
        <v>0</v>
      </c>
      <c r="T142" s="431">
        <v>0</v>
      </c>
      <c r="U142" s="431">
        <v>0</v>
      </c>
      <c r="V142" s="431">
        <v>0</v>
      </c>
      <c r="W142" s="431">
        <v>195824</v>
      </c>
      <c r="X142" s="431">
        <v>130522</v>
      </c>
      <c r="Y142" s="431">
        <v>33275</v>
      </c>
      <c r="Z142" s="431">
        <v>121548</v>
      </c>
      <c r="AA142" s="431">
        <v>0</v>
      </c>
      <c r="AB142" s="431">
        <v>0</v>
      </c>
      <c r="AC142" s="431">
        <v>1099155</v>
      </c>
      <c r="AD142" s="431">
        <v>1960</v>
      </c>
      <c r="AE142" s="431">
        <v>682177</v>
      </c>
      <c r="AF142" s="431">
        <v>0</v>
      </c>
      <c r="AG142" s="431">
        <v>83559</v>
      </c>
      <c r="AH142" s="431">
        <v>233821</v>
      </c>
      <c r="AI142" s="431">
        <v>25689</v>
      </c>
      <c r="AJ142" s="431">
        <v>28756</v>
      </c>
      <c r="AK142" s="431">
        <v>0</v>
      </c>
      <c r="AL142" s="431">
        <v>507476</v>
      </c>
      <c r="AM142" s="431">
        <v>4347</v>
      </c>
    </row>
    <row r="143" spans="1:39" s="155" customFormat="1" x14ac:dyDescent="0.2">
      <c r="A143" s="168">
        <v>89</v>
      </c>
      <c r="B143" s="401">
        <v>120487</v>
      </c>
      <c r="C143" s="420" t="s">
        <v>3039</v>
      </c>
      <c r="D143" s="444">
        <f t="shared" si="16"/>
        <v>7015650</v>
      </c>
      <c r="E143" s="431">
        <v>5427946</v>
      </c>
      <c r="F143" s="431">
        <v>3124361</v>
      </c>
      <c r="G143" s="431">
        <v>84394</v>
      </c>
      <c r="H143" s="431">
        <v>0</v>
      </c>
      <c r="I143" s="431">
        <v>981333</v>
      </c>
      <c r="J143" s="431">
        <v>25000</v>
      </c>
      <c r="K143" s="431">
        <v>218660</v>
      </c>
      <c r="L143" s="431">
        <v>0</v>
      </c>
      <c r="M143" s="431">
        <v>90349</v>
      </c>
      <c r="N143" s="431">
        <v>272362</v>
      </c>
      <c r="O143" s="431">
        <v>0</v>
      </c>
      <c r="P143" s="444">
        <f t="shared" si="17"/>
        <v>4822425</v>
      </c>
      <c r="Q143" s="431">
        <v>1266400</v>
      </c>
      <c r="R143" s="431">
        <v>1128014</v>
      </c>
      <c r="S143" s="431">
        <v>0</v>
      </c>
      <c r="T143" s="431">
        <v>0</v>
      </c>
      <c r="U143" s="431">
        <v>0</v>
      </c>
      <c r="V143" s="431">
        <v>0</v>
      </c>
      <c r="W143" s="431">
        <v>243159</v>
      </c>
      <c r="X143" s="431">
        <v>135556</v>
      </c>
      <c r="Y143" s="431">
        <v>25000</v>
      </c>
      <c r="Z143" s="431">
        <v>2068156</v>
      </c>
      <c r="AA143" s="431">
        <v>0</v>
      </c>
      <c r="AB143" s="431">
        <v>-43860</v>
      </c>
      <c r="AC143" s="431">
        <v>985967</v>
      </c>
      <c r="AD143" s="431">
        <v>231487</v>
      </c>
      <c r="AE143" s="431">
        <v>860209</v>
      </c>
      <c r="AF143" s="431">
        <v>0</v>
      </c>
      <c r="AG143" s="431">
        <v>238736</v>
      </c>
      <c r="AH143" s="431">
        <v>209321</v>
      </c>
      <c r="AI143" s="431">
        <v>375510</v>
      </c>
      <c r="AJ143" s="431">
        <v>78543</v>
      </c>
      <c r="AK143" s="431">
        <v>0</v>
      </c>
      <c r="AL143" s="431">
        <v>1842652</v>
      </c>
      <c r="AM143" s="431">
        <v>0</v>
      </c>
    </row>
    <row r="144" spans="1:39" s="155" customFormat="1" x14ac:dyDescent="0.2">
      <c r="A144" s="168">
        <v>90</v>
      </c>
      <c r="B144" s="401">
        <v>120502</v>
      </c>
      <c r="C144" s="403" t="s">
        <v>3040</v>
      </c>
      <c r="D144" s="427">
        <f t="shared" si="16"/>
        <v>2551572</v>
      </c>
      <c r="E144" s="428">
        <v>1181483</v>
      </c>
      <c r="F144" s="428">
        <v>41816</v>
      </c>
      <c r="G144" s="428">
        <v>894945</v>
      </c>
      <c r="H144" s="428">
        <v>0</v>
      </c>
      <c r="I144" s="428">
        <v>796630</v>
      </c>
      <c r="J144" s="428">
        <v>120000</v>
      </c>
      <c r="K144" s="428">
        <v>441120</v>
      </c>
      <c r="L144" s="428">
        <v>0</v>
      </c>
      <c r="M144" s="428">
        <v>12339</v>
      </c>
      <c r="N144" s="428">
        <v>0</v>
      </c>
      <c r="O144" s="428">
        <v>0</v>
      </c>
      <c r="P144" s="429">
        <f t="shared" si="17"/>
        <v>2425509</v>
      </c>
      <c r="Q144" s="428">
        <v>929334</v>
      </c>
      <c r="R144" s="428">
        <v>807045</v>
      </c>
      <c r="S144" s="428">
        <v>0</v>
      </c>
      <c r="T144" s="428">
        <v>0</v>
      </c>
      <c r="U144" s="428">
        <v>0</v>
      </c>
      <c r="V144" s="428">
        <v>0</v>
      </c>
      <c r="W144" s="428">
        <v>0</v>
      </c>
      <c r="X144" s="428">
        <v>97956</v>
      </c>
      <c r="Y144" s="428">
        <v>79407</v>
      </c>
      <c r="Z144" s="428">
        <v>512369</v>
      </c>
      <c r="AA144" s="428">
        <v>0</v>
      </c>
      <c r="AB144" s="428">
        <v>-602</v>
      </c>
      <c r="AC144" s="428">
        <v>475131</v>
      </c>
      <c r="AD144" s="428">
        <v>31226</v>
      </c>
      <c r="AE144" s="428">
        <v>747732</v>
      </c>
      <c r="AF144" s="428">
        <v>0</v>
      </c>
      <c r="AG144" s="428">
        <v>75500</v>
      </c>
      <c r="AH144" s="428">
        <v>97956</v>
      </c>
      <c r="AI144" s="428">
        <v>163618</v>
      </c>
      <c r="AJ144" s="428">
        <v>139789</v>
      </c>
      <c r="AK144" s="428">
        <v>0</v>
      </c>
      <c r="AL144" s="428">
        <v>694557</v>
      </c>
      <c r="AM144" s="428">
        <v>0</v>
      </c>
    </row>
    <row r="145" spans="1:39" s="155" customFormat="1" x14ac:dyDescent="0.2">
      <c r="A145" s="168">
        <v>91</v>
      </c>
      <c r="B145" s="401">
        <v>120496</v>
      </c>
      <c r="C145" s="402" t="s">
        <v>3041</v>
      </c>
      <c r="D145" s="391">
        <f t="shared" si="16"/>
        <v>3105491</v>
      </c>
      <c r="E145" s="332">
        <v>1302136</v>
      </c>
      <c r="F145" s="332">
        <v>82043</v>
      </c>
      <c r="G145" s="332">
        <v>891067</v>
      </c>
      <c r="H145" s="332">
        <v>0</v>
      </c>
      <c r="I145" s="332">
        <v>758459</v>
      </c>
      <c r="J145" s="332">
        <v>0</v>
      </c>
      <c r="K145" s="332">
        <v>417770</v>
      </c>
      <c r="L145" s="332">
        <v>0</v>
      </c>
      <c r="M145" s="332">
        <v>151945</v>
      </c>
      <c r="N145" s="332">
        <v>475181</v>
      </c>
      <c r="O145" s="332">
        <v>0</v>
      </c>
      <c r="P145" s="392">
        <f t="shared" si="17"/>
        <v>2898886</v>
      </c>
      <c r="Q145" s="332">
        <v>1053427</v>
      </c>
      <c r="R145" s="332">
        <v>567952</v>
      </c>
      <c r="S145" s="332">
        <v>0</v>
      </c>
      <c r="T145" s="332">
        <v>0</v>
      </c>
      <c r="U145" s="332">
        <v>0</v>
      </c>
      <c r="V145" s="332">
        <v>0</v>
      </c>
      <c r="W145" s="332">
        <v>662490</v>
      </c>
      <c r="X145" s="332">
        <v>99071</v>
      </c>
      <c r="Y145" s="332">
        <v>52750</v>
      </c>
      <c r="Z145" s="332">
        <v>476196</v>
      </c>
      <c r="AA145" s="332">
        <v>0</v>
      </c>
      <c r="AB145" s="332">
        <v>-13000</v>
      </c>
      <c r="AC145" s="332">
        <v>752610</v>
      </c>
      <c r="AD145" s="332">
        <v>89374</v>
      </c>
      <c r="AE145" s="332">
        <v>723920</v>
      </c>
      <c r="AF145" s="332">
        <v>0</v>
      </c>
      <c r="AG145" s="332">
        <v>223368</v>
      </c>
      <c r="AH145" s="332">
        <v>140762</v>
      </c>
      <c r="AI145" s="332">
        <v>167312</v>
      </c>
      <c r="AJ145" s="332">
        <v>59513</v>
      </c>
      <c r="AK145" s="332">
        <v>0</v>
      </c>
      <c r="AL145" s="332">
        <v>733927</v>
      </c>
      <c r="AM145" s="332">
        <v>8100</v>
      </c>
    </row>
    <row r="146" spans="1:39" s="155" customFormat="1" ht="11.25" x14ac:dyDescent="0.2"/>
    <row r="147" spans="1:39" s="155" customFormat="1" ht="11.25" x14ac:dyDescent="0.2"/>
    <row r="148" spans="1:39" s="155" customFormat="1" ht="11.25" x14ac:dyDescent="0.2"/>
    <row r="149" spans="1:39" s="155" customFormat="1" ht="11.25" x14ac:dyDescent="0.2"/>
    <row r="150" spans="1:39" s="155" customFormat="1" ht="11.25" x14ac:dyDescent="0.2"/>
    <row r="151" spans="1:39" s="155" customFormat="1" ht="11.25" x14ac:dyDescent="0.2"/>
    <row r="152" spans="1:39" s="155" customFormat="1" ht="11.25" x14ac:dyDescent="0.2"/>
    <row r="153" spans="1:39" s="155" customFormat="1" ht="11.25" x14ac:dyDescent="0.2"/>
    <row r="154" spans="1:39" s="155" customFormat="1" ht="11.25" x14ac:dyDescent="0.2"/>
    <row r="155" spans="1:39" s="155" customFormat="1" ht="11.25" x14ac:dyDescent="0.2"/>
    <row r="156" spans="1:39" s="155" customFormat="1" ht="11.25" x14ac:dyDescent="0.2"/>
    <row r="157" spans="1:39" s="155" customFormat="1" ht="11.25" x14ac:dyDescent="0.2"/>
    <row r="158" spans="1:39" s="155" customFormat="1" ht="11.25" x14ac:dyDescent="0.2"/>
    <row r="159" spans="1:39" s="155" customFormat="1" ht="11.25" x14ac:dyDescent="0.2"/>
    <row r="160" spans="1:39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969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1204922015</v>
      </c>
      <c r="E14" s="432">
        <f>SUM(E15,E16,E33,E54)</f>
        <v>348132528</v>
      </c>
      <c r="F14" s="432">
        <f t="shared" ref="F14:O14" si="0">SUM(F15,F16,F33,F54)</f>
        <v>149712930</v>
      </c>
      <c r="G14" s="432">
        <f t="shared" si="0"/>
        <v>51492416</v>
      </c>
      <c r="H14" s="432">
        <f t="shared" si="0"/>
        <v>73790105</v>
      </c>
      <c r="I14" s="432">
        <f t="shared" si="0"/>
        <v>348427524</v>
      </c>
      <c r="J14" s="432">
        <f t="shared" si="0"/>
        <v>21184232</v>
      </c>
      <c r="K14" s="432">
        <f t="shared" si="0"/>
        <v>135083100</v>
      </c>
      <c r="L14" s="432">
        <f t="shared" si="0"/>
        <v>0</v>
      </c>
      <c r="M14" s="432">
        <f t="shared" si="0"/>
        <v>218042797</v>
      </c>
      <c r="N14" s="432">
        <f t="shared" si="0"/>
        <v>46000565</v>
      </c>
      <c r="O14" s="432">
        <f t="shared" si="0"/>
        <v>14261164</v>
      </c>
      <c r="P14" s="432">
        <f>IF(SUM(Q14:AB14)=SUM(AC14:AM14),SUM(Q14:AB14),"  EROARE ART/CAP")</f>
        <v>1174139744</v>
      </c>
      <c r="Q14" s="432">
        <f t="shared" ref="Q14:AM14" si="1">Q15+Q16+Q33+Q54</f>
        <v>429107099</v>
      </c>
      <c r="R14" s="432">
        <f t="shared" si="1"/>
        <v>220054686</v>
      </c>
      <c r="S14" s="432">
        <f t="shared" si="1"/>
        <v>16755057</v>
      </c>
      <c r="T14" s="432">
        <f t="shared" si="1"/>
        <v>6367602</v>
      </c>
      <c r="U14" s="432">
        <f t="shared" si="1"/>
        <v>33257464</v>
      </c>
      <c r="V14" s="432">
        <f t="shared" si="1"/>
        <v>8760873</v>
      </c>
      <c r="W14" s="432">
        <f t="shared" si="1"/>
        <v>67108991</v>
      </c>
      <c r="X14" s="432">
        <f t="shared" si="1"/>
        <v>119560936</v>
      </c>
      <c r="Y14" s="432">
        <f t="shared" si="1"/>
        <v>28476334</v>
      </c>
      <c r="Z14" s="432">
        <f t="shared" si="1"/>
        <v>219410088</v>
      </c>
      <c r="AA14" s="432">
        <f t="shared" si="1"/>
        <v>28965424</v>
      </c>
      <c r="AB14" s="432">
        <f t="shared" si="1"/>
        <v>-3684810</v>
      </c>
      <c r="AC14" s="432">
        <f t="shared" si="1"/>
        <v>158344627</v>
      </c>
      <c r="AD14" s="432">
        <f t="shared" si="1"/>
        <v>16279318</v>
      </c>
      <c r="AE14" s="432">
        <f t="shared" si="1"/>
        <v>388900736</v>
      </c>
      <c r="AF14" s="432">
        <f t="shared" si="1"/>
        <v>30183323</v>
      </c>
      <c r="AG14" s="432">
        <f t="shared" si="1"/>
        <v>66263535</v>
      </c>
      <c r="AH14" s="432">
        <f t="shared" si="1"/>
        <v>181517634</v>
      </c>
      <c r="AI14" s="432">
        <f t="shared" si="1"/>
        <v>86992286</v>
      </c>
      <c r="AJ14" s="432">
        <f t="shared" si="1"/>
        <v>34023202</v>
      </c>
      <c r="AK14" s="432">
        <f t="shared" si="1"/>
        <v>203668</v>
      </c>
      <c r="AL14" s="432">
        <f t="shared" si="1"/>
        <v>203585001</v>
      </c>
      <c r="AM14" s="432">
        <f t="shared" si="1"/>
        <v>7846414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280210367</v>
      </c>
      <c r="E15" s="431">
        <v>58803657</v>
      </c>
      <c r="F15" s="431">
        <v>31258527</v>
      </c>
      <c r="G15" s="431">
        <v>22739613</v>
      </c>
      <c r="H15" s="431">
        <v>73790105</v>
      </c>
      <c r="I15" s="431">
        <v>0</v>
      </c>
      <c r="J15" s="431">
        <v>4010000</v>
      </c>
      <c r="K15" s="431">
        <v>39446000</v>
      </c>
      <c r="L15" s="431">
        <v>0</v>
      </c>
      <c r="M15" s="431">
        <v>87856829</v>
      </c>
      <c r="N15" s="431">
        <v>12614589</v>
      </c>
      <c r="O15" s="431">
        <v>3689187</v>
      </c>
      <c r="P15" s="438">
        <f>IF(SUM(Q15:AB15)=SUM(AC15:AM15),SUM(Q15:AB15),"  EROARE ART/CAP")</f>
        <v>272997404</v>
      </c>
      <c r="Q15" s="431">
        <v>54469201</v>
      </c>
      <c r="R15" s="431">
        <v>33965131</v>
      </c>
      <c r="S15" s="431">
        <v>1336860</v>
      </c>
      <c r="T15" s="431">
        <v>6367602</v>
      </c>
      <c r="U15" s="431">
        <v>25045975</v>
      </c>
      <c r="V15" s="431">
        <v>5525599</v>
      </c>
      <c r="W15" s="431">
        <v>24568604</v>
      </c>
      <c r="X15" s="431">
        <v>82900990</v>
      </c>
      <c r="Y15" s="431">
        <v>13145774</v>
      </c>
      <c r="Z15" s="431">
        <v>22606354</v>
      </c>
      <c r="AA15" s="431">
        <v>3855516</v>
      </c>
      <c r="AB15" s="431">
        <v>-790202</v>
      </c>
      <c r="AC15" s="431">
        <v>10740871</v>
      </c>
      <c r="AD15" s="431">
        <v>747090</v>
      </c>
      <c r="AE15" s="431">
        <v>47763559</v>
      </c>
      <c r="AF15" s="431">
        <v>17513149</v>
      </c>
      <c r="AG15" s="431">
        <v>24391208</v>
      </c>
      <c r="AH15" s="431">
        <v>121542280</v>
      </c>
      <c r="AI15" s="431">
        <v>5061760</v>
      </c>
      <c r="AJ15" s="431">
        <v>5557347</v>
      </c>
      <c r="AK15" s="431">
        <v>0</v>
      </c>
      <c r="AL15" s="431">
        <v>37564533</v>
      </c>
      <c r="AM15" s="431">
        <v>2115607</v>
      </c>
    </row>
    <row r="16" spans="1:39" s="155" customFormat="1" ht="12" x14ac:dyDescent="0.2">
      <c r="A16" s="185" t="s">
        <v>72</v>
      </c>
      <c r="B16" s="159"/>
      <c r="C16" s="159"/>
      <c r="D16" s="432">
        <f>E16+SUM(H16:O16)</f>
        <v>296801196</v>
      </c>
      <c r="E16" s="433">
        <f>SUM(E18:E32)</f>
        <v>140820418</v>
      </c>
      <c r="F16" s="433">
        <f t="shared" ref="F16:O16" si="2">SUM(F18:F32)</f>
        <v>72580453</v>
      </c>
      <c r="G16" s="433">
        <f t="shared" si="2"/>
        <v>1511366</v>
      </c>
      <c r="H16" s="433">
        <f t="shared" si="2"/>
        <v>0</v>
      </c>
      <c r="I16" s="433">
        <f t="shared" si="2"/>
        <v>142928176</v>
      </c>
      <c r="J16" s="433">
        <f t="shared" si="2"/>
        <v>650000</v>
      </c>
      <c r="K16" s="433">
        <f t="shared" si="2"/>
        <v>3403410</v>
      </c>
      <c r="L16" s="433">
        <f t="shared" si="2"/>
        <v>0</v>
      </c>
      <c r="M16" s="433">
        <f t="shared" si="2"/>
        <v>6720001</v>
      </c>
      <c r="N16" s="433">
        <f t="shared" si="2"/>
        <v>1064380</v>
      </c>
      <c r="O16" s="433">
        <f t="shared" si="2"/>
        <v>1214811</v>
      </c>
      <c r="P16" s="432">
        <f t="shared" ref="P16:P54" si="3">IF(SUM(Q16:AB16)=SUM(AC16:AM16),SUM(Q16:AB16),"  EROARE ART/CAP")</f>
        <v>296331725</v>
      </c>
      <c r="Q16" s="432">
        <f>SUM(Q18:Q32)</f>
        <v>146401527</v>
      </c>
      <c r="R16" s="432">
        <f t="shared" ref="R16:AM16" si="4">SUM(R18:R32)</f>
        <v>77191903</v>
      </c>
      <c r="S16" s="432">
        <f t="shared" si="4"/>
        <v>13520660</v>
      </c>
      <c r="T16" s="432">
        <f t="shared" si="4"/>
        <v>0</v>
      </c>
      <c r="U16" s="432">
        <f t="shared" si="4"/>
        <v>2987696</v>
      </c>
      <c r="V16" s="432">
        <f t="shared" si="4"/>
        <v>540448</v>
      </c>
      <c r="W16" s="432">
        <f t="shared" si="4"/>
        <v>2545530</v>
      </c>
      <c r="X16" s="432">
        <f t="shared" si="4"/>
        <v>9399950</v>
      </c>
      <c r="Y16" s="432">
        <f t="shared" si="4"/>
        <v>8893326</v>
      </c>
      <c r="Z16" s="432">
        <f t="shared" si="4"/>
        <v>23479635</v>
      </c>
      <c r="AA16" s="432">
        <f t="shared" si="4"/>
        <v>12133072</v>
      </c>
      <c r="AB16" s="432">
        <f t="shared" si="4"/>
        <v>-762022</v>
      </c>
      <c r="AC16" s="432">
        <f t="shared" si="4"/>
        <v>56236641</v>
      </c>
      <c r="AD16" s="432">
        <f t="shared" si="4"/>
        <v>4957773</v>
      </c>
      <c r="AE16" s="432">
        <f t="shared" si="4"/>
        <v>137293273</v>
      </c>
      <c r="AF16" s="432">
        <f t="shared" si="4"/>
        <v>3655511</v>
      </c>
      <c r="AG16" s="432">
        <f t="shared" si="4"/>
        <v>16486340</v>
      </c>
      <c r="AH16" s="432">
        <f t="shared" si="4"/>
        <v>21210847</v>
      </c>
      <c r="AI16" s="432">
        <f t="shared" si="4"/>
        <v>27461888</v>
      </c>
      <c r="AJ16" s="432">
        <f t="shared" si="4"/>
        <v>5391013</v>
      </c>
      <c r="AK16" s="432">
        <f t="shared" si="4"/>
        <v>0</v>
      </c>
      <c r="AL16" s="432">
        <f t="shared" si="4"/>
        <v>22703595</v>
      </c>
      <c r="AM16" s="432">
        <f t="shared" si="4"/>
        <v>934844</v>
      </c>
    </row>
    <row r="17" spans="1:39" s="155" customFormat="1" ht="22.5" x14ac:dyDescent="0.2">
      <c r="A17" s="234" t="s">
        <v>2306</v>
      </c>
      <c r="B17" s="281" t="s">
        <v>74</v>
      </c>
      <c r="C17" s="260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146">
        <v>1</v>
      </c>
      <c r="B18" s="144">
        <v>120726</v>
      </c>
      <c r="C18" s="290" t="s">
        <v>1606</v>
      </c>
      <c r="D18" s="438">
        <f>E18+SUM(H18:O18)</f>
        <v>184286453</v>
      </c>
      <c r="E18" s="431">
        <v>96170697</v>
      </c>
      <c r="F18" s="431">
        <v>50766470</v>
      </c>
      <c r="G18" s="431">
        <v>771465</v>
      </c>
      <c r="H18" s="431">
        <v>0</v>
      </c>
      <c r="I18" s="431">
        <v>84665069</v>
      </c>
      <c r="J18" s="431">
        <v>350000</v>
      </c>
      <c r="K18" s="431">
        <v>1733480</v>
      </c>
      <c r="L18" s="431">
        <v>0</v>
      </c>
      <c r="M18" s="431">
        <v>1639542</v>
      </c>
      <c r="N18" s="431">
        <v>-279535</v>
      </c>
      <c r="O18" s="431">
        <v>7200</v>
      </c>
      <c r="P18" s="438">
        <f>IF(SUM(Q18:AB18)=SUM(AC18:AM18),SUM(Q18:AB18),"  EROARE ART/CAP")</f>
        <v>181224490</v>
      </c>
      <c r="Q18" s="431">
        <v>84489263</v>
      </c>
      <c r="R18" s="431">
        <v>54786838</v>
      </c>
      <c r="S18" s="431">
        <v>12558206</v>
      </c>
      <c r="T18" s="431">
        <v>0</v>
      </c>
      <c r="U18" s="431">
        <v>1720300</v>
      </c>
      <c r="V18" s="431">
        <v>540448</v>
      </c>
      <c r="W18" s="431">
        <v>1156284</v>
      </c>
      <c r="X18" s="431">
        <v>6342736</v>
      </c>
      <c r="Y18" s="431">
        <v>3308373</v>
      </c>
      <c r="Z18" s="431">
        <v>8548594</v>
      </c>
      <c r="AA18" s="431">
        <v>8400000</v>
      </c>
      <c r="AB18" s="431">
        <v>-626552</v>
      </c>
      <c r="AC18" s="431">
        <v>47972300</v>
      </c>
      <c r="AD18" s="431">
        <v>2682632</v>
      </c>
      <c r="AE18" s="431">
        <v>80037557</v>
      </c>
      <c r="AF18" s="431">
        <v>1800602</v>
      </c>
      <c r="AG18" s="431">
        <v>4970875</v>
      </c>
      <c r="AH18" s="431">
        <v>12814231</v>
      </c>
      <c r="AI18" s="431">
        <v>13304023</v>
      </c>
      <c r="AJ18" s="431">
        <v>2605386</v>
      </c>
      <c r="AK18" s="431">
        <v>0</v>
      </c>
      <c r="AL18" s="431">
        <v>14102040</v>
      </c>
      <c r="AM18" s="431">
        <v>934844</v>
      </c>
    </row>
    <row r="19" spans="1:39" s="155" customFormat="1" ht="12" x14ac:dyDescent="0.2">
      <c r="A19" s="146">
        <v>2</v>
      </c>
      <c r="B19" s="144">
        <v>120860</v>
      </c>
      <c r="C19" s="290" t="s">
        <v>1607</v>
      </c>
      <c r="D19" s="438">
        <f>E19+SUM(H19:O19)</f>
        <v>112514743</v>
      </c>
      <c r="E19" s="431">
        <v>44649721</v>
      </c>
      <c r="F19" s="431">
        <v>21813983</v>
      </c>
      <c r="G19" s="431">
        <v>739901</v>
      </c>
      <c r="H19" s="431">
        <v>0</v>
      </c>
      <c r="I19" s="431">
        <v>58263107</v>
      </c>
      <c r="J19" s="431">
        <v>300000</v>
      </c>
      <c r="K19" s="431">
        <v>1669930</v>
      </c>
      <c r="L19" s="431">
        <v>0</v>
      </c>
      <c r="M19" s="431">
        <v>5080459</v>
      </c>
      <c r="N19" s="431">
        <v>1343915</v>
      </c>
      <c r="O19" s="431">
        <v>1207611</v>
      </c>
      <c r="P19" s="438">
        <f>IF(SUM(Q19:AB19)=SUM(AC19:AM19),SUM(Q19:AB19),"  EROARE ART/CAP")</f>
        <v>115107235</v>
      </c>
      <c r="Q19" s="431">
        <v>61912264</v>
      </c>
      <c r="R19" s="431">
        <v>22405065</v>
      </c>
      <c r="S19" s="431">
        <v>962454</v>
      </c>
      <c r="T19" s="431">
        <v>0</v>
      </c>
      <c r="U19" s="431">
        <v>1267396</v>
      </c>
      <c r="V19" s="431">
        <v>0</v>
      </c>
      <c r="W19" s="431">
        <v>1389246</v>
      </c>
      <c r="X19" s="431">
        <v>3057214</v>
      </c>
      <c r="Y19" s="431">
        <v>5584953</v>
      </c>
      <c r="Z19" s="431">
        <v>14931041</v>
      </c>
      <c r="AA19" s="431">
        <v>3733072</v>
      </c>
      <c r="AB19" s="431">
        <v>-135470</v>
      </c>
      <c r="AC19" s="431">
        <v>8264341</v>
      </c>
      <c r="AD19" s="431">
        <v>2275141</v>
      </c>
      <c r="AE19" s="431">
        <v>57255716</v>
      </c>
      <c r="AF19" s="431">
        <v>1854909</v>
      </c>
      <c r="AG19" s="431">
        <v>11515465</v>
      </c>
      <c r="AH19" s="431">
        <v>8396616</v>
      </c>
      <c r="AI19" s="431">
        <v>14157865</v>
      </c>
      <c r="AJ19" s="431">
        <v>2785627</v>
      </c>
      <c r="AK19" s="431">
        <v>0</v>
      </c>
      <c r="AL19" s="431">
        <v>8601555</v>
      </c>
      <c r="AM19" s="431">
        <v>0</v>
      </c>
    </row>
    <row r="20" spans="1:39" s="155" customFormat="1" ht="12" hidden="1" x14ac:dyDescent="0.2">
      <c r="A20" s="146">
        <v>3</v>
      </c>
      <c r="B20" s="181"/>
      <c r="C20" s="249"/>
      <c r="D20" s="432">
        <f t="shared" ref="D20:D41" si="5">E20+SUM(H20:O20)</f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2">
        <f t="shared" si="3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</row>
    <row r="21" spans="1:39" s="155" customFormat="1" ht="12" hidden="1" x14ac:dyDescent="0.2">
      <c r="A21" s="146">
        <v>4</v>
      </c>
      <c r="B21" s="146"/>
      <c r="C21" s="206"/>
      <c r="D21" s="432">
        <f t="shared" si="5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3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146">
        <v>5</v>
      </c>
      <c r="B22" s="146"/>
      <c r="C22" s="206"/>
      <c r="D22" s="432">
        <f t="shared" si="5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3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146"/>
      <c r="C23" s="206"/>
      <c r="D23" s="432">
        <f t="shared" si="5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3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46"/>
      <c r="C24" s="206"/>
      <c r="D24" s="432">
        <f t="shared" si="5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3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46"/>
      <c r="C25" s="206"/>
      <c r="D25" s="432">
        <f t="shared" si="5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3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46"/>
      <c r="C26" s="206"/>
      <c r="D26" s="432">
        <f t="shared" si="5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3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46"/>
      <c r="C27" s="206"/>
      <c r="D27" s="432">
        <f t="shared" si="5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3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46"/>
      <c r="C28" s="206"/>
      <c r="D28" s="432">
        <f t="shared" si="5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3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46"/>
      <c r="C29" s="206"/>
      <c r="D29" s="432">
        <f t="shared" si="5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3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46"/>
      <c r="C30" s="206"/>
      <c r="D30" s="432">
        <f t="shared" si="5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3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46"/>
      <c r="C31" s="206"/>
      <c r="D31" s="432">
        <f t="shared" si="5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3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46"/>
      <c r="C32" s="207"/>
      <c r="D32" s="432">
        <f t="shared" si="5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3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4"/>
      <c r="C33" s="208"/>
      <c r="D33" s="432">
        <f t="shared" si="5"/>
        <v>76716005</v>
      </c>
      <c r="E33" s="432">
        <f>SUM(E34:E53)</f>
        <v>23984475</v>
      </c>
      <c r="F33" s="432">
        <f t="shared" ref="F33:O33" si="6">SUM(F34:F53)</f>
        <v>9665545</v>
      </c>
      <c r="G33" s="432">
        <f t="shared" si="6"/>
        <v>2081138</v>
      </c>
      <c r="H33" s="432">
        <f t="shared" si="6"/>
        <v>0</v>
      </c>
      <c r="I33" s="432">
        <f t="shared" si="6"/>
        <v>34982773</v>
      </c>
      <c r="J33" s="432">
        <f t="shared" si="6"/>
        <v>1950000</v>
      </c>
      <c r="K33" s="432">
        <f t="shared" si="6"/>
        <v>6289650</v>
      </c>
      <c r="L33" s="432">
        <f t="shared" si="6"/>
        <v>0</v>
      </c>
      <c r="M33" s="432">
        <f t="shared" si="6"/>
        <v>7242060</v>
      </c>
      <c r="N33" s="432">
        <f t="shared" si="6"/>
        <v>672269</v>
      </c>
      <c r="O33" s="432">
        <f t="shared" si="6"/>
        <v>1594778</v>
      </c>
      <c r="P33" s="432">
        <f t="shared" si="3"/>
        <v>77758643</v>
      </c>
      <c r="Q33" s="432">
        <f>SUM(Q34:Q53)</f>
        <v>38681717</v>
      </c>
      <c r="R33" s="432">
        <f t="shared" ref="R33:AM33" si="7">SUM(R34:R53)</f>
        <v>16254749</v>
      </c>
      <c r="S33" s="432">
        <f t="shared" si="7"/>
        <v>1136256</v>
      </c>
      <c r="T33" s="432">
        <f t="shared" si="7"/>
        <v>0</v>
      </c>
      <c r="U33" s="432">
        <f t="shared" si="7"/>
        <v>2043035</v>
      </c>
      <c r="V33" s="432">
        <f t="shared" si="7"/>
        <v>695000</v>
      </c>
      <c r="W33" s="432">
        <f t="shared" si="7"/>
        <v>821697</v>
      </c>
      <c r="X33" s="432">
        <f t="shared" si="7"/>
        <v>2510428</v>
      </c>
      <c r="Y33" s="432">
        <f t="shared" si="7"/>
        <v>816013</v>
      </c>
      <c r="Z33" s="432">
        <f t="shared" si="7"/>
        <v>13808817</v>
      </c>
      <c r="AA33" s="432">
        <f t="shared" si="7"/>
        <v>992738</v>
      </c>
      <c r="AB33" s="432">
        <f t="shared" si="7"/>
        <v>-1807</v>
      </c>
      <c r="AC33" s="432">
        <f t="shared" si="7"/>
        <v>9772726</v>
      </c>
      <c r="AD33" s="432">
        <f t="shared" si="7"/>
        <v>1996333</v>
      </c>
      <c r="AE33" s="432">
        <f t="shared" si="7"/>
        <v>34737975</v>
      </c>
      <c r="AF33" s="432">
        <f t="shared" si="7"/>
        <v>4073570</v>
      </c>
      <c r="AG33" s="432">
        <f t="shared" si="7"/>
        <v>3545854</v>
      </c>
      <c r="AH33" s="432">
        <f t="shared" si="7"/>
        <v>5567894</v>
      </c>
      <c r="AI33" s="432">
        <f t="shared" si="7"/>
        <v>7178756</v>
      </c>
      <c r="AJ33" s="432">
        <f t="shared" si="7"/>
        <v>2372863</v>
      </c>
      <c r="AK33" s="432">
        <f t="shared" si="7"/>
        <v>0</v>
      </c>
      <c r="AL33" s="432">
        <f t="shared" si="7"/>
        <v>8404342</v>
      </c>
      <c r="AM33" s="432">
        <f t="shared" si="7"/>
        <v>108330</v>
      </c>
    </row>
    <row r="34" spans="1:39" s="203" customFormat="1" ht="12" x14ac:dyDescent="0.2">
      <c r="A34" s="181">
        <v>1</v>
      </c>
      <c r="B34" s="220">
        <v>121055</v>
      </c>
      <c r="C34" s="255" t="s">
        <v>1608</v>
      </c>
      <c r="D34" s="438">
        <f>E34+SUM(H34:O34)</f>
        <v>46604839</v>
      </c>
      <c r="E34" s="431">
        <v>14623954</v>
      </c>
      <c r="F34" s="431">
        <v>6510113</v>
      </c>
      <c r="G34" s="431">
        <v>725136</v>
      </c>
      <c r="H34" s="431">
        <v>0</v>
      </c>
      <c r="I34" s="431">
        <v>22233773</v>
      </c>
      <c r="J34" s="431">
        <v>1050000</v>
      </c>
      <c r="K34" s="431">
        <v>2153570</v>
      </c>
      <c r="L34" s="431">
        <v>0</v>
      </c>
      <c r="M34" s="431">
        <v>5443957</v>
      </c>
      <c r="N34" s="431">
        <v>285145</v>
      </c>
      <c r="O34" s="431">
        <v>814440</v>
      </c>
      <c r="P34" s="438">
        <f>IF(SUM(Q34:AB34)=SUM(AC34:AM34),SUM(Q34:AB34),"  EROARE ART/CAP")</f>
        <v>48286964</v>
      </c>
      <c r="Q34" s="431">
        <v>24408056</v>
      </c>
      <c r="R34" s="431">
        <v>9412968</v>
      </c>
      <c r="S34" s="431">
        <v>900000</v>
      </c>
      <c r="T34" s="431">
        <v>0</v>
      </c>
      <c r="U34" s="431">
        <v>459628</v>
      </c>
      <c r="V34" s="431">
        <v>695000</v>
      </c>
      <c r="W34" s="431">
        <v>314140</v>
      </c>
      <c r="X34" s="431">
        <v>1046081</v>
      </c>
      <c r="Y34" s="431">
        <v>688873</v>
      </c>
      <c r="Z34" s="431">
        <v>10063575</v>
      </c>
      <c r="AA34" s="431">
        <v>300000</v>
      </c>
      <c r="AB34" s="431">
        <v>-1357</v>
      </c>
      <c r="AC34" s="431">
        <v>5143150</v>
      </c>
      <c r="AD34" s="431">
        <v>872468</v>
      </c>
      <c r="AE34" s="431">
        <v>22925378</v>
      </c>
      <c r="AF34" s="431">
        <v>2544634</v>
      </c>
      <c r="AG34" s="431">
        <v>2553306</v>
      </c>
      <c r="AH34" s="431">
        <v>3026087</v>
      </c>
      <c r="AI34" s="431">
        <v>3759579</v>
      </c>
      <c r="AJ34" s="431">
        <v>1292048</v>
      </c>
      <c r="AK34" s="431">
        <v>0</v>
      </c>
      <c r="AL34" s="431">
        <v>6140290</v>
      </c>
      <c r="AM34" s="431">
        <v>30024</v>
      </c>
    </row>
    <row r="35" spans="1:39" s="203" customFormat="1" ht="12" x14ac:dyDescent="0.2">
      <c r="A35" s="181">
        <v>2</v>
      </c>
      <c r="B35" s="220">
        <v>120968</v>
      </c>
      <c r="C35" s="255" t="s">
        <v>1609</v>
      </c>
      <c r="D35" s="438">
        <f>E35+SUM(H35:O35)</f>
        <v>15020778</v>
      </c>
      <c r="E35" s="431">
        <v>4921774</v>
      </c>
      <c r="F35" s="431">
        <v>1699532</v>
      </c>
      <c r="G35" s="431">
        <v>617306</v>
      </c>
      <c r="H35" s="431">
        <v>0</v>
      </c>
      <c r="I35" s="431">
        <v>6281000</v>
      </c>
      <c r="J35" s="431">
        <v>450000</v>
      </c>
      <c r="K35" s="431">
        <v>1819880</v>
      </c>
      <c r="L35" s="431">
        <v>0</v>
      </c>
      <c r="M35" s="431">
        <v>380662</v>
      </c>
      <c r="N35" s="431">
        <v>387124</v>
      </c>
      <c r="O35" s="431">
        <v>780338</v>
      </c>
      <c r="P35" s="438">
        <f>IF(SUM(Q35:AB35)=SUM(AC35:AM35),SUM(Q35:AB35),"  EROARE ART/CAP")</f>
        <v>14449083</v>
      </c>
      <c r="Q35" s="431">
        <v>7009476</v>
      </c>
      <c r="R35" s="431">
        <v>3295862</v>
      </c>
      <c r="S35" s="431">
        <v>111256</v>
      </c>
      <c r="T35" s="431">
        <v>0</v>
      </c>
      <c r="U35" s="431">
        <v>1448973</v>
      </c>
      <c r="V35" s="431">
        <v>0</v>
      </c>
      <c r="W35" s="431">
        <v>507557</v>
      </c>
      <c r="X35" s="431">
        <v>421728</v>
      </c>
      <c r="Y35" s="431">
        <v>33000</v>
      </c>
      <c r="Z35" s="431">
        <v>1224595</v>
      </c>
      <c r="AA35" s="431">
        <v>397086</v>
      </c>
      <c r="AB35" s="431">
        <v>-450</v>
      </c>
      <c r="AC35" s="431">
        <v>1993983</v>
      </c>
      <c r="AD35" s="431">
        <v>417714</v>
      </c>
      <c r="AE35" s="431">
        <v>5794145</v>
      </c>
      <c r="AF35" s="431">
        <v>1528936</v>
      </c>
      <c r="AG35" s="431">
        <v>781518</v>
      </c>
      <c r="AH35" s="431">
        <v>827610</v>
      </c>
      <c r="AI35" s="431">
        <v>1637429</v>
      </c>
      <c r="AJ35" s="431">
        <v>769664</v>
      </c>
      <c r="AK35" s="431">
        <v>0</v>
      </c>
      <c r="AL35" s="431">
        <v>619778</v>
      </c>
      <c r="AM35" s="431">
        <v>78306</v>
      </c>
    </row>
    <row r="36" spans="1:39" s="203" customFormat="1" ht="12" x14ac:dyDescent="0.2">
      <c r="A36" s="181">
        <v>3</v>
      </c>
      <c r="B36" s="220">
        <v>124117</v>
      </c>
      <c r="C36" s="255" t="s">
        <v>1610</v>
      </c>
      <c r="D36" s="438">
        <f>E36+SUM(H36:O36)</f>
        <v>15090388</v>
      </c>
      <c r="E36" s="431">
        <v>4438747</v>
      </c>
      <c r="F36" s="431">
        <v>1455900</v>
      </c>
      <c r="G36" s="431">
        <v>738696</v>
      </c>
      <c r="H36" s="431">
        <v>0</v>
      </c>
      <c r="I36" s="431">
        <v>6468000</v>
      </c>
      <c r="J36" s="431">
        <v>450000</v>
      </c>
      <c r="K36" s="431">
        <v>2316200</v>
      </c>
      <c r="L36" s="431">
        <v>0</v>
      </c>
      <c r="M36" s="431">
        <v>1417441</v>
      </c>
      <c r="N36" s="431">
        <v>0</v>
      </c>
      <c r="O36" s="431">
        <v>0</v>
      </c>
      <c r="P36" s="438">
        <f>IF(SUM(Q36:AB36)=SUM(AC36:AM36),SUM(Q36:AB36),"  EROARE ART/CAP")</f>
        <v>15022596</v>
      </c>
      <c r="Q36" s="431">
        <v>7264185</v>
      </c>
      <c r="R36" s="431">
        <v>3545919</v>
      </c>
      <c r="S36" s="431">
        <v>125000</v>
      </c>
      <c r="T36" s="431">
        <v>0</v>
      </c>
      <c r="U36" s="431">
        <v>134434</v>
      </c>
      <c r="V36" s="431">
        <v>0</v>
      </c>
      <c r="W36" s="431">
        <v>0</v>
      </c>
      <c r="X36" s="431">
        <v>1042619</v>
      </c>
      <c r="Y36" s="431">
        <v>94140</v>
      </c>
      <c r="Z36" s="431">
        <v>2520647</v>
      </c>
      <c r="AA36" s="431">
        <v>295652</v>
      </c>
      <c r="AB36" s="431">
        <v>0</v>
      </c>
      <c r="AC36" s="431">
        <v>2635593</v>
      </c>
      <c r="AD36" s="431">
        <v>706151</v>
      </c>
      <c r="AE36" s="431">
        <v>6018452</v>
      </c>
      <c r="AF36" s="431">
        <v>0</v>
      </c>
      <c r="AG36" s="431">
        <v>211030</v>
      </c>
      <c r="AH36" s="431">
        <v>1714197</v>
      </c>
      <c r="AI36" s="431">
        <v>1781748</v>
      </c>
      <c r="AJ36" s="431">
        <v>311151</v>
      </c>
      <c r="AK36" s="431">
        <v>0</v>
      </c>
      <c r="AL36" s="431">
        <v>1644274</v>
      </c>
      <c r="AM36" s="431">
        <v>0</v>
      </c>
    </row>
    <row r="37" spans="1:39" s="203" customFormat="1" ht="12" hidden="1" x14ac:dyDescent="0.2">
      <c r="A37" s="181">
        <v>4</v>
      </c>
      <c r="B37" s="181"/>
      <c r="C37" s="252"/>
      <c r="D37" s="432">
        <f t="shared" si="5"/>
        <v>0</v>
      </c>
      <c r="E37" s="435"/>
      <c r="F37" s="435"/>
      <c r="G37" s="435"/>
      <c r="H37" s="435"/>
      <c r="I37" s="435"/>
      <c r="J37" s="435"/>
      <c r="K37" s="435"/>
      <c r="L37" s="435"/>
      <c r="M37" s="435"/>
      <c r="N37" s="435"/>
      <c r="O37" s="435"/>
      <c r="P37" s="432">
        <f t="shared" si="3"/>
        <v>0</v>
      </c>
      <c r="Q37" s="435"/>
      <c r="R37" s="435"/>
      <c r="S37" s="435"/>
      <c r="T37" s="435"/>
      <c r="U37" s="435"/>
      <c r="V37" s="431"/>
      <c r="W37" s="431"/>
      <c r="X37" s="431"/>
      <c r="Y37" s="431"/>
      <c r="Z37" s="431"/>
      <c r="AA37" s="431"/>
      <c r="AB37" s="431"/>
      <c r="AC37" s="445"/>
      <c r="AD37" s="435"/>
      <c r="AE37" s="435"/>
      <c r="AF37" s="435"/>
      <c r="AG37" s="435"/>
      <c r="AH37" s="435"/>
      <c r="AI37" s="435"/>
      <c r="AJ37" s="435"/>
      <c r="AK37" s="435"/>
      <c r="AL37" s="435"/>
      <c r="AM37" s="435"/>
    </row>
    <row r="38" spans="1:39" s="155" customFormat="1" ht="12" hidden="1" x14ac:dyDescent="0.2">
      <c r="A38" s="146">
        <v>5</v>
      </c>
      <c r="B38" s="146"/>
      <c r="C38" s="172"/>
      <c r="D38" s="432">
        <f t="shared" si="5"/>
        <v>0</v>
      </c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2">
        <f t="shared" si="3"/>
        <v>0</v>
      </c>
      <c r="Q38" s="435"/>
      <c r="R38" s="435"/>
      <c r="S38" s="435"/>
      <c r="T38" s="435"/>
      <c r="U38" s="435"/>
      <c r="V38" s="431"/>
      <c r="W38" s="431"/>
      <c r="X38" s="431"/>
      <c r="Y38" s="431"/>
      <c r="Z38" s="435"/>
      <c r="AA38" s="431"/>
      <c r="AB38" s="431"/>
      <c r="AC38" s="445"/>
      <c r="AD38" s="435"/>
      <c r="AE38" s="435"/>
      <c r="AF38" s="435"/>
      <c r="AG38" s="435"/>
      <c r="AH38" s="435"/>
      <c r="AI38" s="435"/>
      <c r="AJ38" s="435"/>
      <c r="AK38" s="435"/>
      <c r="AL38" s="435"/>
      <c r="AM38" s="435"/>
    </row>
    <row r="39" spans="1:39" s="155" customFormat="1" ht="12" hidden="1" x14ac:dyDescent="0.2">
      <c r="A39" s="146">
        <v>6</v>
      </c>
      <c r="B39" s="146"/>
      <c r="C39" s="172"/>
      <c r="D39" s="432">
        <f t="shared" si="5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3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</row>
    <row r="40" spans="1:39" s="155" customFormat="1" ht="12" hidden="1" x14ac:dyDescent="0.2">
      <c r="A40" s="146">
        <v>7</v>
      </c>
      <c r="B40" s="146"/>
      <c r="C40" s="182"/>
      <c r="D40" s="432">
        <f t="shared" si="5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3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155" customFormat="1" ht="12" hidden="1" x14ac:dyDescent="0.2">
      <c r="A41" s="146">
        <v>8</v>
      </c>
      <c r="B41" s="146"/>
      <c r="C41" s="173"/>
      <c r="D41" s="432">
        <f t="shared" si="5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3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146">
        <v>9</v>
      </c>
      <c r="B42" s="146"/>
      <c r="C42" s="206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3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146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3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46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3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46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3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46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3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46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3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46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3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46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3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46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3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46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3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46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3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46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3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4"/>
      <c r="C54" s="208"/>
      <c r="D54" s="432">
        <f t="shared" ref="D54" si="8">E54+SUM(H54:O54)</f>
        <v>551194447</v>
      </c>
      <c r="E54" s="432">
        <f>SUM(E55:E143)</f>
        <v>124523978</v>
      </c>
      <c r="F54" s="432">
        <f t="shared" ref="F54:O54" si="9">SUM(F55:F143)</f>
        <v>36208405</v>
      </c>
      <c r="G54" s="432">
        <f t="shared" si="9"/>
        <v>25160299</v>
      </c>
      <c r="H54" s="432">
        <f t="shared" si="9"/>
        <v>0</v>
      </c>
      <c r="I54" s="432">
        <f t="shared" si="9"/>
        <v>170516575</v>
      </c>
      <c r="J54" s="432">
        <f t="shared" si="9"/>
        <v>14574232</v>
      </c>
      <c r="K54" s="432">
        <f t="shared" si="9"/>
        <v>85944040</v>
      </c>
      <c r="L54" s="432">
        <f t="shared" si="9"/>
        <v>0</v>
      </c>
      <c r="M54" s="432">
        <f t="shared" si="9"/>
        <v>116223907</v>
      </c>
      <c r="N54" s="432">
        <f t="shared" si="9"/>
        <v>31649327</v>
      </c>
      <c r="O54" s="432">
        <f t="shared" si="9"/>
        <v>7762388</v>
      </c>
      <c r="P54" s="432">
        <f t="shared" si="3"/>
        <v>527051972</v>
      </c>
      <c r="Q54" s="432">
        <f>SUM(Q55:Q143)</f>
        <v>189554654</v>
      </c>
      <c r="R54" s="432">
        <f t="shared" ref="R54:AM54" si="10">SUM(R55:R143)</f>
        <v>92642903</v>
      </c>
      <c r="S54" s="432">
        <f t="shared" si="10"/>
        <v>761281</v>
      </c>
      <c r="T54" s="432">
        <f t="shared" si="10"/>
        <v>0</v>
      </c>
      <c r="U54" s="432">
        <f t="shared" si="10"/>
        <v>3180758</v>
      </c>
      <c r="V54" s="432">
        <f t="shared" si="10"/>
        <v>1999826</v>
      </c>
      <c r="W54" s="432">
        <f t="shared" si="10"/>
        <v>39173160</v>
      </c>
      <c r="X54" s="432">
        <f t="shared" si="10"/>
        <v>24749568</v>
      </c>
      <c r="Y54" s="432">
        <f t="shared" si="10"/>
        <v>5621221</v>
      </c>
      <c r="Z54" s="432">
        <f t="shared" si="10"/>
        <v>159515282</v>
      </c>
      <c r="AA54" s="432">
        <f t="shared" si="10"/>
        <v>11984098</v>
      </c>
      <c r="AB54" s="432">
        <f t="shared" si="10"/>
        <v>-2130779</v>
      </c>
      <c r="AC54" s="432">
        <f t="shared" si="10"/>
        <v>81594389</v>
      </c>
      <c r="AD54" s="432">
        <f t="shared" si="10"/>
        <v>8578122</v>
      </c>
      <c r="AE54" s="432">
        <f t="shared" si="10"/>
        <v>169105929</v>
      </c>
      <c r="AF54" s="432">
        <f t="shared" si="10"/>
        <v>4941093</v>
      </c>
      <c r="AG54" s="432">
        <f t="shared" si="10"/>
        <v>21840133</v>
      </c>
      <c r="AH54" s="432">
        <f t="shared" si="10"/>
        <v>33196613</v>
      </c>
      <c r="AI54" s="432">
        <f t="shared" si="10"/>
        <v>47289882</v>
      </c>
      <c r="AJ54" s="432">
        <f t="shared" si="10"/>
        <v>20701979</v>
      </c>
      <c r="AK54" s="432">
        <f t="shared" si="10"/>
        <v>203668</v>
      </c>
      <c r="AL54" s="432">
        <f>SUM(AL55:AL143)</f>
        <v>134912531</v>
      </c>
      <c r="AM54" s="432">
        <f t="shared" si="10"/>
        <v>4687633</v>
      </c>
    </row>
    <row r="55" spans="1:39" s="155" customFormat="1" ht="12" x14ac:dyDescent="0.2">
      <c r="A55" s="168">
        <v>1</v>
      </c>
      <c r="B55" s="177">
        <v>121108</v>
      </c>
      <c r="C55" s="224" t="s">
        <v>1611</v>
      </c>
      <c r="D55" s="438">
        <f t="shared" ref="D55:D86" si="11">E55+SUM(H55:O55)</f>
        <v>7769305</v>
      </c>
      <c r="E55" s="431">
        <v>1560984</v>
      </c>
      <c r="F55" s="431">
        <v>367449</v>
      </c>
      <c r="G55" s="431">
        <v>324302</v>
      </c>
      <c r="H55" s="431">
        <v>0</v>
      </c>
      <c r="I55" s="431">
        <v>2192136</v>
      </c>
      <c r="J55" s="431">
        <v>230000</v>
      </c>
      <c r="K55" s="431">
        <v>1019550</v>
      </c>
      <c r="L55" s="431">
        <v>0</v>
      </c>
      <c r="M55" s="431">
        <v>2692963</v>
      </c>
      <c r="N55" s="431">
        <v>0</v>
      </c>
      <c r="O55" s="431">
        <v>73672</v>
      </c>
      <c r="P55" s="438">
        <f t="shared" ref="P55:P86" si="12">IF(SUM(Q55:AB55)=SUM(AC55:AM55),SUM(Q55:AB55),"  EROARE ART/CAP")</f>
        <v>7737005</v>
      </c>
      <c r="Q55" s="431">
        <v>2260658</v>
      </c>
      <c r="R55" s="431">
        <v>1269823</v>
      </c>
      <c r="S55" s="431">
        <v>21600</v>
      </c>
      <c r="T55" s="431">
        <v>0</v>
      </c>
      <c r="U55" s="431">
        <v>60000</v>
      </c>
      <c r="V55" s="431">
        <v>29863</v>
      </c>
      <c r="W55" s="431">
        <v>0</v>
      </c>
      <c r="X55" s="431">
        <v>393238</v>
      </c>
      <c r="Y55" s="431">
        <v>10000</v>
      </c>
      <c r="Z55" s="431">
        <v>3634527</v>
      </c>
      <c r="AA55" s="431">
        <v>66000</v>
      </c>
      <c r="AB55" s="431">
        <v>-8704</v>
      </c>
      <c r="AC55" s="431">
        <v>1094768</v>
      </c>
      <c r="AD55" s="431">
        <v>0</v>
      </c>
      <c r="AE55" s="431">
        <v>2303558</v>
      </c>
      <c r="AF55" s="431">
        <v>0</v>
      </c>
      <c r="AG55" s="431">
        <v>174771</v>
      </c>
      <c r="AH55" s="431">
        <v>723919</v>
      </c>
      <c r="AI55" s="431">
        <v>275073</v>
      </c>
      <c r="AJ55" s="431">
        <v>413106</v>
      </c>
      <c r="AK55" s="431">
        <v>0</v>
      </c>
      <c r="AL55" s="431">
        <v>2751810</v>
      </c>
      <c r="AM55" s="431">
        <v>0</v>
      </c>
    </row>
    <row r="56" spans="1:39" s="155" customFormat="1" ht="12" x14ac:dyDescent="0.2">
      <c r="A56" s="168">
        <v>2</v>
      </c>
      <c r="B56" s="177">
        <v>121153</v>
      </c>
      <c r="C56" s="224" t="s">
        <v>1612</v>
      </c>
      <c r="D56" s="438">
        <f t="shared" si="11"/>
        <v>4878657</v>
      </c>
      <c r="E56" s="431">
        <v>1027276</v>
      </c>
      <c r="F56" s="431">
        <v>300338</v>
      </c>
      <c r="G56" s="431">
        <v>258779</v>
      </c>
      <c r="H56" s="431">
        <v>0</v>
      </c>
      <c r="I56" s="431">
        <v>1782952</v>
      </c>
      <c r="J56" s="431">
        <v>90000</v>
      </c>
      <c r="K56" s="431">
        <v>922570</v>
      </c>
      <c r="L56" s="431">
        <v>0</v>
      </c>
      <c r="M56" s="431">
        <v>1019411</v>
      </c>
      <c r="N56" s="431">
        <v>0</v>
      </c>
      <c r="O56" s="431">
        <v>36448</v>
      </c>
      <c r="P56" s="438">
        <f t="shared" si="12"/>
        <v>4587955</v>
      </c>
      <c r="Q56" s="431">
        <v>1971201</v>
      </c>
      <c r="R56" s="431">
        <v>717154</v>
      </c>
      <c r="S56" s="431">
        <v>0</v>
      </c>
      <c r="T56" s="431">
        <v>0</v>
      </c>
      <c r="U56" s="431">
        <v>72000</v>
      </c>
      <c r="V56" s="431">
        <v>0</v>
      </c>
      <c r="W56" s="431">
        <v>0</v>
      </c>
      <c r="X56" s="431">
        <v>376330</v>
      </c>
      <c r="Y56" s="431">
        <v>13550</v>
      </c>
      <c r="Z56" s="431">
        <v>1437720</v>
      </c>
      <c r="AA56" s="431">
        <v>0</v>
      </c>
      <c r="AB56" s="431">
        <v>0</v>
      </c>
      <c r="AC56" s="431">
        <v>913569</v>
      </c>
      <c r="AD56" s="431">
        <v>79825</v>
      </c>
      <c r="AE56" s="431">
        <v>1607573</v>
      </c>
      <c r="AF56" s="431">
        <v>82337</v>
      </c>
      <c r="AG56" s="431">
        <v>106808</v>
      </c>
      <c r="AH56" s="431">
        <v>393930</v>
      </c>
      <c r="AI56" s="431">
        <v>313617</v>
      </c>
      <c r="AJ56" s="431">
        <v>76039</v>
      </c>
      <c r="AK56" s="431">
        <v>0</v>
      </c>
      <c r="AL56" s="431">
        <v>1014257</v>
      </c>
      <c r="AM56" s="431">
        <v>0</v>
      </c>
    </row>
    <row r="57" spans="1:39" s="155" customFormat="1" ht="12" x14ac:dyDescent="0.2">
      <c r="A57" s="168">
        <v>3</v>
      </c>
      <c r="B57" s="177">
        <v>121242</v>
      </c>
      <c r="C57" s="224" t="s">
        <v>1613</v>
      </c>
      <c r="D57" s="438">
        <f t="shared" si="11"/>
        <v>5845336</v>
      </c>
      <c r="E57" s="431">
        <v>1435037</v>
      </c>
      <c r="F57" s="431">
        <v>497677</v>
      </c>
      <c r="G57" s="431">
        <v>225994</v>
      </c>
      <c r="H57" s="431">
        <v>0</v>
      </c>
      <c r="I57" s="431">
        <v>1895069</v>
      </c>
      <c r="J57" s="431">
        <v>150000</v>
      </c>
      <c r="K57" s="431">
        <v>771300</v>
      </c>
      <c r="L57" s="431">
        <v>0</v>
      </c>
      <c r="M57" s="431">
        <v>1572918</v>
      </c>
      <c r="N57" s="431">
        <v>0</v>
      </c>
      <c r="O57" s="431">
        <v>21012</v>
      </c>
      <c r="P57" s="438">
        <f t="shared" si="12"/>
        <v>5617585</v>
      </c>
      <c r="Q57" s="431">
        <v>2149195</v>
      </c>
      <c r="R57" s="431">
        <v>961010</v>
      </c>
      <c r="S57" s="431">
        <v>7000</v>
      </c>
      <c r="T57" s="431">
        <v>0</v>
      </c>
      <c r="U57" s="431">
        <v>14820</v>
      </c>
      <c r="V57" s="431">
        <v>13992</v>
      </c>
      <c r="W57" s="431">
        <v>0</v>
      </c>
      <c r="X57" s="431">
        <v>300449</v>
      </c>
      <c r="Y57" s="431">
        <v>35000</v>
      </c>
      <c r="Z57" s="431">
        <v>2134538</v>
      </c>
      <c r="AA57" s="431">
        <v>14000</v>
      </c>
      <c r="AB57" s="431">
        <v>-12419</v>
      </c>
      <c r="AC57" s="431">
        <v>926423</v>
      </c>
      <c r="AD57" s="431">
        <v>156210</v>
      </c>
      <c r="AE57" s="431">
        <v>1777645</v>
      </c>
      <c r="AF57" s="431">
        <v>21365</v>
      </c>
      <c r="AG57" s="431">
        <v>194708</v>
      </c>
      <c r="AH57" s="431">
        <v>300449</v>
      </c>
      <c r="AI57" s="431">
        <v>272316</v>
      </c>
      <c r="AJ57" s="431">
        <v>199743</v>
      </c>
      <c r="AK57" s="431">
        <v>0</v>
      </c>
      <c r="AL57" s="431">
        <v>1768726</v>
      </c>
      <c r="AM57" s="431">
        <v>0</v>
      </c>
    </row>
    <row r="58" spans="1:39" s="155" customFormat="1" ht="12" x14ac:dyDescent="0.2">
      <c r="A58" s="168">
        <v>4</v>
      </c>
      <c r="B58" s="177">
        <v>121297</v>
      </c>
      <c r="C58" s="224" t="s">
        <v>1614</v>
      </c>
      <c r="D58" s="438">
        <f t="shared" si="11"/>
        <v>8568105</v>
      </c>
      <c r="E58" s="431">
        <v>2729440</v>
      </c>
      <c r="F58" s="431">
        <v>481861</v>
      </c>
      <c r="G58" s="431">
        <v>410725</v>
      </c>
      <c r="H58" s="431">
        <v>0</v>
      </c>
      <c r="I58" s="431">
        <v>2061541</v>
      </c>
      <c r="J58" s="431">
        <v>200000</v>
      </c>
      <c r="K58" s="431">
        <v>1020370</v>
      </c>
      <c r="L58" s="431">
        <v>0</v>
      </c>
      <c r="M58" s="431">
        <v>2079603</v>
      </c>
      <c r="N58" s="431">
        <v>477151</v>
      </c>
      <c r="O58" s="431">
        <v>0</v>
      </c>
      <c r="P58" s="438">
        <f t="shared" si="12"/>
        <v>6721982</v>
      </c>
      <c r="Q58" s="431">
        <v>2627531</v>
      </c>
      <c r="R58" s="431">
        <v>1116248</v>
      </c>
      <c r="S58" s="431">
        <v>20294</v>
      </c>
      <c r="T58" s="431">
        <v>0</v>
      </c>
      <c r="U58" s="431">
        <v>30660</v>
      </c>
      <c r="V58" s="431">
        <v>0</v>
      </c>
      <c r="W58" s="431">
        <v>931619</v>
      </c>
      <c r="X58" s="431">
        <v>249604</v>
      </c>
      <c r="Y58" s="431">
        <v>54249</v>
      </c>
      <c r="Z58" s="431">
        <v>1626107</v>
      </c>
      <c r="AA58" s="431">
        <v>66258</v>
      </c>
      <c r="AB58" s="431">
        <v>-588</v>
      </c>
      <c r="AC58" s="431">
        <v>1007039</v>
      </c>
      <c r="AD58" s="431">
        <v>146443</v>
      </c>
      <c r="AE58" s="431">
        <v>1912709</v>
      </c>
      <c r="AF58" s="431">
        <v>19028</v>
      </c>
      <c r="AG58" s="431">
        <v>57028</v>
      </c>
      <c r="AH58" s="431">
        <v>435790</v>
      </c>
      <c r="AI58" s="431">
        <v>1628795</v>
      </c>
      <c r="AJ58" s="431">
        <v>126814</v>
      </c>
      <c r="AK58" s="431">
        <v>0</v>
      </c>
      <c r="AL58" s="431">
        <v>1388336</v>
      </c>
      <c r="AM58" s="431">
        <v>0</v>
      </c>
    </row>
    <row r="59" spans="1:39" s="155" customFormat="1" ht="12" x14ac:dyDescent="0.2">
      <c r="A59" s="168">
        <v>5</v>
      </c>
      <c r="B59" s="177">
        <v>121340</v>
      </c>
      <c r="C59" s="224" t="s">
        <v>1615</v>
      </c>
      <c r="D59" s="438">
        <f t="shared" si="11"/>
        <v>8218346</v>
      </c>
      <c r="E59" s="431">
        <v>4006118</v>
      </c>
      <c r="F59" s="431">
        <v>215949</v>
      </c>
      <c r="G59" s="431">
        <v>223265</v>
      </c>
      <c r="H59" s="431">
        <v>0</v>
      </c>
      <c r="I59" s="431">
        <v>1804482</v>
      </c>
      <c r="J59" s="431">
        <v>50000</v>
      </c>
      <c r="K59" s="431">
        <v>784080</v>
      </c>
      <c r="L59" s="431">
        <v>0</v>
      </c>
      <c r="M59" s="431">
        <v>388643</v>
      </c>
      <c r="N59" s="431">
        <v>1135075</v>
      </c>
      <c r="O59" s="431">
        <v>49948</v>
      </c>
      <c r="P59" s="438">
        <f t="shared" si="12"/>
        <v>6730768</v>
      </c>
      <c r="Q59" s="431">
        <v>2098128</v>
      </c>
      <c r="R59" s="431">
        <v>994687</v>
      </c>
      <c r="S59" s="431">
        <v>0</v>
      </c>
      <c r="T59" s="431">
        <v>0</v>
      </c>
      <c r="U59" s="431">
        <v>17820</v>
      </c>
      <c r="V59" s="431">
        <v>10982</v>
      </c>
      <c r="W59" s="431">
        <v>1624399</v>
      </c>
      <c r="X59" s="431">
        <v>198356</v>
      </c>
      <c r="Y59" s="431">
        <v>166000</v>
      </c>
      <c r="Z59" s="431">
        <v>1623496</v>
      </c>
      <c r="AA59" s="431">
        <v>0</v>
      </c>
      <c r="AB59" s="431">
        <v>-3100</v>
      </c>
      <c r="AC59" s="431">
        <v>812417</v>
      </c>
      <c r="AD59" s="431">
        <v>51329</v>
      </c>
      <c r="AE59" s="431">
        <v>1542835</v>
      </c>
      <c r="AF59" s="431">
        <v>0</v>
      </c>
      <c r="AG59" s="431">
        <v>267187</v>
      </c>
      <c r="AH59" s="431">
        <v>351289</v>
      </c>
      <c r="AI59" s="431">
        <v>1419628</v>
      </c>
      <c r="AJ59" s="431">
        <v>141164</v>
      </c>
      <c r="AK59" s="431">
        <v>0</v>
      </c>
      <c r="AL59" s="431">
        <v>920597</v>
      </c>
      <c r="AM59" s="431">
        <v>1224322</v>
      </c>
    </row>
    <row r="60" spans="1:39" s="155" customFormat="1" ht="12" x14ac:dyDescent="0.2">
      <c r="A60" s="168">
        <v>6</v>
      </c>
      <c r="B60" s="177">
        <v>121386</v>
      </c>
      <c r="C60" s="224" t="s">
        <v>721</v>
      </c>
      <c r="D60" s="438">
        <f t="shared" si="11"/>
        <v>5069672</v>
      </c>
      <c r="E60" s="431">
        <v>687285</v>
      </c>
      <c r="F60" s="431">
        <v>105977</v>
      </c>
      <c r="G60" s="431">
        <v>323709</v>
      </c>
      <c r="H60" s="431">
        <v>0</v>
      </c>
      <c r="I60" s="431">
        <v>1131810</v>
      </c>
      <c r="J60" s="431">
        <v>200000</v>
      </c>
      <c r="K60" s="431">
        <v>1065790</v>
      </c>
      <c r="L60" s="431">
        <v>0</v>
      </c>
      <c r="M60" s="431">
        <v>1308563</v>
      </c>
      <c r="N60" s="431">
        <v>661830</v>
      </c>
      <c r="O60" s="431">
        <v>14394</v>
      </c>
      <c r="P60" s="438">
        <f t="shared" si="12"/>
        <v>5088112</v>
      </c>
      <c r="Q60" s="431">
        <v>1324338</v>
      </c>
      <c r="R60" s="431">
        <v>563447</v>
      </c>
      <c r="S60" s="431">
        <v>0</v>
      </c>
      <c r="T60" s="431">
        <v>0</v>
      </c>
      <c r="U60" s="431">
        <v>0</v>
      </c>
      <c r="V60" s="431">
        <v>0</v>
      </c>
      <c r="W60" s="431">
        <v>1121306</v>
      </c>
      <c r="X60" s="431">
        <v>192131</v>
      </c>
      <c r="Y60" s="431">
        <v>20000</v>
      </c>
      <c r="Z60" s="431">
        <v>1896133</v>
      </c>
      <c r="AA60" s="431">
        <v>0</v>
      </c>
      <c r="AB60" s="431">
        <v>-29243</v>
      </c>
      <c r="AC60" s="431">
        <v>555892</v>
      </c>
      <c r="AD60" s="431">
        <v>36168</v>
      </c>
      <c r="AE60" s="431">
        <v>1436731</v>
      </c>
      <c r="AF60" s="431">
        <v>0</v>
      </c>
      <c r="AG60" s="431">
        <v>118924</v>
      </c>
      <c r="AH60" s="431">
        <v>192131</v>
      </c>
      <c r="AI60" s="431">
        <v>1308189</v>
      </c>
      <c r="AJ60" s="431">
        <v>24607</v>
      </c>
      <c r="AK60" s="431">
        <v>0</v>
      </c>
      <c r="AL60" s="431">
        <v>1415470</v>
      </c>
      <c r="AM60" s="431">
        <v>0</v>
      </c>
    </row>
    <row r="61" spans="1:39" s="155" customFormat="1" ht="12" x14ac:dyDescent="0.2">
      <c r="A61" s="168">
        <v>7</v>
      </c>
      <c r="B61" s="177">
        <v>121466</v>
      </c>
      <c r="C61" s="224" t="s">
        <v>1616</v>
      </c>
      <c r="D61" s="438">
        <f t="shared" si="11"/>
        <v>5894122</v>
      </c>
      <c r="E61" s="431">
        <v>1146688</v>
      </c>
      <c r="F61" s="431">
        <v>335442</v>
      </c>
      <c r="G61" s="431">
        <v>273525</v>
      </c>
      <c r="H61" s="431">
        <v>0</v>
      </c>
      <c r="I61" s="431">
        <v>1721942</v>
      </c>
      <c r="J61" s="431">
        <v>200000</v>
      </c>
      <c r="K61" s="431">
        <v>861130</v>
      </c>
      <c r="L61" s="431">
        <v>0</v>
      </c>
      <c r="M61" s="431">
        <v>1659214</v>
      </c>
      <c r="N61" s="431">
        <v>260430</v>
      </c>
      <c r="O61" s="431">
        <v>44718</v>
      </c>
      <c r="P61" s="438">
        <f t="shared" si="12"/>
        <v>5861758</v>
      </c>
      <c r="Q61" s="431">
        <v>2065278</v>
      </c>
      <c r="R61" s="431">
        <v>1483623</v>
      </c>
      <c r="S61" s="431">
        <v>4889</v>
      </c>
      <c r="T61" s="431">
        <v>0</v>
      </c>
      <c r="U61" s="431">
        <v>83000</v>
      </c>
      <c r="V61" s="431">
        <v>0</v>
      </c>
      <c r="W61" s="431">
        <v>0</v>
      </c>
      <c r="X61" s="431">
        <v>253389</v>
      </c>
      <c r="Y61" s="431">
        <v>5000</v>
      </c>
      <c r="Z61" s="431">
        <v>1625517</v>
      </c>
      <c r="AA61" s="431">
        <v>341062</v>
      </c>
      <c r="AB61" s="431">
        <v>0</v>
      </c>
      <c r="AC61" s="431">
        <v>1677573</v>
      </c>
      <c r="AD61" s="431">
        <v>67402</v>
      </c>
      <c r="AE61" s="431">
        <v>1396051</v>
      </c>
      <c r="AF61" s="431">
        <v>51759</v>
      </c>
      <c r="AG61" s="431">
        <v>58525</v>
      </c>
      <c r="AH61" s="431">
        <v>444432</v>
      </c>
      <c r="AI61" s="431">
        <v>111146</v>
      </c>
      <c r="AJ61" s="431">
        <v>30250</v>
      </c>
      <c r="AK61" s="431">
        <v>0</v>
      </c>
      <c r="AL61" s="431">
        <v>2024620</v>
      </c>
      <c r="AM61" s="431">
        <v>0</v>
      </c>
    </row>
    <row r="62" spans="1:39" s="155" customFormat="1" ht="12" x14ac:dyDescent="0.2">
      <c r="A62" s="168">
        <v>8</v>
      </c>
      <c r="B62" s="177">
        <v>121607</v>
      </c>
      <c r="C62" s="224" t="s">
        <v>1617</v>
      </c>
      <c r="D62" s="438">
        <f t="shared" si="11"/>
        <v>8074666</v>
      </c>
      <c r="E62" s="431">
        <v>1324867</v>
      </c>
      <c r="F62" s="431">
        <v>220231</v>
      </c>
      <c r="G62" s="431">
        <v>404250</v>
      </c>
      <c r="H62" s="431">
        <v>0</v>
      </c>
      <c r="I62" s="431">
        <v>2031194</v>
      </c>
      <c r="J62" s="431">
        <v>90000</v>
      </c>
      <c r="K62" s="431">
        <v>1205560</v>
      </c>
      <c r="L62" s="431">
        <v>0</v>
      </c>
      <c r="M62" s="431">
        <v>2740034</v>
      </c>
      <c r="N62" s="431">
        <v>625121</v>
      </c>
      <c r="O62" s="431">
        <v>57890</v>
      </c>
      <c r="P62" s="438">
        <f t="shared" si="12"/>
        <v>7872684</v>
      </c>
      <c r="Q62" s="431">
        <v>2312693</v>
      </c>
      <c r="R62" s="431">
        <v>1378987</v>
      </c>
      <c r="S62" s="431">
        <v>0</v>
      </c>
      <c r="T62" s="431">
        <v>0</v>
      </c>
      <c r="U62" s="431">
        <v>100000</v>
      </c>
      <c r="V62" s="431">
        <v>35923</v>
      </c>
      <c r="W62" s="431">
        <v>814696</v>
      </c>
      <c r="X62" s="431">
        <v>345413</v>
      </c>
      <c r="Y62" s="431">
        <v>33300</v>
      </c>
      <c r="Z62" s="431">
        <v>2853522</v>
      </c>
      <c r="AA62" s="431">
        <v>0</v>
      </c>
      <c r="AB62" s="431">
        <v>-1850</v>
      </c>
      <c r="AC62" s="431">
        <v>998703</v>
      </c>
      <c r="AD62" s="431">
        <v>452690</v>
      </c>
      <c r="AE62" s="431">
        <v>2478268</v>
      </c>
      <c r="AF62" s="431">
        <v>27791</v>
      </c>
      <c r="AG62" s="431">
        <v>313430</v>
      </c>
      <c r="AH62" s="431">
        <v>345413</v>
      </c>
      <c r="AI62" s="431">
        <v>397806</v>
      </c>
      <c r="AJ62" s="431">
        <v>175317</v>
      </c>
      <c r="AK62" s="431">
        <v>0</v>
      </c>
      <c r="AL62" s="431">
        <v>2683266</v>
      </c>
      <c r="AM62" s="431">
        <v>0</v>
      </c>
    </row>
    <row r="63" spans="1:39" s="155" customFormat="1" ht="12" x14ac:dyDescent="0.2">
      <c r="A63" s="168">
        <v>9</v>
      </c>
      <c r="B63" s="177">
        <v>121652</v>
      </c>
      <c r="C63" s="224" t="s">
        <v>1618</v>
      </c>
      <c r="D63" s="438">
        <f t="shared" si="11"/>
        <v>12714237</v>
      </c>
      <c r="E63" s="431">
        <v>2382895</v>
      </c>
      <c r="F63" s="431">
        <v>667648</v>
      </c>
      <c r="G63" s="431">
        <v>421800</v>
      </c>
      <c r="H63" s="431">
        <v>0</v>
      </c>
      <c r="I63" s="431">
        <v>6064432</v>
      </c>
      <c r="J63" s="431">
        <v>380000</v>
      </c>
      <c r="K63" s="431">
        <v>1179840</v>
      </c>
      <c r="L63" s="431">
        <v>0</v>
      </c>
      <c r="M63" s="431">
        <v>2042117</v>
      </c>
      <c r="N63" s="431">
        <v>542421</v>
      </c>
      <c r="O63" s="431">
        <v>122532</v>
      </c>
      <c r="P63" s="438">
        <f t="shared" si="12"/>
        <v>12041341</v>
      </c>
      <c r="Q63" s="431">
        <v>5934799</v>
      </c>
      <c r="R63" s="431">
        <v>2198573</v>
      </c>
      <c r="S63" s="431">
        <v>8689</v>
      </c>
      <c r="T63" s="431">
        <v>0</v>
      </c>
      <c r="U63" s="431">
        <v>7920</v>
      </c>
      <c r="V63" s="431">
        <v>0</v>
      </c>
      <c r="W63" s="431">
        <v>0</v>
      </c>
      <c r="X63" s="431">
        <v>550452</v>
      </c>
      <c r="Y63" s="431">
        <v>40000</v>
      </c>
      <c r="Z63" s="431">
        <v>2675948</v>
      </c>
      <c r="AA63" s="431">
        <v>624960</v>
      </c>
      <c r="AB63" s="431">
        <v>0</v>
      </c>
      <c r="AC63" s="431">
        <v>1206849</v>
      </c>
      <c r="AD63" s="431">
        <v>105978</v>
      </c>
      <c r="AE63" s="431">
        <v>5631870</v>
      </c>
      <c r="AF63" s="431">
        <v>34499</v>
      </c>
      <c r="AG63" s="431">
        <v>1068075</v>
      </c>
      <c r="AH63" s="431">
        <v>735740</v>
      </c>
      <c r="AI63" s="431">
        <v>596588</v>
      </c>
      <c r="AJ63" s="431">
        <v>5000</v>
      </c>
      <c r="AK63" s="431">
        <v>0</v>
      </c>
      <c r="AL63" s="431">
        <v>2617778</v>
      </c>
      <c r="AM63" s="431">
        <v>38964</v>
      </c>
    </row>
    <row r="64" spans="1:39" s="155" customFormat="1" ht="12" x14ac:dyDescent="0.2">
      <c r="A64" s="168">
        <v>10</v>
      </c>
      <c r="B64" s="177">
        <v>121732</v>
      </c>
      <c r="C64" s="224" t="s">
        <v>1619</v>
      </c>
      <c r="D64" s="438">
        <f t="shared" si="11"/>
        <v>11204758</v>
      </c>
      <c r="E64" s="431">
        <v>1727999</v>
      </c>
      <c r="F64" s="431">
        <v>412842</v>
      </c>
      <c r="G64" s="431">
        <v>383548</v>
      </c>
      <c r="H64" s="431">
        <v>0</v>
      </c>
      <c r="I64" s="431">
        <v>4969000</v>
      </c>
      <c r="J64" s="431">
        <v>180000</v>
      </c>
      <c r="K64" s="431">
        <v>1403580</v>
      </c>
      <c r="L64" s="431">
        <v>0</v>
      </c>
      <c r="M64" s="431">
        <v>1664363</v>
      </c>
      <c r="N64" s="431">
        <v>1249232</v>
      </c>
      <c r="O64" s="431">
        <v>10584</v>
      </c>
      <c r="P64" s="438">
        <f t="shared" si="12"/>
        <v>10930857</v>
      </c>
      <c r="Q64" s="431">
        <v>5300048</v>
      </c>
      <c r="R64" s="431">
        <v>1438824</v>
      </c>
      <c r="S64" s="431">
        <v>0</v>
      </c>
      <c r="T64" s="431">
        <v>0</v>
      </c>
      <c r="U64" s="431">
        <v>131340</v>
      </c>
      <c r="V64" s="431">
        <v>0</v>
      </c>
      <c r="W64" s="431">
        <v>1596184</v>
      </c>
      <c r="X64" s="431">
        <v>570405</v>
      </c>
      <c r="Y64" s="431">
        <v>26000</v>
      </c>
      <c r="Z64" s="431">
        <v>1868056</v>
      </c>
      <c r="AA64" s="431">
        <v>0</v>
      </c>
      <c r="AB64" s="431">
        <v>0</v>
      </c>
      <c r="AC64" s="431">
        <v>1347247</v>
      </c>
      <c r="AD64" s="431">
        <v>88986</v>
      </c>
      <c r="AE64" s="431">
        <v>4334573</v>
      </c>
      <c r="AF64" s="431">
        <v>0</v>
      </c>
      <c r="AG64" s="431">
        <v>120333</v>
      </c>
      <c r="AH64" s="431">
        <v>955321</v>
      </c>
      <c r="AI64" s="431">
        <v>207612</v>
      </c>
      <c r="AJ64" s="431">
        <v>163600</v>
      </c>
      <c r="AK64" s="431">
        <v>0</v>
      </c>
      <c r="AL64" s="431">
        <v>3489660</v>
      </c>
      <c r="AM64" s="431">
        <v>223525</v>
      </c>
    </row>
    <row r="65" spans="1:39" s="155" customFormat="1" ht="12" x14ac:dyDescent="0.2">
      <c r="A65" s="168">
        <v>11</v>
      </c>
      <c r="B65" s="177">
        <v>121796</v>
      </c>
      <c r="C65" s="224" t="s">
        <v>1620</v>
      </c>
      <c r="D65" s="438">
        <f t="shared" si="11"/>
        <v>6419445</v>
      </c>
      <c r="E65" s="431">
        <v>1090279</v>
      </c>
      <c r="F65" s="431">
        <v>224052</v>
      </c>
      <c r="G65" s="431">
        <v>280422</v>
      </c>
      <c r="H65" s="431">
        <v>0</v>
      </c>
      <c r="I65" s="431">
        <v>3105935</v>
      </c>
      <c r="J65" s="431">
        <v>140000</v>
      </c>
      <c r="K65" s="431">
        <v>1063050</v>
      </c>
      <c r="L65" s="431">
        <v>0</v>
      </c>
      <c r="M65" s="431">
        <v>999013</v>
      </c>
      <c r="N65" s="431">
        <v>0</v>
      </c>
      <c r="O65" s="431">
        <v>21168</v>
      </c>
      <c r="P65" s="438">
        <f t="shared" si="12"/>
        <v>6120759</v>
      </c>
      <c r="Q65" s="431">
        <v>3170680</v>
      </c>
      <c r="R65" s="431">
        <v>926481</v>
      </c>
      <c r="S65" s="431">
        <v>0</v>
      </c>
      <c r="T65" s="431">
        <v>0</v>
      </c>
      <c r="U65" s="431">
        <v>13800</v>
      </c>
      <c r="V65" s="431">
        <v>32294</v>
      </c>
      <c r="W65" s="431">
        <v>0</v>
      </c>
      <c r="X65" s="431">
        <v>460580</v>
      </c>
      <c r="Y65" s="431">
        <v>69000</v>
      </c>
      <c r="Z65" s="431">
        <v>1448538</v>
      </c>
      <c r="AA65" s="431">
        <v>0</v>
      </c>
      <c r="AB65" s="431">
        <v>-614</v>
      </c>
      <c r="AC65" s="431">
        <v>703781</v>
      </c>
      <c r="AD65" s="431">
        <v>82587</v>
      </c>
      <c r="AE65" s="431">
        <v>3461234</v>
      </c>
      <c r="AF65" s="431">
        <v>20615</v>
      </c>
      <c r="AG65" s="431">
        <v>179367</v>
      </c>
      <c r="AH65" s="431">
        <v>468531</v>
      </c>
      <c r="AI65" s="431">
        <v>260644</v>
      </c>
      <c r="AJ65" s="431">
        <v>220962</v>
      </c>
      <c r="AK65" s="431">
        <v>0</v>
      </c>
      <c r="AL65" s="431">
        <v>720944</v>
      </c>
      <c r="AM65" s="431">
        <v>2094</v>
      </c>
    </row>
    <row r="66" spans="1:39" s="155" customFormat="1" ht="12" x14ac:dyDescent="0.2">
      <c r="A66" s="168">
        <v>12</v>
      </c>
      <c r="B66" s="177">
        <v>121876</v>
      </c>
      <c r="C66" s="224" t="s">
        <v>1621</v>
      </c>
      <c r="D66" s="438">
        <f t="shared" si="11"/>
        <v>6458530</v>
      </c>
      <c r="E66" s="431">
        <v>728661</v>
      </c>
      <c r="F66" s="431">
        <v>110061</v>
      </c>
      <c r="G66" s="431">
        <v>343470</v>
      </c>
      <c r="H66" s="431">
        <v>0</v>
      </c>
      <c r="I66" s="431">
        <v>1739672</v>
      </c>
      <c r="J66" s="431">
        <v>130000</v>
      </c>
      <c r="K66" s="431">
        <v>1157910</v>
      </c>
      <c r="L66" s="431">
        <v>0</v>
      </c>
      <c r="M66" s="431">
        <v>2675335</v>
      </c>
      <c r="N66" s="431">
        <v>0</v>
      </c>
      <c r="O66" s="431">
        <v>26952</v>
      </c>
      <c r="P66" s="438">
        <f t="shared" si="12"/>
        <v>6229638</v>
      </c>
      <c r="Q66" s="431">
        <v>1849229</v>
      </c>
      <c r="R66" s="431">
        <v>970560</v>
      </c>
      <c r="S66" s="431">
        <v>0</v>
      </c>
      <c r="T66" s="431">
        <v>0</v>
      </c>
      <c r="U66" s="431">
        <v>59280</v>
      </c>
      <c r="V66" s="431">
        <v>2400</v>
      </c>
      <c r="W66" s="431">
        <v>0</v>
      </c>
      <c r="X66" s="431">
        <v>287597</v>
      </c>
      <c r="Y66" s="431">
        <v>55000</v>
      </c>
      <c r="Z66" s="431">
        <v>3005572</v>
      </c>
      <c r="AA66" s="431">
        <v>0</v>
      </c>
      <c r="AB66" s="431">
        <v>0</v>
      </c>
      <c r="AC66" s="431">
        <v>702017</v>
      </c>
      <c r="AD66" s="431">
        <v>11026</v>
      </c>
      <c r="AE66" s="431">
        <v>1805190</v>
      </c>
      <c r="AF66" s="431">
        <v>0</v>
      </c>
      <c r="AG66" s="431">
        <v>154967</v>
      </c>
      <c r="AH66" s="431">
        <v>287597</v>
      </c>
      <c r="AI66" s="431">
        <v>1125944</v>
      </c>
      <c r="AJ66" s="431">
        <v>1856324</v>
      </c>
      <c r="AK66" s="431">
        <v>0</v>
      </c>
      <c r="AL66" s="431">
        <v>286573</v>
      </c>
      <c r="AM66" s="431">
        <v>0</v>
      </c>
    </row>
    <row r="67" spans="1:39" s="155" customFormat="1" ht="12" x14ac:dyDescent="0.2">
      <c r="A67" s="168">
        <v>13</v>
      </c>
      <c r="B67" s="177">
        <v>121938</v>
      </c>
      <c r="C67" s="224" t="s">
        <v>1622</v>
      </c>
      <c r="D67" s="438">
        <f t="shared" si="11"/>
        <v>6046438</v>
      </c>
      <c r="E67" s="431">
        <v>874240</v>
      </c>
      <c r="F67" s="431">
        <v>170244</v>
      </c>
      <c r="G67" s="431">
        <v>306771</v>
      </c>
      <c r="H67" s="431">
        <v>0</v>
      </c>
      <c r="I67" s="431">
        <v>2031163</v>
      </c>
      <c r="J67" s="431">
        <v>180000</v>
      </c>
      <c r="K67" s="431">
        <v>1036520</v>
      </c>
      <c r="L67" s="431">
        <v>0</v>
      </c>
      <c r="M67" s="431">
        <v>1338129</v>
      </c>
      <c r="N67" s="431">
        <v>556296</v>
      </c>
      <c r="O67" s="431">
        <v>30090</v>
      </c>
      <c r="P67" s="438">
        <f t="shared" si="12"/>
        <v>5263806</v>
      </c>
      <c r="Q67" s="431">
        <v>2480692</v>
      </c>
      <c r="R67" s="431">
        <v>970640</v>
      </c>
      <c r="S67" s="431">
        <v>0</v>
      </c>
      <c r="T67" s="431">
        <v>0</v>
      </c>
      <c r="U67" s="431">
        <v>37560</v>
      </c>
      <c r="V67" s="431">
        <v>4868</v>
      </c>
      <c r="W67" s="431">
        <v>556296</v>
      </c>
      <c r="X67" s="431">
        <v>179379</v>
      </c>
      <c r="Y67" s="431">
        <v>98987</v>
      </c>
      <c r="Z67" s="431">
        <v>1351950</v>
      </c>
      <c r="AA67" s="431">
        <v>0</v>
      </c>
      <c r="AB67" s="431">
        <v>-416566</v>
      </c>
      <c r="AC67" s="431">
        <v>846507</v>
      </c>
      <c r="AD67" s="431">
        <v>122601</v>
      </c>
      <c r="AE67" s="431">
        <v>1763500</v>
      </c>
      <c r="AF67" s="431">
        <v>0</v>
      </c>
      <c r="AG67" s="431">
        <v>122134</v>
      </c>
      <c r="AH67" s="431">
        <v>419763</v>
      </c>
      <c r="AI67" s="431">
        <v>251306</v>
      </c>
      <c r="AJ67" s="431">
        <v>5550</v>
      </c>
      <c r="AK67" s="431">
        <v>0</v>
      </c>
      <c r="AL67" s="431">
        <v>1732445</v>
      </c>
      <c r="AM67" s="431">
        <v>0</v>
      </c>
    </row>
    <row r="68" spans="1:39" s="155" customFormat="1" ht="12" x14ac:dyDescent="0.2">
      <c r="A68" s="168">
        <v>14</v>
      </c>
      <c r="B68" s="177">
        <v>122025</v>
      </c>
      <c r="C68" s="224" t="s">
        <v>1623</v>
      </c>
      <c r="D68" s="438">
        <f t="shared" si="11"/>
        <v>4380373</v>
      </c>
      <c r="E68" s="431">
        <v>1967060</v>
      </c>
      <c r="F68" s="431">
        <v>389559</v>
      </c>
      <c r="G68" s="431">
        <v>64930</v>
      </c>
      <c r="H68" s="431">
        <v>0</v>
      </c>
      <c r="I68" s="431">
        <v>1181287</v>
      </c>
      <c r="J68" s="431">
        <v>50000</v>
      </c>
      <c r="K68" s="431">
        <v>225250</v>
      </c>
      <c r="L68" s="431">
        <v>0</v>
      </c>
      <c r="M68" s="431">
        <v>898726</v>
      </c>
      <c r="N68" s="431">
        <v>0</v>
      </c>
      <c r="O68" s="431">
        <v>58050</v>
      </c>
      <c r="P68" s="438">
        <f t="shared" si="12"/>
        <v>4087084</v>
      </c>
      <c r="Q68" s="431">
        <v>1491820</v>
      </c>
      <c r="R68" s="431">
        <v>782646</v>
      </c>
      <c r="S68" s="431">
        <v>0</v>
      </c>
      <c r="T68" s="431">
        <v>0</v>
      </c>
      <c r="U68" s="431">
        <v>327900</v>
      </c>
      <c r="V68" s="431">
        <v>0</v>
      </c>
      <c r="W68" s="431">
        <v>0</v>
      </c>
      <c r="X68" s="431">
        <v>186432</v>
      </c>
      <c r="Y68" s="431">
        <v>0</v>
      </c>
      <c r="Z68" s="431">
        <v>1229062</v>
      </c>
      <c r="AA68" s="431">
        <v>69224</v>
      </c>
      <c r="AB68" s="431">
        <v>0</v>
      </c>
      <c r="AC68" s="431">
        <v>539601</v>
      </c>
      <c r="AD68" s="431">
        <v>58908</v>
      </c>
      <c r="AE68" s="431">
        <v>1058652</v>
      </c>
      <c r="AF68" s="431">
        <v>172789</v>
      </c>
      <c r="AG68" s="431">
        <v>56262</v>
      </c>
      <c r="AH68" s="431">
        <v>614826</v>
      </c>
      <c r="AI68" s="431">
        <v>220969</v>
      </c>
      <c r="AJ68" s="431">
        <v>83533</v>
      </c>
      <c r="AK68" s="431">
        <v>0</v>
      </c>
      <c r="AL68" s="431">
        <v>1281544</v>
      </c>
      <c r="AM68" s="431">
        <v>0</v>
      </c>
    </row>
    <row r="69" spans="1:39" s="155" customFormat="1" ht="12" x14ac:dyDescent="0.2">
      <c r="A69" s="168">
        <v>15</v>
      </c>
      <c r="B69" s="177">
        <v>122061</v>
      </c>
      <c r="C69" s="224" t="s">
        <v>1624</v>
      </c>
      <c r="D69" s="438">
        <f t="shared" si="11"/>
        <v>5613886</v>
      </c>
      <c r="E69" s="431">
        <v>863328</v>
      </c>
      <c r="F69" s="431">
        <v>128891</v>
      </c>
      <c r="G69" s="431">
        <v>326532</v>
      </c>
      <c r="H69" s="431">
        <v>0</v>
      </c>
      <c r="I69" s="431">
        <v>1441000</v>
      </c>
      <c r="J69" s="431">
        <v>150000</v>
      </c>
      <c r="K69" s="431">
        <v>1202010</v>
      </c>
      <c r="L69" s="431">
        <v>0</v>
      </c>
      <c r="M69" s="431">
        <v>1567865</v>
      </c>
      <c r="N69" s="431">
        <v>366883</v>
      </c>
      <c r="O69" s="431">
        <v>22800</v>
      </c>
      <c r="P69" s="438">
        <f t="shared" si="12"/>
        <v>5312771</v>
      </c>
      <c r="Q69" s="431">
        <v>1771468</v>
      </c>
      <c r="R69" s="431">
        <v>1171247</v>
      </c>
      <c r="S69" s="431">
        <v>0</v>
      </c>
      <c r="T69" s="431">
        <v>0</v>
      </c>
      <c r="U69" s="431">
        <v>24000</v>
      </c>
      <c r="V69" s="431">
        <v>30807</v>
      </c>
      <c r="W69" s="431">
        <v>484300</v>
      </c>
      <c r="X69" s="431">
        <v>202448</v>
      </c>
      <c r="Y69" s="431">
        <v>75732</v>
      </c>
      <c r="Z69" s="431">
        <v>1552769</v>
      </c>
      <c r="AA69" s="431">
        <v>0</v>
      </c>
      <c r="AB69" s="431">
        <v>0</v>
      </c>
      <c r="AC69" s="431">
        <v>829771</v>
      </c>
      <c r="AD69" s="431">
        <v>66502</v>
      </c>
      <c r="AE69" s="431">
        <v>1304000</v>
      </c>
      <c r="AF69" s="431">
        <v>0</v>
      </c>
      <c r="AG69" s="431">
        <v>335025</v>
      </c>
      <c r="AH69" s="431">
        <v>328095</v>
      </c>
      <c r="AI69" s="431">
        <v>292340</v>
      </c>
      <c r="AJ69" s="431">
        <v>124298</v>
      </c>
      <c r="AK69" s="431">
        <v>0</v>
      </c>
      <c r="AL69" s="431">
        <v>2032740</v>
      </c>
      <c r="AM69" s="431">
        <v>0</v>
      </c>
    </row>
    <row r="70" spans="1:39" s="155" customFormat="1" ht="12" x14ac:dyDescent="0.2">
      <c r="A70" s="168">
        <v>16</v>
      </c>
      <c r="B70" s="177">
        <v>120888</v>
      </c>
      <c r="C70" s="224" t="s">
        <v>1625</v>
      </c>
      <c r="D70" s="438">
        <f t="shared" si="11"/>
        <v>13566067</v>
      </c>
      <c r="E70" s="431">
        <v>6121521</v>
      </c>
      <c r="F70" s="431">
        <v>3480917</v>
      </c>
      <c r="G70" s="431">
        <v>27308</v>
      </c>
      <c r="H70" s="431">
        <v>0</v>
      </c>
      <c r="I70" s="431">
        <v>3377424</v>
      </c>
      <c r="J70" s="431">
        <v>250000</v>
      </c>
      <c r="K70" s="431">
        <v>117370</v>
      </c>
      <c r="L70" s="431">
        <v>0</v>
      </c>
      <c r="M70" s="431">
        <v>3674702</v>
      </c>
      <c r="N70" s="431">
        <v>0</v>
      </c>
      <c r="O70" s="431">
        <v>25050</v>
      </c>
      <c r="P70" s="438">
        <f t="shared" si="12"/>
        <v>13565203</v>
      </c>
      <c r="Q70" s="431">
        <v>3386840</v>
      </c>
      <c r="R70" s="431">
        <v>3374908</v>
      </c>
      <c r="S70" s="431">
        <v>0</v>
      </c>
      <c r="T70" s="431">
        <v>0</v>
      </c>
      <c r="U70" s="431">
        <v>23760</v>
      </c>
      <c r="V70" s="431">
        <v>2400</v>
      </c>
      <c r="W70" s="431">
        <v>0</v>
      </c>
      <c r="X70" s="431">
        <v>508484</v>
      </c>
      <c r="Y70" s="431">
        <v>899677</v>
      </c>
      <c r="Z70" s="431">
        <v>5369134</v>
      </c>
      <c r="AA70" s="431">
        <v>0</v>
      </c>
      <c r="AB70" s="431">
        <v>0</v>
      </c>
      <c r="AC70" s="431">
        <v>1381177</v>
      </c>
      <c r="AD70" s="431">
        <v>310302</v>
      </c>
      <c r="AE70" s="431">
        <v>3262697</v>
      </c>
      <c r="AF70" s="431">
        <v>0</v>
      </c>
      <c r="AG70" s="431">
        <v>917448</v>
      </c>
      <c r="AH70" s="431">
        <v>516331</v>
      </c>
      <c r="AI70" s="431">
        <v>904750</v>
      </c>
      <c r="AJ70" s="431">
        <v>958619</v>
      </c>
      <c r="AK70" s="431">
        <v>0</v>
      </c>
      <c r="AL70" s="431">
        <v>4375586</v>
      </c>
      <c r="AM70" s="431">
        <v>938293</v>
      </c>
    </row>
    <row r="71" spans="1:39" s="155" customFormat="1" ht="12" x14ac:dyDescent="0.2">
      <c r="A71" s="168">
        <v>17</v>
      </c>
      <c r="B71" s="177">
        <v>122132</v>
      </c>
      <c r="C71" s="224" t="s">
        <v>1626</v>
      </c>
      <c r="D71" s="438">
        <f t="shared" si="11"/>
        <v>7527438</v>
      </c>
      <c r="E71" s="431">
        <v>932945</v>
      </c>
      <c r="F71" s="431">
        <v>267854</v>
      </c>
      <c r="G71" s="431">
        <v>287950</v>
      </c>
      <c r="H71" s="431">
        <v>0</v>
      </c>
      <c r="I71" s="431">
        <v>1281108</v>
      </c>
      <c r="J71" s="431">
        <v>280000</v>
      </c>
      <c r="K71" s="431">
        <v>926530</v>
      </c>
      <c r="L71" s="431">
        <v>0</v>
      </c>
      <c r="M71" s="431">
        <v>4090421</v>
      </c>
      <c r="N71" s="431">
        <v>0</v>
      </c>
      <c r="O71" s="431">
        <v>16434</v>
      </c>
      <c r="P71" s="438">
        <f t="shared" si="12"/>
        <v>7392135</v>
      </c>
      <c r="Q71" s="431">
        <v>1542442</v>
      </c>
      <c r="R71" s="431">
        <v>819360</v>
      </c>
      <c r="S71" s="431">
        <v>0</v>
      </c>
      <c r="T71" s="431">
        <v>0</v>
      </c>
      <c r="U71" s="431">
        <v>21000</v>
      </c>
      <c r="V71" s="431">
        <v>45231</v>
      </c>
      <c r="W71" s="431">
        <v>0</v>
      </c>
      <c r="X71" s="431">
        <v>199555</v>
      </c>
      <c r="Y71" s="431">
        <v>35080</v>
      </c>
      <c r="Z71" s="431">
        <v>4730309</v>
      </c>
      <c r="AA71" s="431">
        <v>0</v>
      </c>
      <c r="AB71" s="431">
        <v>-842</v>
      </c>
      <c r="AC71" s="431">
        <v>668248</v>
      </c>
      <c r="AD71" s="431">
        <v>67828</v>
      </c>
      <c r="AE71" s="431">
        <v>2215081</v>
      </c>
      <c r="AF71" s="431">
        <v>0</v>
      </c>
      <c r="AG71" s="431">
        <v>57167</v>
      </c>
      <c r="AH71" s="431">
        <v>278895</v>
      </c>
      <c r="AI71" s="431">
        <v>386469</v>
      </c>
      <c r="AJ71" s="431">
        <v>177385</v>
      </c>
      <c r="AK71" s="431">
        <v>0</v>
      </c>
      <c r="AL71" s="431">
        <v>3541062</v>
      </c>
      <c r="AM71" s="431">
        <v>0</v>
      </c>
    </row>
    <row r="72" spans="1:39" s="155" customFormat="1" ht="12" x14ac:dyDescent="0.2">
      <c r="A72" s="168">
        <v>18</v>
      </c>
      <c r="B72" s="177">
        <v>122187</v>
      </c>
      <c r="C72" s="224" t="s">
        <v>1627</v>
      </c>
      <c r="D72" s="438">
        <f t="shared" si="11"/>
        <v>6584194</v>
      </c>
      <c r="E72" s="431">
        <v>1249890</v>
      </c>
      <c r="F72" s="431">
        <v>259779</v>
      </c>
      <c r="G72" s="431">
        <v>230549</v>
      </c>
      <c r="H72" s="431">
        <v>0</v>
      </c>
      <c r="I72" s="431">
        <v>2193955</v>
      </c>
      <c r="J72" s="431">
        <v>440000</v>
      </c>
      <c r="K72" s="431">
        <v>1153740</v>
      </c>
      <c r="L72" s="431">
        <v>0</v>
      </c>
      <c r="M72" s="431">
        <v>1546609</v>
      </c>
      <c r="N72" s="431">
        <v>0</v>
      </c>
      <c r="O72" s="431">
        <v>0</v>
      </c>
      <c r="P72" s="438">
        <f t="shared" si="12"/>
        <v>6534798</v>
      </c>
      <c r="Q72" s="431">
        <v>2220945</v>
      </c>
      <c r="R72" s="431">
        <v>1578459</v>
      </c>
      <c r="S72" s="431">
        <v>43243</v>
      </c>
      <c r="T72" s="431">
        <v>0</v>
      </c>
      <c r="U72" s="431">
        <v>0</v>
      </c>
      <c r="V72" s="431">
        <v>0</v>
      </c>
      <c r="W72" s="431">
        <v>0</v>
      </c>
      <c r="X72" s="431">
        <v>546643</v>
      </c>
      <c r="Y72" s="431">
        <v>60542</v>
      </c>
      <c r="Z72" s="431">
        <v>1101527</v>
      </c>
      <c r="AA72" s="431">
        <v>995379</v>
      </c>
      <c r="AB72" s="431">
        <v>-11940</v>
      </c>
      <c r="AC72" s="431">
        <v>1015243</v>
      </c>
      <c r="AD72" s="431">
        <v>29596</v>
      </c>
      <c r="AE72" s="431">
        <v>1977614</v>
      </c>
      <c r="AF72" s="431">
        <v>22000</v>
      </c>
      <c r="AG72" s="431">
        <v>109456</v>
      </c>
      <c r="AH72" s="431">
        <v>560637</v>
      </c>
      <c r="AI72" s="431">
        <v>815449</v>
      </c>
      <c r="AJ72" s="431">
        <v>661186</v>
      </c>
      <c r="AK72" s="431">
        <v>0</v>
      </c>
      <c r="AL72" s="431">
        <v>1343617</v>
      </c>
      <c r="AM72" s="431">
        <v>0</v>
      </c>
    </row>
    <row r="73" spans="1:39" s="155" customFormat="1" ht="12" x14ac:dyDescent="0.2">
      <c r="A73" s="168">
        <v>19</v>
      </c>
      <c r="B73" s="177">
        <v>122249</v>
      </c>
      <c r="C73" s="224" t="s">
        <v>1628</v>
      </c>
      <c r="D73" s="438">
        <f t="shared" si="11"/>
        <v>6695123</v>
      </c>
      <c r="E73" s="431">
        <v>1225256</v>
      </c>
      <c r="F73" s="431">
        <v>207387</v>
      </c>
      <c r="G73" s="431">
        <v>169383</v>
      </c>
      <c r="H73" s="431">
        <v>0</v>
      </c>
      <c r="I73" s="431">
        <v>1875980</v>
      </c>
      <c r="J73" s="431">
        <v>300000</v>
      </c>
      <c r="K73" s="431">
        <v>810000</v>
      </c>
      <c r="L73" s="431">
        <v>0</v>
      </c>
      <c r="M73" s="431">
        <v>1530180</v>
      </c>
      <c r="N73" s="431">
        <v>845870</v>
      </c>
      <c r="O73" s="431">
        <v>107837</v>
      </c>
      <c r="P73" s="438">
        <f t="shared" si="12"/>
        <v>8625579</v>
      </c>
      <c r="Q73" s="431">
        <v>2287444</v>
      </c>
      <c r="R73" s="431">
        <v>1349893</v>
      </c>
      <c r="S73" s="431">
        <v>0</v>
      </c>
      <c r="T73" s="431">
        <v>0</v>
      </c>
      <c r="U73" s="431">
        <v>7000</v>
      </c>
      <c r="V73" s="431">
        <v>0</v>
      </c>
      <c r="W73" s="431">
        <v>4512715</v>
      </c>
      <c r="X73" s="431">
        <v>239328</v>
      </c>
      <c r="Y73" s="431">
        <v>75000</v>
      </c>
      <c r="Z73" s="431">
        <v>617224</v>
      </c>
      <c r="AA73" s="431">
        <v>0</v>
      </c>
      <c r="AB73" s="431">
        <v>-463025</v>
      </c>
      <c r="AC73" s="431">
        <v>1290044</v>
      </c>
      <c r="AD73" s="431">
        <v>48701</v>
      </c>
      <c r="AE73" s="431">
        <v>1831054</v>
      </c>
      <c r="AF73" s="431">
        <v>24753</v>
      </c>
      <c r="AG73" s="431">
        <v>207364</v>
      </c>
      <c r="AH73" s="431">
        <v>382954</v>
      </c>
      <c r="AI73" s="431">
        <v>3588461</v>
      </c>
      <c r="AJ73" s="431">
        <v>90000</v>
      </c>
      <c r="AK73" s="431">
        <v>0</v>
      </c>
      <c r="AL73" s="431">
        <v>1115120</v>
      </c>
      <c r="AM73" s="431">
        <v>47128</v>
      </c>
    </row>
    <row r="74" spans="1:39" s="155" customFormat="1" ht="12" x14ac:dyDescent="0.2">
      <c r="A74" s="168">
        <v>20</v>
      </c>
      <c r="B74" s="177">
        <v>122285</v>
      </c>
      <c r="C74" s="224" t="s">
        <v>1629</v>
      </c>
      <c r="D74" s="438">
        <f t="shared" si="11"/>
        <v>4474062</v>
      </c>
      <c r="E74" s="431">
        <v>810812</v>
      </c>
      <c r="F74" s="431">
        <v>139693</v>
      </c>
      <c r="G74" s="431">
        <v>254074</v>
      </c>
      <c r="H74" s="431">
        <v>0</v>
      </c>
      <c r="I74" s="431">
        <v>740839</v>
      </c>
      <c r="J74" s="431">
        <v>100000</v>
      </c>
      <c r="K74" s="431">
        <v>846360</v>
      </c>
      <c r="L74" s="431">
        <v>0</v>
      </c>
      <c r="M74" s="431">
        <v>1549435</v>
      </c>
      <c r="N74" s="431">
        <v>411596</v>
      </c>
      <c r="O74" s="431">
        <v>15020</v>
      </c>
      <c r="P74" s="438">
        <f t="shared" si="12"/>
        <v>4328244</v>
      </c>
      <c r="Q74" s="431">
        <v>1159016</v>
      </c>
      <c r="R74" s="431">
        <v>849528</v>
      </c>
      <c r="S74" s="431">
        <v>6778</v>
      </c>
      <c r="T74" s="431">
        <v>0</v>
      </c>
      <c r="U74" s="431">
        <v>57768</v>
      </c>
      <c r="V74" s="431">
        <v>0</v>
      </c>
      <c r="W74" s="431">
        <v>984183</v>
      </c>
      <c r="X74" s="431">
        <v>116831</v>
      </c>
      <c r="Y74" s="431">
        <v>32474</v>
      </c>
      <c r="Z74" s="431">
        <v>348087</v>
      </c>
      <c r="AA74" s="431">
        <v>773579</v>
      </c>
      <c r="AB74" s="431">
        <v>0</v>
      </c>
      <c r="AC74" s="431">
        <v>911876</v>
      </c>
      <c r="AD74" s="431">
        <v>44556</v>
      </c>
      <c r="AE74" s="431">
        <v>783578</v>
      </c>
      <c r="AF74" s="431">
        <v>31674</v>
      </c>
      <c r="AG74" s="431">
        <v>99212</v>
      </c>
      <c r="AH74" s="431">
        <v>171880</v>
      </c>
      <c r="AI74" s="431">
        <v>449407</v>
      </c>
      <c r="AJ74" s="431">
        <v>872825</v>
      </c>
      <c r="AK74" s="431">
        <v>0</v>
      </c>
      <c r="AL74" s="431">
        <v>963236</v>
      </c>
      <c r="AM74" s="431">
        <v>0</v>
      </c>
    </row>
    <row r="75" spans="1:39" s="155" customFormat="1" ht="12" x14ac:dyDescent="0.2">
      <c r="A75" s="168">
        <v>21</v>
      </c>
      <c r="B75" s="177">
        <v>122347</v>
      </c>
      <c r="C75" s="224" t="s">
        <v>1630</v>
      </c>
      <c r="D75" s="438">
        <f t="shared" si="11"/>
        <v>11753981</v>
      </c>
      <c r="E75" s="431">
        <v>1574029</v>
      </c>
      <c r="F75" s="431">
        <v>274771</v>
      </c>
      <c r="G75" s="431">
        <v>642120</v>
      </c>
      <c r="H75" s="431">
        <v>0</v>
      </c>
      <c r="I75" s="431">
        <v>3346666</v>
      </c>
      <c r="J75" s="431">
        <v>200000</v>
      </c>
      <c r="K75" s="431">
        <v>1701460</v>
      </c>
      <c r="L75" s="431">
        <v>0</v>
      </c>
      <c r="M75" s="431">
        <v>4134621</v>
      </c>
      <c r="N75" s="431">
        <v>746379</v>
      </c>
      <c r="O75" s="431">
        <v>50826</v>
      </c>
      <c r="P75" s="438">
        <f t="shared" si="12"/>
        <v>10870945</v>
      </c>
      <c r="Q75" s="431">
        <v>3371588</v>
      </c>
      <c r="R75" s="431">
        <v>1244063</v>
      </c>
      <c r="S75" s="431">
        <v>0</v>
      </c>
      <c r="T75" s="431">
        <v>0</v>
      </c>
      <c r="U75" s="431">
        <v>25000</v>
      </c>
      <c r="V75" s="431">
        <v>58874</v>
      </c>
      <c r="W75" s="431">
        <v>570355</v>
      </c>
      <c r="X75" s="431">
        <v>676480</v>
      </c>
      <c r="Y75" s="431">
        <v>60204</v>
      </c>
      <c r="Z75" s="431">
        <v>4887223</v>
      </c>
      <c r="AA75" s="431">
        <v>0</v>
      </c>
      <c r="AB75" s="431">
        <v>-22842</v>
      </c>
      <c r="AC75" s="431">
        <v>1019315</v>
      </c>
      <c r="AD75" s="431">
        <v>482073</v>
      </c>
      <c r="AE75" s="431">
        <v>3359950</v>
      </c>
      <c r="AF75" s="431">
        <v>0</v>
      </c>
      <c r="AG75" s="431">
        <v>806750</v>
      </c>
      <c r="AH75" s="431">
        <v>676480</v>
      </c>
      <c r="AI75" s="431">
        <v>765813</v>
      </c>
      <c r="AJ75" s="431">
        <v>1024146</v>
      </c>
      <c r="AK75" s="431">
        <v>0</v>
      </c>
      <c r="AL75" s="431">
        <v>2736418</v>
      </c>
      <c r="AM75" s="431">
        <v>0</v>
      </c>
    </row>
    <row r="76" spans="1:39" s="155" customFormat="1" ht="12" x14ac:dyDescent="0.2">
      <c r="A76" s="168">
        <v>22</v>
      </c>
      <c r="B76" s="177">
        <v>122392</v>
      </c>
      <c r="C76" s="224" t="s">
        <v>1631</v>
      </c>
      <c r="D76" s="438">
        <f t="shared" si="11"/>
        <v>4403924</v>
      </c>
      <c r="E76" s="431">
        <v>1271204</v>
      </c>
      <c r="F76" s="431">
        <v>252086</v>
      </c>
      <c r="G76" s="431">
        <v>288891</v>
      </c>
      <c r="H76" s="431">
        <v>0</v>
      </c>
      <c r="I76" s="431">
        <v>1459705</v>
      </c>
      <c r="J76" s="431">
        <v>50000</v>
      </c>
      <c r="K76" s="431">
        <v>1029720</v>
      </c>
      <c r="L76" s="431">
        <v>0</v>
      </c>
      <c r="M76" s="431">
        <v>152526</v>
      </c>
      <c r="N76" s="431">
        <v>416415</v>
      </c>
      <c r="O76" s="431">
        <v>24354</v>
      </c>
      <c r="P76" s="438">
        <f t="shared" si="12"/>
        <v>4396012</v>
      </c>
      <c r="Q76" s="431">
        <v>1885424</v>
      </c>
      <c r="R76" s="431">
        <v>1583500</v>
      </c>
      <c r="S76" s="431">
        <v>0</v>
      </c>
      <c r="T76" s="431">
        <v>0</v>
      </c>
      <c r="U76" s="431">
        <v>0</v>
      </c>
      <c r="V76" s="431">
        <v>0</v>
      </c>
      <c r="W76" s="431">
        <v>594070</v>
      </c>
      <c r="X76" s="431">
        <v>229762</v>
      </c>
      <c r="Y76" s="431">
        <v>33842</v>
      </c>
      <c r="Z76" s="431">
        <v>69500</v>
      </c>
      <c r="AA76" s="431">
        <v>0</v>
      </c>
      <c r="AB76" s="431">
        <v>-86</v>
      </c>
      <c r="AC76" s="431">
        <v>1221838</v>
      </c>
      <c r="AD76" s="431">
        <v>33313</v>
      </c>
      <c r="AE76" s="431">
        <v>1377545</v>
      </c>
      <c r="AF76" s="431">
        <v>0</v>
      </c>
      <c r="AG76" s="431">
        <v>183284</v>
      </c>
      <c r="AH76" s="431">
        <v>229762</v>
      </c>
      <c r="AI76" s="431">
        <v>150000</v>
      </c>
      <c r="AJ76" s="431">
        <v>102000</v>
      </c>
      <c r="AK76" s="431">
        <v>0</v>
      </c>
      <c r="AL76" s="431">
        <v>1098270</v>
      </c>
      <c r="AM76" s="431">
        <v>0</v>
      </c>
    </row>
    <row r="77" spans="1:39" s="155" customFormat="1" ht="12" x14ac:dyDescent="0.2">
      <c r="A77" s="168">
        <v>23</v>
      </c>
      <c r="B77" s="177">
        <v>120771</v>
      </c>
      <c r="C77" s="224" t="s">
        <v>1632</v>
      </c>
      <c r="D77" s="438">
        <f t="shared" si="11"/>
        <v>10086051</v>
      </c>
      <c r="E77" s="431">
        <v>6410387</v>
      </c>
      <c r="F77" s="431">
        <v>3611635</v>
      </c>
      <c r="G77" s="431">
        <v>33208</v>
      </c>
      <c r="H77" s="431">
        <v>0</v>
      </c>
      <c r="I77" s="431">
        <v>3467428</v>
      </c>
      <c r="J77" s="431">
        <v>50000</v>
      </c>
      <c r="K77" s="431">
        <v>108630</v>
      </c>
      <c r="L77" s="431">
        <v>0</v>
      </c>
      <c r="M77" s="431">
        <v>18064</v>
      </c>
      <c r="N77" s="431">
        <v>0</v>
      </c>
      <c r="O77" s="431">
        <v>31542</v>
      </c>
      <c r="P77" s="438">
        <f t="shared" si="12"/>
        <v>9541581</v>
      </c>
      <c r="Q77" s="431">
        <v>3669577</v>
      </c>
      <c r="R77" s="431">
        <v>1890257</v>
      </c>
      <c r="S77" s="431">
        <v>0</v>
      </c>
      <c r="T77" s="431">
        <v>0</v>
      </c>
      <c r="U77" s="431">
        <v>119580</v>
      </c>
      <c r="V77" s="431">
        <v>27690</v>
      </c>
      <c r="W77" s="431">
        <v>0</v>
      </c>
      <c r="X77" s="431">
        <v>494109</v>
      </c>
      <c r="Y77" s="431">
        <v>53847</v>
      </c>
      <c r="Z77" s="431">
        <v>3292680</v>
      </c>
      <c r="AA77" s="431">
        <v>0</v>
      </c>
      <c r="AB77" s="431">
        <v>-6159</v>
      </c>
      <c r="AC77" s="431">
        <v>1436551</v>
      </c>
      <c r="AD77" s="431">
        <v>127151</v>
      </c>
      <c r="AE77" s="431">
        <v>3307827</v>
      </c>
      <c r="AF77" s="431">
        <v>1537</v>
      </c>
      <c r="AG77" s="431">
        <v>293907</v>
      </c>
      <c r="AH77" s="431">
        <v>668726</v>
      </c>
      <c r="AI77" s="431">
        <v>1039402</v>
      </c>
      <c r="AJ77" s="431">
        <v>591461</v>
      </c>
      <c r="AK77" s="431">
        <v>0</v>
      </c>
      <c r="AL77" s="431">
        <v>2072601</v>
      </c>
      <c r="AM77" s="431">
        <v>2418</v>
      </c>
    </row>
    <row r="78" spans="1:39" s="155" customFormat="1" ht="12" x14ac:dyDescent="0.2">
      <c r="A78" s="168">
        <v>24</v>
      </c>
      <c r="B78" s="177">
        <v>122463</v>
      </c>
      <c r="C78" s="224" t="s">
        <v>1633</v>
      </c>
      <c r="D78" s="438">
        <f t="shared" si="11"/>
        <v>3817189</v>
      </c>
      <c r="E78" s="431">
        <v>1021243</v>
      </c>
      <c r="F78" s="431">
        <v>169270</v>
      </c>
      <c r="G78" s="431">
        <v>303007</v>
      </c>
      <c r="H78" s="431">
        <v>0</v>
      </c>
      <c r="I78" s="431">
        <v>1068426</v>
      </c>
      <c r="J78" s="431">
        <v>250000</v>
      </c>
      <c r="K78" s="431">
        <v>933630</v>
      </c>
      <c r="L78" s="431">
        <v>0</v>
      </c>
      <c r="M78" s="431">
        <v>145848</v>
      </c>
      <c r="N78" s="431">
        <v>368042</v>
      </c>
      <c r="O78" s="431">
        <v>30000</v>
      </c>
      <c r="P78" s="438">
        <f t="shared" si="12"/>
        <v>3648457</v>
      </c>
      <c r="Q78" s="431">
        <v>1438827</v>
      </c>
      <c r="R78" s="431">
        <v>785731</v>
      </c>
      <c r="S78" s="431">
        <v>7135</v>
      </c>
      <c r="T78" s="431">
        <v>0</v>
      </c>
      <c r="U78" s="431">
        <v>30000</v>
      </c>
      <c r="V78" s="431">
        <v>21850</v>
      </c>
      <c r="W78" s="431">
        <v>0</v>
      </c>
      <c r="X78" s="431">
        <v>227891</v>
      </c>
      <c r="Y78" s="431">
        <v>38000</v>
      </c>
      <c r="Z78" s="431">
        <v>672476</v>
      </c>
      <c r="AA78" s="431">
        <v>457000</v>
      </c>
      <c r="AB78" s="431">
        <v>-30453</v>
      </c>
      <c r="AC78" s="431">
        <v>673594</v>
      </c>
      <c r="AD78" s="431">
        <v>68660</v>
      </c>
      <c r="AE78" s="431">
        <v>1070704</v>
      </c>
      <c r="AF78" s="431">
        <v>22592</v>
      </c>
      <c r="AG78" s="431">
        <v>393231</v>
      </c>
      <c r="AH78" s="431">
        <v>280976</v>
      </c>
      <c r="AI78" s="431">
        <v>316395</v>
      </c>
      <c r="AJ78" s="431">
        <v>114686</v>
      </c>
      <c r="AK78" s="431">
        <v>0</v>
      </c>
      <c r="AL78" s="431">
        <v>707619</v>
      </c>
      <c r="AM78" s="431">
        <v>0</v>
      </c>
    </row>
    <row r="79" spans="1:39" s="155" customFormat="1" ht="12" x14ac:dyDescent="0.2">
      <c r="A79" s="168">
        <v>25</v>
      </c>
      <c r="B79" s="177">
        <v>122551</v>
      </c>
      <c r="C79" s="224" t="s">
        <v>1634</v>
      </c>
      <c r="D79" s="438">
        <f t="shared" si="11"/>
        <v>5645053</v>
      </c>
      <c r="E79" s="431">
        <v>977194</v>
      </c>
      <c r="F79" s="431">
        <v>222571</v>
      </c>
      <c r="G79" s="431">
        <v>300391</v>
      </c>
      <c r="H79" s="431">
        <v>0</v>
      </c>
      <c r="I79" s="431">
        <v>2091164</v>
      </c>
      <c r="J79" s="431">
        <v>150000</v>
      </c>
      <c r="K79" s="431">
        <v>1005210</v>
      </c>
      <c r="L79" s="431">
        <v>0</v>
      </c>
      <c r="M79" s="431">
        <v>806780</v>
      </c>
      <c r="N79" s="431">
        <v>559283</v>
      </c>
      <c r="O79" s="431">
        <v>55422</v>
      </c>
      <c r="P79" s="438">
        <f t="shared" si="12"/>
        <v>5495757</v>
      </c>
      <c r="Q79" s="431">
        <v>2243029</v>
      </c>
      <c r="R79" s="431">
        <v>832829</v>
      </c>
      <c r="S79" s="431">
        <v>0</v>
      </c>
      <c r="T79" s="431">
        <v>0</v>
      </c>
      <c r="U79" s="431">
        <v>14820</v>
      </c>
      <c r="V79" s="431">
        <v>0</v>
      </c>
      <c r="W79" s="431">
        <v>1154478</v>
      </c>
      <c r="X79" s="431">
        <v>272682</v>
      </c>
      <c r="Y79" s="431">
        <v>34000</v>
      </c>
      <c r="Z79" s="431">
        <v>943919</v>
      </c>
      <c r="AA79" s="431">
        <v>0</v>
      </c>
      <c r="AB79" s="431">
        <v>0</v>
      </c>
      <c r="AC79" s="431">
        <v>679213</v>
      </c>
      <c r="AD79" s="431">
        <v>41412</v>
      </c>
      <c r="AE79" s="431">
        <v>2107329</v>
      </c>
      <c r="AF79" s="431">
        <v>4951</v>
      </c>
      <c r="AG79" s="431">
        <v>1114682</v>
      </c>
      <c r="AH79" s="431">
        <v>286607</v>
      </c>
      <c r="AI79" s="431">
        <v>572587</v>
      </c>
      <c r="AJ79" s="431">
        <v>227867</v>
      </c>
      <c r="AK79" s="431">
        <v>0</v>
      </c>
      <c r="AL79" s="431">
        <v>461109</v>
      </c>
      <c r="AM79" s="431">
        <v>0</v>
      </c>
    </row>
    <row r="80" spans="1:39" s="155" customFormat="1" ht="12" x14ac:dyDescent="0.2">
      <c r="A80" s="168">
        <v>26</v>
      </c>
      <c r="B80" s="177">
        <v>122613</v>
      </c>
      <c r="C80" s="224" t="s">
        <v>1635</v>
      </c>
      <c r="D80" s="438">
        <f t="shared" si="11"/>
        <v>3962874</v>
      </c>
      <c r="E80" s="431">
        <v>879320</v>
      </c>
      <c r="F80" s="431">
        <v>114077</v>
      </c>
      <c r="G80" s="431">
        <v>227725</v>
      </c>
      <c r="H80" s="431">
        <v>0</v>
      </c>
      <c r="I80" s="431">
        <v>1083482</v>
      </c>
      <c r="J80" s="431">
        <v>130000</v>
      </c>
      <c r="K80" s="431">
        <v>705300</v>
      </c>
      <c r="L80" s="431">
        <v>0</v>
      </c>
      <c r="M80" s="431">
        <v>966770</v>
      </c>
      <c r="N80" s="431">
        <v>168002</v>
      </c>
      <c r="O80" s="431">
        <v>30000</v>
      </c>
      <c r="P80" s="438">
        <f t="shared" si="12"/>
        <v>4003046</v>
      </c>
      <c r="Q80" s="431">
        <v>1344937</v>
      </c>
      <c r="R80" s="431">
        <v>584015</v>
      </c>
      <c r="S80" s="431">
        <v>0</v>
      </c>
      <c r="T80" s="431">
        <v>0</v>
      </c>
      <c r="U80" s="431">
        <v>52974</v>
      </c>
      <c r="V80" s="431">
        <v>8694</v>
      </c>
      <c r="W80" s="431">
        <v>176844</v>
      </c>
      <c r="X80" s="431">
        <v>174273</v>
      </c>
      <c r="Y80" s="431">
        <v>37000</v>
      </c>
      <c r="Z80" s="431">
        <v>1630078</v>
      </c>
      <c r="AA80" s="431">
        <v>0</v>
      </c>
      <c r="AB80" s="431">
        <v>-5769</v>
      </c>
      <c r="AC80" s="431">
        <v>784684</v>
      </c>
      <c r="AD80" s="431">
        <v>96519</v>
      </c>
      <c r="AE80" s="431">
        <v>1045415</v>
      </c>
      <c r="AF80" s="431">
        <v>0</v>
      </c>
      <c r="AG80" s="431">
        <v>76179</v>
      </c>
      <c r="AH80" s="431">
        <v>176748</v>
      </c>
      <c r="AI80" s="431">
        <v>44670</v>
      </c>
      <c r="AJ80" s="431">
        <v>90759</v>
      </c>
      <c r="AK80" s="431">
        <v>0</v>
      </c>
      <c r="AL80" s="431">
        <v>1688072</v>
      </c>
      <c r="AM80" s="431">
        <v>0</v>
      </c>
    </row>
    <row r="81" spans="1:39" s="155" customFormat="1" ht="12" x14ac:dyDescent="0.2">
      <c r="A81" s="168">
        <v>27</v>
      </c>
      <c r="B81" s="177">
        <v>122668</v>
      </c>
      <c r="C81" s="224" t="s">
        <v>1636</v>
      </c>
      <c r="D81" s="438">
        <f t="shared" si="11"/>
        <v>6937970</v>
      </c>
      <c r="E81" s="431">
        <v>1609246</v>
      </c>
      <c r="F81" s="431">
        <v>404084</v>
      </c>
      <c r="G81" s="431">
        <v>367400</v>
      </c>
      <c r="H81" s="431">
        <v>0</v>
      </c>
      <c r="I81" s="431">
        <v>2602469</v>
      </c>
      <c r="J81" s="431">
        <v>90000</v>
      </c>
      <c r="K81" s="431">
        <v>1083780</v>
      </c>
      <c r="L81" s="431">
        <v>0</v>
      </c>
      <c r="M81" s="431">
        <v>1184418</v>
      </c>
      <c r="N81" s="431">
        <v>350621</v>
      </c>
      <c r="O81" s="431">
        <v>17436</v>
      </c>
      <c r="P81" s="438">
        <f t="shared" si="12"/>
        <v>5989378</v>
      </c>
      <c r="Q81" s="431">
        <v>2597371</v>
      </c>
      <c r="R81" s="431">
        <v>948698</v>
      </c>
      <c r="S81" s="431">
        <v>0</v>
      </c>
      <c r="T81" s="431">
        <v>0</v>
      </c>
      <c r="U81" s="431">
        <v>59280</v>
      </c>
      <c r="V81" s="431">
        <v>9600</v>
      </c>
      <c r="W81" s="431">
        <v>988808</v>
      </c>
      <c r="X81" s="431">
        <v>569773</v>
      </c>
      <c r="Y81" s="431">
        <v>40000</v>
      </c>
      <c r="Z81" s="431">
        <v>827208</v>
      </c>
      <c r="AA81" s="431">
        <v>0</v>
      </c>
      <c r="AB81" s="431">
        <v>-51360</v>
      </c>
      <c r="AC81" s="431">
        <v>642731</v>
      </c>
      <c r="AD81" s="431">
        <v>90208</v>
      </c>
      <c r="AE81" s="431">
        <v>2232896</v>
      </c>
      <c r="AF81" s="431">
        <v>0</v>
      </c>
      <c r="AG81" s="431">
        <v>129110</v>
      </c>
      <c r="AH81" s="431">
        <v>671791</v>
      </c>
      <c r="AI81" s="431">
        <v>833550</v>
      </c>
      <c r="AJ81" s="431">
        <v>261252</v>
      </c>
      <c r="AK81" s="431">
        <v>0</v>
      </c>
      <c r="AL81" s="431">
        <v>1127840</v>
      </c>
      <c r="AM81" s="431">
        <v>0</v>
      </c>
    </row>
    <row r="82" spans="1:39" s="155" customFormat="1" ht="12" x14ac:dyDescent="0.2">
      <c r="A82" s="168">
        <v>28</v>
      </c>
      <c r="B82" s="177">
        <v>122702</v>
      </c>
      <c r="C82" s="224" t="s">
        <v>1637</v>
      </c>
      <c r="D82" s="438">
        <f t="shared" si="11"/>
        <v>5433731</v>
      </c>
      <c r="E82" s="431">
        <v>2629783</v>
      </c>
      <c r="F82" s="431">
        <v>789454</v>
      </c>
      <c r="G82" s="431">
        <v>157573</v>
      </c>
      <c r="H82" s="431">
        <v>0</v>
      </c>
      <c r="I82" s="431">
        <v>1868682</v>
      </c>
      <c r="J82" s="431">
        <v>50000</v>
      </c>
      <c r="K82" s="431">
        <v>568860</v>
      </c>
      <c r="L82" s="431">
        <v>0</v>
      </c>
      <c r="M82" s="431">
        <v>275168</v>
      </c>
      <c r="N82" s="431">
        <v>0</v>
      </c>
      <c r="O82" s="431">
        <v>41238</v>
      </c>
      <c r="P82" s="438">
        <f t="shared" si="12"/>
        <v>5430208</v>
      </c>
      <c r="Q82" s="431">
        <v>2506355</v>
      </c>
      <c r="R82" s="431">
        <v>1749644</v>
      </c>
      <c r="S82" s="431">
        <v>0</v>
      </c>
      <c r="T82" s="431">
        <v>0</v>
      </c>
      <c r="U82" s="431">
        <v>0</v>
      </c>
      <c r="V82" s="431">
        <v>0</v>
      </c>
      <c r="W82" s="431">
        <v>0</v>
      </c>
      <c r="X82" s="431">
        <v>235426</v>
      </c>
      <c r="Y82" s="431">
        <v>29400</v>
      </c>
      <c r="Z82" s="431">
        <v>909383</v>
      </c>
      <c r="AA82" s="431">
        <v>0</v>
      </c>
      <c r="AB82" s="431">
        <v>0</v>
      </c>
      <c r="AC82" s="431">
        <v>1179126</v>
      </c>
      <c r="AD82" s="431">
        <v>30523</v>
      </c>
      <c r="AE82" s="431">
        <v>2087560</v>
      </c>
      <c r="AF82" s="431">
        <v>0</v>
      </c>
      <c r="AG82" s="431">
        <v>101827</v>
      </c>
      <c r="AH82" s="431">
        <v>356327</v>
      </c>
      <c r="AI82" s="431">
        <v>1119543</v>
      </c>
      <c r="AJ82" s="431">
        <v>160357</v>
      </c>
      <c r="AK82" s="431">
        <v>0</v>
      </c>
      <c r="AL82" s="431">
        <v>394945</v>
      </c>
      <c r="AM82" s="431">
        <v>0</v>
      </c>
    </row>
    <row r="83" spans="1:39" s="155" customFormat="1" ht="12" x14ac:dyDescent="0.2">
      <c r="A83" s="168">
        <v>29</v>
      </c>
      <c r="B83" s="177">
        <v>122828</v>
      </c>
      <c r="C83" s="224" t="s">
        <v>1638</v>
      </c>
      <c r="D83" s="438">
        <f t="shared" si="11"/>
        <v>8118911</v>
      </c>
      <c r="E83" s="431">
        <v>1831949</v>
      </c>
      <c r="F83" s="431">
        <v>732531</v>
      </c>
      <c r="G83" s="431">
        <v>164950</v>
      </c>
      <c r="H83" s="431">
        <v>0</v>
      </c>
      <c r="I83" s="431">
        <v>1641905</v>
      </c>
      <c r="J83" s="431">
        <v>200000</v>
      </c>
      <c r="K83" s="431">
        <v>3925920</v>
      </c>
      <c r="L83" s="431">
        <v>0</v>
      </c>
      <c r="M83" s="431">
        <v>75109</v>
      </c>
      <c r="N83" s="431">
        <v>0</v>
      </c>
      <c r="O83" s="431">
        <v>444028</v>
      </c>
      <c r="P83" s="438">
        <f t="shared" si="12"/>
        <v>8117222</v>
      </c>
      <c r="Q83" s="431">
        <v>1841380</v>
      </c>
      <c r="R83" s="431">
        <v>1776567</v>
      </c>
      <c r="S83" s="431">
        <v>325000</v>
      </c>
      <c r="T83" s="431">
        <v>0</v>
      </c>
      <c r="U83" s="431">
        <v>0</v>
      </c>
      <c r="V83" s="431">
        <v>0</v>
      </c>
      <c r="W83" s="431">
        <v>0</v>
      </c>
      <c r="X83" s="431">
        <v>370239</v>
      </c>
      <c r="Y83" s="431">
        <v>0</v>
      </c>
      <c r="Z83" s="431">
        <v>533436</v>
      </c>
      <c r="AA83" s="431">
        <v>3270600</v>
      </c>
      <c r="AB83" s="431">
        <v>0</v>
      </c>
      <c r="AC83" s="431">
        <v>4898938</v>
      </c>
      <c r="AD83" s="431">
        <v>20314</v>
      </c>
      <c r="AE83" s="431">
        <v>1397121</v>
      </c>
      <c r="AF83" s="431">
        <v>30165</v>
      </c>
      <c r="AG83" s="431">
        <v>20968</v>
      </c>
      <c r="AH83" s="431">
        <v>370239</v>
      </c>
      <c r="AI83" s="431">
        <v>150000</v>
      </c>
      <c r="AJ83" s="431">
        <v>708150</v>
      </c>
      <c r="AK83" s="431">
        <v>0</v>
      </c>
      <c r="AL83" s="431">
        <v>430000</v>
      </c>
      <c r="AM83" s="431">
        <v>91327</v>
      </c>
    </row>
    <row r="84" spans="1:39" s="155" customFormat="1" ht="12" x14ac:dyDescent="0.2">
      <c r="A84" s="168">
        <v>30</v>
      </c>
      <c r="B84" s="177">
        <v>122864</v>
      </c>
      <c r="C84" s="224" t="s">
        <v>1639</v>
      </c>
      <c r="D84" s="438">
        <f t="shared" si="11"/>
        <v>4359883</v>
      </c>
      <c r="E84" s="431">
        <v>847189</v>
      </c>
      <c r="F84" s="431">
        <v>149240</v>
      </c>
      <c r="G84" s="431">
        <v>315240</v>
      </c>
      <c r="H84" s="431">
        <v>0</v>
      </c>
      <c r="I84" s="431">
        <v>1395669</v>
      </c>
      <c r="J84" s="431">
        <v>100000</v>
      </c>
      <c r="K84" s="431">
        <v>1179630</v>
      </c>
      <c r="L84" s="431">
        <v>0</v>
      </c>
      <c r="M84" s="431">
        <v>586710</v>
      </c>
      <c r="N84" s="431">
        <v>165749</v>
      </c>
      <c r="O84" s="431">
        <v>84936</v>
      </c>
      <c r="P84" s="438">
        <f t="shared" si="12"/>
        <v>4306182</v>
      </c>
      <c r="Q84" s="431">
        <v>1809551</v>
      </c>
      <c r="R84" s="431">
        <v>501993</v>
      </c>
      <c r="S84" s="431">
        <v>0</v>
      </c>
      <c r="T84" s="431">
        <v>0</v>
      </c>
      <c r="U84" s="431">
        <v>0</v>
      </c>
      <c r="V84" s="431">
        <v>38483</v>
      </c>
      <c r="W84" s="431">
        <v>88436</v>
      </c>
      <c r="X84" s="431">
        <v>93856</v>
      </c>
      <c r="Y84" s="431">
        <v>12000</v>
      </c>
      <c r="Z84" s="431">
        <v>1763987</v>
      </c>
      <c r="AA84" s="431">
        <v>0</v>
      </c>
      <c r="AB84" s="431">
        <v>-2124</v>
      </c>
      <c r="AC84" s="431">
        <v>998702</v>
      </c>
      <c r="AD84" s="431">
        <v>31158</v>
      </c>
      <c r="AE84" s="431">
        <v>1311249</v>
      </c>
      <c r="AF84" s="431">
        <v>0</v>
      </c>
      <c r="AG84" s="431">
        <v>111393</v>
      </c>
      <c r="AH84" s="431">
        <v>120856</v>
      </c>
      <c r="AI84" s="431">
        <v>513407</v>
      </c>
      <c r="AJ84" s="431">
        <v>70353</v>
      </c>
      <c r="AK84" s="431">
        <v>0</v>
      </c>
      <c r="AL84" s="431">
        <v>1149064</v>
      </c>
      <c r="AM84" s="431">
        <v>0</v>
      </c>
    </row>
    <row r="85" spans="1:39" s="155" customFormat="1" ht="12" x14ac:dyDescent="0.2">
      <c r="A85" s="168">
        <v>31</v>
      </c>
      <c r="B85" s="177">
        <v>122908</v>
      </c>
      <c r="C85" s="224" t="s">
        <v>1640</v>
      </c>
      <c r="D85" s="438">
        <f t="shared" si="11"/>
        <v>8067216</v>
      </c>
      <c r="E85" s="431">
        <v>1434990</v>
      </c>
      <c r="F85" s="431">
        <v>244233</v>
      </c>
      <c r="G85" s="431">
        <v>370063</v>
      </c>
      <c r="H85" s="431">
        <v>0</v>
      </c>
      <c r="I85" s="431">
        <v>2262869</v>
      </c>
      <c r="J85" s="431">
        <v>150000</v>
      </c>
      <c r="K85" s="431">
        <v>1214370</v>
      </c>
      <c r="L85" s="431">
        <v>0</v>
      </c>
      <c r="M85" s="431">
        <v>2641291</v>
      </c>
      <c r="N85" s="431">
        <v>363696</v>
      </c>
      <c r="O85" s="431">
        <v>0</v>
      </c>
      <c r="P85" s="438">
        <f t="shared" si="12"/>
        <v>7610640</v>
      </c>
      <c r="Q85" s="431">
        <v>2383327</v>
      </c>
      <c r="R85" s="431">
        <v>1238653</v>
      </c>
      <c r="S85" s="431">
        <v>0</v>
      </c>
      <c r="T85" s="431">
        <v>0</v>
      </c>
      <c r="U85" s="431">
        <v>20630</v>
      </c>
      <c r="V85" s="431">
        <v>0</v>
      </c>
      <c r="W85" s="431">
        <v>0</v>
      </c>
      <c r="X85" s="431">
        <v>495828</v>
      </c>
      <c r="Y85" s="431">
        <v>346355</v>
      </c>
      <c r="Z85" s="431">
        <v>3125847</v>
      </c>
      <c r="AA85" s="431">
        <v>0</v>
      </c>
      <c r="AB85" s="431">
        <v>0</v>
      </c>
      <c r="AC85" s="431">
        <v>1129720</v>
      </c>
      <c r="AD85" s="431">
        <v>23767</v>
      </c>
      <c r="AE85" s="431">
        <v>2030269</v>
      </c>
      <c r="AF85" s="431">
        <v>18076</v>
      </c>
      <c r="AG85" s="431">
        <v>407712</v>
      </c>
      <c r="AH85" s="431">
        <v>495828</v>
      </c>
      <c r="AI85" s="431">
        <v>502733</v>
      </c>
      <c r="AJ85" s="431">
        <v>171691</v>
      </c>
      <c r="AK85" s="431">
        <v>0</v>
      </c>
      <c r="AL85" s="431">
        <v>2830844</v>
      </c>
      <c r="AM85" s="431">
        <v>0</v>
      </c>
    </row>
    <row r="86" spans="1:39" s="155" customFormat="1" ht="12" x14ac:dyDescent="0.2">
      <c r="A86" s="168">
        <v>32</v>
      </c>
      <c r="B86" s="177">
        <v>122953</v>
      </c>
      <c r="C86" s="224" t="s">
        <v>1641</v>
      </c>
      <c r="D86" s="438">
        <f t="shared" si="11"/>
        <v>8399673</v>
      </c>
      <c r="E86" s="431">
        <v>1565672</v>
      </c>
      <c r="F86" s="431">
        <v>674885</v>
      </c>
      <c r="G86" s="431">
        <v>198036</v>
      </c>
      <c r="H86" s="431">
        <v>0</v>
      </c>
      <c r="I86" s="431">
        <v>1912600</v>
      </c>
      <c r="J86" s="431">
        <v>150000</v>
      </c>
      <c r="K86" s="431">
        <v>611580</v>
      </c>
      <c r="L86" s="431">
        <v>0</v>
      </c>
      <c r="M86" s="431">
        <v>1747644</v>
      </c>
      <c r="N86" s="431">
        <v>805976</v>
      </c>
      <c r="O86" s="431">
        <v>1606201</v>
      </c>
      <c r="P86" s="438">
        <f t="shared" si="12"/>
        <v>8687326</v>
      </c>
      <c r="Q86" s="431">
        <v>2366646</v>
      </c>
      <c r="R86" s="431">
        <v>881828</v>
      </c>
      <c r="S86" s="431">
        <v>0</v>
      </c>
      <c r="T86" s="431">
        <v>0</v>
      </c>
      <c r="U86" s="431">
        <v>66998</v>
      </c>
      <c r="V86" s="431">
        <v>-24</v>
      </c>
      <c r="W86" s="431">
        <v>831459</v>
      </c>
      <c r="X86" s="431">
        <v>229728</v>
      </c>
      <c r="Y86" s="431">
        <v>35405</v>
      </c>
      <c r="Z86" s="431">
        <v>4275286</v>
      </c>
      <c r="AA86" s="431">
        <v>0</v>
      </c>
      <c r="AB86" s="431">
        <v>0</v>
      </c>
      <c r="AC86" s="431">
        <v>1513844</v>
      </c>
      <c r="AD86" s="431">
        <v>43835</v>
      </c>
      <c r="AE86" s="431">
        <v>1708259</v>
      </c>
      <c r="AF86" s="431">
        <v>19944</v>
      </c>
      <c r="AG86" s="431">
        <v>661074</v>
      </c>
      <c r="AH86" s="431">
        <v>283904</v>
      </c>
      <c r="AI86" s="431">
        <v>2768070</v>
      </c>
      <c r="AJ86" s="431">
        <v>98553</v>
      </c>
      <c r="AK86" s="431">
        <v>0</v>
      </c>
      <c r="AL86" s="431">
        <v>1589843</v>
      </c>
      <c r="AM86" s="431">
        <v>0</v>
      </c>
    </row>
    <row r="87" spans="1:39" s="155" customFormat="1" ht="12" x14ac:dyDescent="0.2">
      <c r="A87" s="168">
        <v>33</v>
      </c>
      <c r="B87" s="177">
        <v>120922</v>
      </c>
      <c r="C87" s="224" t="s">
        <v>1642</v>
      </c>
      <c r="D87" s="438">
        <f t="shared" ref="D87:D118" si="13">E87+SUM(H87:O87)</f>
        <v>8400781</v>
      </c>
      <c r="E87" s="431">
        <v>2462943</v>
      </c>
      <c r="F87" s="431">
        <v>920121</v>
      </c>
      <c r="G87" s="431">
        <v>326956</v>
      </c>
      <c r="H87" s="431">
        <v>0</v>
      </c>
      <c r="I87" s="431">
        <v>3998207</v>
      </c>
      <c r="J87" s="431">
        <v>50000</v>
      </c>
      <c r="K87" s="431">
        <v>937270</v>
      </c>
      <c r="L87" s="431">
        <v>0</v>
      </c>
      <c r="M87" s="431">
        <v>929793</v>
      </c>
      <c r="N87" s="431">
        <v>0</v>
      </c>
      <c r="O87" s="431">
        <v>22568</v>
      </c>
      <c r="P87" s="438">
        <f t="shared" ref="P87:P118" si="14">IF(SUM(Q87:AB87)=SUM(AC87:AM87),SUM(Q87:AB87),"  EROARE ART/CAP")</f>
        <v>7931818</v>
      </c>
      <c r="Q87" s="431">
        <v>4040248</v>
      </c>
      <c r="R87" s="431">
        <v>1119800</v>
      </c>
      <c r="S87" s="431">
        <v>0</v>
      </c>
      <c r="T87" s="431">
        <v>0</v>
      </c>
      <c r="U87" s="431">
        <v>142320</v>
      </c>
      <c r="V87" s="431">
        <v>56379</v>
      </c>
      <c r="W87" s="431">
        <v>0</v>
      </c>
      <c r="X87" s="431">
        <v>371778</v>
      </c>
      <c r="Y87" s="431">
        <v>193000</v>
      </c>
      <c r="Z87" s="431">
        <v>2009450</v>
      </c>
      <c r="AA87" s="431">
        <v>0</v>
      </c>
      <c r="AB87" s="431">
        <v>-1157</v>
      </c>
      <c r="AC87" s="431">
        <v>949152</v>
      </c>
      <c r="AD87" s="431">
        <v>106675</v>
      </c>
      <c r="AE87" s="431">
        <v>4080207</v>
      </c>
      <c r="AF87" s="431">
        <v>0</v>
      </c>
      <c r="AG87" s="431">
        <v>341270</v>
      </c>
      <c r="AH87" s="431">
        <v>522101</v>
      </c>
      <c r="AI87" s="431">
        <v>245287</v>
      </c>
      <c r="AJ87" s="431">
        <v>99843</v>
      </c>
      <c r="AK87" s="431">
        <v>0</v>
      </c>
      <c r="AL87" s="431">
        <v>1587283</v>
      </c>
      <c r="AM87" s="431">
        <v>0</v>
      </c>
    </row>
    <row r="88" spans="1:39" s="155" customFormat="1" ht="12" x14ac:dyDescent="0.2">
      <c r="A88" s="168">
        <v>34</v>
      </c>
      <c r="B88" s="177">
        <v>123013</v>
      </c>
      <c r="C88" s="224" t="s">
        <v>1643</v>
      </c>
      <c r="D88" s="438">
        <f t="shared" si="13"/>
        <v>6478146</v>
      </c>
      <c r="E88" s="431">
        <v>1092909</v>
      </c>
      <c r="F88" s="431">
        <v>223770</v>
      </c>
      <c r="G88" s="431">
        <v>303007</v>
      </c>
      <c r="H88" s="431">
        <v>0</v>
      </c>
      <c r="I88" s="431">
        <v>2758409</v>
      </c>
      <c r="J88" s="431">
        <v>142232</v>
      </c>
      <c r="K88" s="431">
        <v>1156090</v>
      </c>
      <c r="L88" s="431">
        <v>0</v>
      </c>
      <c r="M88" s="431">
        <v>1328506</v>
      </c>
      <c r="N88" s="431">
        <v>0</v>
      </c>
      <c r="O88" s="431">
        <v>0</v>
      </c>
      <c r="P88" s="438">
        <f t="shared" si="14"/>
        <v>6224930</v>
      </c>
      <c r="Q88" s="431">
        <v>2620606</v>
      </c>
      <c r="R88" s="431">
        <v>761432</v>
      </c>
      <c r="S88" s="431">
        <v>0</v>
      </c>
      <c r="T88" s="431">
        <v>0</v>
      </c>
      <c r="U88" s="431">
        <v>10000</v>
      </c>
      <c r="V88" s="431">
        <v>33933</v>
      </c>
      <c r="W88" s="431">
        <v>0</v>
      </c>
      <c r="X88" s="431">
        <v>452032</v>
      </c>
      <c r="Y88" s="431">
        <v>60000</v>
      </c>
      <c r="Z88" s="431">
        <v>2295981</v>
      </c>
      <c r="AA88" s="431">
        <v>0</v>
      </c>
      <c r="AB88" s="431">
        <v>-9054</v>
      </c>
      <c r="AC88" s="431">
        <v>604401</v>
      </c>
      <c r="AD88" s="431">
        <v>29628</v>
      </c>
      <c r="AE88" s="431">
        <v>3560929</v>
      </c>
      <c r="AF88" s="431">
        <v>0</v>
      </c>
      <c r="AG88" s="431">
        <v>1027215</v>
      </c>
      <c r="AH88" s="431">
        <v>482464</v>
      </c>
      <c r="AI88" s="431">
        <v>100030</v>
      </c>
      <c r="AJ88" s="431">
        <v>34688</v>
      </c>
      <c r="AK88" s="431">
        <v>0</v>
      </c>
      <c r="AL88" s="431">
        <v>385575</v>
      </c>
      <c r="AM88" s="431">
        <v>0</v>
      </c>
    </row>
    <row r="89" spans="1:39" s="155" customFormat="1" ht="12" x14ac:dyDescent="0.2">
      <c r="A89" s="168">
        <v>35</v>
      </c>
      <c r="B89" s="177">
        <v>123102</v>
      </c>
      <c r="C89" s="224" t="s">
        <v>1644</v>
      </c>
      <c r="D89" s="438">
        <f t="shared" si="13"/>
        <v>6424164</v>
      </c>
      <c r="E89" s="431">
        <v>1589341</v>
      </c>
      <c r="F89" s="431">
        <v>278895</v>
      </c>
      <c r="G89" s="431">
        <v>529659</v>
      </c>
      <c r="H89" s="431">
        <v>0</v>
      </c>
      <c r="I89" s="431">
        <v>2524039</v>
      </c>
      <c r="J89" s="431">
        <v>300000</v>
      </c>
      <c r="K89" s="431">
        <v>1484860</v>
      </c>
      <c r="L89" s="431">
        <v>0</v>
      </c>
      <c r="M89" s="431">
        <v>480882</v>
      </c>
      <c r="N89" s="431">
        <v>0</v>
      </c>
      <c r="O89" s="431">
        <v>45042</v>
      </c>
      <c r="P89" s="438">
        <f t="shared" si="14"/>
        <v>6406871</v>
      </c>
      <c r="Q89" s="431">
        <v>2759317</v>
      </c>
      <c r="R89" s="431">
        <v>1112680</v>
      </c>
      <c r="S89" s="431">
        <v>0</v>
      </c>
      <c r="T89" s="431">
        <v>0</v>
      </c>
      <c r="U89" s="431">
        <v>60000</v>
      </c>
      <c r="V89" s="431">
        <v>-55</v>
      </c>
      <c r="W89" s="431">
        <v>0</v>
      </c>
      <c r="X89" s="431">
        <v>340137</v>
      </c>
      <c r="Y89" s="431">
        <v>135000</v>
      </c>
      <c r="Z89" s="431">
        <v>2006070</v>
      </c>
      <c r="AA89" s="431">
        <v>0</v>
      </c>
      <c r="AB89" s="431">
        <v>-6278</v>
      </c>
      <c r="AC89" s="431">
        <v>885885</v>
      </c>
      <c r="AD89" s="431">
        <v>146960</v>
      </c>
      <c r="AE89" s="431">
        <v>2392187</v>
      </c>
      <c r="AF89" s="431">
        <v>22176</v>
      </c>
      <c r="AG89" s="431">
        <v>1374746</v>
      </c>
      <c r="AH89" s="431">
        <v>340137</v>
      </c>
      <c r="AI89" s="431">
        <v>175321</v>
      </c>
      <c r="AJ89" s="431">
        <v>68564</v>
      </c>
      <c r="AK89" s="431">
        <v>0</v>
      </c>
      <c r="AL89" s="431">
        <v>1000895</v>
      </c>
      <c r="AM89" s="431">
        <v>0</v>
      </c>
    </row>
    <row r="90" spans="1:39" s="155" customFormat="1" ht="12" x14ac:dyDescent="0.2">
      <c r="A90" s="168">
        <v>36</v>
      </c>
      <c r="B90" s="177">
        <v>123175</v>
      </c>
      <c r="C90" s="224" t="s">
        <v>1645</v>
      </c>
      <c r="D90" s="438">
        <f t="shared" si="13"/>
        <v>4444776</v>
      </c>
      <c r="E90" s="431">
        <v>1134779</v>
      </c>
      <c r="F90" s="431">
        <v>251364</v>
      </c>
      <c r="G90" s="431">
        <v>259720</v>
      </c>
      <c r="H90" s="431">
        <v>0</v>
      </c>
      <c r="I90" s="431">
        <v>1829801</v>
      </c>
      <c r="J90" s="431">
        <v>80000</v>
      </c>
      <c r="K90" s="431">
        <v>855110</v>
      </c>
      <c r="L90" s="431">
        <v>0</v>
      </c>
      <c r="M90" s="431">
        <v>147013</v>
      </c>
      <c r="N90" s="431">
        <v>397073</v>
      </c>
      <c r="O90" s="431">
        <v>1000</v>
      </c>
      <c r="P90" s="438">
        <f t="shared" si="14"/>
        <v>4051068</v>
      </c>
      <c r="Q90" s="431">
        <v>1965385</v>
      </c>
      <c r="R90" s="431">
        <v>691026</v>
      </c>
      <c r="S90" s="431">
        <v>0</v>
      </c>
      <c r="T90" s="431">
        <v>0</v>
      </c>
      <c r="U90" s="431">
        <v>55560</v>
      </c>
      <c r="V90" s="431">
        <v>0</v>
      </c>
      <c r="W90" s="431">
        <v>501653</v>
      </c>
      <c r="X90" s="431">
        <v>324250</v>
      </c>
      <c r="Y90" s="431">
        <v>48208</v>
      </c>
      <c r="Z90" s="431">
        <v>464986</v>
      </c>
      <c r="AA90" s="431">
        <v>0</v>
      </c>
      <c r="AB90" s="431">
        <v>0</v>
      </c>
      <c r="AC90" s="431">
        <v>685884</v>
      </c>
      <c r="AD90" s="431">
        <v>23895</v>
      </c>
      <c r="AE90" s="431">
        <v>1726877</v>
      </c>
      <c r="AF90" s="431">
        <v>0</v>
      </c>
      <c r="AG90" s="431">
        <v>123749</v>
      </c>
      <c r="AH90" s="431">
        <v>326410</v>
      </c>
      <c r="AI90" s="431">
        <v>398639</v>
      </c>
      <c r="AJ90" s="431">
        <v>98898</v>
      </c>
      <c r="AK90" s="431">
        <v>0</v>
      </c>
      <c r="AL90" s="431">
        <v>645668</v>
      </c>
      <c r="AM90" s="431">
        <v>21048</v>
      </c>
    </row>
    <row r="91" spans="1:39" s="155" customFormat="1" ht="12" x14ac:dyDescent="0.2">
      <c r="A91" s="168">
        <v>37</v>
      </c>
      <c r="B91" s="177">
        <v>123228</v>
      </c>
      <c r="C91" s="224" t="s">
        <v>1646</v>
      </c>
      <c r="D91" s="438">
        <f t="shared" si="13"/>
        <v>2950590</v>
      </c>
      <c r="E91" s="431">
        <v>966026</v>
      </c>
      <c r="F91" s="431">
        <v>253384</v>
      </c>
      <c r="G91" s="431">
        <v>262543</v>
      </c>
      <c r="H91" s="431">
        <v>0</v>
      </c>
      <c r="I91" s="431">
        <v>1065333</v>
      </c>
      <c r="J91" s="431">
        <v>50000</v>
      </c>
      <c r="K91" s="431">
        <v>791960</v>
      </c>
      <c r="L91" s="431">
        <v>0</v>
      </c>
      <c r="M91" s="431">
        <v>52815</v>
      </c>
      <c r="N91" s="431">
        <v>0</v>
      </c>
      <c r="O91" s="431">
        <v>24456</v>
      </c>
      <c r="P91" s="438">
        <f t="shared" si="14"/>
        <v>2908762</v>
      </c>
      <c r="Q91" s="431">
        <v>1477955</v>
      </c>
      <c r="R91" s="431">
        <v>738569</v>
      </c>
      <c r="S91" s="431">
        <v>0</v>
      </c>
      <c r="T91" s="431">
        <v>0</v>
      </c>
      <c r="U91" s="431">
        <v>31680</v>
      </c>
      <c r="V91" s="431">
        <v>18172</v>
      </c>
      <c r="W91" s="431">
        <v>0</v>
      </c>
      <c r="X91" s="431">
        <v>105264</v>
      </c>
      <c r="Y91" s="431">
        <v>16000</v>
      </c>
      <c r="Z91" s="431">
        <v>539769</v>
      </c>
      <c r="AA91" s="431">
        <v>0</v>
      </c>
      <c r="AB91" s="431">
        <v>-18647</v>
      </c>
      <c r="AC91" s="431">
        <v>583324</v>
      </c>
      <c r="AD91" s="431">
        <v>105294</v>
      </c>
      <c r="AE91" s="431">
        <v>960924</v>
      </c>
      <c r="AF91" s="431">
        <v>29192</v>
      </c>
      <c r="AG91" s="431">
        <v>139204</v>
      </c>
      <c r="AH91" s="431">
        <v>282476</v>
      </c>
      <c r="AI91" s="431">
        <v>127650</v>
      </c>
      <c r="AJ91" s="431">
        <v>103772</v>
      </c>
      <c r="AK91" s="431">
        <v>0</v>
      </c>
      <c r="AL91" s="431">
        <v>576926</v>
      </c>
      <c r="AM91" s="431">
        <v>0</v>
      </c>
    </row>
    <row r="92" spans="1:39" s="155" customFormat="1" ht="12" x14ac:dyDescent="0.2">
      <c r="A92" s="168">
        <v>38</v>
      </c>
      <c r="B92" s="177">
        <v>123255</v>
      </c>
      <c r="C92" s="224" t="s">
        <v>1647</v>
      </c>
      <c r="D92" s="438">
        <f t="shared" si="13"/>
        <v>5533721</v>
      </c>
      <c r="E92" s="431">
        <v>805795</v>
      </c>
      <c r="F92" s="431">
        <v>107028</v>
      </c>
      <c r="G92" s="431">
        <v>343470</v>
      </c>
      <c r="H92" s="431">
        <v>0</v>
      </c>
      <c r="I92" s="431">
        <v>1925034</v>
      </c>
      <c r="J92" s="431">
        <v>590000</v>
      </c>
      <c r="K92" s="431">
        <v>1371150</v>
      </c>
      <c r="L92" s="431">
        <v>0</v>
      </c>
      <c r="M92" s="431">
        <v>810348</v>
      </c>
      <c r="N92" s="431">
        <v>4478</v>
      </c>
      <c r="O92" s="431">
        <v>26916</v>
      </c>
      <c r="P92" s="438">
        <f t="shared" si="14"/>
        <v>5334989</v>
      </c>
      <c r="Q92" s="431">
        <v>1973037</v>
      </c>
      <c r="R92" s="431">
        <v>801858</v>
      </c>
      <c r="S92" s="431">
        <v>11585</v>
      </c>
      <c r="T92" s="431">
        <v>0</v>
      </c>
      <c r="U92" s="431">
        <v>59220</v>
      </c>
      <c r="V92" s="431">
        <v>0</v>
      </c>
      <c r="W92" s="431">
        <v>0</v>
      </c>
      <c r="X92" s="431">
        <v>362536</v>
      </c>
      <c r="Y92" s="431">
        <v>80000</v>
      </c>
      <c r="Z92" s="431">
        <v>1435876</v>
      </c>
      <c r="AA92" s="431">
        <v>635366</v>
      </c>
      <c r="AB92" s="431">
        <v>-24489</v>
      </c>
      <c r="AC92" s="431">
        <v>633382</v>
      </c>
      <c r="AD92" s="431">
        <v>98574</v>
      </c>
      <c r="AE92" s="431">
        <v>1744964</v>
      </c>
      <c r="AF92" s="431">
        <v>15156</v>
      </c>
      <c r="AG92" s="431">
        <v>98697</v>
      </c>
      <c r="AH92" s="431">
        <v>361536</v>
      </c>
      <c r="AI92" s="431">
        <v>277905</v>
      </c>
      <c r="AJ92" s="431">
        <v>127567</v>
      </c>
      <c r="AK92" s="431">
        <v>0</v>
      </c>
      <c r="AL92" s="431">
        <v>1975608</v>
      </c>
      <c r="AM92" s="431">
        <v>1600</v>
      </c>
    </row>
    <row r="93" spans="1:39" s="155" customFormat="1" ht="12" x14ac:dyDescent="0.2">
      <c r="A93" s="168">
        <v>39</v>
      </c>
      <c r="B93" s="177">
        <v>123371</v>
      </c>
      <c r="C93" s="224" t="s">
        <v>1648</v>
      </c>
      <c r="D93" s="438">
        <f t="shared" si="13"/>
        <v>4456219</v>
      </c>
      <c r="E93" s="431">
        <v>1118177</v>
      </c>
      <c r="F93" s="431">
        <v>379796</v>
      </c>
      <c r="G93" s="431">
        <v>251251</v>
      </c>
      <c r="H93" s="431">
        <v>0</v>
      </c>
      <c r="I93" s="431">
        <v>2124198</v>
      </c>
      <c r="J93" s="431">
        <v>120000</v>
      </c>
      <c r="K93" s="431">
        <v>845280</v>
      </c>
      <c r="L93" s="431">
        <v>0</v>
      </c>
      <c r="M93" s="431">
        <v>235808</v>
      </c>
      <c r="N93" s="431">
        <v>0</v>
      </c>
      <c r="O93" s="431">
        <v>12756</v>
      </c>
      <c r="P93" s="438">
        <f t="shared" si="14"/>
        <v>3909320</v>
      </c>
      <c r="Q93" s="431">
        <v>2276266</v>
      </c>
      <c r="R93" s="431">
        <v>669331</v>
      </c>
      <c r="S93" s="431">
        <v>4209</v>
      </c>
      <c r="T93" s="431">
        <v>0</v>
      </c>
      <c r="U93" s="431">
        <v>50000</v>
      </c>
      <c r="V93" s="431">
        <v>21184</v>
      </c>
      <c r="W93" s="431">
        <v>0</v>
      </c>
      <c r="X93" s="431">
        <v>368843</v>
      </c>
      <c r="Y93" s="431">
        <v>72800</v>
      </c>
      <c r="Z93" s="431">
        <v>446687</v>
      </c>
      <c r="AA93" s="431">
        <v>0</v>
      </c>
      <c r="AB93" s="431">
        <v>0</v>
      </c>
      <c r="AC93" s="431">
        <v>878507</v>
      </c>
      <c r="AD93" s="431">
        <v>125998</v>
      </c>
      <c r="AE93" s="431">
        <v>1963325</v>
      </c>
      <c r="AF93" s="431">
        <v>0</v>
      </c>
      <c r="AG93" s="431">
        <v>109443</v>
      </c>
      <c r="AH93" s="431">
        <v>368843</v>
      </c>
      <c r="AI93" s="431">
        <v>113661</v>
      </c>
      <c r="AJ93" s="431">
        <v>30317</v>
      </c>
      <c r="AK93" s="431">
        <v>0</v>
      </c>
      <c r="AL93" s="431">
        <v>319226</v>
      </c>
      <c r="AM93" s="431">
        <v>0</v>
      </c>
    </row>
    <row r="94" spans="1:39" s="155" customFormat="1" ht="12" x14ac:dyDescent="0.2">
      <c r="A94" s="168">
        <v>40</v>
      </c>
      <c r="B94" s="177">
        <v>123424</v>
      </c>
      <c r="C94" s="224" t="s">
        <v>1649</v>
      </c>
      <c r="D94" s="438">
        <f t="shared" si="13"/>
        <v>7372393</v>
      </c>
      <c r="E94" s="431">
        <v>1230566</v>
      </c>
      <c r="F94" s="431">
        <v>292261</v>
      </c>
      <c r="G94" s="431">
        <v>369856</v>
      </c>
      <c r="H94" s="431">
        <v>0</v>
      </c>
      <c r="I94" s="431">
        <v>3363364</v>
      </c>
      <c r="J94" s="431">
        <v>100000</v>
      </c>
      <c r="K94" s="431">
        <v>1235070</v>
      </c>
      <c r="L94" s="431">
        <v>0</v>
      </c>
      <c r="M94" s="431">
        <v>1234727</v>
      </c>
      <c r="N94" s="431">
        <v>208666</v>
      </c>
      <c r="O94" s="431">
        <v>0</v>
      </c>
      <c r="P94" s="438">
        <f t="shared" si="14"/>
        <v>6939287</v>
      </c>
      <c r="Q94" s="431">
        <v>3520765</v>
      </c>
      <c r="R94" s="431">
        <v>1299022</v>
      </c>
      <c r="S94" s="431">
        <v>39200</v>
      </c>
      <c r="T94" s="431">
        <v>0</v>
      </c>
      <c r="U94" s="431">
        <v>10000</v>
      </c>
      <c r="V94" s="431">
        <v>0</v>
      </c>
      <c r="W94" s="431">
        <v>0</v>
      </c>
      <c r="X94" s="431">
        <v>510019</v>
      </c>
      <c r="Y94" s="431">
        <v>133500</v>
      </c>
      <c r="Z94" s="431">
        <v>1404206</v>
      </c>
      <c r="AA94" s="431">
        <v>22575</v>
      </c>
      <c r="AB94" s="431">
        <v>0</v>
      </c>
      <c r="AC94" s="431">
        <v>1270191</v>
      </c>
      <c r="AD94" s="431">
        <v>185507</v>
      </c>
      <c r="AE94" s="431">
        <v>3013364</v>
      </c>
      <c r="AF94" s="431">
        <v>18185</v>
      </c>
      <c r="AG94" s="431">
        <v>148944</v>
      </c>
      <c r="AH94" s="431">
        <v>510019</v>
      </c>
      <c r="AI94" s="431">
        <v>149583</v>
      </c>
      <c r="AJ94" s="431">
        <v>116864</v>
      </c>
      <c r="AK94" s="431">
        <v>0</v>
      </c>
      <c r="AL94" s="431">
        <v>1489650</v>
      </c>
      <c r="AM94" s="431">
        <v>36980</v>
      </c>
    </row>
    <row r="95" spans="1:39" s="155" customFormat="1" ht="12" x14ac:dyDescent="0.2">
      <c r="A95" s="168">
        <v>41</v>
      </c>
      <c r="B95" s="177">
        <v>123479</v>
      </c>
      <c r="C95" s="224" t="s">
        <v>1650</v>
      </c>
      <c r="D95" s="438">
        <f t="shared" si="13"/>
        <v>9298257</v>
      </c>
      <c r="E95" s="431">
        <v>1944922</v>
      </c>
      <c r="F95" s="431">
        <v>228137</v>
      </c>
      <c r="G95" s="431">
        <v>793812</v>
      </c>
      <c r="H95" s="431">
        <v>0</v>
      </c>
      <c r="I95" s="431">
        <v>2935096</v>
      </c>
      <c r="J95" s="431">
        <v>200000</v>
      </c>
      <c r="K95" s="431">
        <v>2136720</v>
      </c>
      <c r="L95" s="431">
        <v>0</v>
      </c>
      <c r="M95" s="431">
        <v>1257182</v>
      </c>
      <c r="N95" s="431">
        <v>824337</v>
      </c>
      <c r="O95" s="431">
        <v>0</v>
      </c>
      <c r="P95" s="438">
        <f t="shared" si="14"/>
        <v>8795319</v>
      </c>
      <c r="Q95" s="431">
        <v>3176058</v>
      </c>
      <c r="R95" s="431">
        <v>1242176</v>
      </c>
      <c r="S95" s="431">
        <v>0</v>
      </c>
      <c r="T95" s="431">
        <v>0</v>
      </c>
      <c r="U95" s="431">
        <v>58500</v>
      </c>
      <c r="V95" s="431">
        <v>16350</v>
      </c>
      <c r="W95" s="431">
        <v>1596079</v>
      </c>
      <c r="X95" s="431">
        <v>178350</v>
      </c>
      <c r="Y95" s="431">
        <v>59987</v>
      </c>
      <c r="Z95" s="431">
        <v>2467819</v>
      </c>
      <c r="AA95" s="431">
        <v>0</v>
      </c>
      <c r="AB95" s="431">
        <v>0</v>
      </c>
      <c r="AC95" s="431">
        <v>717919</v>
      </c>
      <c r="AD95" s="431">
        <v>63939</v>
      </c>
      <c r="AE95" s="431">
        <v>2494010</v>
      </c>
      <c r="AF95" s="431">
        <v>0</v>
      </c>
      <c r="AG95" s="431">
        <v>1184240</v>
      </c>
      <c r="AH95" s="431">
        <v>617660</v>
      </c>
      <c r="AI95" s="431">
        <v>461316</v>
      </c>
      <c r="AJ95" s="431">
        <v>169028</v>
      </c>
      <c r="AK95" s="431">
        <v>0</v>
      </c>
      <c r="AL95" s="431">
        <v>3087207</v>
      </c>
      <c r="AM95" s="431">
        <v>0</v>
      </c>
    </row>
    <row r="96" spans="1:39" s="155" customFormat="1" ht="12" x14ac:dyDescent="0.2">
      <c r="A96" s="168">
        <v>42</v>
      </c>
      <c r="B96" s="177">
        <v>123521</v>
      </c>
      <c r="C96" s="224" t="s">
        <v>1651</v>
      </c>
      <c r="D96" s="438">
        <f t="shared" si="13"/>
        <v>16014554</v>
      </c>
      <c r="E96" s="431">
        <v>2365982</v>
      </c>
      <c r="F96" s="431">
        <v>581374</v>
      </c>
      <c r="G96" s="431">
        <v>694873</v>
      </c>
      <c r="H96" s="431">
        <v>0</v>
      </c>
      <c r="I96" s="431">
        <v>6056000</v>
      </c>
      <c r="J96" s="431">
        <v>250000</v>
      </c>
      <c r="K96" s="431">
        <v>1823730</v>
      </c>
      <c r="L96" s="431">
        <v>0</v>
      </c>
      <c r="M96" s="431">
        <v>3820123</v>
      </c>
      <c r="N96" s="431">
        <v>1598719</v>
      </c>
      <c r="O96" s="431">
        <v>100000</v>
      </c>
      <c r="P96" s="438">
        <f t="shared" si="14"/>
        <v>14698530</v>
      </c>
      <c r="Q96" s="431">
        <v>6380454</v>
      </c>
      <c r="R96" s="431">
        <v>1608429</v>
      </c>
      <c r="S96" s="431">
        <v>8727</v>
      </c>
      <c r="T96" s="431">
        <v>0</v>
      </c>
      <c r="U96" s="431">
        <v>22300</v>
      </c>
      <c r="V96" s="431">
        <v>0</v>
      </c>
      <c r="W96" s="431">
        <v>1255676</v>
      </c>
      <c r="X96" s="431">
        <v>710351</v>
      </c>
      <c r="Y96" s="431">
        <v>40000</v>
      </c>
      <c r="Z96" s="431">
        <v>4343252</v>
      </c>
      <c r="AA96" s="431">
        <v>578000</v>
      </c>
      <c r="AB96" s="431">
        <v>-248659</v>
      </c>
      <c r="AC96" s="431">
        <v>1222946</v>
      </c>
      <c r="AD96" s="431">
        <v>202482</v>
      </c>
      <c r="AE96" s="431">
        <v>5850269</v>
      </c>
      <c r="AF96" s="431">
        <v>21196</v>
      </c>
      <c r="AG96" s="431">
        <v>149280</v>
      </c>
      <c r="AH96" s="431">
        <v>1235852</v>
      </c>
      <c r="AI96" s="431">
        <v>1100532</v>
      </c>
      <c r="AJ96" s="431">
        <v>169769</v>
      </c>
      <c r="AK96" s="431">
        <v>0</v>
      </c>
      <c r="AL96" s="431">
        <v>4597714</v>
      </c>
      <c r="AM96" s="431">
        <v>148490</v>
      </c>
    </row>
    <row r="97" spans="1:39" s="155" customFormat="1" ht="12" x14ac:dyDescent="0.2">
      <c r="A97" s="168">
        <v>43</v>
      </c>
      <c r="B97" s="177">
        <v>123601</v>
      </c>
      <c r="C97" s="224" t="s">
        <v>1652</v>
      </c>
      <c r="D97" s="438">
        <f t="shared" si="13"/>
        <v>8939989</v>
      </c>
      <c r="E97" s="431">
        <v>2017956</v>
      </c>
      <c r="F97" s="431">
        <v>952393</v>
      </c>
      <c r="G97" s="431">
        <v>42807</v>
      </c>
      <c r="H97" s="431">
        <v>0</v>
      </c>
      <c r="I97" s="431">
        <v>2399000</v>
      </c>
      <c r="J97" s="431">
        <v>150000</v>
      </c>
      <c r="K97" s="431">
        <v>325370</v>
      </c>
      <c r="L97" s="431">
        <v>0</v>
      </c>
      <c r="M97" s="431">
        <v>3974817</v>
      </c>
      <c r="N97" s="431">
        <v>0</v>
      </c>
      <c r="O97" s="431">
        <v>72846</v>
      </c>
      <c r="P97" s="438">
        <f t="shared" si="14"/>
        <v>8898620</v>
      </c>
      <c r="Q97" s="431">
        <v>2527444</v>
      </c>
      <c r="R97" s="431">
        <v>1498896</v>
      </c>
      <c r="S97" s="431">
        <v>110000</v>
      </c>
      <c r="T97" s="431">
        <v>0</v>
      </c>
      <c r="U97" s="431">
        <v>5000</v>
      </c>
      <c r="V97" s="431">
        <v>0</v>
      </c>
      <c r="W97" s="431">
        <v>0</v>
      </c>
      <c r="X97" s="431">
        <v>393768</v>
      </c>
      <c r="Y97" s="431">
        <v>16152</v>
      </c>
      <c r="Z97" s="431">
        <v>4210360</v>
      </c>
      <c r="AA97" s="431">
        <v>167000</v>
      </c>
      <c r="AB97" s="431">
        <v>-30000</v>
      </c>
      <c r="AC97" s="431">
        <v>1048991</v>
      </c>
      <c r="AD97" s="431">
        <v>49739</v>
      </c>
      <c r="AE97" s="431">
        <v>2182922</v>
      </c>
      <c r="AF97" s="431">
        <v>22806</v>
      </c>
      <c r="AG97" s="431">
        <v>64992</v>
      </c>
      <c r="AH97" s="431">
        <v>412840</v>
      </c>
      <c r="AI97" s="431">
        <v>4185514</v>
      </c>
      <c r="AJ97" s="431">
        <v>66619</v>
      </c>
      <c r="AK97" s="431">
        <v>0</v>
      </c>
      <c r="AL97" s="431">
        <v>864197</v>
      </c>
      <c r="AM97" s="431">
        <v>0</v>
      </c>
    </row>
    <row r="98" spans="1:39" s="155" customFormat="1" ht="12" x14ac:dyDescent="0.2">
      <c r="A98" s="168">
        <v>44</v>
      </c>
      <c r="B98" s="177">
        <v>123674</v>
      </c>
      <c r="C98" s="224" t="s">
        <v>1653</v>
      </c>
      <c r="D98" s="438">
        <f t="shared" si="13"/>
        <v>7490756</v>
      </c>
      <c r="E98" s="431">
        <v>1342402</v>
      </c>
      <c r="F98" s="431">
        <v>247891</v>
      </c>
      <c r="G98" s="431">
        <v>420097</v>
      </c>
      <c r="H98" s="431">
        <v>0</v>
      </c>
      <c r="I98" s="431">
        <v>1979250</v>
      </c>
      <c r="J98" s="431">
        <v>180000</v>
      </c>
      <c r="K98" s="431">
        <v>1264470</v>
      </c>
      <c r="L98" s="431">
        <v>0</v>
      </c>
      <c r="M98" s="431">
        <v>1280157</v>
      </c>
      <c r="N98" s="431">
        <v>1439977</v>
      </c>
      <c r="O98" s="431">
        <v>4500</v>
      </c>
      <c r="P98" s="438">
        <f t="shared" si="14"/>
        <v>5408793</v>
      </c>
      <c r="Q98" s="431">
        <v>2030029</v>
      </c>
      <c r="R98" s="431">
        <v>1007382</v>
      </c>
      <c r="S98" s="431">
        <v>0</v>
      </c>
      <c r="T98" s="431">
        <v>0</v>
      </c>
      <c r="U98" s="431">
        <v>97337</v>
      </c>
      <c r="V98" s="431">
        <v>0</v>
      </c>
      <c r="W98" s="431">
        <v>0</v>
      </c>
      <c r="X98" s="431">
        <v>441583</v>
      </c>
      <c r="Y98" s="431">
        <v>91416</v>
      </c>
      <c r="Z98" s="431">
        <v>1741580</v>
      </c>
      <c r="AA98" s="431">
        <v>0</v>
      </c>
      <c r="AB98" s="431">
        <v>-534</v>
      </c>
      <c r="AC98" s="431">
        <v>724208</v>
      </c>
      <c r="AD98" s="431">
        <v>152822</v>
      </c>
      <c r="AE98" s="431">
        <v>1770407</v>
      </c>
      <c r="AF98" s="431">
        <v>42752</v>
      </c>
      <c r="AG98" s="431">
        <v>125929</v>
      </c>
      <c r="AH98" s="431">
        <v>441583</v>
      </c>
      <c r="AI98" s="431">
        <v>212638</v>
      </c>
      <c r="AJ98" s="431">
        <v>102870</v>
      </c>
      <c r="AK98" s="431">
        <v>0</v>
      </c>
      <c r="AL98" s="431">
        <v>1835584</v>
      </c>
      <c r="AM98" s="431">
        <v>0</v>
      </c>
    </row>
    <row r="99" spans="1:39" s="155" customFormat="1" ht="12" x14ac:dyDescent="0.2">
      <c r="A99" s="168">
        <v>45</v>
      </c>
      <c r="B99" s="177">
        <v>123709</v>
      </c>
      <c r="C99" s="224" t="s">
        <v>1654</v>
      </c>
      <c r="D99" s="438">
        <f t="shared" si="13"/>
        <v>6034144</v>
      </c>
      <c r="E99" s="431">
        <v>641836</v>
      </c>
      <c r="F99" s="431">
        <v>59799</v>
      </c>
      <c r="G99" s="431">
        <v>382052</v>
      </c>
      <c r="H99" s="431">
        <v>0</v>
      </c>
      <c r="I99" s="431">
        <v>741259</v>
      </c>
      <c r="J99" s="431">
        <v>230000</v>
      </c>
      <c r="K99" s="431">
        <v>1139670</v>
      </c>
      <c r="L99" s="431">
        <v>0</v>
      </c>
      <c r="M99" s="431">
        <v>3260613</v>
      </c>
      <c r="N99" s="431">
        <v>0</v>
      </c>
      <c r="O99" s="431">
        <v>20766</v>
      </c>
      <c r="P99" s="438">
        <f t="shared" si="14"/>
        <v>6048935</v>
      </c>
      <c r="Q99" s="431">
        <v>928040</v>
      </c>
      <c r="R99" s="431">
        <v>819392</v>
      </c>
      <c r="S99" s="431">
        <v>0</v>
      </c>
      <c r="T99" s="431">
        <v>0</v>
      </c>
      <c r="U99" s="431">
        <v>6000</v>
      </c>
      <c r="V99" s="431">
        <v>0</v>
      </c>
      <c r="W99" s="431">
        <v>0</v>
      </c>
      <c r="X99" s="431">
        <v>127162</v>
      </c>
      <c r="Y99" s="431">
        <v>30000</v>
      </c>
      <c r="Z99" s="431">
        <v>4140151</v>
      </c>
      <c r="AA99" s="431">
        <v>0</v>
      </c>
      <c r="AB99" s="431">
        <v>-1810</v>
      </c>
      <c r="AC99" s="431">
        <v>637897</v>
      </c>
      <c r="AD99" s="431">
        <v>75098</v>
      </c>
      <c r="AE99" s="431">
        <v>667243</v>
      </c>
      <c r="AF99" s="431">
        <v>6465</v>
      </c>
      <c r="AG99" s="431">
        <v>70154</v>
      </c>
      <c r="AH99" s="431">
        <v>127162</v>
      </c>
      <c r="AI99" s="431">
        <v>1038808</v>
      </c>
      <c r="AJ99" s="431">
        <v>2233360</v>
      </c>
      <c r="AK99" s="431">
        <v>0</v>
      </c>
      <c r="AL99" s="431">
        <v>1192748</v>
      </c>
      <c r="AM99" s="431">
        <v>0</v>
      </c>
    </row>
    <row r="100" spans="1:39" s="155" customFormat="1" ht="12" x14ac:dyDescent="0.2">
      <c r="A100" s="168">
        <v>46</v>
      </c>
      <c r="B100" s="177">
        <v>123790</v>
      </c>
      <c r="C100" s="224" t="s">
        <v>1655</v>
      </c>
      <c r="D100" s="438">
        <f t="shared" si="13"/>
        <v>9066856</v>
      </c>
      <c r="E100" s="431">
        <v>1796004</v>
      </c>
      <c r="F100" s="431">
        <v>655075</v>
      </c>
      <c r="G100" s="431">
        <v>231010</v>
      </c>
      <c r="H100" s="431">
        <v>0</v>
      </c>
      <c r="I100" s="431">
        <v>2687000</v>
      </c>
      <c r="J100" s="431">
        <v>150000</v>
      </c>
      <c r="K100" s="431">
        <v>673800</v>
      </c>
      <c r="L100" s="431">
        <v>0</v>
      </c>
      <c r="M100" s="431">
        <v>2795200</v>
      </c>
      <c r="N100" s="431">
        <v>865534</v>
      </c>
      <c r="O100" s="431">
        <v>99318</v>
      </c>
      <c r="P100" s="438">
        <f t="shared" si="14"/>
        <v>8869470</v>
      </c>
      <c r="Q100" s="431">
        <v>3227126</v>
      </c>
      <c r="R100" s="431">
        <v>947767</v>
      </c>
      <c r="S100" s="431">
        <v>9932</v>
      </c>
      <c r="T100" s="431">
        <v>0</v>
      </c>
      <c r="U100" s="431">
        <v>0</v>
      </c>
      <c r="V100" s="431">
        <v>173753</v>
      </c>
      <c r="W100" s="431">
        <v>2717579</v>
      </c>
      <c r="X100" s="431">
        <v>337655</v>
      </c>
      <c r="Y100" s="431">
        <v>0</v>
      </c>
      <c r="Z100" s="431">
        <v>359698</v>
      </c>
      <c r="AA100" s="431">
        <v>1095960</v>
      </c>
      <c r="AB100" s="431">
        <v>0</v>
      </c>
      <c r="AC100" s="431">
        <v>1266781</v>
      </c>
      <c r="AD100" s="431">
        <v>60039</v>
      </c>
      <c r="AE100" s="431">
        <v>2478909</v>
      </c>
      <c r="AF100" s="431">
        <v>22288</v>
      </c>
      <c r="AG100" s="431">
        <v>278647</v>
      </c>
      <c r="AH100" s="431">
        <v>341461</v>
      </c>
      <c r="AI100" s="431">
        <v>1461766</v>
      </c>
      <c r="AJ100" s="431">
        <v>123096</v>
      </c>
      <c r="AK100" s="431">
        <v>0</v>
      </c>
      <c r="AL100" s="431">
        <v>2662730</v>
      </c>
      <c r="AM100" s="431">
        <v>173753</v>
      </c>
    </row>
    <row r="101" spans="1:39" s="155" customFormat="1" ht="12" x14ac:dyDescent="0.2">
      <c r="A101" s="168">
        <v>47</v>
      </c>
      <c r="B101" s="177">
        <v>123914</v>
      </c>
      <c r="C101" s="224" t="s">
        <v>1656</v>
      </c>
      <c r="D101" s="438">
        <f t="shared" si="13"/>
        <v>9293232</v>
      </c>
      <c r="E101" s="431">
        <v>2054470</v>
      </c>
      <c r="F101" s="431">
        <v>328018</v>
      </c>
      <c r="G101" s="431">
        <v>716724</v>
      </c>
      <c r="H101" s="431">
        <v>0</v>
      </c>
      <c r="I101" s="431">
        <v>5033985</v>
      </c>
      <c r="J101" s="431">
        <v>150000</v>
      </c>
      <c r="K101" s="431">
        <v>1960410</v>
      </c>
      <c r="L101" s="431">
        <v>0</v>
      </c>
      <c r="M101" s="431">
        <v>94367</v>
      </c>
      <c r="N101" s="431">
        <v>0</v>
      </c>
      <c r="O101" s="431">
        <v>0</v>
      </c>
      <c r="P101" s="438">
        <f t="shared" si="14"/>
        <v>8732669</v>
      </c>
      <c r="Q101" s="431">
        <v>5164720</v>
      </c>
      <c r="R101" s="431">
        <v>1640121</v>
      </c>
      <c r="S101" s="431">
        <v>40000</v>
      </c>
      <c r="T101" s="431">
        <v>0</v>
      </c>
      <c r="U101" s="431">
        <v>148980</v>
      </c>
      <c r="V101" s="431">
        <v>0</v>
      </c>
      <c r="W101" s="431">
        <v>0</v>
      </c>
      <c r="X101" s="431">
        <v>562436</v>
      </c>
      <c r="Y101" s="431">
        <v>160934</v>
      </c>
      <c r="Z101" s="431">
        <v>1060198</v>
      </c>
      <c r="AA101" s="431">
        <v>33600</v>
      </c>
      <c r="AB101" s="431">
        <v>-78320</v>
      </c>
      <c r="AC101" s="431">
        <v>1062918</v>
      </c>
      <c r="AD101" s="431">
        <v>149338</v>
      </c>
      <c r="AE101" s="431">
        <v>4411030</v>
      </c>
      <c r="AF101" s="431">
        <v>45988</v>
      </c>
      <c r="AG101" s="431">
        <v>180061</v>
      </c>
      <c r="AH101" s="431">
        <v>1104900</v>
      </c>
      <c r="AI101" s="431">
        <v>414307</v>
      </c>
      <c r="AJ101" s="431">
        <v>104321</v>
      </c>
      <c r="AK101" s="431">
        <v>0</v>
      </c>
      <c r="AL101" s="431">
        <v>1259806</v>
      </c>
      <c r="AM101" s="431">
        <v>0</v>
      </c>
    </row>
    <row r="102" spans="1:39" s="155" customFormat="1" ht="12" x14ac:dyDescent="0.2">
      <c r="A102" s="168">
        <v>48</v>
      </c>
      <c r="B102" s="177">
        <v>123969</v>
      </c>
      <c r="C102" s="224" t="s">
        <v>1657</v>
      </c>
      <c r="D102" s="438">
        <f t="shared" si="13"/>
        <v>4075521</v>
      </c>
      <c r="E102" s="431">
        <v>1003528</v>
      </c>
      <c r="F102" s="431">
        <v>293606</v>
      </c>
      <c r="G102" s="431">
        <v>301125</v>
      </c>
      <c r="H102" s="431">
        <v>0</v>
      </c>
      <c r="I102" s="431">
        <v>834707</v>
      </c>
      <c r="J102" s="431">
        <v>200000</v>
      </c>
      <c r="K102" s="431">
        <v>1070510</v>
      </c>
      <c r="L102" s="431">
        <v>0</v>
      </c>
      <c r="M102" s="431">
        <v>574795</v>
      </c>
      <c r="N102" s="431">
        <v>350357</v>
      </c>
      <c r="O102" s="431">
        <v>41624</v>
      </c>
      <c r="P102" s="438">
        <f t="shared" si="14"/>
        <v>4061407</v>
      </c>
      <c r="Q102" s="431">
        <v>1319522</v>
      </c>
      <c r="R102" s="431">
        <v>1356652</v>
      </c>
      <c r="S102" s="431">
        <v>0</v>
      </c>
      <c r="T102" s="431">
        <v>0</v>
      </c>
      <c r="U102" s="431">
        <v>159180</v>
      </c>
      <c r="V102" s="431">
        <v>0</v>
      </c>
      <c r="W102" s="431">
        <v>465000</v>
      </c>
      <c r="X102" s="431">
        <v>111046</v>
      </c>
      <c r="Y102" s="431">
        <v>44866</v>
      </c>
      <c r="Z102" s="431">
        <v>614200</v>
      </c>
      <c r="AA102" s="431">
        <v>0</v>
      </c>
      <c r="AB102" s="431">
        <v>-9059</v>
      </c>
      <c r="AC102" s="431">
        <v>1516602</v>
      </c>
      <c r="AD102" s="431">
        <v>111547</v>
      </c>
      <c r="AE102" s="431">
        <v>889192</v>
      </c>
      <c r="AF102" s="431">
        <v>0</v>
      </c>
      <c r="AG102" s="431">
        <v>65340</v>
      </c>
      <c r="AH102" s="431">
        <v>153808</v>
      </c>
      <c r="AI102" s="431">
        <v>245475</v>
      </c>
      <c r="AJ102" s="431">
        <v>137638</v>
      </c>
      <c r="AK102" s="431">
        <v>0</v>
      </c>
      <c r="AL102" s="431">
        <v>941805</v>
      </c>
      <c r="AM102" s="431">
        <v>0</v>
      </c>
    </row>
    <row r="103" spans="1:39" s="155" customFormat="1" ht="12" x14ac:dyDescent="0.2">
      <c r="A103" s="168">
        <v>49</v>
      </c>
      <c r="B103" s="177">
        <v>124028</v>
      </c>
      <c r="C103" s="224" t="s">
        <v>1658</v>
      </c>
      <c r="D103" s="438">
        <f t="shared" si="13"/>
        <v>5722343</v>
      </c>
      <c r="E103" s="431">
        <v>1234144</v>
      </c>
      <c r="F103" s="431">
        <v>180545</v>
      </c>
      <c r="G103" s="431">
        <v>494400</v>
      </c>
      <c r="H103" s="431">
        <v>0</v>
      </c>
      <c r="I103" s="431">
        <v>2270555</v>
      </c>
      <c r="J103" s="431">
        <v>400000</v>
      </c>
      <c r="K103" s="431">
        <v>1512670</v>
      </c>
      <c r="L103" s="431">
        <v>0</v>
      </c>
      <c r="M103" s="431">
        <v>304974</v>
      </c>
      <c r="N103" s="431">
        <v>0</v>
      </c>
      <c r="O103" s="431">
        <v>0</v>
      </c>
      <c r="P103" s="438">
        <f t="shared" si="14"/>
        <v>5816387</v>
      </c>
      <c r="Q103" s="431">
        <v>2375588</v>
      </c>
      <c r="R103" s="431">
        <v>658211</v>
      </c>
      <c r="S103" s="431">
        <v>0</v>
      </c>
      <c r="T103" s="431">
        <v>0</v>
      </c>
      <c r="U103" s="431">
        <v>0</v>
      </c>
      <c r="V103" s="431">
        <v>0</v>
      </c>
      <c r="W103" s="431">
        <v>0</v>
      </c>
      <c r="X103" s="431">
        <v>315688</v>
      </c>
      <c r="Y103" s="431">
        <v>29801</v>
      </c>
      <c r="Z103" s="431">
        <v>2448910</v>
      </c>
      <c r="AA103" s="431">
        <v>0</v>
      </c>
      <c r="AB103" s="431">
        <v>-11811</v>
      </c>
      <c r="AC103" s="431">
        <v>684692</v>
      </c>
      <c r="AD103" s="431">
        <v>14361</v>
      </c>
      <c r="AE103" s="431">
        <v>2028798</v>
      </c>
      <c r="AF103" s="431">
        <v>0</v>
      </c>
      <c r="AG103" s="431">
        <v>156094</v>
      </c>
      <c r="AH103" s="431">
        <v>317747</v>
      </c>
      <c r="AI103" s="431">
        <v>765157</v>
      </c>
      <c r="AJ103" s="431">
        <v>100184</v>
      </c>
      <c r="AK103" s="431">
        <v>0</v>
      </c>
      <c r="AL103" s="431">
        <v>1749354</v>
      </c>
      <c r="AM103" s="431">
        <v>0</v>
      </c>
    </row>
    <row r="104" spans="1:39" s="155" customFormat="1" ht="12" x14ac:dyDescent="0.2">
      <c r="A104" s="168">
        <v>50</v>
      </c>
      <c r="B104" s="177">
        <v>124073</v>
      </c>
      <c r="C104" s="224" t="s">
        <v>1659</v>
      </c>
      <c r="D104" s="438">
        <f t="shared" si="13"/>
        <v>5875857</v>
      </c>
      <c r="E104" s="431">
        <v>1111950</v>
      </c>
      <c r="F104" s="431">
        <v>223632</v>
      </c>
      <c r="G104" s="431">
        <v>363617</v>
      </c>
      <c r="H104" s="431">
        <v>0</v>
      </c>
      <c r="I104" s="431">
        <v>2423350</v>
      </c>
      <c r="J104" s="431">
        <v>150000</v>
      </c>
      <c r="K104" s="431">
        <v>1057930</v>
      </c>
      <c r="L104" s="431">
        <v>0</v>
      </c>
      <c r="M104" s="431">
        <v>1082879</v>
      </c>
      <c r="N104" s="431">
        <v>0</v>
      </c>
      <c r="O104" s="431">
        <v>49748</v>
      </c>
      <c r="P104" s="438">
        <f t="shared" si="14"/>
        <v>6273124</v>
      </c>
      <c r="Q104" s="431">
        <v>2579141</v>
      </c>
      <c r="R104" s="431">
        <v>968910</v>
      </c>
      <c r="S104" s="431">
        <v>0</v>
      </c>
      <c r="T104" s="431">
        <v>0</v>
      </c>
      <c r="U104" s="431">
        <v>13000</v>
      </c>
      <c r="V104" s="431">
        <v>11282</v>
      </c>
      <c r="W104" s="431">
        <v>0</v>
      </c>
      <c r="X104" s="431">
        <v>319559</v>
      </c>
      <c r="Y104" s="431">
        <v>25000</v>
      </c>
      <c r="Z104" s="431">
        <v>2356432</v>
      </c>
      <c r="AA104" s="431">
        <v>0</v>
      </c>
      <c r="AB104" s="431">
        <v>-200</v>
      </c>
      <c r="AC104" s="431">
        <v>853628</v>
      </c>
      <c r="AD104" s="431">
        <v>133756</v>
      </c>
      <c r="AE104" s="431">
        <v>2064512</v>
      </c>
      <c r="AF104" s="431">
        <v>506454</v>
      </c>
      <c r="AG104" s="431">
        <v>1097566</v>
      </c>
      <c r="AH104" s="431">
        <v>446801</v>
      </c>
      <c r="AI104" s="431">
        <v>158139</v>
      </c>
      <c r="AJ104" s="431">
        <v>89733</v>
      </c>
      <c r="AK104" s="431">
        <v>0</v>
      </c>
      <c r="AL104" s="431">
        <v>752458</v>
      </c>
      <c r="AM104" s="431">
        <v>170077</v>
      </c>
    </row>
    <row r="105" spans="1:39" s="155" customFormat="1" ht="12" x14ac:dyDescent="0.2">
      <c r="A105" s="168">
        <v>51</v>
      </c>
      <c r="B105" s="177">
        <v>124153</v>
      </c>
      <c r="C105" s="224" t="s">
        <v>1660</v>
      </c>
      <c r="D105" s="438">
        <f t="shared" si="13"/>
        <v>7673725</v>
      </c>
      <c r="E105" s="431">
        <v>1377118</v>
      </c>
      <c r="F105" s="431">
        <v>313366</v>
      </c>
      <c r="G105" s="431">
        <v>226935</v>
      </c>
      <c r="H105" s="431">
        <v>0</v>
      </c>
      <c r="I105" s="431">
        <v>2153859</v>
      </c>
      <c r="J105" s="431">
        <v>150000</v>
      </c>
      <c r="K105" s="431">
        <v>1099750</v>
      </c>
      <c r="L105" s="431">
        <v>0</v>
      </c>
      <c r="M105" s="431">
        <v>1832007</v>
      </c>
      <c r="N105" s="431">
        <v>1029053</v>
      </c>
      <c r="O105" s="431">
        <v>31938</v>
      </c>
      <c r="P105" s="438">
        <f t="shared" si="14"/>
        <v>7673725</v>
      </c>
      <c r="Q105" s="431">
        <v>2250353</v>
      </c>
      <c r="R105" s="431">
        <v>1857402</v>
      </c>
      <c r="S105" s="431">
        <v>17000</v>
      </c>
      <c r="T105" s="431">
        <v>0</v>
      </c>
      <c r="U105" s="431">
        <v>0</v>
      </c>
      <c r="V105" s="431">
        <v>25125</v>
      </c>
      <c r="W105" s="431">
        <v>1354633</v>
      </c>
      <c r="X105" s="431">
        <v>429281</v>
      </c>
      <c r="Y105" s="431">
        <v>2000</v>
      </c>
      <c r="Z105" s="431">
        <v>1693914</v>
      </c>
      <c r="AA105" s="431">
        <v>44017</v>
      </c>
      <c r="AB105" s="431">
        <v>0</v>
      </c>
      <c r="AC105" s="431">
        <v>1068069</v>
      </c>
      <c r="AD105" s="431">
        <v>49450</v>
      </c>
      <c r="AE105" s="431">
        <v>2174423</v>
      </c>
      <c r="AF105" s="431">
        <v>0</v>
      </c>
      <c r="AG105" s="431">
        <v>25792</v>
      </c>
      <c r="AH105" s="431">
        <v>520951</v>
      </c>
      <c r="AI105" s="431">
        <v>639344</v>
      </c>
      <c r="AJ105" s="431">
        <v>439719</v>
      </c>
      <c r="AK105" s="431">
        <v>0</v>
      </c>
      <c r="AL105" s="431">
        <v>2755977</v>
      </c>
      <c r="AM105" s="431">
        <v>0</v>
      </c>
    </row>
    <row r="106" spans="1:39" s="155" customFormat="1" ht="12" x14ac:dyDescent="0.2">
      <c r="A106" s="168">
        <v>52</v>
      </c>
      <c r="B106" s="177">
        <v>124206</v>
      </c>
      <c r="C106" s="224" t="s">
        <v>1661</v>
      </c>
      <c r="D106" s="438">
        <f t="shared" si="13"/>
        <v>15005940</v>
      </c>
      <c r="E106" s="431">
        <v>4066177</v>
      </c>
      <c r="F106" s="431">
        <v>1019685</v>
      </c>
      <c r="G106" s="431">
        <v>835480</v>
      </c>
      <c r="H106" s="431">
        <v>0</v>
      </c>
      <c r="I106" s="431">
        <v>5656743</v>
      </c>
      <c r="J106" s="431">
        <v>300000</v>
      </c>
      <c r="K106" s="431">
        <v>2072610</v>
      </c>
      <c r="L106" s="431">
        <v>0</v>
      </c>
      <c r="M106" s="431">
        <v>1717107</v>
      </c>
      <c r="N106" s="431">
        <v>1155657</v>
      </c>
      <c r="O106" s="431">
        <v>37646</v>
      </c>
      <c r="P106" s="438">
        <f t="shared" si="14"/>
        <v>12846939</v>
      </c>
      <c r="Q106" s="431">
        <v>6040645</v>
      </c>
      <c r="R106" s="431">
        <v>2290974</v>
      </c>
      <c r="S106" s="431">
        <v>0</v>
      </c>
      <c r="T106" s="431">
        <v>0</v>
      </c>
      <c r="U106" s="431">
        <v>44460</v>
      </c>
      <c r="V106" s="431">
        <v>6000</v>
      </c>
      <c r="W106" s="431">
        <v>2116532</v>
      </c>
      <c r="X106" s="431">
        <v>610154</v>
      </c>
      <c r="Y106" s="431">
        <v>388227</v>
      </c>
      <c r="Z106" s="431">
        <v>1549079</v>
      </c>
      <c r="AA106" s="431">
        <v>0</v>
      </c>
      <c r="AB106" s="431">
        <v>-199132</v>
      </c>
      <c r="AC106" s="431">
        <v>1317305</v>
      </c>
      <c r="AD106" s="431">
        <v>770858</v>
      </c>
      <c r="AE106" s="431">
        <v>5397995</v>
      </c>
      <c r="AF106" s="431">
        <v>0</v>
      </c>
      <c r="AG106" s="431">
        <v>303873</v>
      </c>
      <c r="AH106" s="431">
        <v>1051644</v>
      </c>
      <c r="AI106" s="431">
        <v>1428793</v>
      </c>
      <c r="AJ106" s="431">
        <v>411263</v>
      </c>
      <c r="AK106" s="431">
        <v>0</v>
      </c>
      <c r="AL106" s="431">
        <v>2165208</v>
      </c>
      <c r="AM106" s="431">
        <v>0</v>
      </c>
    </row>
    <row r="107" spans="1:39" s="155" customFormat="1" ht="12" x14ac:dyDescent="0.2">
      <c r="A107" s="168">
        <v>53</v>
      </c>
      <c r="B107" s="177">
        <v>120824</v>
      </c>
      <c r="C107" s="224" t="s">
        <v>1662</v>
      </c>
      <c r="D107" s="438">
        <f t="shared" si="13"/>
        <v>7907274</v>
      </c>
      <c r="E107" s="431">
        <v>4959928</v>
      </c>
      <c r="F107" s="431">
        <v>3112183</v>
      </c>
      <c r="G107" s="431">
        <v>53506</v>
      </c>
      <c r="H107" s="431">
        <v>0</v>
      </c>
      <c r="I107" s="431">
        <v>2313993</v>
      </c>
      <c r="J107" s="431">
        <v>400000</v>
      </c>
      <c r="K107" s="431">
        <v>131850</v>
      </c>
      <c r="L107" s="431">
        <v>0</v>
      </c>
      <c r="M107" s="431">
        <v>89419</v>
      </c>
      <c r="N107" s="431">
        <v>0</v>
      </c>
      <c r="O107" s="431">
        <v>12084</v>
      </c>
      <c r="P107" s="438">
        <f t="shared" si="14"/>
        <v>8231858</v>
      </c>
      <c r="Q107" s="431">
        <v>2819510</v>
      </c>
      <c r="R107" s="431">
        <v>2120830</v>
      </c>
      <c r="S107" s="431">
        <v>0</v>
      </c>
      <c r="T107" s="431">
        <v>0</v>
      </c>
      <c r="U107" s="431">
        <v>60000</v>
      </c>
      <c r="V107" s="431">
        <v>329168</v>
      </c>
      <c r="W107" s="431">
        <v>0</v>
      </c>
      <c r="X107" s="431">
        <v>514855</v>
      </c>
      <c r="Y107" s="431">
        <v>220000</v>
      </c>
      <c r="Z107" s="431">
        <v>2473317</v>
      </c>
      <c r="AA107" s="431">
        <v>0</v>
      </c>
      <c r="AB107" s="431">
        <v>-305822</v>
      </c>
      <c r="AC107" s="431">
        <v>1279200</v>
      </c>
      <c r="AD107" s="431">
        <v>74803</v>
      </c>
      <c r="AE107" s="431">
        <v>2423089</v>
      </c>
      <c r="AF107" s="431">
        <v>42786</v>
      </c>
      <c r="AG107" s="431">
        <v>562598</v>
      </c>
      <c r="AH107" s="431">
        <v>514855</v>
      </c>
      <c r="AI107" s="431">
        <v>887342</v>
      </c>
      <c r="AJ107" s="431">
        <v>136456</v>
      </c>
      <c r="AK107" s="431">
        <v>0</v>
      </c>
      <c r="AL107" s="431">
        <v>2216266</v>
      </c>
      <c r="AM107" s="431">
        <v>94463</v>
      </c>
    </row>
    <row r="108" spans="1:39" s="155" customFormat="1" ht="12" x14ac:dyDescent="0.2">
      <c r="A108" s="168">
        <v>54</v>
      </c>
      <c r="B108" s="177">
        <v>124233</v>
      </c>
      <c r="C108" s="224" t="s">
        <v>1663</v>
      </c>
      <c r="D108" s="438">
        <f t="shared" si="13"/>
        <v>8220897</v>
      </c>
      <c r="E108" s="431">
        <v>2135540</v>
      </c>
      <c r="F108" s="431">
        <v>899476</v>
      </c>
      <c r="G108" s="431">
        <v>101742</v>
      </c>
      <c r="H108" s="431">
        <v>0</v>
      </c>
      <c r="I108" s="431">
        <v>1587981</v>
      </c>
      <c r="J108" s="431">
        <v>230000</v>
      </c>
      <c r="K108" s="431">
        <v>454630</v>
      </c>
      <c r="L108" s="431">
        <v>0</v>
      </c>
      <c r="M108" s="431">
        <v>3053755</v>
      </c>
      <c r="N108" s="431">
        <v>714573</v>
      </c>
      <c r="O108" s="431">
        <v>44418</v>
      </c>
      <c r="P108" s="438">
        <f t="shared" si="14"/>
        <v>7841212</v>
      </c>
      <c r="Q108" s="431">
        <v>1797544</v>
      </c>
      <c r="R108" s="431">
        <v>962217</v>
      </c>
      <c r="S108" s="431">
        <v>32000</v>
      </c>
      <c r="T108" s="431">
        <v>0</v>
      </c>
      <c r="U108" s="431">
        <v>38580</v>
      </c>
      <c r="V108" s="431">
        <v>2400</v>
      </c>
      <c r="W108" s="431">
        <v>0</v>
      </c>
      <c r="X108" s="431">
        <v>236058</v>
      </c>
      <c r="Y108" s="431">
        <v>152794</v>
      </c>
      <c r="Z108" s="431">
        <v>2758407</v>
      </c>
      <c r="AA108" s="431">
        <v>1863038</v>
      </c>
      <c r="AB108" s="431">
        <v>-1826</v>
      </c>
      <c r="AC108" s="431">
        <v>755600</v>
      </c>
      <c r="AD108" s="431">
        <v>58611</v>
      </c>
      <c r="AE108" s="431">
        <v>1517981</v>
      </c>
      <c r="AF108" s="431">
        <v>0</v>
      </c>
      <c r="AG108" s="431">
        <v>353112</v>
      </c>
      <c r="AH108" s="431">
        <v>589315</v>
      </c>
      <c r="AI108" s="431">
        <v>919646</v>
      </c>
      <c r="AJ108" s="431">
        <v>878535</v>
      </c>
      <c r="AK108" s="431">
        <v>0</v>
      </c>
      <c r="AL108" s="431">
        <v>2768412</v>
      </c>
      <c r="AM108" s="431">
        <v>0</v>
      </c>
    </row>
    <row r="109" spans="1:39" s="155" customFormat="1" ht="12" x14ac:dyDescent="0.2">
      <c r="A109" s="168">
        <v>55</v>
      </c>
      <c r="B109" s="177">
        <v>124331</v>
      </c>
      <c r="C109" s="224" t="s">
        <v>1664</v>
      </c>
      <c r="D109" s="438">
        <f t="shared" si="13"/>
        <v>7468270</v>
      </c>
      <c r="E109" s="431">
        <v>674882</v>
      </c>
      <c r="F109" s="431">
        <v>79505</v>
      </c>
      <c r="G109" s="431">
        <v>317122</v>
      </c>
      <c r="H109" s="431">
        <v>0</v>
      </c>
      <c r="I109" s="431">
        <v>1227929</v>
      </c>
      <c r="J109" s="431">
        <v>150000</v>
      </c>
      <c r="K109" s="431">
        <v>1389390</v>
      </c>
      <c r="L109" s="431">
        <v>0</v>
      </c>
      <c r="M109" s="431">
        <v>3635990</v>
      </c>
      <c r="N109" s="431">
        <v>337429</v>
      </c>
      <c r="O109" s="431">
        <v>52650</v>
      </c>
      <c r="P109" s="438">
        <f t="shared" si="14"/>
        <v>6413313</v>
      </c>
      <c r="Q109" s="431">
        <v>1321269</v>
      </c>
      <c r="R109" s="431">
        <v>1083531</v>
      </c>
      <c r="S109" s="431">
        <v>0</v>
      </c>
      <c r="T109" s="431">
        <v>0</v>
      </c>
      <c r="U109" s="431">
        <v>0</v>
      </c>
      <c r="V109" s="431">
        <v>0</v>
      </c>
      <c r="W109" s="431">
        <v>0</v>
      </c>
      <c r="X109" s="431">
        <v>232783</v>
      </c>
      <c r="Y109" s="431">
        <v>62500</v>
      </c>
      <c r="Z109" s="431">
        <v>3723715</v>
      </c>
      <c r="AA109" s="431">
        <v>0</v>
      </c>
      <c r="AB109" s="431">
        <v>-10485</v>
      </c>
      <c r="AC109" s="431">
        <v>615146</v>
      </c>
      <c r="AD109" s="431">
        <v>22528</v>
      </c>
      <c r="AE109" s="431">
        <v>1108194</v>
      </c>
      <c r="AF109" s="431">
        <v>15957</v>
      </c>
      <c r="AG109" s="431">
        <v>93379</v>
      </c>
      <c r="AH109" s="431">
        <v>247485</v>
      </c>
      <c r="AI109" s="431">
        <v>508653</v>
      </c>
      <c r="AJ109" s="431">
        <v>95922</v>
      </c>
      <c r="AK109" s="431">
        <v>0</v>
      </c>
      <c r="AL109" s="431">
        <v>3706049</v>
      </c>
      <c r="AM109" s="431">
        <v>0</v>
      </c>
    </row>
    <row r="110" spans="1:39" s="155" customFormat="1" ht="12" x14ac:dyDescent="0.2">
      <c r="A110" s="168">
        <v>56</v>
      </c>
      <c r="B110" s="177">
        <v>124411</v>
      </c>
      <c r="C110" s="224" t="s">
        <v>1665</v>
      </c>
      <c r="D110" s="438">
        <f t="shared" si="13"/>
        <v>5879445</v>
      </c>
      <c r="E110" s="431">
        <v>1193617</v>
      </c>
      <c r="F110" s="431">
        <v>353366</v>
      </c>
      <c r="G110" s="431">
        <v>184439</v>
      </c>
      <c r="H110" s="431">
        <v>0</v>
      </c>
      <c r="I110" s="431">
        <v>1316242</v>
      </c>
      <c r="J110" s="431">
        <v>230000</v>
      </c>
      <c r="K110" s="431">
        <v>752020</v>
      </c>
      <c r="L110" s="431">
        <v>0</v>
      </c>
      <c r="M110" s="431">
        <v>363350</v>
      </c>
      <c r="N110" s="431">
        <v>1944372</v>
      </c>
      <c r="O110" s="431">
        <v>79844</v>
      </c>
      <c r="P110" s="438">
        <f t="shared" si="14"/>
        <v>4028297</v>
      </c>
      <c r="Q110" s="431">
        <v>1683111</v>
      </c>
      <c r="R110" s="431">
        <v>1079790</v>
      </c>
      <c r="S110" s="431">
        <v>0</v>
      </c>
      <c r="T110" s="431">
        <v>0</v>
      </c>
      <c r="U110" s="431">
        <v>39285</v>
      </c>
      <c r="V110" s="431">
        <v>0</v>
      </c>
      <c r="W110" s="431">
        <v>586158</v>
      </c>
      <c r="X110" s="431">
        <v>220951</v>
      </c>
      <c r="Y110" s="431">
        <v>11000</v>
      </c>
      <c r="Z110" s="431">
        <v>408002</v>
      </c>
      <c r="AA110" s="431">
        <v>0</v>
      </c>
      <c r="AB110" s="431">
        <v>0</v>
      </c>
      <c r="AC110" s="431">
        <v>1037220</v>
      </c>
      <c r="AD110" s="431">
        <v>43335</v>
      </c>
      <c r="AE110" s="431">
        <v>1183373</v>
      </c>
      <c r="AF110" s="431">
        <v>0</v>
      </c>
      <c r="AG110" s="431">
        <v>101952</v>
      </c>
      <c r="AH110" s="431">
        <v>261566</v>
      </c>
      <c r="AI110" s="431">
        <v>315902</v>
      </c>
      <c r="AJ110" s="431">
        <v>107160</v>
      </c>
      <c r="AK110" s="431">
        <v>0</v>
      </c>
      <c r="AL110" s="431">
        <v>969105</v>
      </c>
      <c r="AM110" s="431">
        <v>8684</v>
      </c>
    </row>
    <row r="111" spans="1:39" s="155" customFormat="1" ht="12" x14ac:dyDescent="0.2">
      <c r="A111" s="168">
        <v>57</v>
      </c>
      <c r="B111" s="177">
        <v>124493</v>
      </c>
      <c r="C111" s="224" t="s">
        <v>1666</v>
      </c>
      <c r="D111" s="438">
        <f t="shared" si="13"/>
        <v>13103552</v>
      </c>
      <c r="E111" s="431">
        <v>2248028</v>
      </c>
      <c r="F111" s="431">
        <v>638909</v>
      </c>
      <c r="G111" s="431">
        <v>247252</v>
      </c>
      <c r="H111" s="431">
        <v>0</v>
      </c>
      <c r="I111" s="431">
        <v>1452587</v>
      </c>
      <c r="J111" s="431">
        <v>200000</v>
      </c>
      <c r="K111" s="431">
        <v>1070560</v>
      </c>
      <c r="L111" s="431">
        <v>0</v>
      </c>
      <c r="M111" s="431">
        <v>7434384</v>
      </c>
      <c r="N111" s="431">
        <v>522993</v>
      </c>
      <c r="O111" s="431">
        <v>175000</v>
      </c>
      <c r="P111" s="438">
        <f t="shared" si="14"/>
        <v>13062503</v>
      </c>
      <c r="Q111" s="431">
        <v>1778461</v>
      </c>
      <c r="R111" s="431">
        <v>2052723</v>
      </c>
      <c r="S111" s="431">
        <v>37500</v>
      </c>
      <c r="T111" s="431">
        <v>0</v>
      </c>
      <c r="U111" s="431">
        <v>0</v>
      </c>
      <c r="V111" s="431">
        <v>0</v>
      </c>
      <c r="W111" s="431">
        <v>773413</v>
      </c>
      <c r="X111" s="431">
        <v>316494</v>
      </c>
      <c r="Y111" s="431">
        <v>33727</v>
      </c>
      <c r="Z111" s="431">
        <v>7969402</v>
      </c>
      <c r="AA111" s="431">
        <v>119000</v>
      </c>
      <c r="AB111" s="431">
        <v>-18217</v>
      </c>
      <c r="AC111" s="431">
        <v>1139429</v>
      </c>
      <c r="AD111" s="431">
        <v>96177</v>
      </c>
      <c r="AE111" s="431">
        <v>1481233</v>
      </c>
      <c r="AF111" s="431">
        <v>0</v>
      </c>
      <c r="AG111" s="431">
        <v>79993</v>
      </c>
      <c r="AH111" s="431">
        <v>552965</v>
      </c>
      <c r="AI111" s="431">
        <v>546862</v>
      </c>
      <c r="AJ111" s="431">
        <v>204780</v>
      </c>
      <c r="AK111" s="431">
        <v>0</v>
      </c>
      <c r="AL111" s="431">
        <v>8207789</v>
      </c>
      <c r="AM111" s="431">
        <v>753275</v>
      </c>
    </row>
    <row r="112" spans="1:39" s="155" customFormat="1" ht="12" x14ac:dyDescent="0.2">
      <c r="A112" s="168">
        <v>58</v>
      </c>
      <c r="B112" s="177">
        <v>124563</v>
      </c>
      <c r="C112" s="224" t="s">
        <v>1667</v>
      </c>
      <c r="D112" s="438">
        <f t="shared" si="13"/>
        <v>4460756</v>
      </c>
      <c r="E112" s="431">
        <v>2704689</v>
      </c>
      <c r="F112" s="431">
        <v>844500</v>
      </c>
      <c r="G112" s="431">
        <v>28420</v>
      </c>
      <c r="H112" s="431">
        <v>0</v>
      </c>
      <c r="I112" s="431">
        <v>1002000</v>
      </c>
      <c r="J112" s="431">
        <v>50000</v>
      </c>
      <c r="K112" s="431">
        <v>101170</v>
      </c>
      <c r="L112" s="431">
        <v>0</v>
      </c>
      <c r="M112" s="431">
        <v>147292</v>
      </c>
      <c r="N112" s="431">
        <v>398167</v>
      </c>
      <c r="O112" s="431">
        <v>57438</v>
      </c>
      <c r="P112" s="438">
        <f t="shared" si="14"/>
        <v>3947239</v>
      </c>
      <c r="Q112" s="431">
        <v>1327102</v>
      </c>
      <c r="R112" s="431">
        <v>1226998</v>
      </c>
      <c r="S112" s="431">
        <v>0</v>
      </c>
      <c r="T112" s="431">
        <v>0</v>
      </c>
      <c r="U112" s="431">
        <v>127586</v>
      </c>
      <c r="V112" s="431">
        <v>0</v>
      </c>
      <c r="W112" s="431">
        <v>251559</v>
      </c>
      <c r="X112" s="431">
        <v>238205</v>
      </c>
      <c r="Y112" s="431">
        <v>209370</v>
      </c>
      <c r="Z112" s="431">
        <v>367756</v>
      </c>
      <c r="AA112" s="431">
        <v>200000</v>
      </c>
      <c r="AB112" s="431">
        <v>-1337</v>
      </c>
      <c r="AC112" s="431">
        <v>765712</v>
      </c>
      <c r="AD112" s="431">
        <v>119276</v>
      </c>
      <c r="AE112" s="431">
        <v>1032171</v>
      </c>
      <c r="AF112" s="431">
        <v>0</v>
      </c>
      <c r="AG112" s="431">
        <v>334972</v>
      </c>
      <c r="AH112" s="431">
        <v>300959</v>
      </c>
      <c r="AI112" s="431">
        <v>331713</v>
      </c>
      <c r="AJ112" s="431">
        <v>55800</v>
      </c>
      <c r="AK112" s="431">
        <v>203668</v>
      </c>
      <c r="AL112" s="431">
        <v>349563</v>
      </c>
      <c r="AM112" s="431">
        <v>453405</v>
      </c>
    </row>
    <row r="113" spans="1:39" s="155" customFormat="1" ht="12" x14ac:dyDescent="0.2">
      <c r="A113" s="168">
        <v>59</v>
      </c>
      <c r="B113" s="177">
        <v>124616</v>
      </c>
      <c r="C113" s="224" t="s">
        <v>1668</v>
      </c>
      <c r="D113" s="438">
        <f t="shared" si="13"/>
        <v>4260550</v>
      </c>
      <c r="E113" s="431">
        <v>1079692</v>
      </c>
      <c r="F113" s="431">
        <v>409383</v>
      </c>
      <c r="G113" s="431">
        <v>206082</v>
      </c>
      <c r="H113" s="431">
        <v>0</v>
      </c>
      <c r="I113" s="431">
        <v>1446653</v>
      </c>
      <c r="J113" s="431">
        <v>480000</v>
      </c>
      <c r="K113" s="431">
        <v>754970</v>
      </c>
      <c r="L113" s="431">
        <v>0</v>
      </c>
      <c r="M113" s="431">
        <v>174810</v>
      </c>
      <c r="N113" s="431">
        <v>268265</v>
      </c>
      <c r="O113" s="431">
        <v>56160</v>
      </c>
      <c r="P113" s="438">
        <f t="shared" si="14"/>
        <v>4447576</v>
      </c>
      <c r="Q113" s="431">
        <v>1765250</v>
      </c>
      <c r="R113" s="431">
        <v>737774</v>
      </c>
      <c r="S113" s="431">
        <v>0</v>
      </c>
      <c r="T113" s="431">
        <v>0</v>
      </c>
      <c r="U113" s="431">
        <v>22740</v>
      </c>
      <c r="V113" s="431">
        <v>0</v>
      </c>
      <c r="W113" s="431">
        <v>550043</v>
      </c>
      <c r="X113" s="431">
        <v>177959</v>
      </c>
      <c r="Y113" s="431">
        <v>39980</v>
      </c>
      <c r="Z113" s="431">
        <v>1153830</v>
      </c>
      <c r="AA113" s="431">
        <v>0</v>
      </c>
      <c r="AB113" s="431">
        <v>0</v>
      </c>
      <c r="AC113" s="431">
        <v>1256064</v>
      </c>
      <c r="AD113" s="431">
        <v>122814</v>
      </c>
      <c r="AE113" s="431">
        <v>1527580</v>
      </c>
      <c r="AF113" s="431">
        <v>9993</v>
      </c>
      <c r="AG113" s="431">
        <v>404318</v>
      </c>
      <c r="AH113" s="431">
        <v>177959</v>
      </c>
      <c r="AI113" s="431">
        <v>105072</v>
      </c>
      <c r="AJ113" s="431">
        <v>81587</v>
      </c>
      <c r="AK113" s="431">
        <v>0</v>
      </c>
      <c r="AL113" s="431">
        <v>748754</v>
      </c>
      <c r="AM113" s="431">
        <v>13435</v>
      </c>
    </row>
    <row r="114" spans="1:39" s="155" customFormat="1" ht="12" x14ac:dyDescent="0.2">
      <c r="A114" s="168">
        <v>60</v>
      </c>
      <c r="B114" s="177">
        <v>124634</v>
      </c>
      <c r="C114" s="224" t="s">
        <v>1669</v>
      </c>
      <c r="D114" s="438">
        <f t="shared" si="13"/>
        <v>11820925</v>
      </c>
      <c r="E114" s="431">
        <v>2247944</v>
      </c>
      <c r="F114" s="431">
        <v>412033</v>
      </c>
      <c r="G114" s="431">
        <v>696219</v>
      </c>
      <c r="H114" s="431">
        <v>0</v>
      </c>
      <c r="I114" s="431">
        <v>4880522</v>
      </c>
      <c r="J114" s="431">
        <v>100000</v>
      </c>
      <c r="K114" s="431">
        <v>1806110</v>
      </c>
      <c r="L114" s="431">
        <v>0</v>
      </c>
      <c r="M114" s="431">
        <v>824710</v>
      </c>
      <c r="N114" s="431">
        <v>1424808</v>
      </c>
      <c r="O114" s="431">
        <v>536831</v>
      </c>
      <c r="P114" s="438">
        <f t="shared" si="14"/>
        <v>11818463</v>
      </c>
      <c r="Q114" s="431">
        <v>4818692</v>
      </c>
      <c r="R114" s="431">
        <v>1838650</v>
      </c>
      <c r="S114" s="431">
        <v>0</v>
      </c>
      <c r="T114" s="431">
        <v>0</v>
      </c>
      <c r="U114" s="431">
        <v>0</v>
      </c>
      <c r="V114" s="431">
        <v>50400</v>
      </c>
      <c r="W114" s="431">
        <v>2008965</v>
      </c>
      <c r="X114" s="431">
        <v>528129</v>
      </c>
      <c r="Y114" s="431">
        <v>29000</v>
      </c>
      <c r="Z114" s="431">
        <v>2544627</v>
      </c>
      <c r="AA114" s="431">
        <v>0</v>
      </c>
      <c r="AB114" s="431">
        <v>0</v>
      </c>
      <c r="AC114" s="431">
        <v>2145628</v>
      </c>
      <c r="AD114" s="431">
        <v>0</v>
      </c>
      <c r="AE114" s="431">
        <v>4369918</v>
      </c>
      <c r="AF114" s="431">
        <v>76033</v>
      </c>
      <c r="AG114" s="431">
        <v>173297</v>
      </c>
      <c r="AH114" s="431">
        <v>893643</v>
      </c>
      <c r="AI114" s="431">
        <v>758715</v>
      </c>
      <c r="AJ114" s="431">
        <v>1854637</v>
      </c>
      <c r="AK114" s="431">
        <v>0</v>
      </c>
      <c r="AL114" s="431">
        <v>1530836</v>
      </c>
      <c r="AM114" s="431">
        <v>15756</v>
      </c>
    </row>
    <row r="115" spans="1:39" s="155" customFormat="1" ht="12" x14ac:dyDescent="0.2">
      <c r="A115" s="168">
        <v>61</v>
      </c>
      <c r="B115" s="177">
        <v>124661</v>
      </c>
      <c r="C115" s="224" t="s">
        <v>1670</v>
      </c>
      <c r="D115" s="438">
        <f t="shared" si="13"/>
        <v>5261888</v>
      </c>
      <c r="E115" s="431">
        <v>1025991</v>
      </c>
      <c r="F115" s="431">
        <v>263559</v>
      </c>
      <c r="G115" s="431">
        <v>255956</v>
      </c>
      <c r="H115" s="431">
        <v>0</v>
      </c>
      <c r="I115" s="431">
        <v>1936947</v>
      </c>
      <c r="J115" s="431">
        <v>450000</v>
      </c>
      <c r="K115" s="431">
        <v>861600</v>
      </c>
      <c r="L115" s="431">
        <v>0</v>
      </c>
      <c r="M115" s="431">
        <v>143183</v>
      </c>
      <c r="N115" s="431">
        <v>560586</v>
      </c>
      <c r="O115" s="431">
        <v>283581</v>
      </c>
      <c r="P115" s="438">
        <f t="shared" si="14"/>
        <v>5320840</v>
      </c>
      <c r="Q115" s="431">
        <v>2266226</v>
      </c>
      <c r="R115" s="431">
        <v>1335503</v>
      </c>
      <c r="S115" s="431">
        <v>0</v>
      </c>
      <c r="T115" s="431">
        <v>0</v>
      </c>
      <c r="U115" s="431">
        <v>11500</v>
      </c>
      <c r="V115" s="431">
        <v>0</v>
      </c>
      <c r="W115" s="431">
        <v>959120</v>
      </c>
      <c r="X115" s="431">
        <v>208626</v>
      </c>
      <c r="Y115" s="431">
        <v>168932</v>
      </c>
      <c r="Z115" s="431">
        <v>374783</v>
      </c>
      <c r="AA115" s="431">
        <v>0</v>
      </c>
      <c r="AB115" s="431">
        <v>-3850</v>
      </c>
      <c r="AC115" s="431">
        <v>1078185</v>
      </c>
      <c r="AD115" s="431">
        <v>6220</v>
      </c>
      <c r="AE115" s="431">
        <v>2674399</v>
      </c>
      <c r="AF115" s="431">
        <v>24096</v>
      </c>
      <c r="AG115" s="431">
        <v>239163</v>
      </c>
      <c r="AH115" s="431">
        <v>364529</v>
      </c>
      <c r="AI115" s="431">
        <v>478634</v>
      </c>
      <c r="AJ115" s="431">
        <v>0</v>
      </c>
      <c r="AK115" s="431">
        <v>0</v>
      </c>
      <c r="AL115" s="431">
        <v>452534</v>
      </c>
      <c r="AM115" s="431">
        <v>3080</v>
      </c>
    </row>
    <row r="116" spans="1:39" s="155" customFormat="1" ht="12" x14ac:dyDescent="0.2">
      <c r="A116" s="168">
        <v>62</v>
      </c>
      <c r="B116" s="177">
        <v>124723</v>
      </c>
      <c r="C116" s="224" t="s">
        <v>1671</v>
      </c>
      <c r="D116" s="438">
        <f t="shared" si="13"/>
        <v>5825598</v>
      </c>
      <c r="E116" s="431">
        <v>1399067</v>
      </c>
      <c r="F116" s="431">
        <v>247651</v>
      </c>
      <c r="G116" s="431">
        <v>450840</v>
      </c>
      <c r="H116" s="431">
        <v>0</v>
      </c>
      <c r="I116" s="431">
        <v>2183771</v>
      </c>
      <c r="J116" s="431">
        <v>150000</v>
      </c>
      <c r="K116" s="431">
        <v>1296240</v>
      </c>
      <c r="L116" s="431">
        <v>0</v>
      </c>
      <c r="M116" s="431">
        <v>368726</v>
      </c>
      <c r="N116" s="431">
        <v>391650</v>
      </c>
      <c r="O116" s="431">
        <v>36144</v>
      </c>
      <c r="P116" s="438">
        <f t="shared" si="14"/>
        <v>5816627</v>
      </c>
      <c r="Q116" s="431">
        <v>2836104</v>
      </c>
      <c r="R116" s="431">
        <v>1863750</v>
      </c>
      <c r="S116" s="431">
        <v>0</v>
      </c>
      <c r="T116" s="431">
        <v>0</v>
      </c>
      <c r="U116" s="431">
        <v>61320</v>
      </c>
      <c r="V116" s="431">
        <v>44767</v>
      </c>
      <c r="W116" s="431">
        <v>511206</v>
      </c>
      <c r="X116" s="431">
        <v>286926</v>
      </c>
      <c r="Y116" s="431">
        <v>0</v>
      </c>
      <c r="Z116" s="431">
        <v>212554</v>
      </c>
      <c r="AA116" s="431">
        <v>0</v>
      </c>
      <c r="AB116" s="431">
        <v>0</v>
      </c>
      <c r="AC116" s="431">
        <v>1931887</v>
      </c>
      <c r="AD116" s="431">
        <v>106974</v>
      </c>
      <c r="AE116" s="431">
        <v>1900023</v>
      </c>
      <c r="AF116" s="431">
        <v>0</v>
      </c>
      <c r="AG116" s="431">
        <v>118467</v>
      </c>
      <c r="AH116" s="431">
        <v>627450</v>
      </c>
      <c r="AI116" s="431">
        <v>388577</v>
      </c>
      <c r="AJ116" s="431">
        <v>206056</v>
      </c>
      <c r="AK116" s="431">
        <v>0</v>
      </c>
      <c r="AL116" s="431">
        <v>537193</v>
      </c>
      <c r="AM116" s="431">
        <v>0</v>
      </c>
    </row>
    <row r="117" spans="1:39" s="155" customFormat="1" ht="12" x14ac:dyDescent="0.2">
      <c r="A117" s="168">
        <v>63</v>
      </c>
      <c r="B117" s="177">
        <v>124750</v>
      </c>
      <c r="C117" s="224" t="s">
        <v>1672</v>
      </c>
      <c r="D117" s="438">
        <f t="shared" si="13"/>
        <v>4614134</v>
      </c>
      <c r="E117" s="431">
        <v>893004</v>
      </c>
      <c r="F117" s="431">
        <v>132938</v>
      </c>
      <c r="G117" s="431">
        <v>279481</v>
      </c>
      <c r="H117" s="431">
        <v>0</v>
      </c>
      <c r="I117" s="431">
        <v>1060015</v>
      </c>
      <c r="J117" s="431">
        <v>75000</v>
      </c>
      <c r="K117" s="431">
        <v>866740</v>
      </c>
      <c r="L117" s="431">
        <v>0</v>
      </c>
      <c r="M117" s="431">
        <v>1561255</v>
      </c>
      <c r="N117" s="431">
        <v>138650</v>
      </c>
      <c r="O117" s="431">
        <v>19470</v>
      </c>
      <c r="P117" s="438">
        <f t="shared" si="14"/>
        <v>4399121</v>
      </c>
      <c r="Q117" s="431">
        <v>1352889</v>
      </c>
      <c r="R117" s="431">
        <v>861913</v>
      </c>
      <c r="S117" s="431">
        <v>0</v>
      </c>
      <c r="T117" s="431">
        <v>0</v>
      </c>
      <c r="U117" s="431">
        <v>21400</v>
      </c>
      <c r="V117" s="431">
        <v>15929</v>
      </c>
      <c r="W117" s="431">
        <v>56329</v>
      </c>
      <c r="X117" s="431">
        <v>143006</v>
      </c>
      <c r="Y117" s="431">
        <v>26486</v>
      </c>
      <c r="Z117" s="431">
        <v>1893728</v>
      </c>
      <c r="AA117" s="431">
        <v>80000</v>
      </c>
      <c r="AB117" s="431">
        <v>-52559</v>
      </c>
      <c r="AC117" s="431">
        <v>886265</v>
      </c>
      <c r="AD117" s="431">
        <v>44130</v>
      </c>
      <c r="AE117" s="431">
        <v>954662</v>
      </c>
      <c r="AF117" s="431">
        <v>19681</v>
      </c>
      <c r="AG117" s="431">
        <v>64898</v>
      </c>
      <c r="AH117" s="431">
        <v>337055</v>
      </c>
      <c r="AI117" s="431">
        <v>267431</v>
      </c>
      <c r="AJ117" s="431">
        <v>95226</v>
      </c>
      <c r="AK117" s="431">
        <v>0</v>
      </c>
      <c r="AL117" s="431">
        <v>1700747</v>
      </c>
      <c r="AM117" s="431">
        <v>29026</v>
      </c>
    </row>
    <row r="118" spans="1:39" s="155" customFormat="1" ht="12" x14ac:dyDescent="0.2">
      <c r="A118" s="168">
        <v>64</v>
      </c>
      <c r="B118" s="177">
        <v>124803</v>
      </c>
      <c r="C118" s="224" t="s">
        <v>1673</v>
      </c>
      <c r="D118" s="438">
        <f t="shared" si="13"/>
        <v>5632199</v>
      </c>
      <c r="E118" s="431">
        <v>934606</v>
      </c>
      <c r="F118" s="431">
        <v>175743</v>
      </c>
      <c r="G118" s="431">
        <v>206082</v>
      </c>
      <c r="H118" s="431">
        <v>0</v>
      </c>
      <c r="I118" s="431">
        <v>1904317</v>
      </c>
      <c r="J118" s="431">
        <v>160000</v>
      </c>
      <c r="K118" s="431">
        <v>919980</v>
      </c>
      <c r="L118" s="431">
        <v>0</v>
      </c>
      <c r="M118" s="431">
        <v>1179651</v>
      </c>
      <c r="N118" s="431">
        <v>504209</v>
      </c>
      <c r="O118" s="431">
        <v>29436</v>
      </c>
      <c r="P118" s="438">
        <f t="shared" si="14"/>
        <v>4577209</v>
      </c>
      <c r="Q118" s="431">
        <v>2158308</v>
      </c>
      <c r="R118" s="431">
        <v>731561</v>
      </c>
      <c r="S118" s="431">
        <v>0</v>
      </c>
      <c r="T118" s="431">
        <v>0</v>
      </c>
      <c r="U118" s="431">
        <v>106480</v>
      </c>
      <c r="V118" s="431">
        <v>0</v>
      </c>
      <c r="W118" s="431">
        <v>19281</v>
      </c>
      <c r="X118" s="431">
        <v>318491</v>
      </c>
      <c r="Y118" s="431">
        <v>0</v>
      </c>
      <c r="Z118" s="431">
        <v>1246395</v>
      </c>
      <c r="AA118" s="431">
        <v>0</v>
      </c>
      <c r="AB118" s="431">
        <v>-3307</v>
      </c>
      <c r="AC118" s="431">
        <v>858184</v>
      </c>
      <c r="AD118" s="431">
        <v>72936</v>
      </c>
      <c r="AE118" s="431">
        <v>1732594</v>
      </c>
      <c r="AF118" s="431">
        <v>0</v>
      </c>
      <c r="AG118" s="431">
        <v>146867</v>
      </c>
      <c r="AH118" s="431">
        <v>321064</v>
      </c>
      <c r="AI118" s="431">
        <v>516186</v>
      </c>
      <c r="AJ118" s="431">
        <v>199803</v>
      </c>
      <c r="AK118" s="431">
        <v>0</v>
      </c>
      <c r="AL118" s="431">
        <v>723963</v>
      </c>
      <c r="AM118" s="431">
        <v>5612</v>
      </c>
    </row>
    <row r="119" spans="1:39" s="155" customFormat="1" ht="12" x14ac:dyDescent="0.2">
      <c r="A119" s="168">
        <v>65</v>
      </c>
      <c r="B119" s="177">
        <v>124849</v>
      </c>
      <c r="C119" s="224" t="s">
        <v>1674</v>
      </c>
      <c r="D119" s="438">
        <f t="shared" ref="D119:D132" si="15">E119+SUM(H119:O119)</f>
        <v>6301841</v>
      </c>
      <c r="E119" s="431">
        <v>1163936</v>
      </c>
      <c r="F119" s="431">
        <v>185110</v>
      </c>
      <c r="G119" s="431">
        <v>341014</v>
      </c>
      <c r="H119" s="431">
        <v>0</v>
      </c>
      <c r="I119" s="431">
        <v>2104910</v>
      </c>
      <c r="J119" s="431">
        <v>150000</v>
      </c>
      <c r="K119" s="431">
        <v>1288060</v>
      </c>
      <c r="L119" s="431">
        <v>0</v>
      </c>
      <c r="M119" s="431">
        <v>1576593</v>
      </c>
      <c r="N119" s="431">
        <v>0</v>
      </c>
      <c r="O119" s="431">
        <v>18342</v>
      </c>
      <c r="P119" s="438">
        <f t="shared" ref="P119:P132" si="16">IF(SUM(Q119:AB119)=SUM(AC119:AM119),SUM(Q119:AB119),"  EROARE ART/CAP")</f>
        <v>6351204</v>
      </c>
      <c r="Q119" s="431">
        <v>2422594</v>
      </c>
      <c r="R119" s="431">
        <v>741010</v>
      </c>
      <c r="S119" s="431">
        <v>0</v>
      </c>
      <c r="T119" s="431">
        <v>0</v>
      </c>
      <c r="U119" s="431">
        <v>36000</v>
      </c>
      <c r="V119" s="431">
        <v>4800</v>
      </c>
      <c r="W119" s="431">
        <v>0</v>
      </c>
      <c r="X119" s="431">
        <v>215808</v>
      </c>
      <c r="Y119" s="431">
        <v>144835</v>
      </c>
      <c r="Z119" s="431">
        <v>2786157</v>
      </c>
      <c r="AA119" s="431">
        <v>0</v>
      </c>
      <c r="AB119" s="431">
        <v>0</v>
      </c>
      <c r="AC119" s="431">
        <v>819470</v>
      </c>
      <c r="AD119" s="431">
        <v>106634</v>
      </c>
      <c r="AE119" s="431">
        <v>1972795</v>
      </c>
      <c r="AF119" s="431">
        <v>0</v>
      </c>
      <c r="AG119" s="431">
        <v>374465</v>
      </c>
      <c r="AH119" s="431">
        <v>321379</v>
      </c>
      <c r="AI119" s="431">
        <v>126024</v>
      </c>
      <c r="AJ119" s="431">
        <v>121419</v>
      </c>
      <c r="AK119" s="431">
        <v>0</v>
      </c>
      <c r="AL119" s="431">
        <v>2509018</v>
      </c>
      <c r="AM119" s="431">
        <v>0</v>
      </c>
    </row>
    <row r="120" spans="1:39" s="155" customFormat="1" ht="12" x14ac:dyDescent="0.2">
      <c r="A120" s="168">
        <v>66</v>
      </c>
      <c r="B120" s="177">
        <v>124885</v>
      </c>
      <c r="C120" s="224" t="s">
        <v>1675</v>
      </c>
      <c r="D120" s="438">
        <f t="shared" si="15"/>
        <v>10046985</v>
      </c>
      <c r="E120" s="431">
        <v>987513</v>
      </c>
      <c r="F120" s="431">
        <v>142709</v>
      </c>
      <c r="G120" s="431">
        <v>470818</v>
      </c>
      <c r="H120" s="431">
        <v>0</v>
      </c>
      <c r="I120" s="431">
        <v>2685168</v>
      </c>
      <c r="J120" s="431">
        <v>200000</v>
      </c>
      <c r="K120" s="431">
        <v>1223610</v>
      </c>
      <c r="L120" s="431">
        <v>0</v>
      </c>
      <c r="M120" s="431">
        <v>4744574</v>
      </c>
      <c r="N120" s="431">
        <v>164318</v>
      </c>
      <c r="O120" s="431">
        <v>41802</v>
      </c>
      <c r="P120" s="438">
        <f t="shared" si="16"/>
        <v>9800609</v>
      </c>
      <c r="Q120" s="431">
        <v>2628515</v>
      </c>
      <c r="R120" s="431">
        <v>1043532</v>
      </c>
      <c r="S120" s="431">
        <v>0</v>
      </c>
      <c r="T120" s="431">
        <v>0</v>
      </c>
      <c r="U120" s="431">
        <v>50000</v>
      </c>
      <c r="V120" s="431">
        <v>30690</v>
      </c>
      <c r="W120" s="431">
        <v>0</v>
      </c>
      <c r="X120" s="431">
        <v>505475</v>
      </c>
      <c r="Y120" s="431">
        <v>46621</v>
      </c>
      <c r="Z120" s="431">
        <v>5498012</v>
      </c>
      <c r="AA120" s="431">
        <v>0</v>
      </c>
      <c r="AB120" s="431">
        <v>-2236</v>
      </c>
      <c r="AC120" s="431">
        <v>770292</v>
      </c>
      <c r="AD120" s="431">
        <v>107006</v>
      </c>
      <c r="AE120" s="431">
        <v>2407587</v>
      </c>
      <c r="AF120" s="431">
        <v>437868</v>
      </c>
      <c r="AG120" s="431">
        <v>80543</v>
      </c>
      <c r="AH120" s="431">
        <v>505075</v>
      </c>
      <c r="AI120" s="431">
        <v>329959</v>
      </c>
      <c r="AJ120" s="431">
        <v>70807</v>
      </c>
      <c r="AK120" s="431">
        <v>0</v>
      </c>
      <c r="AL120" s="431">
        <v>5091472</v>
      </c>
      <c r="AM120" s="431">
        <v>0</v>
      </c>
    </row>
    <row r="121" spans="1:39" s="155" customFormat="1" ht="12" x14ac:dyDescent="0.2">
      <c r="A121" s="168">
        <v>67</v>
      </c>
      <c r="B121" s="177">
        <v>124938</v>
      </c>
      <c r="C121" s="224" t="s">
        <v>1676</v>
      </c>
      <c r="D121" s="438">
        <f t="shared" si="15"/>
        <v>10732928</v>
      </c>
      <c r="E121" s="431">
        <v>2842844</v>
      </c>
      <c r="F121" s="431">
        <v>1527834</v>
      </c>
      <c r="G121" s="431">
        <v>67904</v>
      </c>
      <c r="H121" s="431">
        <v>0</v>
      </c>
      <c r="I121" s="431">
        <v>2104000</v>
      </c>
      <c r="J121" s="431">
        <v>280000</v>
      </c>
      <c r="K121" s="431">
        <v>2541590</v>
      </c>
      <c r="L121" s="431">
        <v>0</v>
      </c>
      <c r="M121" s="431">
        <v>631536</v>
      </c>
      <c r="N121" s="431">
        <v>0</v>
      </c>
      <c r="O121" s="431">
        <v>2332958</v>
      </c>
      <c r="P121" s="438">
        <f t="shared" si="16"/>
        <v>10732856</v>
      </c>
      <c r="Q121" s="431">
        <v>2330600</v>
      </c>
      <c r="R121" s="431">
        <v>2356000</v>
      </c>
      <c r="S121" s="431">
        <v>0</v>
      </c>
      <c r="T121" s="431">
        <v>0</v>
      </c>
      <c r="U121" s="431">
        <v>0</v>
      </c>
      <c r="V121" s="431">
        <v>0</v>
      </c>
      <c r="W121" s="431">
        <v>0</v>
      </c>
      <c r="X121" s="431">
        <v>388439</v>
      </c>
      <c r="Y121" s="431">
        <v>63956</v>
      </c>
      <c r="Z121" s="431">
        <v>5593861</v>
      </c>
      <c r="AA121" s="431">
        <v>0</v>
      </c>
      <c r="AB121" s="431">
        <v>0</v>
      </c>
      <c r="AC121" s="431">
        <v>1191996</v>
      </c>
      <c r="AD121" s="431">
        <v>19448</v>
      </c>
      <c r="AE121" s="431">
        <v>4169578</v>
      </c>
      <c r="AF121" s="431">
        <v>2553815</v>
      </c>
      <c r="AG121" s="431">
        <v>104895</v>
      </c>
      <c r="AH121" s="431">
        <v>528197</v>
      </c>
      <c r="AI121" s="431">
        <v>361683</v>
      </c>
      <c r="AJ121" s="431">
        <v>242173</v>
      </c>
      <c r="AK121" s="431">
        <v>0</v>
      </c>
      <c r="AL121" s="431">
        <v>1479551</v>
      </c>
      <c r="AM121" s="431">
        <v>81520</v>
      </c>
    </row>
    <row r="122" spans="1:39" s="155" customFormat="1" ht="12" x14ac:dyDescent="0.2">
      <c r="A122" s="168">
        <v>68</v>
      </c>
      <c r="B122" s="177">
        <v>125016</v>
      </c>
      <c r="C122" s="224" t="s">
        <v>558</v>
      </c>
      <c r="D122" s="438">
        <f t="shared" si="15"/>
        <v>13503801</v>
      </c>
      <c r="E122" s="431">
        <v>2578003</v>
      </c>
      <c r="F122" s="431">
        <v>886967</v>
      </c>
      <c r="G122" s="431">
        <v>702806</v>
      </c>
      <c r="H122" s="431">
        <v>0</v>
      </c>
      <c r="I122" s="431">
        <v>5981630</v>
      </c>
      <c r="J122" s="431">
        <v>200000</v>
      </c>
      <c r="K122" s="431">
        <v>1852700</v>
      </c>
      <c r="L122" s="431">
        <v>0</v>
      </c>
      <c r="M122" s="431">
        <v>2138434</v>
      </c>
      <c r="N122" s="431">
        <v>753034</v>
      </c>
      <c r="O122" s="431">
        <v>0</v>
      </c>
      <c r="P122" s="438">
        <f t="shared" si="16"/>
        <v>13181769</v>
      </c>
      <c r="Q122" s="431">
        <v>6239022</v>
      </c>
      <c r="R122" s="431">
        <v>2011575</v>
      </c>
      <c r="S122" s="431">
        <v>0</v>
      </c>
      <c r="T122" s="431">
        <v>0</v>
      </c>
      <c r="U122" s="431">
        <v>0</v>
      </c>
      <c r="V122" s="431">
        <v>713547</v>
      </c>
      <c r="W122" s="431">
        <v>702310</v>
      </c>
      <c r="X122" s="431">
        <v>448897</v>
      </c>
      <c r="Y122" s="431">
        <v>61000</v>
      </c>
      <c r="Z122" s="431">
        <v>3006608</v>
      </c>
      <c r="AA122" s="431">
        <v>0</v>
      </c>
      <c r="AB122" s="431">
        <v>-1190</v>
      </c>
      <c r="AC122" s="431">
        <v>2110939</v>
      </c>
      <c r="AD122" s="431">
        <v>201669</v>
      </c>
      <c r="AE122" s="431">
        <v>7712229</v>
      </c>
      <c r="AF122" s="431">
        <v>15951</v>
      </c>
      <c r="AG122" s="431">
        <v>365493</v>
      </c>
      <c r="AH122" s="431">
        <v>890923</v>
      </c>
      <c r="AI122" s="431">
        <v>564433</v>
      </c>
      <c r="AJ122" s="431">
        <v>718557</v>
      </c>
      <c r="AK122" s="431">
        <v>0</v>
      </c>
      <c r="AL122" s="431">
        <v>529636</v>
      </c>
      <c r="AM122" s="431">
        <v>71939</v>
      </c>
    </row>
    <row r="123" spans="1:39" s="155" customFormat="1" ht="12" x14ac:dyDescent="0.2">
      <c r="A123" s="168">
        <v>69</v>
      </c>
      <c r="B123" s="177">
        <v>125061</v>
      </c>
      <c r="C123" s="224" t="s">
        <v>1677</v>
      </c>
      <c r="D123" s="438">
        <f t="shared" si="15"/>
        <v>8979172</v>
      </c>
      <c r="E123" s="431">
        <v>1732498</v>
      </c>
      <c r="F123" s="431">
        <v>678487</v>
      </c>
      <c r="G123" s="431">
        <v>368106</v>
      </c>
      <c r="H123" s="431">
        <v>0</v>
      </c>
      <c r="I123" s="431">
        <v>2357125</v>
      </c>
      <c r="J123" s="431">
        <v>200000</v>
      </c>
      <c r="K123" s="431">
        <v>1142890</v>
      </c>
      <c r="L123" s="431">
        <v>0</v>
      </c>
      <c r="M123" s="431">
        <v>2690194</v>
      </c>
      <c r="N123" s="431">
        <v>836383</v>
      </c>
      <c r="O123" s="431">
        <v>20082</v>
      </c>
      <c r="P123" s="438">
        <f t="shared" si="16"/>
        <v>8280325</v>
      </c>
      <c r="Q123" s="431">
        <v>2750719</v>
      </c>
      <c r="R123" s="431">
        <v>1338887</v>
      </c>
      <c r="S123" s="431">
        <v>0</v>
      </c>
      <c r="T123" s="431">
        <v>0</v>
      </c>
      <c r="U123" s="431">
        <v>60000</v>
      </c>
      <c r="V123" s="431">
        <v>0</v>
      </c>
      <c r="W123" s="431">
        <v>1196406</v>
      </c>
      <c r="X123" s="431">
        <v>236603</v>
      </c>
      <c r="Y123" s="431">
        <v>0</v>
      </c>
      <c r="Z123" s="431">
        <v>2697710</v>
      </c>
      <c r="AA123" s="431">
        <v>0</v>
      </c>
      <c r="AB123" s="431">
        <v>0</v>
      </c>
      <c r="AC123" s="431">
        <v>1326970</v>
      </c>
      <c r="AD123" s="431">
        <v>102925</v>
      </c>
      <c r="AE123" s="431">
        <v>2187819</v>
      </c>
      <c r="AF123" s="431">
        <v>4165</v>
      </c>
      <c r="AG123" s="431">
        <v>40251</v>
      </c>
      <c r="AH123" s="431">
        <v>409345</v>
      </c>
      <c r="AI123" s="431">
        <v>303867</v>
      </c>
      <c r="AJ123" s="431">
        <v>24559</v>
      </c>
      <c r="AK123" s="431">
        <v>0</v>
      </c>
      <c r="AL123" s="431">
        <v>3880424</v>
      </c>
      <c r="AM123" s="431">
        <v>0</v>
      </c>
    </row>
    <row r="124" spans="1:39" s="155" customFormat="1" ht="12" x14ac:dyDescent="0.2">
      <c r="A124" s="168">
        <v>70</v>
      </c>
      <c r="B124" s="177">
        <v>125098</v>
      </c>
      <c r="C124" s="224" t="s">
        <v>1678</v>
      </c>
      <c r="D124" s="438">
        <f t="shared" si="15"/>
        <v>3630933</v>
      </c>
      <c r="E124" s="431">
        <v>747061</v>
      </c>
      <c r="F124" s="431">
        <v>124150</v>
      </c>
      <c r="G124" s="431">
        <v>335942</v>
      </c>
      <c r="H124" s="431">
        <v>0</v>
      </c>
      <c r="I124" s="431">
        <v>1192302</v>
      </c>
      <c r="J124" s="431">
        <v>100000</v>
      </c>
      <c r="K124" s="431">
        <v>1013850</v>
      </c>
      <c r="L124" s="431">
        <v>0</v>
      </c>
      <c r="M124" s="431">
        <v>178342</v>
      </c>
      <c r="N124" s="431">
        <v>380736</v>
      </c>
      <c r="O124" s="431">
        <v>18642</v>
      </c>
      <c r="P124" s="438">
        <f t="shared" si="16"/>
        <v>3495909</v>
      </c>
      <c r="Q124" s="431">
        <v>1482251</v>
      </c>
      <c r="R124" s="431">
        <v>910090</v>
      </c>
      <c r="S124" s="431">
        <v>0</v>
      </c>
      <c r="T124" s="431">
        <v>0</v>
      </c>
      <c r="U124" s="431">
        <v>10000</v>
      </c>
      <c r="V124" s="431">
        <v>5810</v>
      </c>
      <c r="W124" s="431">
        <v>518936</v>
      </c>
      <c r="X124" s="431">
        <v>231656</v>
      </c>
      <c r="Y124" s="431">
        <v>40655</v>
      </c>
      <c r="Z124" s="431">
        <v>310978</v>
      </c>
      <c r="AA124" s="431">
        <v>0</v>
      </c>
      <c r="AB124" s="431">
        <v>-14467</v>
      </c>
      <c r="AC124" s="431">
        <v>662516</v>
      </c>
      <c r="AD124" s="431">
        <v>101376</v>
      </c>
      <c r="AE124" s="431">
        <v>1326590</v>
      </c>
      <c r="AF124" s="431">
        <v>21786</v>
      </c>
      <c r="AG124" s="431">
        <v>144562</v>
      </c>
      <c r="AH124" s="431">
        <v>248380</v>
      </c>
      <c r="AI124" s="431">
        <v>235314</v>
      </c>
      <c r="AJ124" s="431">
        <v>29448</v>
      </c>
      <c r="AK124" s="431">
        <v>0</v>
      </c>
      <c r="AL124" s="431">
        <v>725937</v>
      </c>
      <c r="AM124" s="431">
        <v>0</v>
      </c>
    </row>
    <row r="125" spans="1:39" s="155" customFormat="1" ht="12" x14ac:dyDescent="0.2">
      <c r="A125" s="168">
        <v>71</v>
      </c>
      <c r="B125" s="177">
        <v>125105</v>
      </c>
      <c r="C125" s="224" t="s">
        <v>1679</v>
      </c>
      <c r="D125" s="438">
        <f t="shared" si="15"/>
        <v>4016092</v>
      </c>
      <c r="E125" s="431">
        <v>823278</v>
      </c>
      <c r="F125" s="431">
        <v>160606</v>
      </c>
      <c r="G125" s="431">
        <v>288891</v>
      </c>
      <c r="H125" s="431">
        <v>0</v>
      </c>
      <c r="I125" s="431">
        <v>807544</v>
      </c>
      <c r="J125" s="431">
        <v>327000</v>
      </c>
      <c r="K125" s="431">
        <v>991150</v>
      </c>
      <c r="L125" s="431">
        <v>0</v>
      </c>
      <c r="M125" s="431">
        <v>560654</v>
      </c>
      <c r="N125" s="431">
        <v>488328</v>
      </c>
      <c r="O125" s="431">
        <v>18138</v>
      </c>
      <c r="P125" s="438">
        <f t="shared" si="16"/>
        <v>3844101</v>
      </c>
      <c r="Q125" s="431">
        <v>1115157</v>
      </c>
      <c r="R125" s="431">
        <v>534405</v>
      </c>
      <c r="S125" s="431">
        <v>0</v>
      </c>
      <c r="T125" s="431">
        <v>0</v>
      </c>
      <c r="U125" s="431">
        <v>23760</v>
      </c>
      <c r="V125" s="431">
        <v>22310</v>
      </c>
      <c r="W125" s="431">
        <v>989902</v>
      </c>
      <c r="X125" s="431">
        <v>180988</v>
      </c>
      <c r="Y125" s="431">
        <v>9450</v>
      </c>
      <c r="Z125" s="431">
        <v>968129</v>
      </c>
      <c r="AA125" s="431">
        <v>0</v>
      </c>
      <c r="AB125" s="431">
        <v>0</v>
      </c>
      <c r="AC125" s="431">
        <v>858816</v>
      </c>
      <c r="AD125" s="431">
        <v>360233</v>
      </c>
      <c r="AE125" s="431">
        <v>768396</v>
      </c>
      <c r="AF125" s="431">
        <v>0</v>
      </c>
      <c r="AG125" s="431">
        <v>58412</v>
      </c>
      <c r="AH125" s="431">
        <v>180988</v>
      </c>
      <c r="AI125" s="431">
        <v>110414</v>
      </c>
      <c r="AJ125" s="431">
        <v>85429</v>
      </c>
      <c r="AK125" s="431">
        <v>0</v>
      </c>
      <c r="AL125" s="431">
        <v>1421413</v>
      </c>
      <c r="AM125" s="431">
        <v>0</v>
      </c>
    </row>
    <row r="126" spans="1:39" s="155" customFormat="1" ht="12" x14ac:dyDescent="0.2">
      <c r="A126" s="168">
        <v>72</v>
      </c>
      <c r="B126" s="177">
        <v>125114</v>
      </c>
      <c r="C126" s="224" t="s">
        <v>1680</v>
      </c>
      <c r="D126" s="438">
        <f t="shared" si="15"/>
        <v>3619622</v>
      </c>
      <c r="E126" s="431">
        <v>732633</v>
      </c>
      <c r="F126" s="431">
        <v>50407</v>
      </c>
      <c r="G126" s="431">
        <v>357585</v>
      </c>
      <c r="H126" s="431">
        <v>0</v>
      </c>
      <c r="I126" s="431">
        <v>816642</v>
      </c>
      <c r="J126" s="431">
        <v>230000</v>
      </c>
      <c r="K126" s="431">
        <v>1060530</v>
      </c>
      <c r="L126" s="431">
        <v>0</v>
      </c>
      <c r="M126" s="431">
        <v>766029</v>
      </c>
      <c r="N126" s="431">
        <v>0</v>
      </c>
      <c r="O126" s="431">
        <v>13788</v>
      </c>
      <c r="P126" s="438">
        <f t="shared" si="16"/>
        <v>3302882</v>
      </c>
      <c r="Q126" s="431">
        <v>1003906</v>
      </c>
      <c r="R126" s="431">
        <v>713320</v>
      </c>
      <c r="S126" s="431">
        <v>0</v>
      </c>
      <c r="T126" s="431">
        <v>0</v>
      </c>
      <c r="U126" s="431">
        <v>13000</v>
      </c>
      <c r="V126" s="431">
        <v>0</v>
      </c>
      <c r="W126" s="431">
        <v>0</v>
      </c>
      <c r="X126" s="431">
        <v>201439</v>
      </c>
      <c r="Y126" s="431">
        <v>16380</v>
      </c>
      <c r="Z126" s="431">
        <v>1354837</v>
      </c>
      <c r="AA126" s="431">
        <v>0</v>
      </c>
      <c r="AB126" s="431">
        <v>0</v>
      </c>
      <c r="AC126" s="431">
        <v>749997</v>
      </c>
      <c r="AD126" s="431">
        <v>119863</v>
      </c>
      <c r="AE126" s="431">
        <v>794976</v>
      </c>
      <c r="AF126" s="431">
        <v>0</v>
      </c>
      <c r="AG126" s="431">
        <v>17000</v>
      </c>
      <c r="AH126" s="431">
        <v>201439</v>
      </c>
      <c r="AI126" s="431">
        <v>346119</v>
      </c>
      <c r="AJ126" s="431">
        <v>109632</v>
      </c>
      <c r="AK126" s="431">
        <v>0</v>
      </c>
      <c r="AL126" s="431">
        <v>963856</v>
      </c>
      <c r="AM126" s="431">
        <v>0</v>
      </c>
    </row>
    <row r="127" spans="1:39" s="155" customFormat="1" ht="12" x14ac:dyDescent="0.2">
      <c r="A127" s="168">
        <v>73</v>
      </c>
      <c r="B127" s="184">
        <v>125123</v>
      </c>
      <c r="C127" s="224" t="s">
        <v>1681</v>
      </c>
      <c r="D127" s="438">
        <f t="shared" si="15"/>
        <v>3664922</v>
      </c>
      <c r="E127" s="431">
        <v>690105</v>
      </c>
      <c r="F127" s="431">
        <v>72256</v>
      </c>
      <c r="G127" s="431">
        <v>336883</v>
      </c>
      <c r="H127" s="431">
        <v>0</v>
      </c>
      <c r="I127" s="431">
        <v>829950</v>
      </c>
      <c r="J127" s="431">
        <v>150000</v>
      </c>
      <c r="K127" s="431">
        <v>1432430</v>
      </c>
      <c r="L127" s="431">
        <v>0</v>
      </c>
      <c r="M127" s="431">
        <v>175349</v>
      </c>
      <c r="N127" s="431">
        <v>366082</v>
      </c>
      <c r="O127" s="431">
        <v>21006</v>
      </c>
      <c r="P127" s="438">
        <f t="shared" si="16"/>
        <v>3664849</v>
      </c>
      <c r="Q127" s="431">
        <v>1102761</v>
      </c>
      <c r="R127" s="431">
        <v>1063674</v>
      </c>
      <c r="S127" s="431">
        <v>6500</v>
      </c>
      <c r="T127" s="431">
        <v>0</v>
      </c>
      <c r="U127" s="431">
        <v>23740</v>
      </c>
      <c r="V127" s="431">
        <v>0</v>
      </c>
      <c r="W127" s="431">
        <v>0</v>
      </c>
      <c r="X127" s="431">
        <v>156227</v>
      </c>
      <c r="Y127" s="431">
        <v>5000</v>
      </c>
      <c r="Z127" s="431">
        <v>840442</v>
      </c>
      <c r="AA127" s="431">
        <v>467480</v>
      </c>
      <c r="AB127" s="431">
        <v>-975</v>
      </c>
      <c r="AC127" s="431">
        <v>989206</v>
      </c>
      <c r="AD127" s="431">
        <v>30156</v>
      </c>
      <c r="AE127" s="431">
        <v>906189</v>
      </c>
      <c r="AF127" s="431">
        <v>0</v>
      </c>
      <c r="AG127" s="431">
        <v>357644</v>
      </c>
      <c r="AH127" s="431">
        <v>156227</v>
      </c>
      <c r="AI127" s="431">
        <v>151576</v>
      </c>
      <c r="AJ127" s="431">
        <v>53709</v>
      </c>
      <c r="AK127" s="431">
        <v>0</v>
      </c>
      <c r="AL127" s="431">
        <v>1020142</v>
      </c>
      <c r="AM127" s="431">
        <v>0</v>
      </c>
    </row>
    <row r="128" spans="1:39" s="155" customFormat="1" ht="12" x14ac:dyDescent="0.2">
      <c r="A128" s="168">
        <v>74</v>
      </c>
      <c r="B128" s="143">
        <v>125132</v>
      </c>
      <c r="C128" s="224" t="s">
        <v>1682</v>
      </c>
      <c r="D128" s="438">
        <f t="shared" si="15"/>
        <v>3452639</v>
      </c>
      <c r="E128" s="431">
        <v>684190</v>
      </c>
      <c r="F128" s="431">
        <v>53617</v>
      </c>
      <c r="G128" s="431">
        <v>374524</v>
      </c>
      <c r="H128" s="431">
        <v>0</v>
      </c>
      <c r="I128" s="431">
        <v>951953</v>
      </c>
      <c r="J128" s="431">
        <v>150000</v>
      </c>
      <c r="K128" s="431">
        <v>1062030</v>
      </c>
      <c r="L128" s="431">
        <v>0</v>
      </c>
      <c r="M128" s="431">
        <v>14466</v>
      </c>
      <c r="N128" s="431">
        <v>571956</v>
      </c>
      <c r="O128" s="431">
        <v>18044</v>
      </c>
      <c r="P128" s="438">
        <f t="shared" si="16"/>
        <v>3619447</v>
      </c>
      <c r="Q128" s="431">
        <v>1322781</v>
      </c>
      <c r="R128" s="431">
        <v>828941</v>
      </c>
      <c r="S128" s="431">
        <v>0</v>
      </c>
      <c r="T128" s="431">
        <v>0</v>
      </c>
      <c r="U128" s="431">
        <v>0</v>
      </c>
      <c r="V128" s="431">
        <v>9730</v>
      </c>
      <c r="W128" s="431">
        <v>590019</v>
      </c>
      <c r="X128" s="431">
        <v>126603</v>
      </c>
      <c r="Y128" s="431">
        <v>50000</v>
      </c>
      <c r="Z128" s="431">
        <v>692947</v>
      </c>
      <c r="AA128" s="431">
        <v>0</v>
      </c>
      <c r="AB128" s="431">
        <v>-1574</v>
      </c>
      <c r="AC128" s="431">
        <v>1359987</v>
      </c>
      <c r="AD128" s="431">
        <v>84991</v>
      </c>
      <c r="AE128" s="431">
        <v>1000249</v>
      </c>
      <c r="AF128" s="431">
        <v>0</v>
      </c>
      <c r="AG128" s="431">
        <v>237611</v>
      </c>
      <c r="AH128" s="431">
        <v>142538</v>
      </c>
      <c r="AI128" s="431">
        <v>149228</v>
      </c>
      <c r="AJ128" s="431">
        <v>42097</v>
      </c>
      <c r="AK128" s="431">
        <v>0</v>
      </c>
      <c r="AL128" s="431">
        <v>602746</v>
      </c>
      <c r="AM128" s="431">
        <v>0</v>
      </c>
    </row>
    <row r="129" spans="1:39" s="155" customFormat="1" ht="12" x14ac:dyDescent="0.2">
      <c r="A129" s="168">
        <v>75</v>
      </c>
      <c r="B129" s="143">
        <v>125141</v>
      </c>
      <c r="C129" s="224" t="s">
        <v>1683</v>
      </c>
      <c r="D129" s="438">
        <f t="shared" si="15"/>
        <v>4463270</v>
      </c>
      <c r="E129" s="431">
        <v>594511</v>
      </c>
      <c r="F129" s="431">
        <v>73902</v>
      </c>
      <c r="G129" s="431">
        <v>385816</v>
      </c>
      <c r="H129" s="431">
        <v>0</v>
      </c>
      <c r="I129" s="431">
        <v>914185</v>
      </c>
      <c r="J129" s="431">
        <v>230000</v>
      </c>
      <c r="K129" s="431">
        <v>1171020</v>
      </c>
      <c r="L129" s="431">
        <v>0</v>
      </c>
      <c r="M129" s="431">
        <v>1247490</v>
      </c>
      <c r="N129" s="431">
        <v>283714</v>
      </c>
      <c r="O129" s="431">
        <v>22350</v>
      </c>
      <c r="P129" s="438">
        <f t="shared" si="16"/>
        <v>4248828</v>
      </c>
      <c r="Q129" s="431">
        <v>1250356</v>
      </c>
      <c r="R129" s="431">
        <v>1057033</v>
      </c>
      <c r="S129" s="431">
        <v>0</v>
      </c>
      <c r="T129" s="431">
        <v>0</v>
      </c>
      <c r="U129" s="431">
        <v>0</v>
      </c>
      <c r="V129" s="431">
        <v>20000</v>
      </c>
      <c r="W129" s="431">
        <v>169278</v>
      </c>
      <c r="X129" s="431">
        <v>93152</v>
      </c>
      <c r="Y129" s="431">
        <v>55000</v>
      </c>
      <c r="Z129" s="431">
        <v>1604009</v>
      </c>
      <c r="AA129" s="431">
        <v>0</v>
      </c>
      <c r="AB129" s="431">
        <v>0</v>
      </c>
      <c r="AC129" s="431">
        <v>595918</v>
      </c>
      <c r="AD129" s="431">
        <v>44565</v>
      </c>
      <c r="AE129" s="431">
        <v>1205453</v>
      </c>
      <c r="AF129" s="431">
        <v>20880</v>
      </c>
      <c r="AG129" s="431">
        <v>140600</v>
      </c>
      <c r="AH129" s="431">
        <v>151482</v>
      </c>
      <c r="AI129" s="431">
        <v>270565</v>
      </c>
      <c r="AJ129" s="431">
        <v>64535</v>
      </c>
      <c r="AK129" s="431">
        <v>0</v>
      </c>
      <c r="AL129" s="431">
        <v>1754830</v>
      </c>
      <c r="AM129" s="431">
        <v>0</v>
      </c>
    </row>
    <row r="130" spans="1:39" s="155" customFormat="1" ht="12" x14ac:dyDescent="0.2">
      <c r="A130" s="168">
        <v>76</v>
      </c>
      <c r="B130" s="143">
        <v>125150</v>
      </c>
      <c r="C130" s="224" t="s">
        <v>1684</v>
      </c>
      <c r="D130" s="438">
        <f t="shared" si="15"/>
        <v>5834009</v>
      </c>
      <c r="E130" s="431">
        <v>675577</v>
      </c>
      <c r="F130" s="431">
        <v>67353</v>
      </c>
      <c r="G130" s="431">
        <v>363231</v>
      </c>
      <c r="H130" s="431">
        <v>0</v>
      </c>
      <c r="I130" s="431">
        <v>1047658</v>
      </c>
      <c r="J130" s="431">
        <v>100000</v>
      </c>
      <c r="K130" s="431">
        <v>976700</v>
      </c>
      <c r="L130" s="431">
        <v>0</v>
      </c>
      <c r="M130" s="431">
        <v>2707270</v>
      </c>
      <c r="N130" s="431">
        <v>300218</v>
      </c>
      <c r="O130" s="431">
        <v>26586</v>
      </c>
      <c r="P130" s="438">
        <f t="shared" si="16"/>
        <v>5540779</v>
      </c>
      <c r="Q130" s="431">
        <v>1245183</v>
      </c>
      <c r="R130" s="431">
        <v>536927</v>
      </c>
      <c r="S130" s="431">
        <v>0</v>
      </c>
      <c r="T130" s="431">
        <v>0</v>
      </c>
      <c r="U130" s="431">
        <v>7920</v>
      </c>
      <c r="V130" s="431">
        <v>2400</v>
      </c>
      <c r="W130" s="431">
        <v>575082</v>
      </c>
      <c r="X130" s="431">
        <v>203742</v>
      </c>
      <c r="Y130" s="431">
        <v>10000</v>
      </c>
      <c r="Z130" s="431">
        <v>2965525</v>
      </c>
      <c r="AA130" s="431">
        <v>0</v>
      </c>
      <c r="AB130" s="431">
        <v>-6000</v>
      </c>
      <c r="AC130" s="431">
        <v>519163</v>
      </c>
      <c r="AD130" s="431">
        <v>665823</v>
      </c>
      <c r="AE130" s="431">
        <v>1052291</v>
      </c>
      <c r="AF130" s="431">
        <v>0</v>
      </c>
      <c r="AG130" s="431">
        <v>50967</v>
      </c>
      <c r="AH130" s="431">
        <v>203742</v>
      </c>
      <c r="AI130" s="431">
        <v>274778</v>
      </c>
      <c r="AJ130" s="431">
        <v>35380</v>
      </c>
      <c r="AK130" s="431">
        <v>0</v>
      </c>
      <c r="AL130" s="431">
        <v>2735746</v>
      </c>
      <c r="AM130" s="431">
        <v>2889</v>
      </c>
    </row>
    <row r="131" spans="1:39" s="155" customFormat="1" ht="12" x14ac:dyDescent="0.2">
      <c r="A131" s="168">
        <v>77</v>
      </c>
      <c r="B131" s="143">
        <v>125169</v>
      </c>
      <c r="C131" s="224" t="s">
        <v>86</v>
      </c>
      <c r="D131" s="438">
        <f t="shared" si="15"/>
        <v>4208375</v>
      </c>
      <c r="E131" s="431">
        <v>740218</v>
      </c>
      <c r="F131" s="431">
        <v>81460</v>
      </c>
      <c r="G131" s="431">
        <v>322768</v>
      </c>
      <c r="H131" s="431">
        <v>0</v>
      </c>
      <c r="I131" s="431">
        <v>864272</v>
      </c>
      <c r="J131" s="431">
        <v>100000</v>
      </c>
      <c r="K131" s="431">
        <v>947900</v>
      </c>
      <c r="L131" s="431">
        <v>0</v>
      </c>
      <c r="M131" s="431">
        <v>882056</v>
      </c>
      <c r="N131" s="431">
        <v>653163</v>
      </c>
      <c r="O131" s="431">
        <v>20766</v>
      </c>
      <c r="P131" s="438">
        <f t="shared" si="16"/>
        <v>3753211</v>
      </c>
      <c r="Q131" s="431">
        <v>1267046</v>
      </c>
      <c r="R131" s="431">
        <v>568482</v>
      </c>
      <c r="S131" s="431">
        <v>0</v>
      </c>
      <c r="T131" s="431">
        <v>0</v>
      </c>
      <c r="U131" s="431">
        <v>15000</v>
      </c>
      <c r="V131" s="431">
        <v>0</v>
      </c>
      <c r="W131" s="431">
        <v>847194</v>
      </c>
      <c r="X131" s="431">
        <v>163002</v>
      </c>
      <c r="Y131" s="431">
        <v>13000</v>
      </c>
      <c r="Z131" s="431">
        <v>879487</v>
      </c>
      <c r="AA131" s="431">
        <v>0</v>
      </c>
      <c r="AB131" s="431">
        <v>0</v>
      </c>
      <c r="AC131" s="431">
        <v>653046</v>
      </c>
      <c r="AD131" s="431">
        <v>65924</v>
      </c>
      <c r="AE131" s="431">
        <v>899658</v>
      </c>
      <c r="AF131" s="431">
        <v>0</v>
      </c>
      <c r="AG131" s="431">
        <v>265015</v>
      </c>
      <c r="AH131" s="431">
        <v>178320</v>
      </c>
      <c r="AI131" s="431">
        <v>592042</v>
      </c>
      <c r="AJ131" s="431">
        <v>272128</v>
      </c>
      <c r="AK131" s="431">
        <v>0</v>
      </c>
      <c r="AL131" s="431">
        <v>792548</v>
      </c>
      <c r="AM131" s="431">
        <v>34530</v>
      </c>
    </row>
    <row r="132" spans="1:39" s="155" customFormat="1" ht="12" x14ac:dyDescent="0.2">
      <c r="A132" s="168">
        <v>78</v>
      </c>
      <c r="B132" s="143">
        <v>125178</v>
      </c>
      <c r="C132" s="224" t="s">
        <v>1685</v>
      </c>
      <c r="D132" s="438">
        <f t="shared" si="15"/>
        <v>6743190</v>
      </c>
      <c r="E132" s="431">
        <v>732811</v>
      </c>
      <c r="F132" s="431">
        <v>121473</v>
      </c>
      <c r="G132" s="431">
        <v>357586</v>
      </c>
      <c r="H132" s="431">
        <v>0</v>
      </c>
      <c r="I132" s="431">
        <v>1963104</v>
      </c>
      <c r="J132" s="431">
        <v>180000</v>
      </c>
      <c r="K132" s="431">
        <v>1179290</v>
      </c>
      <c r="L132" s="431">
        <v>0</v>
      </c>
      <c r="M132" s="431">
        <v>1947089</v>
      </c>
      <c r="N132" s="431">
        <v>695774</v>
      </c>
      <c r="O132" s="431">
        <v>45122</v>
      </c>
      <c r="P132" s="438">
        <f t="shared" si="16"/>
        <v>6753164</v>
      </c>
      <c r="Q132" s="431">
        <v>1974141</v>
      </c>
      <c r="R132" s="431">
        <v>1019881</v>
      </c>
      <c r="S132" s="431">
        <v>0</v>
      </c>
      <c r="T132" s="431">
        <v>0</v>
      </c>
      <c r="U132" s="431">
        <v>0</v>
      </c>
      <c r="V132" s="431">
        <v>11825</v>
      </c>
      <c r="W132" s="431">
        <v>830659</v>
      </c>
      <c r="X132" s="431">
        <v>376071</v>
      </c>
      <c r="Y132" s="431">
        <v>0</v>
      </c>
      <c r="Z132" s="431">
        <v>2540687</v>
      </c>
      <c r="AA132" s="431">
        <v>0</v>
      </c>
      <c r="AB132" s="431">
        <v>-100</v>
      </c>
      <c r="AC132" s="431">
        <v>1017870</v>
      </c>
      <c r="AD132" s="431">
        <v>27174</v>
      </c>
      <c r="AE132" s="431">
        <v>2023878</v>
      </c>
      <c r="AF132" s="431">
        <v>339549</v>
      </c>
      <c r="AG132" s="431">
        <v>846115</v>
      </c>
      <c r="AH132" s="431">
        <v>397171</v>
      </c>
      <c r="AI132" s="431">
        <v>146603</v>
      </c>
      <c r="AJ132" s="431">
        <v>60434</v>
      </c>
      <c r="AK132" s="431">
        <v>0</v>
      </c>
      <c r="AL132" s="431">
        <v>1894370</v>
      </c>
      <c r="AM132" s="431">
        <v>0</v>
      </c>
    </row>
    <row r="133" spans="1:39" s="155" customFormat="1" ht="12" hidden="1" x14ac:dyDescent="0.2">
      <c r="A133" s="168">
        <v>79</v>
      </c>
      <c r="B133" s="168"/>
      <c r="C133" s="172"/>
      <c r="D133" s="432">
        <f t="shared" ref="D133:D143" si="17">E133+SUM(H133:O133)</f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ref="P133:P142" si="18">IF(SUM(Q133:AB133)=SUM(AC133:AM133),SUM(Q133:AB133),"  EROARE ART/CAP")</f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155" customFormat="1" ht="12" hidden="1" x14ac:dyDescent="0.2">
      <c r="A134" s="168">
        <v>80</v>
      </c>
      <c r="B134" s="168"/>
      <c r="C134" s="172"/>
      <c r="D134" s="432">
        <f t="shared" si="17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si="18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155" customFormat="1" ht="12" hidden="1" x14ac:dyDescent="0.2">
      <c r="A135" s="168">
        <v>81</v>
      </c>
      <c r="B135" s="168"/>
      <c r="C135" s="172"/>
      <c r="D135" s="432">
        <f t="shared" si="17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18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155" customFormat="1" ht="12" hidden="1" x14ac:dyDescent="0.2">
      <c r="A136" s="168">
        <v>82</v>
      </c>
      <c r="B136" s="168"/>
      <c r="C136" s="172"/>
      <c r="D136" s="432">
        <f t="shared" si="17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18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155" customFormat="1" ht="12" hidden="1" x14ac:dyDescent="0.2">
      <c r="A137" s="168">
        <v>83</v>
      </c>
      <c r="B137" s="168"/>
      <c r="C137" s="172"/>
      <c r="D137" s="432">
        <f t="shared" si="17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18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68"/>
      <c r="C138" s="172"/>
      <c r="D138" s="432">
        <f t="shared" si="17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8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68"/>
      <c r="C139" s="172"/>
      <c r="D139" s="432">
        <f t="shared" si="17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8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68"/>
      <c r="C140" s="172"/>
      <c r="D140" s="432">
        <f t="shared" si="17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8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173"/>
      <c r="D141" s="432">
        <f t="shared" si="17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8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7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8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7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>
      <c r="D144" s="203"/>
      <c r="E144" s="203"/>
      <c r="F144" s="203"/>
      <c r="G144" s="203"/>
      <c r="H144" s="203"/>
      <c r="I144" s="203"/>
      <c r="J144" s="203"/>
      <c r="K144" s="203"/>
      <c r="L144" s="203"/>
      <c r="M144" s="203"/>
      <c r="N144" s="203"/>
      <c r="O144" s="203"/>
      <c r="P144" s="203"/>
      <c r="Q144" s="203"/>
      <c r="R144" s="203"/>
      <c r="S144" s="203"/>
      <c r="T144" s="203"/>
      <c r="U144" s="203"/>
      <c r="V144" s="203"/>
      <c r="W144" s="203"/>
      <c r="X144" s="203"/>
      <c r="Y144" s="203"/>
      <c r="Z144" s="203"/>
      <c r="AA144" s="203"/>
      <c r="AB144" s="203"/>
      <c r="AC144" s="203"/>
      <c r="AD144" s="203"/>
      <c r="AE144" s="203"/>
      <c r="AF144" s="203"/>
      <c r="AG144" s="203"/>
      <c r="AH144" s="203"/>
      <c r="AI144" s="203"/>
      <c r="AJ144" s="203"/>
      <c r="AK144" s="203"/>
      <c r="AL144" s="203"/>
      <c r="AM144" s="203"/>
    </row>
    <row r="145" spans="4:39" s="155" customFormat="1" ht="11.25" x14ac:dyDescent="0.2">
      <c r="D145" s="203"/>
      <c r="E145" s="203"/>
      <c r="F145" s="203"/>
      <c r="G145" s="203"/>
      <c r="H145" s="203"/>
      <c r="I145" s="203"/>
      <c r="J145" s="203"/>
      <c r="K145" s="203"/>
      <c r="L145" s="203"/>
      <c r="M145" s="203"/>
      <c r="N145" s="203"/>
      <c r="O145" s="203"/>
      <c r="P145" s="203"/>
      <c r="Q145" s="203"/>
      <c r="R145" s="203"/>
      <c r="S145" s="203"/>
      <c r="T145" s="203"/>
      <c r="U145" s="203"/>
      <c r="V145" s="203"/>
      <c r="W145" s="203"/>
      <c r="X145" s="203"/>
      <c r="Y145" s="203"/>
      <c r="Z145" s="203"/>
      <c r="AA145" s="203"/>
      <c r="AB145" s="203"/>
      <c r="AC145" s="203"/>
      <c r="AD145" s="203"/>
      <c r="AE145" s="203"/>
      <c r="AF145" s="203"/>
      <c r="AG145" s="203"/>
      <c r="AH145" s="203"/>
      <c r="AI145" s="203"/>
      <c r="AJ145" s="203"/>
      <c r="AK145" s="203"/>
      <c r="AL145" s="203"/>
      <c r="AM145" s="203"/>
    </row>
    <row r="146" spans="4:39" s="155" customFormat="1" ht="11.25" x14ac:dyDescent="0.2">
      <c r="D146" s="203"/>
      <c r="E146" s="203"/>
      <c r="F146" s="203"/>
      <c r="G146" s="203"/>
      <c r="H146" s="203"/>
      <c r="I146" s="203"/>
      <c r="J146" s="203"/>
      <c r="K146" s="203"/>
      <c r="L146" s="203"/>
      <c r="M146" s="203"/>
      <c r="N146" s="203"/>
      <c r="O146" s="203"/>
      <c r="P146" s="203"/>
      <c r="Q146" s="203"/>
      <c r="R146" s="203"/>
      <c r="S146" s="203"/>
      <c r="T146" s="203"/>
      <c r="U146" s="203"/>
      <c r="V146" s="203"/>
      <c r="W146" s="203"/>
      <c r="X146" s="203"/>
      <c r="Y146" s="203"/>
      <c r="Z146" s="203"/>
      <c r="AA146" s="203"/>
      <c r="AB146" s="203"/>
      <c r="AC146" s="203"/>
      <c r="AD146" s="203"/>
      <c r="AE146" s="203"/>
      <c r="AF146" s="203"/>
      <c r="AG146" s="203"/>
      <c r="AH146" s="203"/>
      <c r="AI146" s="203"/>
      <c r="AJ146" s="203"/>
      <c r="AK146" s="203"/>
      <c r="AL146" s="203"/>
      <c r="AM146" s="203"/>
    </row>
    <row r="147" spans="4:39" s="155" customFormat="1" ht="11.25" x14ac:dyDescent="0.2">
      <c r="D147" s="203"/>
      <c r="E147" s="203"/>
      <c r="F147" s="203"/>
      <c r="G147" s="203"/>
      <c r="H147" s="203"/>
      <c r="I147" s="203"/>
      <c r="J147" s="203"/>
      <c r="K147" s="203"/>
      <c r="L147" s="203"/>
      <c r="M147" s="203"/>
      <c r="N147" s="203"/>
      <c r="O147" s="203"/>
      <c r="P147" s="203"/>
      <c r="Q147" s="203"/>
      <c r="R147" s="203"/>
      <c r="S147" s="203"/>
      <c r="T147" s="203"/>
      <c r="U147" s="203"/>
      <c r="V147" s="203"/>
      <c r="W147" s="203"/>
      <c r="X147" s="203"/>
      <c r="Y147" s="203"/>
      <c r="Z147" s="203"/>
      <c r="AA147" s="203"/>
      <c r="AB147" s="203"/>
      <c r="AC147" s="203"/>
      <c r="AD147" s="203"/>
      <c r="AE147" s="203"/>
      <c r="AF147" s="203"/>
      <c r="AG147" s="203"/>
      <c r="AH147" s="203"/>
      <c r="AI147" s="203"/>
      <c r="AJ147" s="203"/>
      <c r="AK147" s="203"/>
      <c r="AL147" s="203"/>
      <c r="AM147" s="203"/>
    </row>
    <row r="148" spans="4:39" s="155" customFormat="1" ht="11.25" x14ac:dyDescent="0.2">
      <c r="D148" s="203"/>
      <c r="E148" s="203"/>
      <c r="F148" s="203"/>
      <c r="G148" s="203"/>
      <c r="H148" s="203"/>
      <c r="I148" s="203"/>
      <c r="J148" s="203"/>
      <c r="K148" s="203"/>
      <c r="L148" s="203"/>
      <c r="M148" s="203"/>
      <c r="N148" s="203"/>
      <c r="O148" s="203"/>
      <c r="P148" s="203"/>
      <c r="Q148" s="203"/>
      <c r="R148" s="203"/>
      <c r="S148" s="203"/>
      <c r="T148" s="203"/>
      <c r="U148" s="203"/>
      <c r="V148" s="203"/>
      <c r="W148" s="203"/>
      <c r="X148" s="203"/>
      <c r="Y148" s="203"/>
      <c r="Z148" s="203"/>
      <c r="AA148" s="203"/>
      <c r="AB148" s="203"/>
      <c r="AC148" s="203"/>
      <c r="AD148" s="203"/>
      <c r="AE148" s="203"/>
      <c r="AF148" s="203"/>
      <c r="AG148" s="203"/>
      <c r="AH148" s="203"/>
      <c r="AI148" s="203"/>
      <c r="AJ148" s="203"/>
      <c r="AK148" s="203"/>
      <c r="AL148" s="203"/>
      <c r="AM148" s="203"/>
    </row>
    <row r="149" spans="4:39" s="155" customFormat="1" ht="11.25" x14ac:dyDescent="0.2">
      <c r="D149" s="203"/>
      <c r="E149" s="203"/>
      <c r="F149" s="203"/>
      <c r="G149" s="203"/>
      <c r="H149" s="203"/>
      <c r="I149" s="203"/>
      <c r="J149" s="203"/>
      <c r="K149" s="203"/>
      <c r="L149" s="203"/>
      <c r="M149" s="203"/>
      <c r="N149" s="203"/>
      <c r="O149" s="203"/>
      <c r="P149" s="203"/>
      <c r="Q149" s="203"/>
      <c r="R149" s="203"/>
      <c r="S149" s="203"/>
      <c r="T149" s="203"/>
      <c r="U149" s="203"/>
      <c r="V149" s="203"/>
      <c r="W149" s="203"/>
      <c r="X149" s="203"/>
      <c r="Y149" s="203"/>
      <c r="Z149" s="203"/>
      <c r="AA149" s="203"/>
      <c r="AB149" s="203"/>
      <c r="AC149" s="203"/>
      <c r="AD149" s="203"/>
      <c r="AE149" s="203"/>
      <c r="AF149" s="203"/>
      <c r="AG149" s="203"/>
      <c r="AH149" s="203"/>
      <c r="AI149" s="203"/>
      <c r="AJ149" s="203"/>
      <c r="AK149" s="203"/>
      <c r="AL149" s="203"/>
      <c r="AM149" s="203"/>
    </row>
    <row r="150" spans="4:39" s="155" customFormat="1" ht="11.25" x14ac:dyDescent="0.2">
      <c r="D150" s="203"/>
      <c r="E150" s="203"/>
      <c r="F150" s="203"/>
      <c r="G150" s="203"/>
      <c r="H150" s="203"/>
      <c r="I150" s="203"/>
      <c r="J150" s="203"/>
      <c r="K150" s="203"/>
      <c r="L150" s="203"/>
      <c r="M150" s="203"/>
      <c r="N150" s="203"/>
      <c r="O150" s="203"/>
      <c r="P150" s="203"/>
      <c r="Q150" s="203"/>
      <c r="R150" s="203"/>
      <c r="S150" s="203"/>
      <c r="T150" s="203"/>
      <c r="U150" s="203"/>
      <c r="V150" s="203"/>
      <c r="W150" s="203"/>
      <c r="X150" s="203"/>
      <c r="Y150" s="203"/>
      <c r="Z150" s="203"/>
      <c r="AA150" s="203"/>
      <c r="AB150" s="203"/>
      <c r="AC150" s="203"/>
      <c r="AD150" s="203"/>
      <c r="AE150" s="203"/>
      <c r="AF150" s="203"/>
      <c r="AG150" s="203"/>
      <c r="AH150" s="203"/>
      <c r="AI150" s="203"/>
      <c r="AJ150" s="203"/>
      <c r="AK150" s="203"/>
      <c r="AL150" s="203"/>
      <c r="AM150" s="203"/>
    </row>
    <row r="151" spans="4:39" s="155" customFormat="1" ht="11.25" x14ac:dyDescent="0.2">
      <c r="D151" s="203"/>
      <c r="E151" s="203"/>
      <c r="F151" s="203"/>
      <c r="G151" s="203"/>
      <c r="H151" s="203"/>
      <c r="I151" s="203"/>
      <c r="J151" s="203"/>
      <c r="K151" s="203"/>
      <c r="L151" s="203"/>
      <c r="M151" s="203"/>
      <c r="N151" s="203"/>
      <c r="O151" s="203"/>
      <c r="P151" s="203"/>
      <c r="Q151" s="203"/>
      <c r="R151" s="203"/>
      <c r="S151" s="203"/>
      <c r="T151" s="203"/>
      <c r="U151" s="203"/>
      <c r="V151" s="203"/>
      <c r="W151" s="203"/>
      <c r="X151" s="203"/>
      <c r="Y151" s="203"/>
      <c r="Z151" s="203"/>
      <c r="AA151" s="203"/>
      <c r="AB151" s="203"/>
      <c r="AC151" s="203"/>
      <c r="AD151" s="203"/>
      <c r="AE151" s="203"/>
      <c r="AF151" s="203"/>
      <c r="AG151" s="203"/>
      <c r="AH151" s="203"/>
      <c r="AI151" s="203"/>
      <c r="AJ151" s="203"/>
      <c r="AK151" s="203"/>
      <c r="AL151" s="203"/>
      <c r="AM151" s="203"/>
    </row>
    <row r="152" spans="4:39" s="155" customFormat="1" ht="11.25" x14ac:dyDescent="0.2"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203"/>
      <c r="AG152" s="203"/>
      <c r="AH152" s="203"/>
      <c r="AI152" s="203"/>
      <c r="AJ152" s="203"/>
      <c r="AK152" s="203"/>
      <c r="AL152" s="203"/>
      <c r="AM152" s="203"/>
    </row>
    <row r="153" spans="4:39" s="155" customFormat="1" ht="11.25" x14ac:dyDescent="0.2">
      <c r="D153" s="203"/>
      <c r="E153" s="203"/>
      <c r="F153" s="203"/>
      <c r="G153" s="203"/>
      <c r="H153" s="203"/>
      <c r="I153" s="203"/>
      <c r="J153" s="203"/>
      <c r="K153" s="203"/>
      <c r="L153" s="203"/>
      <c r="M153" s="203"/>
      <c r="N153" s="203"/>
      <c r="O153" s="203"/>
      <c r="P153" s="203"/>
      <c r="Q153" s="203"/>
      <c r="R153" s="203"/>
      <c r="S153" s="203"/>
      <c r="T153" s="203"/>
      <c r="U153" s="203"/>
      <c r="V153" s="203"/>
      <c r="W153" s="203"/>
      <c r="X153" s="203"/>
      <c r="Y153" s="203"/>
      <c r="Z153" s="203"/>
      <c r="AA153" s="203"/>
      <c r="AB153" s="203"/>
      <c r="AC153" s="203"/>
      <c r="AD153" s="203"/>
      <c r="AE153" s="203"/>
      <c r="AF153" s="203"/>
      <c r="AG153" s="203"/>
      <c r="AH153" s="203"/>
      <c r="AI153" s="203"/>
      <c r="AJ153" s="203"/>
      <c r="AK153" s="203"/>
      <c r="AL153" s="203"/>
      <c r="AM153" s="203"/>
    </row>
    <row r="154" spans="4:39" s="155" customFormat="1" ht="11.25" x14ac:dyDescent="0.2">
      <c r="D154" s="203"/>
      <c r="E154" s="203"/>
      <c r="F154" s="203"/>
      <c r="G154" s="203"/>
      <c r="H154" s="203"/>
      <c r="I154" s="203"/>
      <c r="J154" s="203"/>
      <c r="K154" s="203"/>
      <c r="L154" s="203"/>
      <c r="M154" s="203"/>
      <c r="N154" s="203"/>
      <c r="O154" s="203"/>
      <c r="P154" s="203"/>
      <c r="Q154" s="203"/>
      <c r="R154" s="203"/>
      <c r="S154" s="203"/>
      <c r="T154" s="203"/>
      <c r="U154" s="203"/>
      <c r="V154" s="203"/>
      <c r="W154" s="203"/>
      <c r="X154" s="203"/>
      <c r="Y154" s="203"/>
      <c r="Z154" s="203"/>
      <c r="AA154" s="203"/>
      <c r="AB154" s="203"/>
      <c r="AC154" s="203"/>
      <c r="AD154" s="203"/>
      <c r="AE154" s="203"/>
      <c r="AF154" s="203"/>
      <c r="AG154" s="203"/>
      <c r="AH154" s="203"/>
      <c r="AI154" s="203"/>
      <c r="AJ154" s="203"/>
      <c r="AK154" s="203"/>
      <c r="AL154" s="203"/>
      <c r="AM154" s="203"/>
    </row>
    <row r="155" spans="4:39" s="155" customFormat="1" ht="11.25" x14ac:dyDescent="0.2"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203"/>
      <c r="O155" s="203"/>
      <c r="P155" s="203"/>
      <c r="Q155" s="203"/>
      <c r="R155" s="203"/>
      <c r="S155" s="203"/>
      <c r="T155" s="203"/>
      <c r="U155" s="203"/>
      <c r="V155" s="203"/>
      <c r="W155" s="203"/>
      <c r="X155" s="203"/>
      <c r="Y155" s="203"/>
      <c r="Z155" s="203"/>
      <c r="AA155" s="203"/>
      <c r="AB155" s="203"/>
      <c r="AC155" s="203"/>
      <c r="AD155" s="203"/>
      <c r="AE155" s="203"/>
      <c r="AF155" s="203"/>
      <c r="AG155" s="203"/>
      <c r="AH155" s="203"/>
      <c r="AI155" s="203"/>
      <c r="AJ155" s="203"/>
      <c r="AK155" s="203"/>
      <c r="AL155" s="203"/>
      <c r="AM155" s="203"/>
    </row>
    <row r="156" spans="4:39" s="155" customFormat="1" ht="11.25" x14ac:dyDescent="0.2">
      <c r="D156" s="203"/>
      <c r="E156" s="203"/>
      <c r="F156" s="203"/>
      <c r="G156" s="203"/>
      <c r="H156" s="203"/>
      <c r="I156" s="203"/>
      <c r="J156" s="203"/>
      <c r="K156" s="203"/>
      <c r="L156" s="203"/>
      <c r="M156" s="203"/>
      <c r="N156" s="203"/>
      <c r="O156" s="203"/>
      <c r="P156" s="203"/>
      <c r="Q156" s="203"/>
      <c r="R156" s="203"/>
      <c r="S156" s="203"/>
      <c r="T156" s="203"/>
      <c r="U156" s="203"/>
      <c r="V156" s="203"/>
      <c r="W156" s="203"/>
      <c r="X156" s="203"/>
      <c r="Y156" s="203"/>
      <c r="Z156" s="203"/>
      <c r="AA156" s="203"/>
      <c r="AB156" s="203"/>
      <c r="AC156" s="203"/>
      <c r="AD156" s="203"/>
      <c r="AE156" s="203"/>
      <c r="AF156" s="203"/>
      <c r="AG156" s="203"/>
      <c r="AH156" s="203"/>
      <c r="AI156" s="203"/>
      <c r="AJ156" s="203"/>
      <c r="AK156" s="203"/>
      <c r="AL156" s="203"/>
      <c r="AM156" s="203"/>
    </row>
    <row r="157" spans="4:39" s="155" customFormat="1" ht="11.25" x14ac:dyDescent="0.2">
      <c r="D157" s="203"/>
      <c r="E157" s="203"/>
      <c r="F157" s="203"/>
      <c r="G157" s="203"/>
      <c r="H157" s="203"/>
      <c r="I157" s="203"/>
      <c r="J157" s="203"/>
      <c r="K157" s="203"/>
      <c r="L157" s="203"/>
      <c r="M157" s="203"/>
      <c r="N157" s="203"/>
      <c r="O157" s="203"/>
      <c r="P157" s="203"/>
      <c r="Q157" s="203"/>
      <c r="R157" s="203"/>
      <c r="S157" s="203"/>
      <c r="T157" s="203"/>
      <c r="U157" s="203"/>
      <c r="V157" s="203"/>
      <c r="W157" s="203"/>
      <c r="X157" s="203"/>
      <c r="Y157" s="203"/>
      <c r="Z157" s="203"/>
      <c r="AA157" s="203"/>
      <c r="AB157" s="203"/>
      <c r="AC157" s="203"/>
      <c r="AD157" s="203"/>
      <c r="AE157" s="203"/>
      <c r="AF157" s="203"/>
      <c r="AG157" s="203"/>
      <c r="AH157" s="203"/>
      <c r="AI157" s="203"/>
      <c r="AJ157" s="203"/>
      <c r="AK157" s="203"/>
      <c r="AL157" s="203"/>
      <c r="AM157" s="203"/>
    </row>
    <row r="158" spans="4:39" s="155" customFormat="1" ht="11.25" x14ac:dyDescent="0.2">
      <c r="D158" s="203"/>
      <c r="E158" s="203"/>
      <c r="F158" s="203"/>
      <c r="G158" s="203"/>
      <c r="H158" s="203"/>
      <c r="I158" s="203"/>
      <c r="J158" s="203"/>
      <c r="K158" s="203"/>
      <c r="L158" s="203"/>
      <c r="M158" s="203"/>
      <c r="N158" s="203"/>
      <c r="O158" s="203"/>
      <c r="P158" s="203"/>
      <c r="Q158" s="203"/>
      <c r="R158" s="203"/>
      <c r="S158" s="203"/>
      <c r="T158" s="203"/>
      <c r="U158" s="203"/>
      <c r="V158" s="203"/>
      <c r="W158" s="203"/>
      <c r="X158" s="203"/>
      <c r="Y158" s="203"/>
      <c r="Z158" s="203"/>
      <c r="AA158" s="203"/>
      <c r="AB158" s="203"/>
      <c r="AC158" s="203"/>
      <c r="AD158" s="203"/>
      <c r="AE158" s="203"/>
      <c r="AF158" s="203"/>
      <c r="AG158" s="203"/>
      <c r="AH158" s="203"/>
      <c r="AI158" s="203"/>
      <c r="AJ158" s="203"/>
      <c r="AK158" s="203"/>
      <c r="AL158" s="203"/>
      <c r="AM158" s="203"/>
    </row>
    <row r="159" spans="4:39" s="155" customFormat="1" ht="11.25" x14ac:dyDescent="0.2">
      <c r="D159" s="203"/>
      <c r="E159" s="203"/>
      <c r="F159" s="203"/>
      <c r="G159" s="203"/>
      <c r="H159" s="203"/>
      <c r="I159" s="203"/>
      <c r="J159" s="203"/>
      <c r="K159" s="203"/>
      <c r="L159" s="203"/>
      <c r="M159" s="203"/>
      <c r="N159" s="203"/>
      <c r="O159" s="203"/>
      <c r="P159" s="203"/>
      <c r="Q159" s="203"/>
      <c r="R159" s="203"/>
      <c r="S159" s="203"/>
      <c r="T159" s="203"/>
      <c r="U159" s="203"/>
      <c r="V159" s="203"/>
      <c r="W159" s="203"/>
      <c r="X159" s="203"/>
      <c r="Y159" s="203"/>
      <c r="Z159" s="203"/>
      <c r="AA159" s="203"/>
      <c r="AB159" s="203"/>
      <c r="AC159" s="203"/>
      <c r="AD159" s="203"/>
      <c r="AE159" s="203"/>
      <c r="AF159" s="203"/>
      <c r="AG159" s="203"/>
      <c r="AH159" s="203"/>
      <c r="AI159" s="203"/>
      <c r="AJ159" s="203"/>
      <c r="AK159" s="203"/>
      <c r="AL159" s="203"/>
      <c r="AM159" s="203"/>
    </row>
    <row r="160" spans="4:39" s="155" customFormat="1" ht="11.25" x14ac:dyDescent="0.2">
      <c r="D160" s="203"/>
      <c r="E160" s="203"/>
      <c r="F160" s="203"/>
      <c r="G160" s="203"/>
      <c r="H160" s="203"/>
      <c r="I160" s="203"/>
      <c r="J160" s="203"/>
      <c r="K160" s="203"/>
      <c r="L160" s="203"/>
      <c r="M160" s="203"/>
      <c r="N160" s="203"/>
      <c r="O160" s="203"/>
      <c r="P160" s="203"/>
      <c r="Q160" s="203"/>
      <c r="R160" s="203"/>
      <c r="S160" s="203"/>
      <c r="T160" s="203"/>
      <c r="U160" s="203"/>
      <c r="V160" s="203"/>
      <c r="W160" s="203"/>
      <c r="X160" s="203"/>
      <c r="Y160" s="203"/>
      <c r="Z160" s="203"/>
      <c r="AA160" s="203"/>
      <c r="AB160" s="203"/>
      <c r="AC160" s="203"/>
      <c r="AD160" s="203"/>
      <c r="AE160" s="203"/>
      <c r="AF160" s="203"/>
      <c r="AG160" s="203"/>
      <c r="AH160" s="203"/>
      <c r="AI160" s="203"/>
      <c r="AJ160" s="203"/>
      <c r="AK160" s="203"/>
      <c r="AL160" s="203"/>
      <c r="AM160" s="203"/>
    </row>
    <row r="161" spans="4:39" s="155" customFormat="1" ht="11.25" x14ac:dyDescent="0.2">
      <c r="D161" s="203"/>
      <c r="E161" s="203"/>
      <c r="F161" s="203"/>
      <c r="G161" s="203"/>
      <c r="H161" s="203"/>
      <c r="I161" s="203"/>
      <c r="J161" s="203"/>
      <c r="K161" s="203"/>
      <c r="L161" s="203"/>
      <c r="M161" s="203"/>
      <c r="N161" s="203"/>
      <c r="O161" s="203"/>
      <c r="P161" s="203"/>
      <c r="Q161" s="203"/>
      <c r="R161" s="203"/>
      <c r="S161" s="203"/>
      <c r="T161" s="203"/>
      <c r="U161" s="203"/>
      <c r="V161" s="203"/>
      <c r="W161" s="203"/>
      <c r="X161" s="203"/>
      <c r="Y161" s="203"/>
      <c r="Z161" s="203"/>
      <c r="AA161" s="203"/>
      <c r="AB161" s="203"/>
      <c r="AC161" s="203"/>
      <c r="AD161" s="203"/>
      <c r="AE161" s="203"/>
      <c r="AF161" s="203"/>
      <c r="AG161" s="203"/>
      <c r="AH161" s="203"/>
      <c r="AI161" s="203"/>
      <c r="AJ161" s="203"/>
      <c r="AK161" s="203"/>
      <c r="AL161" s="203"/>
      <c r="AM161" s="203"/>
    </row>
    <row r="162" spans="4:39" s="155" customFormat="1" ht="11.25" x14ac:dyDescent="0.2">
      <c r="D162" s="203"/>
      <c r="E162" s="203"/>
      <c r="F162" s="203"/>
      <c r="G162" s="203"/>
      <c r="H162" s="203"/>
      <c r="I162" s="203"/>
      <c r="J162" s="203"/>
      <c r="K162" s="203"/>
      <c r="L162" s="203"/>
      <c r="M162" s="203"/>
      <c r="N162" s="203"/>
      <c r="O162" s="203"/>
      <c r="P162" s="203"/>
      <c r="Q162" s="203"/>
      <c r="R162" s="203"/>
      <c r="S162" s="203"/>
      <c r="T162" s="203"/>
      <c r="U162" s="203"/>
      <c r="V162" s="203"/>
      <c r="W162" s="203"/>
      <c r="X162" s="203"/>
      <c r="Y162" s="203"/>
      <c r="Z162" s="203"/>
      <c r="AA162" s="203"/>
      <c r="AB162" s="203"/>
      <c r="AC162" s="203"/>
      <c r="AD162" s="203"/>
      <c r="AE162" s="203"/>
      <c r="AF162" s="203"/>
      <c r="AG162" s="203"/>
      <c r="AH162" s="203"/>
      <c r="AI162" s="203"/>
      <c r="AJ162" s="203"/>
      <c r="AK162" s="203"/>
      <c r="AL162" s="203"/>
      <c r="AM162" s="203"/>
    </row>
    <row r="163" spans="4:39" s="155" customFormat="1" ht="11.25" x14ac:dyDescent="0.2">
      <c r="D163" s="203"/>
      <c r="E163" s="203"/>
      <c r="F163" s="203"/>
      <c r="G163" s="203"/>
      <c r="H163" s="203"/>
      <c r="I163" s="203"/>
      <c r="J163" s="203"/>
      <c r="K163" s="203"/>
      <c r="L163" s="203"/>
      <c r="M163" s="203"/>
      <c r="N163" s="203"/>
      <c r="O163" s="203"/>
      <c r="P163" s="203"/>
      <c r="Q163" s="203"/>
      <c r="R163" s="203"/>
      <c r="S163" s="203"/>
      <c r="T163" s="203"/>
      <c r="U163" s="203"/>
      <c r="V163" s="203"/>
      <c r="W163" s="203"/>
      <c r="X163" s="203"/>
      <c r="Y163" s="203"/>
      <c r="Z163" s="203"/>
      <c r="AA163" s="203"/>
      <c r="AB163" s="203"/>
      <c r="AC163" s="203"/>
      <c r="AD163" s="203"/>
      <c r="AE163" s="203"/>
      <c r="AF163" s="203"/>
      <c r="AG163" s="203"/>
      <c r="AH163" s="203"/>
      <c r="AI163" s="203"/>
      <c r="AJ163" s="203"/>
      <c r="AK163" s="203"/>
      <c r="AL163" s="203"/>
      <c r="AM163" s="203"/>
    </row>
    <row r="164" spans="4:39" s="155" customFormat="1" ht="11.25" x14ac:dyDescent="0.2">
      <c r="D164" s="203"/>
      <c r="E164" s="203"/>
      <c r="F164" s="203"/>
      <c r="G164" s="203"/>
      <c r="H164" s="203"/>
      <c r="I164" s="203"/>
      <c r="J164" s="203"/>
      <c r="K164" s="203"/>
      <c r="L164" s="203"/>
      <c r="M164" s="203"/>
      <c r="N164" s="203"/>
      <c r="O164" s="203"/>
      <c r="P164" s="203"/>
      <c r="Q164" s="203"/>
      <c r="R164" s="203"/>
      <c r="S164" s="203"/>
      <c r="T164" s="203"/>
      <c r="U164" s="203"/>
      <c r="V164" s="203"/>
      <c r="W164" s="203"/>
      <c r="X164" s="203"/>
      <c r="Y164" s="203"/>
      <c r="Z164" s="203"/>
      <c r="AA164" s="203"/>
      <c r="AB164" s="203"/>
      <c r="AC164" s="203"/>
      <c r="AD164" s="203"/>
      <c r="AE164" s="203"/>
      <c r="AF164" s="203"/>
      <c r="AG164" s="203"/>
      <c r="AH164" s="203"/>
      <c r="AI164" s="203"/>
      <c r="AJ164" s="203"/>
      <c r="AK164" s="203"/>
      <c r="AL164" s="203"/>
      <c r="AM164" s="203"/>
    </row>
    <row r="165" spans="4:39" s="155" customFormat="1" ht="11.25" x14ac:dyDescent="0.2">
      <c r="D165" s="203"/>
      <c r="E165" s="203"/>
      <c r="F165" s="203"/>
      <c r="G165" s="203"/>
      <c r="H165" s="203"/>
      <c r="I165" s="203"/>
      <c r="J165" s="203"/>
      <c r="K165" s="203"/>
      <c r="L165" s="203"/>
      <c r="M165" s="203"/>
      <c r="N165" s="203"/>
      <c r="O165" s="203"/>
      <c r="P165" s="203"/>
      <c r="Q165" s="203"/>
      <c r="R165" s="203"/>
      <c r="S165" s="203"/>
      <c r="T165" s="203"/>
      <c r="U165" s="203"/>
      <c r="V165" s="203"/>
      <c r="W165" s="203"/>
      <c r="X165" s="203"/>
      <c r="Y165" s="203"/>
      <c r="Z165" s="203"/>
      <c r="AA165" s="203"/>
      <c r="AB165" s="203"/>
      <c r="AC165" s="203"/>
      <c r="AD165" s="203"/>
      <c r="AE165" s="203"/>
      <c r="AF165" s="203"/>
      <c r="AG165" s="203"/>
      <c r="AH165" s="203"/>
      <c r="AI165" s="203"/>
      <c r="AJ165" s="203"/>
      <c r="AK165" s="203"/>
      <c r="AL165" s="203"/>
      <c r="AM165" s="203"/>
    </row>
    <row r="166" spans="4:39" s="155" customFormat="1" ht="11.25" x14ac:dyDescent="0.2">
      <c r="D166" s="203"/>
      <c r="E166" s="203"/>
      <c r="F166" s="203"/>
      <c r="G166" s="203"/>
      <c r="H166" s="203"/>
      <c r="I166" s="203"/>
      <c r="J166" s="203"/>
      <c r="K166" s="203"/>
      <c r="L166" s="203"/>
      <c r="M166" s="203"/>
      <c r="N166" s="203"/>
      <c r="O166" s="203"/>
      <c r="P166" s="203"/>
      <c r="Q166" s="203"/>
      <c r="R166" s="203"/>
      <c r="S166" s="203"/>
      <c r="T166" s="203"/>
      <c r="U166" s="203"/>
      <c r="V166" s="203"/>
      <c r="W166" s="203"/>
      <c r="X166" s="203"/>
      <c r="Y166" s="203"/>
      <c r="Z166" s="203"/>
      <c r="AA166" s="203"/>
      <c r="AB166" s="203"/>
      <c r="AC166" s="203"/>
      <c r="AD166" s="203"/>
      <c r="AE166" s="203"/>
      <c r="AF166" s="203"/>
      <c r="AG166" s="203"/>
      <c r="AH166" s="203"/>
      <c r="AI166" s="203"/>
      <c r="AJ166" s="203"/>
      <c r="AK166" s="203"/>
      <c r="AL166" s="203"/>
      <c r="AM166" s="203"/>
    </row>
    <row r="167" spans="4:39" s="155" customFormat="1" ht="11.25" x14ac:dyDescent="0.2">
      <c r="D167" s="203"/>
      <c r="E167" s="203"/>
      <c r="F167" s="203"/>
      <c r="G167" s="203"/>
      <c r="H167" s="203"/>
      <c r="I167" s="203"/>
      <c r="J167" s="203"/>
      <c r="K167" s="203"/>
      <c r="L167" s="203"/>
      <c r="M167" s="203"/>
      <c r="N167" s="203"/>
      <c r="O167" s="203"/>
      <c r="P167" s="203"/>
      <c r="Q167" s="203"/>
      <c r="R167" s="203"/>
      <c r="S167" s="203"/>
      <c r="T167" s="203"/>
      <c r="U167" s="203"/>
      <c r="V167" s="203"/>
      <c r="W167" s="203"/>
      <c r="X167" s="203"/>
      <c r="Y167" s="203"/>
      <c r="Z167" s="203"/>
      <c r="AA167" s="203"/>
      <c r="AB167" s="203"/>
      <c r="AC167" s="203"/>
      <c r="AD167" s="203"/>
      <c r="AE167" s="203"/>
      <c r="AF167" s="203"/>
      <c r="AG167" s="203"/>
      <c r="AH167" s="203"/>
      <c r="AI167" s="203"/>
      <c r="AJ167" s="203"/>
      <c r="AK167" s="203"/>
      <c r="AL167" s="203"/>
      <c r="AM167" s="203"/>
    </row>
    <row r="168" spans="4:39" s="155" customFormat="1" ht="11.25" x14ac:dyDescent="0.2">
      <c r="D168" s="203"/>
      <c r="E168" s="203"/>
      <c r="F168" s="203"/>
      <c r="G168" s="203"/>
      <c r="H168" s="203"/>
      <c r="I168" s="203"/>
      <c r="J168" s="203"/>
      <c r="K168" s="203"/>
      <c r="L168" s="203"/>
      <c r="M168" s="203"/>
      <c r="N168" s="203"/>
      <c r="O168" s="203"/>
      <c r="P168" s="203"/>
      <c r="Q168" s="203"/>
      <c r="R168" s="203"/>
      <c r="S168" s="203"/>
      <c r="T168" s="203"/>
      <c r="U168" s="203"/>
      <c r="V168" s="203"/>
      <c r="W168" s="203"/>
      <c r="X168" s="203"/>
      <c r="Y168" s="203"/>
      <c r="Z168" s="203"/>
      <c r="AA168" s="203"/>
      <c r="AB168" s="203"/>
      <c r="AC168" s="203"/>
      <c r="AD168" s="203"/>
      <c r="AE168" s="203"/>
      <c r="AF168" s="203"/>
      <c r="AG168" s="203"/>
      <c r="AH168" s="203"/>
      <c r="AI168" s="203"/>
      <c r="AJ168" s="203"/>
      <c r="AK168" s="203"/>
      <c r="AL168" s="203"/>
      <c r="AM168" s="203"/>
    </row>
    <row r="169" spans="4:39" s="155" customFormat="1" ht="11.25" x14ac:dyDescent="0.2">
      <c r="D169" s="203"/>
      <c r="E169" s="203"/>
      <c r="F169" s="203"/>
      <c r="G169" s="203"/>
      <c r="H169" s="203"/>
      <c r="I169" s="203"/>
      <c r="J169" s="203"/>
      <c r="K169" s="203"/>
      <c r="L169" s="203"/>
      <c r="M169" s="203"/>
      <c r="N169" s="203"/>
      <c r="O169" s="203"/>
      <c r="P169" s="203"/>
      <c r="Q169" s="203"/>
      <c r="R169" s="203"/>
      <c r="S169" s="203"/>
      <c r="T169" s="203"/>
      <c r="U169" s="203"/>
      <c r="V169" s="203"/>
      <c r="W169" s="203"/>
      <c r="X169" s="203"/>
      <c r="Y169" s="203"/>
      <c r="Z169" s="203"/>
      <c r="AA169" s="203"/>
      <c r="AB169" s="203"/>
      <c r="AC169" s="203"/>
      <c r="AD169" s="203"/>
      <c r="AE169" s="203"/>
      <c r="AF169" s="203"/>
      <c r="AG169" s="203"/>
      <c r="AH169" s="203"/>
      <c r="AI169" s="203"/>
      <c r="AJ169" s="203"/>
      <c r="AK169" s="203"/>
      <c r="AL169" s="203"/>
      <c r="AM169" s="203"/>
    </row>
    <row r="170" spans="4:39" s="155" customFormat="1" ht="11.25" x14ac:dyDescent="0.2">
      <c r="D170" s="203"/>
      <c r="E170" s="203"/>
      <c r="F170" s="203"/>
      <c r="G170" s="203"/>
      <c r="H170" s="203"/>
      <c r="I170" s="203"/>
      <c r="J170" s="203"/>
      <c r="K170" s="203"/>
      <c r="L170" s="203"/>
      <c r="M170" s="203"/>
      <c r="N170" s="203"/>
      <c r="O170" s="203"/>
      <c r="P170" s="203"/>
      <c r="Q170" s="203"/>
      <c r="R170" s="203"/>
      <c r="S170" s="203"/>
      <c r="T170" s="203"/>
      <c r="U170" s="203"/>
      <c r="V170" s="203"/>
      <c r="W170" s="203"/>
      <c r="X170" s="203"/>
      <c r="Y170" s="203"/>
      <c r="Z170" s="203"/>
      <c r="AA170" s="203"/>
      <c r="AB170" s="203"/>
      <c r="AC170" s="203"/>
      <c r="AD170" s="203"/>
      <c r="AE170" s="203"/>
      <c r="AF170" s="203"/>
      <c r="AG170" s="203"/>
      <c r="AH170" s="203"/>
      <c r="AI170" s="203"/>
      <c r="AJ170" s="203"/>
      <c r="AK170" s="203"/>
      <c r="AL170" s="203"/>
      <c r="AM170" s="203"/>
    </row>
    <row r="171" spans="4:39" s="155" customFormat="1" ht="11.25" x14ac:dyDescent="0.2">
      <c r="D171" s="203"/>
      <c r="E171" s="203"/>
      <c r="F171" s="203"/>
      <c r="G171" s="203"/>
      <c r="H171" s="203"/>
      <c r="I171" s="203"/>
      <c r="J171" s="203"/>
      <c r="K171" s="203"/>
      <c r="L171" s="203"/>
      <c r="M171" s="203"/>
      <c r="N171" s="203"/>
      <c r="O171" s="203"/>
      <c r="P171" s="203"/>
      <c r="Q171" s="203"/>
      <c r="R171" s="203"/>
      <c r="S171" s="203"/>
      <c r="T171" s="203"/>
      <c r="U171" s="203"/>
      <c r="V171" s="203"/>
      <c r="W171" s="203"/>
      <c r="X171" s="203"/>
      <c r="Y171" s="203"/>
      <c r="Z171" s="203"/>
      <c r="AA171" s="203"/>
      <c r="AB171" s="203"/>
      <c r="AC171" s="203"/>
      <c r="AD171" s="203"/>
      <c r="AE171" s="203"/>
      <c r="AF171" s="203"/>
      <c r="AG171" s="203"/>
      <c r="AH171" s="203"/>
      <c r="AI171" s="203"/>
      <c r="AJ171" s="203"/>
      <c r="AK171" s="203"/>
      <c r="AL171" s="203"/>
      <c r="AM171" s="203"/>
    </row>
    <row r="172" spans="4:39" s="155" customFormat="1" ht="11.25" x14ac:dyDescent="0.2">
      <c r="D172" s="203"/>
      <c r="E172" s="203"/>
      <c r="F172" s="203"/>
      <c r="G172" s="203"/>
      <c r="H172" s="203"/>
      <c r="I172" s="203"/>
      <c r="J172" s="203"/>
      <c r="K172" s="203"/>
      <c r="L172" s="203"/>
      <c r="M172" s="203"/>
      <c r="N172" s="203"/>
      <c r="O172" s="203"/>
      <c r="P172" s="203"/>
      <c r="Q172" s="203"/>
      <c r="R172" s="203"/>
      <c r="S172" s="203"/>
      <c r="T172" s="203"/>
      <c r="U172" s="203"/>
      <c r="V172" s="203"/>
      <c r="W172" s="203"/>
      <c r="X172" s="203"/>
      <c r="Y172" s="203"/>
      <c r="Z172" s="203"/>
      <c r="AA172" s="203"/>
      <c r="AB172" s="203"/>
      <c r="AC172" s="203"/>
      <c r="AD172" s="203"/>
      <c r="AE172" s="203"/>
      <c r="AF172" s="203"/>
      <c r="AG172" s="203"/>
      <c r="AH172" s="203"/>
      <c r="AI172" s="203"/>
      <c r="AJ172" s="203"/>
      <c r="AK172" s="203"/>
      <c r="AL172" s="203"/>
      <c r="AM172" s="203"/>
    </row>
    <row r="173" spans="4:39" s="155" customFormat="1" ht="11.25" x14ac:dyDescent="0.2">
      <c r="D173" s="203"/>
      <c r="E173" s="203"/>
      <c r="F173" s="203"/>
      <c r="G173" s="203"/>
      <c r="H173" s="203"/>
      <c r="I173" s="203"/>
      <c r="J173" s="203"/>
      <c r="K173" s="203"/>
      <c r="L173" s="203"/>
      <c r="M173" s="203"/>
      <c r="N173" s="203"/>
      <c r="O173" s="203"/>
      <c r="P173" s="203"/>
      <c r="Q173" s="203"/>
      <c r="R173" s="203"/>
      <c r="S173" s="203"/>
      <c r="T173" s="203"/>
      <c r="U173" s="203"/>
      <c r="V173" s="203"/>
      <c r="W173" s="203"/>
      <c r="X173" s="203"/>
      <c r="Y173" s="203"/>
      <c r="Z173" s="203"/>
      <c r="AA173" s="203"/>
      <c r="AB173" s="203"/>
      <c r="AC173" s="203"/>
      <c r="AD173" s="203"/>
      <c r="AE173" s="203"/>
      <c r="AF173" s="203"/>
      <c r="AG173" s="203"/>
      <c r="AH173" s="203"/>
      <c r="AI173" s="203"/>
      <c r="AJ173" s="203"/>
      <c r="AK173" s="203"/>
      <c r="AL173" s="203"/>
      <c r="AM173" s="203"/>
    </row>
    <row r="174" spans="4:39" s="155" customFormat="1" ht="11.25" x14ac:dyDescent="0.2">
      <c r="D174" s="203"/>
      <c r="E174" s="203"/>
      <c r="F174" s="203"/>
      <c r="G174" s="203"/>
      <c r="H174" s="203"/>
      <c r="I174" s="203"/>
      <c r="J174" s="203"/>
      <c r="K174" s="203"/>
      <c r="L174" s="203"/>
      <c r="M174" s="203"/>
      <c r="N174" s="203"/>
      <c r="O174" s="203"/>
      <c r="P174" s="203"/>
      <c r="Q174" s="203"/>
      <c r="R174" s="203"/>
      <c r="S174" s="203"/>
      <c r="T174" s="203"/>
      <c r="U174" s="203"/>
      <c r="V174" s="203"/>
      <c r="W174" s="203"/>
      <c r="X174" s="203"/>
      <c r="Y174" s="203"/>
      <c r="Z174" s="203"/>
      <c r="AA174" s="203"/>
      <c r="AB174" s="203"/>
      <c r="AC174" s="203"/>
      <c r="AD174" s="203"/>
      <c r="AE174" s="203"/>
      <c r="AF174" s="203"/>
      <c r="AG174" s="203"/>
      <c r="AH174" s="203"/>
      <c r="AI174" s="203"/>
      <c r="AJ174" s="203"/>
      <c r="AK174" s="203"/>
      <c r="AL174" s="203"/>
      <c r="AM174" s="203"/>
    </row>
    <row r="175" spans="4:39" s="155" customFormat="1" ht="11.25" x14ac:dyDescent="0.2">
      <c r="D175" s="203"/>
      <c r="E175" s="203"/>
      <c r="F175" s="203"/>
      <c r="G175" s="203"/>
      <c r="H175" s="203"/>
      <c r="I175" s="203"/>
      <c r="J175" s="203"/>
      <c r="K175" s="203"/>
      <c r="L175" s="203"/>
      <c r="M175" s="203"/>
      <c r="N175" s="203"/>
      <c r="O175" s="203"/>
      <c r="P175" s="203"/>
      <c r="Q175" s="203"/>
      <c r="R175" s="203"/>
      <c r="S175" s="203"/>
      <c r="T175" s="203"/>
      <c r="U175" s="203"/>
      <c r="V175" s="203"/>
      <c r="W175" s="203"/>
      <c r="X175" s="203"/>
      <c r="Y175" s="203"/>
      <c r="Z175" s="203"/>
      <c r="AA175" s="203"/>
      <c r="AB175" s="203"/>
      <c r="AC175" s="203"/>
      <c r="AD175" s="203"/>
      <c r="AE175" s="203"/>
      <c r="AF175" s="203"/>
      <c r="AG175" s="203"/>
      <c r="AH175" s="203"/>
      <c r="AI175" s="203"/>
      <c r="AJ175" s="203"/>
      <c r="AK175" s="203"/>
      <c r="AL175" s="203"/>
      <c r="AM175" s="203"/>
    </row>
    <row r="176" spans="4:39" s="155" customFormat="1" ht="11.25" x14ac:dyDescent="0.2">
      <c r="D176" s="203"/>
      <c r="E176" s="203"/>
      <c r="F176" s="203"/>
      <c r="G176" s="203"/>
      <c r="H176" s="203"/>
      <c r="I176" s="203"/>
      <c r="J176" s="203"/>
      <c r="K176" s="203"/>
      <c r="L176" s="203"/>
      <c r="M176" s="203"/>
      <c r="N176" s="203"/>
      <c r="O176" s="203"/>
      <c r="P176" s="203"/>
      <c r="Q176" s="203"/>
      <c r="R176" s="203"/>
      <c r="S176" s="203"/>
      <c r="T176" s="203"/>
      <c r="U176" s="203"/>
      <c r="V176" s="203"/>
      <c r="W176" s="203"/>
      <c r="X176" s="203"/>
      <c r="Y176" s="203"/>
      <c r="Z176" s="203"/>
      <c r="AA176" s="203"/>
      <c r="AB176" s="203"/>
      <c r="AC176" s="203"/>
      <c r="AD176" s="203"/>
      <c r="AE176" s="203"/>
      <c r="AF176" s="203"/>
      <c r="AG176" s="203"/>
      <c r="AH176" s="203"/>
      <c r="AI176" s="203"/>
      <c r="AJ176" s="203"/>
      <c r="AK176" s="203"/>
      <c r="AL176" s="203"/>
      <c r="AM176" s="203"/>
    </row>
    <row r="177" spans="4:39" s="155" customFormat="1" ht="11.25" x14ac:dyDescent="0.2">
      <c r="D177" s="203"/>
      <c r="E177" s="203"/>
      <c r="F177" s="203"/>
      <c r="G177" s="203"/>
      <c r="H177" s="203"/>
      <c r="I177" s="203"/>
      <c r="J177" s="203"/>
      <c r="K177" s="203"/>
      <c r="L177" s="203"/>
      <c r="M177" s="203"/>
      <c r="N177" s="203"/>
      <c r="O177" s="203"/>
      <c r="P177" s="203"/>
      <c r="Q177" s="203"/>
      <c r="R177" s="203"/>
      <c r="S177" s="203"/>
      <c r="T177" s="203"/>
      <c r="U177" s="203"/>
      <c r="V177" s="203"/>
      <c r="W177" s="203"/>
      <c r="X177" s="203"/>
      <c r="Y177" s="203"/>
      <c r="Z177" s="203"/>
      <c r="AA177" s="203"/>
      <c r="AB177" s="203"/>
      <c r="AC177" s="203"/>
      <c r="AD177" s="203"/>
      <c r="AE177" s="203"/>
      <c r="AF177" s="203"/>
      <c r="AG177" s="203"/>
      <c r="AH177" s="203"/>
      <c r="AI177" s="203"/>
      <c r="AJ177" s="203"/>
      <c r="AK177" s="203"/>
      <c r="AL177" s="203"/>
      <c r="AM177" s="203"/>
    </row>
    <row r="178" spans="4:39" s="155" customFormat="1" ht="11.25" x14ac:dyDescent="0.2">
      <c r="D178" s="203"/>
      <c r="E178" s="203"/>
      <c r="F178" s="203"/>
      <c r="G178" s="203"/>
      <c r="H178" s="203"/>
      <c r="I178" s="203"/>
      <c r="J178" s="203"/>
      <c r="K178" s="203"/>
      <c r="L178" s="203"/>
      <c r="M178" s="203"/>
      <c r="N178" s="203"/>
      <c r="O178" s="203"/>
      <c r="P178" s="203"/>
      <c r="Q178" s="203"/>
      <c r="R178" s="203"/>
      <c r="S178" s="203"/>
      <c r="T178" s="203"/>
      <c r="U178" s="203"/>
      <c r="V178" s="203"/>
      <c r="W178" s="203"/>
      <c r="X178" s="203"/>
      <c r="Y178" s="203"/>
      <c r="Z178" s="203"/>
      <c r="AA178" s="203"/>
      <c r="AB178" s="203"/>
      <c r="AC178" s="203"/>
      <c r="AD178" s="203"/>
      <c r="AE178" s="203"/>
      <c r="AF178" s="203"/>
      <c r="AG178" s="203"/>
      <c r="AH178" s="203"/>
      <c r="AI178" s="203"/>
      <c r="AJ178" s="203"/>
      <c r="AK178" s="203"/>
      <c r="AL178" s="203"/>
      <c r="AM178" s="203"/>
    </row>
    <row r="179" spans="4:39" s="155" customFormat="1" ht="11.25" x14ac:dyDescent="0.2">
      <c r="D179" s="203"/>
      <c r="E179" s="203"/>
      <c r="F179" s="203"/>
      <c r="G179" s="203"/>
      <c r="H179" s="203"/>
      <c r="I179" s="203"/>
      <c r="J179" s="203"/>
      <c r="K179" s="203"/>
      <c r="L179" s="203"/>
      <c r="M179" s="203"/>
      <c r="N179" s="203"/>
      <c r="O179" s="203"/>
      <c r="P179" s="203"/>
      <c r="Q179" s="203"/>
      <c r="R179" s="203"/>
      <c r="S179" s="203"/>
      <c r="T179" s="203"/>
      <c r="U179" s="203"/>
      <c r="V179" s="203"/>
      <c r="W179" s="203"/>
      <c r="X179" s="203"/>
      <c r="Y179" s="203"/>
      <c r="Z179" s="203"/>
      <c r="AA179" s="203"/>
      <c r="AB179" s="203"/>
      <c r="AC179" s="203"/>
      <c r="AD179" s="203"/>
      <c r="AE179" s="203"/>
      <c r="AF179" s="203"/>
      <c r="AG179" s="203"/>
      <c r="AH179" s="203"/>
      <c r="AI179" s="203"/>
      <c r="AJ179" s="203"/>
      <c r="AK179" s="203"/>
      <c r="AL179" s="203"/>
      <c r="AM179" s="203"/>
    </row>
    <row r="180" spans="4:39" s="155" customFormat="1" ht="11.25" x14ac:dyDescent="0.2">
      <c r="D180" s="203"/>
      <c r="E180" s="203"/>
      <c r="F180" s="203"/>
      <c r="G180" s="203"/>
      <c r="H180" s="203"/>
      <c r="I180" s="203"/>
      <c r="J180" s="203"/>
      <c r="K180" s="203"/>
      <c r="L180" s="203"/>
      <c r="M180" s="203"/>
      <c r="N180" s="203"/>
      <c r="O180" s="203"/>
      <c r="P180" s="203"/>
      <c r="Q180" s="203"/>
      <c r="R180" s="203"/>
      <c r="S180" s="203"/>
      <c r="T180" s="203"/>
      <c r="U180" s="203"/>
      <c r="V180" s="203"/>
      <c r="W180" s="203"/>
      <c r="X180" s="203"/>
      <c r="Y180" s="203"/>
      <c r="Z180" s="203"/>
      <c r="AA180" s="203"/>
      <c r="AB180" s="203"/>
      <c r="AC180" s="203"/>
      <c r="AD180" s="203"/>
      <c r="AE180" s="203"/>
      <c r="AF180" s="203"/>
      <c r="AG180" s="203"/>
      <c r="AH180" s="203"/>
      <c r="AI180" s="203"/>
      <c r="AJ180" s="203"/>
      <c r="AK180" s="203"/>
      <c r="AL180" s="203"/>
      <c r="AM180" s="203"/>
    </row>
    <row r="181" spans="4:39" s="155" customFormat="1" ht="11.25" x14ac:dyDescent="0.2">
      <c r="D181" s="203"/>
      <c r="E181" s="203"/>
      <c r="F181" s="203"/>
      <c r="G181" s="203"/>
      <c r="H181" s="203"/>
      <c r="I181" s="203"/>
      <c r="J181" s="203"/>
      <c r="K181" s="203"/>
      <c r="L181" s="203"/>
      <c r="M181" s="203"/>
      <c r="N181" s="203"/>
      <c r="O181" s="203"/>
      <c r="P181" s="203"/>
      <c r="Q181" s="203"/>
      <c r="R181" s="203"/>
      <c r="S181" s="203"/>
      <c r="T181" s="203"/>
      <c r="U181" s="203"/>
      <c r="V181" s="203"/>
      <c r="W181" s="203"/>
      <c r="X181" s="203"/>
      <c r="Y181" s="203"/>
      <c r="Z181" s="203"/>
      <c r="AA181" s="203"/>
      <c r="AB181" s="203"/>
      <c r="AC181" s="203"/>
      <c r="AD181" s="203"/>
      <c r="AE181" s="203"/>
      <c r="AF181" s="203"/>
      <c r="AG181" s="203"/>
      <c r="AH181" s="203"/>
      <c r="AI181" s="203"/>
      <c r="AJ181" s="203"/>
      <c r="AK181" s="203"/>
      <c r="AL181" s="203"/>
      <c r="AM181" s="203"/>
    </row>
    <row r="182" spans="4:39" s="155" customFormat="1" ht="11.25" x14ac:dyDescent="0.2">
      <c r="D182" s="203"/>
      <c r="E182" s="203"/>
      <c r="F182" s="203"/>
      <c r="G182" s="203"/>
      <c r="H182" s="203"/>
      <c r="I182" s="203"/>
      <c r="J182" s="203"/>
      <c r="K182" s="203"/>
      <c r="L182" s="203"/>
      <c r="M182" s="203"/>
      <c r="N182" s="203"/>
      <c r="O182" s="203"/>
      <c r="P182" s="203"/>
      <c r="Q182" s="203"/>
      <c r="R182" s="203"/>
      <c r="S182" s="203"/>
      <c r="T182" s="203"/>
      <c r="U182" s="203"/>
      <c r="V182" s="203"/>
      <c r="W182" s="203"/>
      <c r="X182" s="203"/>
      <c r="Y182" s="203"/>
      <c r="Z182" s="203"/>
      <c r="AA182" s="203"/>
      <c r="AB182" s="203"/>
      <c r="AC182" s="203"/>
      <c r="AD182" s="203"/>
      <c r="AE182" s="203"/>
      <c r="AF182" s="203"/>
      <c r="AG182" s="203"/>
      <c r="AH182" s="203"/>
      <c r="AI182" s="203"/>
      <c r="AJ182" s="203"/>
      <c r="AK182" s="203"/>
      <c r="AL182" s="203"/>
      <c r="AM182" s="203"/>
    </row>
    <row r="183" spans="4:39" s="155" customFormat="1" ht="11.25" x14ac:dyDescent="0.2">
      <c r="D183" s="203"/>
      <c r="E183" s="203"/>
      <c r="F183" s="203"/>
      <c r="G183" s="203"/>
      <c r="H183" s="203"/>
      <c r="I183" s="203"/>
      <c r="J183" s="203"/>
      <c r="K183" s="203"/>
      <c r="L183" s="203"/>
      <c r="M183" s="203"/>
      <c r="N183" s="203"/>
      <c r="O183" s="203"/>
      <c r="P183" s="203"/>
      <c r="Q183" s="203"/>
      <c r="R183" s="203"/>
      <c r="S183" s="203"/>
      <c r="T183" s="203"/>
      <c r="U183" s="203"/>
      <c r="V183" s="203"/>
      <c r="W183" s="203"/>
      <c r="X183" s="203"/>
      <c r="Y183" s="203"/>
      <c r="Z183" s="203"/>
      <c r="AA183" s="203"/>
      <c r="AB183" s="203"/>
      <c r="AC183" s="203"/>
      <c r="AD183" s="203"/>
      <c r="AE183" s="203"/>
      <c r="AF183" s="203"/>
      <c r="AG183" s="203"/>
      <c r="AH183" s="203"/>
      <c r="AI183" s="203"/>
      <c r="AJ183" s="203"/>
      <c r="AK183" s="203"/>
      <c r="AL183" s="203"/>
      <c r="AM183" s="203"/>
    </row>
    <row r="184" spans="4:39" s="155" customFormat="1" ht="11.25" x14ac:dyDescent="0.2">
      <c r="D184" s="203"/>
      <c r="E184" s="203"/>
      <c r="F184" s="203"/>
      <c r="G184" s="203"/>
      <c r="H184" s="203"/>
      <c r="I184" s="203"/>
      <c r="J184" s="203"/>
      <c r="K184" s="203"/>
      <c r="L184" s="203"/>
      <c r="M184" s="203"/>
      <c r="N184" s="203"/>
      <c r="O184" s="203"/>
      <c r="P184" s="203"/>
      <c r="Q184" s="203"/>
      <c r="R184" s="203"/>
      <c r="S184" s="203"/>
      <c r="T184" s="203"/>
      <c r="U184" s="203"/>
      <c r="V184" s="203"/>
      <c r="W184" s="203"/>
      <c r="X184" s="203"/>
      <c r="Y184" s="203"/>
      <c r="Z184" s="203"/>
      <c r="AA184" s="203"/>
      <c r="AB184" s="203"/>
      <c r="AC184" s="203"/>
      <c r="AD184" s="203"/>
      <c r="AE184" s="203"/>
      <c r="AF184" s="203"/>
      <c r="AG184" s="203"/>
      <c r="AH184" s="203"/>
      <c r="AI184" s="203"/>
      <c r="AJ184" s="203"/>
      <c r="AK184" s="203"/>
      <c r="AL184" s="203"/>
      <c r="AM184" s="203"/>
    </row>
    <row r="185" spans="4:39" s="155" customFormat="1" ht="11.25" x14ac:dyDescent="0.2">
      <c r="D185" s="203"/>
      <c r="E185" s="203"/>
      <c r="F185" s="203"/>
      <c r="G185" s="203"/>
      <c r="H185" s="203"/>
      <c r="I185" s="203"/>
      <c r="J185" s="203"/>
      <c r="K185" s="203"/>
      <c r="L185" s="203"/>
      <c r="M185" s="203"/>
      <c r="N185" s="203"/>
      <c r="O185" s="203"/>
      <c r="P185" s="203"/>
      <c r="Q185" s="203"/>
      <c r="R185" s="203"/>
      <c r="S185" s="203"/>
      <c r="T185" s="203"/>
      <c r="U185" s="203"/>
      <c r="V185" s="203"/>
      <c r="W185" s="203"/>
      <c r="X185" s="203"/>
      <c r="Y185" s="203"/>
      <c r="Z185" s="203"/>
      <c r="AA185" s="203"/>
      <c r="AB185" s="203"/>
      <c r="AC185" s="203"/>
      <c r="AD185" s="203"/>
      <c r="AE185" s="203"/>
      <c r="AF185" s="203"/>
      <c r="AG185" s="203"/>
      <c r="AH185" s="203"/>
      <c r="AI185" s="203"/>
      <c r="AJ185" s="203"/>
      <c r="AK185" s="203"/>
      <c r="AL185" s="203"/>
      <c r="AM185" s="203"/>
    </row>
    <row r="186" spans="4:39" s="155" customFormat="1" ht="11.25" x14ac:dyDescent="0.2"/>
    <row r="187" spans="4:39" s="155" customFormat="1" ht="11.25" x14ac:dyDescent="0.2"/>
    <row r="188" spans="4:39" s="155" customFormat="1" ht="11.25" x14ac:dyDescent="0.2"/>
    <row r="189" spans="4:39" s="155" customFormat="1" ht="11.25" x14ac:dyDescent="0.2"/>
    <row r="190" spans="4:39" s="155" customFormat="1" ht="11.25" x14ac:dyDescent="0.2"/>
    <row r="191" spans="4:39" s="155" customFormat="1" ht="11.25" x14ac:dyDescent="0.2"/>
    <row r="192" spans="4:39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970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1148916373</v>
      </c>
      <c r="E14" s="432">
        <f>SUM(E15,E16,E33,E54)</f>
        <v>320814368</v>
      </c>
      <c r="F14" s="432">
        <f t="shared" ref="F14:O14" si="0">SUM(F15,F16,F33,F54)</f>
        <v>144270969</v>
      </c>
      <c r="G14" s="432">
        <f t="shared" si="0"/>
        <v>50358746</v>
      </c>
      <c r="H14" s="432">
        <f t="shared" si="0"/>
        <v>45619257</v>
      </c>
      <c r="I14" s="432">
        <f t="shared" si="0"/>
        <v>313908564</v>
      </c>
      <c r="J14" s="432">
        <f t="shared" si="0"/>
        <v>20949018</v>
      </c>
      <c r="K14" s="432">
        <f t="shared" si="0"/>
        <v>165805380</v>
      </c>
      <c r="L14" s="432">
        <f t="shared" si="0"/>
        <v>0</v>
      </c>
      <c r="M14" s="432">
        <f t="shared" si="0"/>
        <v>176368472</v>
      </c>
      <c r="N14" s="432">
        <f t="shared" si="0"/>
        <v>83120199</v>
      </c>
      <c r="O14" s="432">
        <f t="shared" si="0"/>
        <v>22331115</v>
      </c>
      <c r="P14" s="442">
        <f>IF(SUM(Q14:AB14)=SUM(AC14:AM14),SUM(Q14:AB14),"  EROARE ART/CAP")</f>
        <v>1109320369</v>
      </c>
      <c r="Q14" s="432">
        <f t="shared" ref="Q14:AM14" si="1">Q15+Q16+Q33+Q54</f>
        <v>395562798</v>
      </c>
      <c r="R14" s="432">
        <f t="shared" si="1"/>
        <v>225012152</v>
      </c>
      <c r="S14" s="432">
        <f t="shared" si="1"/>
        <v>6139333</v>
      </c>
      <c r="T14" s="432">
        <f t="shared" si="1"/>
        <v>2100000</v>
      </c>
      <c r="U14" s="432">
        <f t="shared" si="1"/>
        <v>25850875</v>
      </c>
      <c r="V14" s="432">
        <f t="shared" si="1"/>
        <v>2228045</v>
      </c>
      <c r="W14" s="432">
        <f t="shared" si="1"/>
        <v>137400240</v>
      </c>
      <c r="X14" s="432">
        <f t="shared" si="1"/>
        <v>113107042</v>
      </c>
      <c r="Y14" s="432">
        <f t="shared" si="1"/>
        <v>6845001</v>
      </c>
      <c r="Z14" s="432">
        <f t="shared" si="1"/>
        <v>179847900</v>
      </c>
      <c r="AA14" s="432">
        <f t="shared" si="1"/>
        <v>16913597</v>
      </c>
      <c r="AB14" s="432">
        <f t="shared" si="1"/>
        <v>-1686614</v>
      </c>
      <c r="AC14" s="432">
        <f t="shared" si="1"/>
        <v>159661289</v>
      </c>
      <c r="AD14" s="432">
        <f t="shared" si="1"/>
        <v>9060124</v>
      </c>
      <c r="AE14" s="432">
        <f t="shared" si="1"/>
        <v>319329655</v>
      </c>
      <c r="AF14" s="432">
        <f t="shared" si="1"/>
        <v>22877247</v>
      </c>
      <c r="AG14" s="432">
        <f t="shared" si="1"/>
        <v>66380082</v>
      </c>
      <c r="AH14" s="432">
        <f t="shared" si="1"/>
        <v>170454166</v>
      </c>
      <c r="AI14" s="432">
        <f t="shared" si="1"/>
        <v>118684360</v>
      </c>
      <c r="AJ14" s="432">
        <f t="shared" si="1"/>
        <v>82359272</v>
      </c>
      <c r="AK14" s="432">
        <f t="shared" si="1"/>
        <v>50000</v>
      </c>
      <c r="AL14" s="432">
        <f t="shared" si="1"/>
        <v>144889830</v>
      </c>
      <c r="AM14" s="432">
        <f t="shared" si="1"/>
        <v>15574344</v>
      </c>
    </row>
    <row r="15" spans="1:39" s="155" customFormat="1" ht="12.75" customHeight="1" x14ac:dyDescent="0.2">
      <c r="A15" s="156" t="s">
        <v>71</v>
      </c>
      <c r="B15" s="157"/>
      <c r="C15" s="158"/>
      <c r="D15" s="442">
        <f>E15+SUM(H15:O15)</f>
        <v>245377074</v>
      </c>
      <c r="E15" s="431">
        <v>50920254</v>
      </c>
      <c r="F15" s="431">
        <v>30623560</v>
      </c>
      <c r="G15" s="431">
        <v>17733191</v>
      </c>
      <c r="H15" s="431">
        <v>45619257</v>
      </c>
      <c r="I15" s="431">
        <v>0</v>
      </c>
      <c r="J15" s="431">
        <v>7113000</v>
      </c>
      <c r="K15" s="431">
        <v>43411000</v>
      </c>
      <c r="L15" s="431"/>
      <c r="M15" s="431">
        <v>89900042</v>
      </c>
      <c r="N15" s="431">
        <v>7768563</v>
      </c>
      <c r="O15" s="431">
        <v>644958</v>
      </c>
      <c r="P15" s="443">
        <f>IF(SUM(Q15:AB15)=SUM(AC15:AM15),SUM(Q15:AB15),"  EROARE ART/CAP")</f>
        <v>264126091</v>
      </c>
      <c r="Q15" s="431">
        <v>43741302</v>
      </c>
      <c r="R15" s="431">
        <v>51560885</v>
      </c>
      <c r="S15" s="431">
        <v>2237238</v>
      </c>
      <c r="T15" s="431">
        <v>0</v>
      </c>
      <c r="U15" s="431">
        <v>21151476</v>
      </c>
      <c r="V15" s="431">
        <v>109678</v>
      </c>
      <c r="W15" s="431">
        <v>55356768</v>
      </c>
      <c r="X15" s="431">
        <v>75976395</v>
      </c>
      <c r="Y15" s="431">
        <v>4756376</v>
      </c>
      <c r="Z15" s="431">
        <v>4232850</v>
      </c>
      <c r="AA15" s="431">
        <v>5292050</v>
      </c>
      <c r="AB15" s="431">
        <v>-288927</v>
      </c>
      <c r="AC15" s="431">
        <v>35469534</v>
      </c>
      <c r="AD15" s="431">
        <v>1142996</v>
      </c>
      <c r="AE15" s="431">
        <v>18025622</v>
      </c>
      <c r="AF15" s="431">
        <v>9678177</v>
      </c>
      <c r="AG15" s="431">
        <v>13154730</v>
      </c>
      <c r="AH15" s="431">
        <v>112803609</v>
      </c>
      <c r="AI15" s="431">
        <v>0</v>
      </c>
      <c r="AJ15" s="431">
        <v>45027435</v>
      </c>
      <c r="AK15" s="431">
        <v>0</v>
      </c>
      <c r="AL15" s="431">
        <v>26806707</v>
      </c>
      <c r="AM15" s="431">
        <v>2017281</v>
      </c>
    </row>
    <row r="16" spans="1:39" s="155" customFormat="1" ht="12" x14ac:dyDescent="0.2">
      <c r="A16" s="156" t="s">
        <v>72</v>
      </c>
      <c r="B16" s="159"/>
      <c r="C16" s="159"/>
      <c r="D16" s="442">
        <f>E16+SUM(H16:O16)</f>
        <v>265429430</v>
      </c>
      <c r="E16" s="433">
        <f>SUM(E18:E32)</f>
        <v>140212338</v>
      </c>
      <c r="F16" s="433">
        <f t="shared" ref="F16:O16" si="2">SUM(F18:F32)</f>
        <v>77926213</v>
      </c>
      <c r="G16" s="433">
        <f t="shared" si="2"/>
        <v>1633257</v>
      </c>
      <c r="H16" s="433">
        <f t="shared" si="2"/>
        <v>0</v>
      </c>
      <c r="I16" s="433">
        <f t="shared" si="2"/>
        <v>114727151</v>
      </c>
      <c r="J16" s="433">
        <f t="shared" si="2"/>
        <v>937300</v>
      </c>
      <c r="K16" s="433">
        <f t="shared" si="2"/>
        <v>775900</v>
      </c>
      <c r="L16" s="433">
        <f t="shared" si="2"/>
        <v>0</v>
      </c>
      <c r="M16" s="433">
        <f t="shared" si="2"/>
        <v>7411122</v>
      </c>
      <c r="N16" s="433">
        <f t="shared" si="2"/>
        <v>1223609</v>
      </c>
      <c r="O16" s="433">
        <f t="shared" si="2"/>
        <v>142010</v>
      </c>
      <c r="P16" s="442">
        <f t="shared" ref="P16:P53" si="3">IF(SUM(Q16:AB16)=SUM(AC16:AM16),SUM(Q16:AB16),"  EROARE ART/CAP")</f>
        <v>247307483</v>
      </c>
      <c r="Q16" s="432">
        <f>SUM(Q18:Q32)</f>
        <v>116562689</v>
      </c>
      <c r="R16" s="432">
        <f t="shared" ref="R16:AM16" si="4">SUM(R18:R32)</f>
        <v>68099559</v>
      </c>
      <c r="S16" s="432">
        <f t="shared" si="4"/>
        <v>2646994</v>
      </c>
      <c r="T16" s="432">
        <f t="shared" si="4"/>
        <v>2100000</v>
      </c>
      <c r="U16" s="432">
        <f t="shared" si="4"/>
        <v>3577434</v>
      </c>
      <c r="V16" s="432">
        <f t="shared" si="4"/>
        <v>350000</v>
      </c>
      <c r="W16" s="432">
        <f t="shared" si="4"/>
        <v>9361885</v>
      </c>
      <c r="X16" s="432">
        <f t="shared" si="4"/>
        <v>7990342</v>
      </c>
      <c r="Y16" s="432">
        <f t="shared" si="4"/>
        <v>868105</v>
      </c>
      <c r="Z16" s="432">
        <f t="shared" si="4"/>
        <v>28358420</v>
      </c>
      <c r="AA16" s="432">
        <f t="shared" si="4"/>
        <v>8199534</v>
      </c>
      <c r="AB16" s="432">
        <f t="shared" si="4"/>
        <v>-807479</v>
      </c>
      <c r="AC16" s="432">
        <f t="shared" si="4"/>
        <v>18394169</v>
      </c>
      <c r="AD16" s="432">
        <f t="shared" si="4"/>
        <v>2249857</v>
      </c>
      <c r="AE16" s="432">
        <f t="shared" si="4"/>
        <v>115265395</v>
      </c>
      <c r="AF16" s="432">
        <f t="shared" si="4"/>
        <v>5867729</v>
      </c>
      <c r="AG16" s="432">
        <f t="shared" si="4"/>
        <v>9066525</v>
      </c>
      <c r="AH16" s="432">
        <f t="shared" si="4"/>
        <v>12237422</v>
      </c>
      <c r="AI16" s="432">
        <f t="shared" si="4"/>
        <v>52240748</v>
      </c>
      <c r="AJ16" s="432">
        <f t="shared" si="4"/>
        <v>8195953</v>
      </c>
      <c r="AK16" s="432">
        <f t="shared" si="4"/>
        <v>0</v>
      </c>
      <c r="AL16" s="432">
        <f t="shared" si="4"/>
        <v>23282793</v>
      </c>
      <c r="AM16" s="432">
        <f t="shared" si="4"/>
        <v>506892</v>
      </c>
    </row>
    <row r="17" spans="1:39" s="155" customFormat="1" ht="22.5" x14ac:dyDescent="0.2">
      <c r="A17" s="277" t="s">
        <v>2306</v>
      </c>
      <c r="B17" s="281" t="s">
        <v>74</v>
      </c>
      <c r="C17" s="260"/>
      <c r="D17" s="44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4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234">
        <v>1</v>
      </c>
      <c r="B18" s="199">
        <v>125472</v>
      </c>
      <c r="C18" s="413" t="s">
        <v>1686</v>
      </c>
      <c r="D18" s="443">
        <f t="shared" ref="D18:D19" si="5">E18+SUM(H18:O18)</f>
        <v>67315725</v>
      </c>
      <c r="E18" s="431">
        <v>26793253</v>
      </c>
      <c r="F18" s="431">
        <v>14966264</v>
      </c>
      <c r="G18" s="431">
        <v>539593</v>
      </c>
      <c r="H18" s="431">
        <v>0</v>
      </c>
      <c r="I18" s="431">
        <v>34927307</v>
      </c>
      <c r="J18" s="431">
        <v>937300</v>
      </c>
      <c r="K18" s="431">
        <v>237710</v>
      </c>
      <c r="L18" s="431"/>
      <c r="M18" s="431">
        <v>4407581</v>
      </c>
      <c r="N18" s="431">
        <v>12574</v>
      </c>
      <c r="O18" s="431"/>
      <c r="P18" s="443">
        <f>IF(SUM(Q18:AB18)=SUM(AC18:AM18),SUM(Q18:AB18),"  EROARE ART/CAP")</f>
        <v>59945486</v>
      </c>
      <c r="Q18" s="431">
        <v>35253264</v>
      </c>
      <c r="R18" s="431">
        <v>15513694</v>
      </c>
      <c r="S18" s="431">
        <v>175447</v>
      </c>
      <c r="T18" s="431">
        <v>0</v>
      </c>
      <c r="U18" s="431">
        <v>3575434</v>
      </c>
      <c r="V18" s="431">
        <v>0</v>
      </c>
      <c r="W18" s="431">
        <v>506892</v>
      </c>
      <c r="X18" s="431">
        <v>2416839</v>
      </c>
      <c r="Y18" s="431">
        <v>950</v>
      </c>
      <c r="Z18" s="431">
        <v>1611178</v>
      </c>
      <c r="AA18" s="431">
        <v>1044358</v>
      </c>
      <c r="AB18" s="431">
        <v>-152570</v>
      </c>
      <c r="AC18" s="431">
        <v>6776320</v>
      </c>
      <c r="AD18" s="431">
        <v>44087</v>
      </c>
      <c r="AE18" s="431">
        <v>33468902</v>
      </c>
      <c r="AF18" s="431">
        <v>3369888</v>
      </c>
      <c r="AG18" s="431">
        <v>1988200</v>
      </c>
      <c r="AH18" s="431">
        <v>4706759</v>
      </c>
      <c r="AI18" s="431">
        <v>3619420</v>
      </c>
      <c r="AJ18" s="431">
        <v>1761436</v>
      </c>
      <c r="AK18" s="431">
        <v>0</v>
      </c>
      <c r="AL18" s="431">
        <v>3703582</v>
      </c>
      <c r="AM18" s="431">
        <v>506892</v>
      </c>
    </row>
    <row r="19" spans="1:39" s="155" customFormat="1" ht="12" x14ac:dyDescent="0.2">
      <c r="A19" s="234">
        <v>2</v>
      </c>
      <c r="B19" s="199">
        <v>125347</v>
      </c>
      <c r="C19" s="413" t="s">
        <v>1687</v>
      </c>
      <c r="D19" s="443">
        <f t="shared" si="5"/>
        <v>198113705</v>
      </c>
      <c r="E19" s="431">
        <v>113419085</v>
      </c>
      <c r="F19" s="431">
        <v>62959949</v>
      </c>
      <c r="G19" s="431">
        <v>1093664</v>
      </c>
      <c r="H19" s="431">
        <v>0</v>
      </c>
      <c r="I19" s="431">
        <v>79799844</v>
      </c>
      <c r="J19" s="431">
        <v>0</v>
      </c>
      <c r="K19" s="431">
        <v>538190</v>
      </c>
      <c r="L19" s="431"/>
      <c r="M19" s="431">
        <v>3003541</v>
      </c>
      <c r="N19" s="431">
        <v>1211035</v>
      </c>
      <c r="O19" s="431">
        <v>142010</v>
      </c>
      <c r="P19" s="443">
        <f>IF(SUM(Q19:AB19)=SUM(AC19:AM19),SUM(Q19:AB19),"  EROARE ART/CAP")</f>
        <v>187361997</v>
      </c>
      <c r="Q19" s="431">
        <v>81309425</v>
      </c>
      <c r="R19" s="431">
        <v>52585865</v>
      </c>
      <c r="S19" s="431">
        <v>2471547</v>
      </c>
      <c r="T19" s="431">
        <v>2100000</v>
      </c>
      <c r="U19" s="431">
        <v>2000</v>
      </c>
      <c r="V19" s="431">
        <v>350000</v>
      </c>
      <c r="W19" s="431">
        <v>8854993</v>
      </c>
      <c r="X19" s="431">
        <v>5573503</v>
      </c>
      <c r="Y19" s="431">
        <v>867155</v>
      </c>
      <c r="Z19" s="431">
        <v>26747242</v>
      </c>
      <c r="AA19" s="431">
        <v>7155176</v>
      </c>
      <c r="AB19" s="431">
        <v>-654909</v>
      </c>
      <c r="AC19" s="431">
        <v>11617849</v>
      </c>
      <c r="AD19" s="431">
        <v>2205770</v>
      </c>
      <c r="AE19" s="431">
        <v>81796493</v>
      </c>
      <c r="AF19" s="431">
        <v>2497841</v>
      </c>
      <c r="AG19" s="431">
        <v>7078325</v>
      </c>
      <c r="AH19" s="431">
        <v>7530663</v>
      </c>
      <c r="AI19" s="431">
        <v>48621328</v>
      </c>
      <c r="AJ19" s="431">
        <v>6434517</v>
      </c>
      <c r="AK19" s="431">
        <v>0</v>
      </c>
      <c r="AL19" s="431">
        <v>19579211</v>
      </c>
      <c r="AM19" s="431"/>
    </row>
    <row r="20" spans="1:39" s="155" customFormat="1" ht="12" hidden="1" x14ac:dyDescent="0.2">
      <c r="A20" s="234">
        <v>3</v>
      </c>
      <c r="B20" s="288"/>
      <c r="C20" s="206"/>
      <c r="D20" s="442">
        <f t="shared" ref="D20:D41" si="6">E20+SUM(H20:O20)</f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42">
        <f t="shared" si="3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</row>
    <row r="21" spans="1:39" s="155" customFormat="1" ht="12" hidden="1" x14ac:dyDescent="0.2">
      <c r="A21" s="234">
        <v>4</v>
      </c>
      <c r="B21" s="288"/>
      <c r="C21" s="206"/>
      <c r="D21" s="442">
        <f t="shared" si="6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42">
        <f t="shared" si="3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234">
        <v>5</v>
      </c>
      <c r="B22" s="288"/>
      <c r="C22" s="206"/>
      <c r="D22" s="442">
        <f t="shared" si="6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42">
        <f t="shared" si="3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234">
        <v>6</v>
      </c>
      <c r="B23" s="288"/>
      <c r="C23" s="206"/>
      <c r="D23" s="442">
        <f t="shared" si="6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42">
        <f t="shared" si="3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234">
        <v>7</v>
      </c>
      <c r="B24" s="288"/>
      <c r="C24" s="206"/>
      <c r="D24" s="442">
        <f t="shared" si="6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42">
        <f t="shared" si="3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234">
        <v>8</v>
      </c>
      <c r="B25" s="288"/>
      <c r="C25" s="206"/>
      <c r="D25" s="442">
        <f t="shared" si="6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42">
        <f t="shared" si="3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234">
        <v>9</v>
      </c>
      <c r="B26" s="288"/>
      <c r="C26" s="206"/>
      <c r="D26" s="442">
        <f t="shared" si="6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42">
        <f t="shared" si="3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234">
        <v>10</v>
      </c>
      <c r="B27" s="288"/>
      <c r="C27" s="206"/>
      <c r="D27" s="442">
        <f t="shared" si="6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42">
        <f t="shared" si="3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234">
        <v>11</v>
      </c>
      <c r="B28" s="288"/>
      <c r="C28" s="206"/>
      <c r="D28" s="442">
        <f t="shared" si="6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42">
        <f t="shared" si="3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234">
        <v>12</v>
      </c>
      <c r="B29" s="288"/>
      <c r="C29" s="206"/>
      <c r="D29" s="442">
        <f t="shared" si="6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42">
        <f t="shared" si="3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234">
        <v>13</v>
      </c>
      <c r="B30" s="288"/>
      <c r="C30" s="206"/>
      <c r="D30" s="442">
        <f t="shared" si="6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42">
        <f t="shared" si="3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234">
        <v>14</v>
      </c>
      <c r="B31" s="288"/>
      <c r="C31" s="206"/>
      <c r="D31" s="442">
        <f t="shared" si="6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42">
        <f t="shared" si="3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234">
        <v>15</v>
      </c>
      <c r="B32" s="288"/>
      <c r="C32" s="207"/>
      <c r="D32" s="442">
        <f t="shared" si="6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42">
        <f t="shared" si="3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5"/>
      <c r="C33" s="208"/>
      <c r="D33" s="442">
        <f t="shared" si="6"/>
        <v>156695234</v>
      </c>
      <c r="E33" s="432">
        <f>SUM(E34:E53)</f>
        <v>39964632</v>
      </c>
      <c r="F33" s="432">
        <f t="shared" ref="F33:O33" si="7">SUM(F34:F53)</f>
        <v>14869856</v>
      </c>
      <c r="G33" s="432">
        <f t="shared" si="7"/>
        <v>4264615</v>
      </c>
      <c r="H33" s="432">
        <f t="shared" si="7"/>
        <v>0</v>
      </c>
      <c r="I33" s="432">
        <f t="shared" si="7"/>
        <v>59082408</v>
      </c>
      <c r="J33" s="432">
        <f t="shared" si="7"/>
        <v>7899720</v>
      </c>
      <c r="K33" s="432">
        <f t="shared" si="7"/>
        <v>14596410</v>
      </c>
      <c r="L33" s="432">
        <f t="shared" si="7"/>
        <v>0</v>
      </c>
      <c r="M33" s="432">
        <f t="shared" si="7"/>
        <v>8661070</v>
      </c>
      <c r="N33" s="432">
        <f t="shared" si="7"/>
        <v>19241551</v>
      </c>
      <c r="O33" s="432">
        <f t="shared" si="7"/>
        <v>7249443</v>
      </c>
      <c r="P33" s="442">
        <f t="shared" si="3"/>
        <v>152767271</v>
      </c>
      <c r="Q33" s="432">
        <f>SUM(Q34:Q53)</f>
        <v>64672942</v>
      </c>
      <c r="R33" s="432">
        <f t="shared" ref="R33:AM33" si="8">SUM(R34:R53)</f>
        <v>26813205</v>
      </c>
      <c r="S33" s="432">
        <f t="shared" si="8"/>
        <v>1064292</v>
      </c>
      <c r="T33" s="432">
        <f t="shared" si="8"/>
        <v>0</v>
      </c>
      <c r="U33" s="432">
        <f t="shared" si="8"/>
        <v>967900</v>
      </c>
      <c r="V33" s="432">
        <f t="shared" si="8"/>
        <v>930367</v>
      </c>
      <c r="W33" s="432">
        <f t="shared" si="8"/>
        <v>28597630</v>
      </c>
      <c r="X33" s="432">
        <f t="shared" si="8"/>
        <v>5124537</v>
      </c>
      <c r="Y33" s="432">
        <f t="shared" si="8"/>
        <v>371764</v>
      </c>
      <c r="Z33" s="432">
        <f t="shared" si="8"/>
        <v>22568099</v>
      </c>
      <c r="AA33" s="432">
        <f t="shared" si="8"/>
        <v>1716846</v>
      </c>
      <c r="AB33" s="432">
        <f t="shared" si="8"/>
        <v>-60311</v>
      </c>
      <c r="AC33" s="432">
        <f t="shared" si="8"/>
        <v>16677067</v>
      </c>
      <c r="AD33" s="432">
        <f t="shared" si="8"/>
        <v>545072</v>
      </c>
      <c r="AE33" s="432">
        <f t="shared" si="8"/>
        <v>57513564</v>
      </c>
      <c r="AF33" s="432">
        <f t="shared" si="8"/>
        <v>4865699</v>
      </c>
      <c r="AG33" s="432">
        <f t="shared" si="8"/>
        <v>14167103</v>
      </c>
      <c r="AH33" s="432">
        <f t="shared" si="8"/>
        <v>8322264</v>
      </c>
      <c r="AI33" s="432">
        <f t="shared" si="8"/>
        <v>22304997</v>
      </c>
      <c r="AJ33" s="432">
        <f t="shared" si="8"/>
        <v>5194108</v>
      </c>
      <c r="AK33" s="432">
        <f t="shared" si="8"/>
        <v>0</v>
      </c>
      <c r="AL33" s="432">
        <f t="shared" si="8"/>
        <v>19343180</v>
      </c>
      <c r="AM33" s="432">
        <f t="shared" si="8"/>
        <v>3834217</v>
      </c>
    </row>
    <row r="34" spans="1:39" s="155" customFormat="1" ht="12" x14ac:dyDescent="0.2">
      <c r="A34" s="234">
        <v>1</v>
      </c>
      <c r="B34" s="199">
        <v>125418</v>
      </c>
      <c r="C34" s="413" t="s">
        <v>1688</v>
      </c>
      <c r="D34" s="443">
        <f t="shared" ref="D34:D39" si="9">E34+SUM(H34:O34)</f>
        <v>32868716</v>
      </c>
      <c r="E34" s="431">
        <v>11154801</v>
      </c>
      <c r="F34" s="431">
        <v>4863090</v>
      </c>
      <c r="G34" s="431">
        <v>546350</v>
      </c>
      <c r="H34" s="431">
        <v>0</v>
      </c>
      <c r="I34" s="431">
        <v>17792565</v>
      </c>
      <c r="J34" s="431">
        <v>1499720</v>
      </c>
      <c r="K34" s="431">
        <v>1625300</v>
      </c>
      <c r="L34" s="431"/>
      <c r="M34" s="431">
        <v>348031</v>
      </c>
      <c r="N34" s="431">
        <v>448299</v>
      </c>
      <c r="O34" s="431"/>
      <c r="P34" s="443">
        <f t="shared" ref="P34:P39" si="10">IF(SUM(Q34:AB34)=SUM(AC34:AM34),SUM(Q34:AB34),"  EROARE ART/CAP")</f>
        <v>32187048</v>
      </c>
      <c r="Q34" s="431">
        <v>18896772</v>
      </c>
      <c r="R34" s="431">
        <v>7804650</v>
      </c>
      <c r="S34" s="431">
        <v>162075</v>
      </c>
      <c r="T34" s="431">
        <v>0</v>
      </c>
      <c r="U34" s="431">
        <v>34127</v>
      </c>
      <c r="V34" s="431">
        <v>0</v>
      </c>
      <c r="W34" s="431">
        <v>1015309</v>
      </c>
      <c r="X34" s="431">
        <v>1095558</v>
      </c>
      <c r="Y34" s="431">
        <v>125739</v>
      </c>
      <c r="Z34" s="431">
        <v>2378958</v>
      </c>
      <c r="AA34" s="431">
        <v>687154</v>
      </c>
      <c r="AB34" s="431">
        <v>-13294</v>
      </c>
      <c r="AC34" s="431">
        <v>3522380</v>
      </c>
      <c r="AD34" s="431">
        <v>67224</v>
      </c>
      <c r="AE34" s="431">
        <v>18085949</v>
      </c>
      <c r="AF34" s="431">
        <v>286498</v>
      </c>
      <c r="AG34" s="431">
        <v>1018538</v>
      </c>
      <c r="AH34" s="431">
        <v>2461814</v>
      </c>
      <c r="AI34" s="431">
        <v>2086666</v>
      </c>
      <c r="AJ34" s="431">
        <v>1643104</v>
      </c>
      <c r="AK34" s="431">
        <v>0</v>
      </c>
      <c r="AL34" s="431">
        <v>3014875</v>
      </c>
      <c r="AM34" s="431"/>
    </row>
    <row r="35" spans="1:39" s="155" customFormat="1" ht="12" x14ac:dyDescent="0.2">
      <c r="A35" s="234">
        <v>2</v>
      </c>
      <c r="B35" s="199">
        <v>125542</v>
      </c>
      <c r="C35" s="413" t="s">
        <v>1689</v>
      </c>
      <c r="D35" s="443">
        <f t="shared" si="9"/>
        <v>56319680</v>
      </c>
      <c r="E35" s="431">
        <v>10214255</v>
      </c>
      <c r="F35" s="431">
        <v>3920253</v>
      </c>
      <c r="G35" s="431">
        <v>1000997</v>
      </c>
      <c r="H35" s="431">
        <v>0</v>
      </c>
      <c r="I35" s="431">
        <v>16182481</v>
      </c>
      <c r="J35" s="431">
        <v>1000000</v>
      </c>
      <c r="K35" s="431">
        <v>868780</v>
      </c>
      <c r="L35" s="431"/>
      <c r="M35" s="431">
        <v>2950764</v>
      </c>
      <c r="N35" s="431">
        <v>17867957</v>
      </c>
      <c r="O35" s="431">
        <v>7235443</v>
      </c>
      <c r="P35" s="443">
        <f t="shared" si="10"/>
        <v>57222931</v>
      </c>
      <c r="Q35" s="431">
        <v>17413420</v>
      </c>
      <c r="R35" s="431">
        <v>5970344</v>
      </c>
      <c r="S35" s="431">
        <v>627000</v>
      </c>
      <c r="T35" s="431">
        <v>0</v>
      </c>
      <c r="U35" s="431">
        <v>930825</v>
      </c>
      <c r="V35" s="431">
        <v>0</v>
      </c>
      <c r="W35" s="431">
        <v>27090343</v>
      </c>
      <c r="X35" s="431">
        <v>1256790</v>
      </c>
      <c r="Y35" s="431">
        <v>40000</v>
      </c>
      <c r="Z35" s="431">
        <v>3420521</v>
      </c>
      <c r="AA35" s="431">
        <v>476291</v>
      </c>
      <c r="AB35" s="431">
        <v>-2603</v>
      </c>
      <c r="AC35" s="431">
        <v>4183605</v>
      </c>
      <c r="AD35" s="431">
        <v>0</v>
      </c>
      <c r="AE35" s="431">
        <v>15177349</v>
      </c>
      <c r="AF35" s="431">
        <v>3584637</v>
      </c>
      <c r="AG35" s="431">
        <v>11298898</v>
      </c>
      <c r="AH35" s="431">
        <v>1692790</v>
      </c>
      <c r="AI35" s="431">
        <v>14811076</v>
      </c>
      <c r="AJ35" s="431">
        <v>1458159</v>
      </c>
      <c r="AK35" s="431">
        <v>0</v>
      </c>
      <c r="AL35" s="431">
        <v>2160420</v>
      </c>
      <c r="AM35" s="431">
        <v>2855997</v>
      </c>
    </row>
    <row r="36" spans="1:39" s="155" customFormat="1" ht="12" x14ac:dyDescent="0.2">
      <c r="A36" s="234">
        <v>3</v>
      </c>
      <c r="B36" s="199">
        <v>125622</v>
      </c>
      <c r="C36" s="413" t="s">
        <v>1690</v>
      </c>
      <c r="D36" s="443">
        <f t="shared" si="9"/>
        <v>19181517</v>
      </c>
      <c r="E36" s="431">
        <v>4639941</v>
      </c>
      <c r="F36" s="431">
        <v>1684790</v>
      </c>
      <c r="G36" s="431">
        <v>594614</v>
      </c>
      <c r="H36" s="431">
        <v>0</v>
      </c>
      <c r="I36" s="431">
        <v>8559762</v>
      </c>
      <c r="J36" s="431">
        <v>2500000</v>
      </c>
      <c r="K36" s="431">
        <v>2776750</v>
      </c>
      <c r="L36" s="431"/>
      <c r="M36" s="431">
        <v>697064</v>
      </c>
      <c r="N36" s="431">
        <v>0</v>
      </c>
      <c r="O36" s="431">
        <v>8000</v>
      </c>
      <c r="P36" s="443">
        <f t="shared" si="10"/>
        <v>19178890</v>
      </c>
      <c r="Q36" s="431">
        <v>9590936</v>
      </c>
      <c r="R36" s="431">
        <v>4293239</v>
      </c>
      <c r="S36" s="431">
        <v>210000</v>
      </c>
      <c r="T36" s="431">
        <v>0</v>
      </c>
      <c r="U36" s="431">
        <v>2948</v>
      </c>
      <c r="V36" s="431">
        <v>29933</v>
      </c>
      <c r="W36" s="431">
        <v>0</v>
      </c>
      <c r="X36" s="431">
        <v>691853</v>
      </c>
      <c r="Y36" s="431">
        <v>1860</v>
      </c>
      <c r="Z36" s="431">
        <v>4225193</v>
      </c>
      <c r="AA36" s="431">
        <v>144000</v>
      </c>
      <c r="AB36" s="431">
        <v>-11072</v>
      </c>
      <c r="AC36" s="431">
        <v>2712611</v>
      </c>
      <c r="AD36" s="431">
        <v>380568</v>
      </c>
      <c r="AE36" s="431">
        <v>8275393</v>
      </c>
      <c r="AF36" s="431">
        <v>344617</v>
      </c>
      <c r="AG36" s="431">
        <v>887971</v>
      </c>
      <c r="AH36" s="431">
        <v>1442708</v>
      </c>
      <c r="AI36" s="431">
        <v>419086</v>
      </c>
      <c r="AJ36" s="431">
        <v>373999</v>
      </c>
      <c r="AK36" s="431">
        <v>0</v>
      </c>
      <c r="AL36" s="431">
        <v>4098030</v>
      </c>
      <c r="AM36" s="431">
        <v>243907</v>
      </c>
    </row>
    <row r="37" spans="1:39" s="155" customFormat="1" ht="12" x14ac:dyDescent="0.2">
      <c r="A37" s="234">
        <v>4</v>
      </c>
      <c r="B37" s="199">
        <v>128105</v>
      </c>
      <c r="C37" s="413" t="s">
        <v>1691</v>
      </c>
      <c r="D37" s="443">
        <f t="shared" si="9"/>
        <v>12075827</v>
      </c>
      <c r="E37" s="431">
        <v>3347272</v>
      </c>
      <c r="F37" s="431">
        <v>1391859</v>
      </c>
      <c r="G37" s="431">
        <v>640947</v>
      </c>
      <c r="H37" s="431">
        <v>0</v>
      </c>
      <c r="I37" s="431">
        <v>3773370</v>
      </c>
      <c r="J37" s="431">
        <v>1000000</v>
      </c>
      <c r="K37" s="431">
        <v>2604690</v>
      </c>
      <c r="L37" s="431"/>
      <c r="M37" s="431">
        <v>1350495</v>
      </c>
      <c r="N37" s="431">
        <v>0</v>
      </c>
      <c r="O37" s="431"/>
      <c r="P37" s="443">
        <f t="shared" si="10"/>
        <v>10936002</v>
      </c>
      <c r="Q37" s="431">
        <v>4835149</v>
      </c>
      <c r="R37" s="431">
        <v>2697539</v>
      </c>
      <c r="S37" s="431">
        <v>17500</v>
      </c>
      <c r="T37" s="431">
        <v>0</v>
      </c>
      <c r="U37" s="431">
        <v>0</v>
      </c>
      <c r="V37" s="431">
        <v>21266</v>
      </c>
      <c r="W37" s="431">
        <v>0</v>
      </c>
      <c r="X37" s="431">
        <v>679902</v>
      </c>
      <c r="Y37" s="431">
        <v>66003</v>
      </c>
      <c r="Z37" s="431">
        <v>2584060</v>
      </c>
      <c r="AA37" s="431">
        <v>39901</v>
      </c>
      <c r="AB37" s="431">
        <v>-5318</v>
      </c>
      <c r="AC37" s="431">
        <v>1998600</v>
      </c>
      <c r="AD37" s="431">
        <v>25073</v>
      </c>
      <c r="AE37" s="431">
        <v>3545339</v>
      </c>
      <c r="AF37" s="431">
        <v>232008</v>
      </c>
      <c r="AG37" s="431">
        <v>233139</v>
      </c>
      <c r="AH37" s="431">
        <v>679902</v>
      </c>
      <c r="AI37" s="431">
        <v>457562</v>
      </c>
      <c r="AJ37" s="431">
        <v>713499</v>
      </c>
      <c r="AK37" s="431">
        <v>0</v>
      </c>
      <c r="AL37" s="431">
        <v>2977880</v>
      </c>
      <c r="AM37" s="431">
        <v>73000</v>
      </c>
    </row>
    <row r="38" spans="1:39" s="155" customFormat="1" ht="12" x14ac:dyDescent="0.2">
      <c r="A38" s="234">
        <v>5</v>
      </c>
      <c r="B38" s="199">
        <v>128374</v>
      </c>
      <c r="C38" s="413" t="s">
        <v>1692</v>
      </c>
      <c r="D38" s="443">
        <f t="shared" si="9"/>
        <v>17605899</v>
      </c>
      <c r="E38" s="431">
        <v>4595889</v>
      </c>
      <c r="F38" s="431">
        <v>577970</v>
      </c>
      <c r="G38" s="431">
        <v>949837</v>
      </c>
      <c r="H38" s="431">
        <v>0</v>
      </c>
      <c r="I38" s="431">
        <v>4176849</v>
      </c>
      <c r="J38" s="431">
        <v>950000</v>
      </c>
      <c r="K38" s="431">
        <v>4283440</v>
      </c>
      <c r="L38" s="431"/>
      <c r="M38" s="431">
        <v>2784654</v>
      </c>
      <c r="N38" s="431">
        <v>815067</v>
      </c>
      <c r="O38" s="431"/>
      <c r="P38" s="443">
        <f t="shared" si="10"/>
        <v>16158211</v>
      </c>
      <c r="Q38" s="431">
        <v>4562217</v>
      </c>
      <c r="R38" s="431">
        <v>2287525</v>
      </c>
      <c r="S38" s="431">
        <v>0</v>
      </c>
      <c r="T38" s="431">
        <v>0</v>
      </c>
      <c r="U38" s="431">
        <v>0</v>
      </c>
      <c r="V38" s="431">
        <v>499168</v>
      </c>
      <c r="W38" s="431">
        <v>0</v>
      </c>
      <c r="X38" s="431">
        <v>498380</v>
      </c>
      <c r="Y38" s="431">
        <v>57912</v>
      </c>
      <c r="Z38" s="431">
        <v>8254751</v>
      </c>
      <c r="AA38" s="431">
        <v>0</v>
      </c>
      <c r="AB38" s="431">
        <v>-1742</v>
      </c>
      <c r="AC38" s="431">
        <v>1323331</v>
      </c>
      <c r="AD38" s="431">
        <v>72207</v>
      </c>
      <c r="AE38" s="431">
        <v>3673648</v>
      </c>
      <c r="AF38" s="431">
        <v>171472</v>
      </c>
      <c r="AG38" s="431">
        <v>610454</v>
      </c>
      <c r="AH38" s="431">
        <v>820187</v>
      </c>
      <c r="AI38" s="431">
        <v>3651370</v>
      </c>
      <c r="AJ38" s="431">
        <v>634444</v>
      </c>
      <c r="AK38" s="431">
        <v>0</v>
      </c>
      <c r="AL38" s="431">
        <v>4718647</v>
      </c>
      <c r="AM38" s="431">
        <v>482451</v>
      </c>
    </row>
    <row r="39" spans="1:39" s="155" customFormat="1" ht="12" x14ac:dyDescent="0.2">
      <c r="A39" s="234">
        <v>6</v>
      </c>
      <c r="B39" s="199">
        <v>128711</v>
      </c>
      <c r="C39" s="413" t="s">
        <v>1693</v>
      </c>
      <c r="D39" s="443">
        <f t="shared" si="9"/>
        <v>18643595</v>
      </c>
      <c r="E39" s="431">
        <v>6012474</v>
      </c>
      <c r="F39" s="431">
        <v>2431894</v>
      </c>
      <c r="G39" s="431">
        <v>531870</v>
      </c>
      <c r="H39" s="431">
        <v>0</v>
      </c>
      <c r="I39" s="431">
        <v>8597381</v>
      </c>
      <c r="J39" s="431">
        <v>950000</v>
      </c>
      <c r="K39" s="431">
        <v>2437450</v>
      </c>
      <c r="L39" s="431"/>
      <c r="M39" s="431">
        <v>530062</v>
      </c>
      <c r="N39" s="431">
        <v>110228</v>
      </c>
      <c r="O39" s="431">
        <v>6000</v>
      </c>
      <c r="P39" s="443">
        <f t="shared" si="10"/>
        <v>17084189</v>
      </c>
      <c r="Q39" s="431">
        <v>9374448</v>
      </c>
      <c r="R39" s="431">
        <v>3759908</v>
      </c>
      <c r="S39" s="431">
        <v>47717</v>
      </c>
      <c r="T39" s="431">
        <v>0</v>
      </c>
      <c r="U39" s="431">
        <v>0</v>
      </c>
      <c r="V39" s="431">
        <v>380000</v>
      </c>
      <c r="W39" s="431">
        <v>491978</v>
      </c>
      <c r="X39" s="431">
        <v>902054</v>
      </c>
      <c r="Y39" s="431">
        <v>80250</v>
      </c>
      <c r="Z39" s="431">
        <v>1704616</v>
      </c>
      <c r="AA39" s="431">
        <v>369500</v>
      </c>
      <c r="AB39" s="431">
        <v>-26282</v>
      </c>
      <c r="AC39" s="431">
        <v>2936540</v>
      </c>
      <c r="AD39" s="431">
        <v>0</v>
      </c>
      <c r="AE39" s="431">
        <v>8755886</v>
      </c>
      <c r="AF39" s="431">
        <v>246467</v>
      </c>
      <c r="AG39" s="431">
        <v>118103</v>
      </c>
      <c r="AH39" s="431">
        <v>1224863</v>
      </c>
      <c r="AI39" s="431">
        <v>879237</v>
      </c>
      <c r="AJ39" s="431">
        <v>370903</v>
      </c>
      <c r="AK39" s="431">
        <v>0</v>
      </c>
      <c r="AL39" s="431">
        <v>2373328</v>
      </c>
      <c r="AM39" s="431">
        <v>178862</v>
      </c>
    </row>
    <row r="40" spans="1:39" s="155" customFormat="1" ht="12" hidden="1" x14ac:dyDescent="0.2">
      <c r="A40" s="234">
        <v>7</v>
      </c>
      <c r="B40" s="288"/>
      <c r="C40" s="262"/>
      <c r="D40" s="442">
        <f t="shared" si="6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42">
        <f t="shared" si="3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155" customFormat="1" ht="12" hidden="1" x14ac:dyDescent="0.2">
      <c r="A41" s="234">
        <v>8</v>
      </c>
      <c r="B41" s="288"/>
      <c r="C41" s="263"/>
      <c r="D41" s="442">
        <f t="shared" si="6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42">
        <f t="shared" si="3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234">
        <v>9</v>
      </c>
      <c r="B42" s="288"/>
      <c r="C42" s="259"/>
      <c r="D42" s="44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42">
        <f t="shared" si="3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234">
        <v>10</v>
      </c>
      <c r="B43" s="288"/>
      <c r="C43" s="259"/>
      <c r="D43" s="44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42">
        <f t="shared" si="3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234">
        <v>11</v>
      </c>
      <c r="B44" s="288"/>
      <c r="C44" s="259"/>
      <c r="D44" s="44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42">
        <f t="shared" si="3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234">
        <v>12</v>
      </c>
      <c r="B45" s="288"/>
      <c r="C45" s="259"/>
      <c r="D45" s="44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42">
        <f t="shared" si="3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234">
        <v>13</v>
      </c>
      <c r="B46" s="288"/>
      <c r="C46" s="259"/>
      <c r="D46" s="44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42">
        <f t="shared" si="3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234">
        <v>14</v>
      </c>
      <c r="B47" s="288"/>
      <c r="C47" s="259"/>
      <c r="D47" s="44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42">
        <f t="shared" si="3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234">
        <v>15</v>
      </c>
      <c r="B48" s="288"/>
      <c r="C48" s="259"/>
      <c r="D48" s="44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42">
        <f t="shared" si="3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234">
        <v>16</v>
      </c>
      <c r="B49" s="288"/>
      <c r="C49" s="259"/>
      <c r="D49" s="44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42">
        <f t="shared" si="3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234">
        <v>17</v>
      </c>
      <c r="B50" s="288"/>
      <c r="C50" s="259"/>
      <c r="D50" s="44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42">
        <f t="shared" si="3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234">
        <v>18</v>
      </c>
      <c r="B51" s="288"/>
      <c r="C51" s="259"/>
      <c r="D51" s="44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42">
        <f t="shared" si="3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234">
        <v>19</v>
      </c>
      <c r="B52" s="288"/>
      <c r="C52" s="207"/>
      <c r="D52" s="44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42">
        <f t="shared" si="3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234">
        <v>20</v>
      </c>
      <c r="B53" s="288"/>
      <c r="C53" s="207"/>
      <c r="D53" s="44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42">
        <f t="shared" si="3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5"/>
      <c r="C54" s="208"/>
      <c r="D54" s="442">
        <f t="shared" ref="D54" si="11">E54+SUM(H54:O54)</f>
        <v>481414635</v>
      </c>
      <c r="E54" s="432">
        <f>SUM(E55:E158)</f>
        <v>89717144</v>
      </c>
      <c r="F54" s="432">
        <f t="shared" ref="F54:AM54" si="12">SUM(F55:F158)</f>
        <v>20851340</v>
      </c>
      <c r="G54" s="432">
        <f t="shared" si="12"/>
        <v>26727683</v>
      </c>
      <c r="H54" s="432">
        <f t="shared" si="12"/>
        <v>0</v>
      </c>
      <c r="I54" s="432">
        <f t="shared" si="12"/>
        <v>140099005</v>
      </c>
      <c r="J54" s="432">
        <f t="shared" si="12"/>
        <v>4998998</v>
      </c>
      <c r="K54" s="432">
        <f t="shared" si="12"/>
        <v>107022070</v>
      </c>
      <c r="L54" s="432">
        <f t="shared" si="12"/>
        <v>0</v>
      </c>
      <c r="M54" s="432">
        <f t="shared" si="12"/>
        <v>70396238</v>
      </c>
      <c r="N54" s="432">
        <f t="shared" si="12"/>
        <v>54886476</v>
      </c>
      <c r="O54" s="432">
        <f t="shared" si="12"/>
        <v>14294704</v>
      </c>
      <c r="P54" s="442">
        <f t="shared" si="12"/>
        <v>445119524</v>
      </c>
      <c r="Q54" s="432">
        <f t="shared" si="12"/>
        <v>170585865</v>
      </c>
      <c r="R54" s="432">
        <f t="shared" si="12"/>
        <v>78538503</v>
      </c>
      <c r="S54" s="432">
        <f t="shared" si="12"/>
        <v>190809</v>
      </c>
      <c r="T54" s="432">
        <f t="shared" si="12"/>
        <v>0</v>
      </c>
      <c r="U54" s="432">
        <f t="shared" si="12"/>
        <v>154065</v>
      </c>
      <c r="V54" s="432">
        <f t="shared" si="12"/>
        <v>838000</v>
      </c>
      <c r="W54" s="432">
        <f t="shared" si="12"/>
        <v>44083957</v>
      </c>
      <c r="X54" s="432">
        <f t="shared" si="12"/>
        <v>24015768</v>
      </c>
      <c r="Y54" s="432">
        <f t="shared" si="12"/>
        <v>848756</v>
      </c>
      <c r="Z54" s="432">
        <f t="shared" si="12"/>
        <v>124688531</v>
      </c>
      <c r="AA54" s="432">
        <f t="shared" si="12"/>
        <v>1705167</v>
      </c>
      <c r="AB54" s="432">
        <f t="shared" si="12"/>
        <v>-529897</v>
      </c>
      <c r="AC54" s="432">
        <f t="shared" si="12"/>
        <v>89120519</v>
      </c>
      <c r="AD54" s="432">
        <f t="shared" si="12"/>
        <v>5122199</v>
      </c>
      <c r="AE54" s="432">
        <f t="shared" si="12"/>
        <v>128525074</v>
      </c>
      <c r="AF54" s="432">
        <f t="shared" si="12"/>
        <v>2465642</v>
      </c>
      <c r="AG54" s="432">
        <f t="shared" si="12"/>
        <v>29991724</v>
      </c>
      <c r="AH54" s="432">
        <f t="shared" si="12"/>
        <v>37090871</v>
      </c>
      <c r="AI54" s="432">
        <f t="shared" si="12"/>
        <v>44138615</v>
      </c>
      <c r="AJ54" s="432">
        <f t="shared" si="12"/>
        <v>23941776</v>
      </c>
      <c r="AK54" s="432">
        <f t="shared" si="12"/>
        <v>50000</v>
      </c>
      <c r="AL54" s="432">
        <f t="shared" si="12"/>
        <v>75457150</v>
      </c>
      <c r="AM54" s="432">
        <f t="shared" si="12"/>
        <v>9215954</v>
      </c>
    </row>
    <row r="55" spans="1:39" s="155" customFormat="1" ht="12" x14ac:dyDescent="0.2">
      <c r="A55" s="168">
        <v>1</v>
      </c>
      <c r="B55" s="199">
        <v>125677</v>
      </c>
      <c r="C55" s="413" t="s">
        <v>1694</v>
      </c>
      <c r="D55" s="443">
        <f t="shared" ref="D55:D118" si="13">E55+SUM(H55:O55)</f>
        <v>5556893</v>
      </c>
      <c r="E55" s="431">
        <v>534279</v>
      </c>
      <c r="F55" s="431">
        <v>104664</v>
      </c>
      <c r="G55" s="431">
        <v>312751</v>
      </c>
      <c r="H55" s="431">
        <v>0</v>
      </c>
      <c r="I55" s="431">
        <v>545768</v>
      </c>
      <c r="J55" s="431">
        <v>50000</v>
      </c>
      <c r="K55" s="431">
        <v>1232850</v>
      </c>
      <c r="L55" s="431"/>
      <c r="M55" s="431">
        <v>2761746</v>
      </c>
      <c r="N55" s="431">
        <v>432250</v>
      </c>
      <c r="O55" s="431"/>
      <c r="P55" s="443">
        <f t="shared" ref="P55:P118" si="14">IF(SUM(Q55:AB55)=SUM(AC55:AM55),SUM(Q55:AB55),"  EROARE ART/CAP")</f>
        <v>5327081</v>
      </c>
      <c r="Q55" s="431">
        <v>779775</v>
      </c>
      <c r="R55" s="431">
        <v>604280</v>
      </c>
      <c r="S55" s="431">
        <v>0</v>
      </c>
      <c r="T55" s="431">
        <v>0</v>
      </c>
      <c r="U55" s="431">
        <v>0</v>
      </c>
      <c r="V55" s="431">
        <v>100000</v>
      </c>
      <c r="W55" s="431">
        <v>578718</v>
      </c>
      <c r="X55" s="431">
        <v>90341</v>
      </c>
      <c r="Y55" s="431">
        <v>2000</v>
      </c>
      <c r="Z55" s="431">
        <v>3171997</v>
      </c>
      <c r="AA55" s="431">
        <v>0</v>
      </c>
      <c r="AB55" s="431">
        <v>-30</v>
      </c>
      <c r="AC55" s="431">
        <v>833420</v>
      </c>
      <c r="AD55" s="431">
        <v>591375</v>
      </c>
      <c r="AE55" s="431">
        <v>536924</v>
      </c>
      <c r="AF55" s="431">
        <v>0</v>
      </c>
      <c r="AG55" s="431">
        <v>82051</v>
      </c>
      <c r="AH55" s="431">
        <v>110895</v>
      </c>
      <c r="AI55" s="431">
        <v>168697</v>
      </c>
      <c r="AJ55" s="431">
        <v>2664000</v>
      </c>
      <c r="AK55" s="431">
        <v>0</v>
      </c>
      <c r="AL55" s="431">
        <v>339719</v>
      </c>
      <c r="AM55" s="431"/>
    </row>
    <row r="56" spans="1:39" s="155" customFormat="1" ht="12" x14ac:dyDescent="0.2">
      <c r="A56" s="168">
        <v>2</v>
      </c>
      <c r="B56" s="199">
        <v>125659</v>
      </c>
      <c r="C56" s="413" t="s">
        <v>1695</v>
      </c>
      <c r="D56" s="443">
        <f t="shared" si="13"/>
        <v>4814866</v>
      </c>
      <c r="E56" s="431">
        <v>723303</v>
      </c>
      <c r="F56" s="431">
        <v>206863</v>
      </c>
      <c r="G56" s="431">
        <v>220084</v>
      </c>
      <c r="H56" s="431">
        <v>0</v>
      </c>
      <c r="I56" s="431">
        <v>910482</v>
      </c>
      <c r="J56" s="431">
        <v>50000</v>
      </c>
      <c r="K56" s="431">
        <v>1046380</v>
      </c>
      <c r="L56" s="431"/>
      <c r="M56" s="431">
        <v>2084701</v>
      </c>
      <c r="N56" s="431">
        <v>0</v>
      </c>
      <c r="O56" s="431"/>
      <c r="P56" s="443">
        <f t="shared" si="14"/>
        <v>4715227</v>
      </c>
      <c r="Q56" s="431">
        <v>1308566</v>
      </c>
      <c r="R56" s="431">
        <v>550679</v>
      </c>
      <c r="S56" s="431">
        <v>0</v>
      </c>
      <c r="T56" s="431">
        <v>0</v>
      </c>
      <c r="U56" s="431">
        <v>0</v>
      </c>
      <c r="V56" s="431">
        <v>5000</v>
      </c>
      <c r="W56" s="431">
        <v>0</v>
      </c>
      <c r="X56" s="431">
        <v>183690</v>
      </c>
      <c r="Y56" s="431">
        <v>20000</v>
      </c>
      <c r="Z56" s="431">
        <v>2438275</v>
      </c>
      <c r="AA56" s="431">
        <v>209184</v>
      </c>
      <c r="AB56" s="431">
        <v>-167</v>
      </c>
      <c r="AC56" s="431">
        <v>791544</v>
      </c>
      <c r="AD56" s="431">
        <v>44106</v>
      </c>
      <c r="AE56" s="431">
        <v>997435</v>
      </c>
      <c r="AF56" s="431">
        <v>22009</v>
      </c>
      <c r="AG56" s="431">
        <v>97231</v>
      </c>
      <c r="AH56" s="431">
        <v>271339</v>
      </c>
      <c r="AI56" s="431">
        <v>239711</v>
      </c>
      <c r="AJ56" s="431">
        <v>0</v>
      </c>
      <c r="AK56" s="431">
        <v>0</v>
      </c>
      <c r="AL56" s="431">
        <v>2251852</v>
      </c>
      <c r="AM56" s="431"/>
    </row>
    <row r="57" spans="1:39" s="155" customFormat="1" ht="12" x14ac:dyDescent="0.2">
      <c r="A57" s="168">
        <v>3</v>
      </c>
      <c r="B57" s="199">
        <v>130286</v>
      </c>
      <c r="C57" s="413" t="s">
        <v>1696</v>
      </c>
      <c r="D57" s="443">
        <f t="shared" si="13"/>
        <v>2710278</v>
      </c>
      <c r="E57" s="431">
        <v>546402</v>
      </c>
      <c r="F57" s="431">
        <v>82209</v>
      </c>
      <c r="G57" s="431">
        <v>239390</v>
      </c>
      <c r="H57" s="431">
        <v>0</v>
      </c>
      <c r="I57" s="431">
        <v>929270</v>
      </c>
      <c r="J57" s="431">
        <v>50000</v>
      </c>
      <c r="K57" s="431">
        <v>1172320</v>
      </c>
      <c r="L57" s="431"/>
      <c r="M57" s="431">
        <v>12286</v>
      </c>
      <c r="N57" s="431">
        <v>0</v>
      </c>
      <c r="O57" s="431"/>
      <c r="P57" s="443">
        <f t="shared" si="14"/>
        <v>2529954</v>
      </c>
      <c r="Q57" s="431">
        <v>1101566</v>
      </c>
      <c r="R57" s="431">
        <v>685703</v>
      </c>
      <c r="S57" s="431">
        <v>0</v>
      </c>
      <c r="T57" s="431">
        <v>0</v>
      </c>
      <c r="U57" s="431">
        <v>0</v>
      </c>
      <c r="V57" s="431">
        <v>0</v>
      </c>
      <c r="W57" s="431">
        <v>0</v>
      </c>
      <c r="X57" s="431">
        <v>252895</v>
      </c>
      <c r="Y57" s="431">
        <v>10000</v>
      </c>
      <c r="Z57" s="431">
        <v>479790</v>
      </c>
      <c r="AA57" s="431">
        <v>0</v>
      </c>
      <c r="AB57" s="431">
        <v>0</v>
      </c>
      <c r="AC57" s="431">
        <v>651637</v>
      </c>
      <c r="AD57" s="431">
        <v>22813</v>
      </c>
      <c r="AE57" s="431">
        <v>1263694</v>
      </c>
      <c r="AF57" s="431">
        <v>0</v>
      </c>
      <c r="AG57" s="431">
        <v>66114</v>
      </c>
      <c r="AH57" s="431">
        <v>252895</v>
      </c>
      <c r="AI57" s="431">
        <v>109541</v>
      </c>
      <c r="AJ57" s="431">
        <v>7430</v>
      </c>
      <c r="AK57" s="431">
        <v>0</v>
      </c>
      <c r="AL57" s="431">
        <v>155160</v>
      </c>
      <c r="AM57" s="431">
        <v>670</v>
      </c>
    </row>
    <row r="58" spans="1:39" s="155" customFormat="1" ht="12" x14ac:dyDescent="0.2">
      <c r="A58" s="168">
        <v>4</v>
      </c>
      <c r="B58" s="199">
        <v>125757</v>
      </c>
      <c r="C58" s="413" t="s">
        <v>1697</v>
      </c>
      <c r="D58" s="443">
        <f t="shared" si="13"/>
        <v>3095905</v>
      </c>
      <c r="E58" s="431">
        <v>1450250</v>
      </c>
      <c r="F58" s="431">
        <v>136575</v>
      </c>
      <c r="G58" s="431">
        <v>194022</v>
      </c>
      <c r="H58" s="431">
        <v>0</v>
      </c>
      <c r="I58" s="431">
        <v>760359</v>
      </c>
      <c r="J58" s="431">
        <v>50000</v>
      </c>
      <c r="K58" s="431">
        <v>790990</v>
      </c>
      <c r="L58" s="431"/>
      <c r="M58" s="431">
        <v>38306</v>
      </c>
      <c r="N58" s="431">
        <v>0</v>
      </c>
      <c r="O58" s="431">
        <v>6000</v>
      </c>
      <c r="P58" s="443">
        <f t="shared" si="14"/>
        <v>2867935</v>
      </c>
      <c r="Q58" s="431">
        <v>1093364</v>
      </c>
      <c r="R58" s="431">
        <v>543530</v>
      </c>
      <c r="S58" s="431">
        <v>0</v>
      </c>
      <c r="T58" s="431">
        <v>0</v>
      </c>
      <c r="U58" s="431">
        <v>0</v>
      </c>
      <c r="V58" s="431">
        <v>0</v>
      </c>
      <c r="W58" s="431">
        <v>0</v>
      </c>
      <c r="X58" s="431">
        <v>140260</v>
      </c>
      <c r="Y58" s="431">
        <v>15000</v>
      </c>
      <c r="Z58" s="431">
        <v>1095323</v>
      </c>
      <c r="AA58" s="431">
        <v>0</v>
      </c>
      <c r="AB58" s="431">
        <v>-19542</v>
      </c>
      <c r="AC58" s="431">
        <v>690755</v>
      </c>
      <c r="AD58" s="431">
        <v>30949</v>
      </c>
      <c r="AE58" s="431">
        <v>671293</v>
      </c>
      <c r="AF58" s="431">
        <v>0</v>
      </c>
      <c r="AG58" s="431">
        <v>25471</v>
      </c>
      <c r="AH58" s="431">
        <v>226333</v>
      </c>
      <c r="AI58" s="431">
        <v>186972</v>
      </c>
      <c r="AJ58" s="431">
        <v>0</v>
      </c>
      <c r="AK58" s="431">
        <v>0</v>
      </c>
      <c r="AL58" s="431">
        <v>1036162</v>
      </c>
      <c r="AM58" s="431"/>
    </row>
    <row r="59" spans="1:39" s="155" customFormat="1" ht="12" x14ac:dyDescent="0.2">
      <c r="A59" s="168">
        <v>5</v>
      </c>
      <c r="B59" s="199">
        <v>125846</v>
      </c>
      <c r="C59" s="413" t="s">
        <v>1698</v>
      </c>
      <c r="D59" s="443">
        <f t="shared" si="13"/>
        <v>3224946</v>
      </c>
      <c r="E59" s="431">
        <v>604573</v>
      </c>
      <c r="F59" s="431">
        <v>96659</v>
      </c>
      <c r="G59" s="431">
        <v>262557</v>
      </c>
      <c r="H59" s="431">
        <v>0</v>
      </c>
      <c r="I59" s="431">
        <v>1242663</v>
      </c>
      <c r="J59" s="431">
        <v>50000</v>
      </c>
      <c r="K59" s="431">
        <v>1094240</v>
      </c>
      <c r="L59" s="431"/>
      <c r="M59" s="431">
        <v>103673</v>
      </c>
      <c r="N59" s="431">
        <v>29797</v>
      </c>
      <c r="O59" s="431">
        <v>100000</v>
      </c>
      <c r="P59" s="443">
        <f t="shared" si="14"/>
        <v>3090891</v>
      </c>
      <c r="Q59" s="431">
        <v>1474760</v>
      </c>
      <c r="R59" s="431">
        <v>298891</v>
      </c>
      <c r="S59" s="431">
        <v>0</v>
      </c>
      <c r="T59" s="431">
        <v>0</v>
      </c>
      <c r="U59" s="431">
        <v>0</v>
      </c>
      <c r="V59" s="431">
        <v>0</v>
      </c>
      <c r="W59" s="431">
        <v>0</v>
      </c>
      <c r="X59" s="431">
        <v>177472</v>
      </c>
      <c r="Y59" s="431">
        <v>20000</v>
      </c>
      <c r="Z59" s="431">
        <v>1123665</v>
      </c>
      <c r="AA59" s="431">
        <v>0</v>
      </c>
      <c r="AB59" s="431">
        <v>-3897</v>
      </c>
      <c r="AC59" s="431">
        <v>511640</v>
      </c>
      <c r="AD59" s="431">
        <v>17302</v>
      </c>
      <c r="AE59" s="431">
        <v>1194870</v>
      </c>
      <c r="AF59" s="431">
        <v>24686</v>
      </c>
      <c r="AG59" s="431">
        <v>176464</v>
      </c>
      <c r="AH59" s="431">
        <v>258316</v>
      </c>
      <c r="AI59" s="431">
        <v>128911</v>
      </c>
      <c r="AJ59" s="431">
        <v>0</v>
      </c>
      <c r="AK59" s="431">
        <v>0</v>
      </c>
      <c r="AL59" s="431">
        <v>731829</v>
      </c>
      <c r="AM59" s="431">
        <v>46873</v>
      </c>
    </row>
    <row r="60" spans="1:39" s="155" customFormat="1" ht="12" x14ac:dyDescent="0.2">
      <c r="A60" s="168">
        <v>6</v>
      </c>
      <c r="B60" s="199">
        <v>125873</v>
      </c>
      <c r="C60" s="413" t="s">
        <v>1699</v>
      </c>
      <c r="D60" s="443">
        <f t="shared" si="13"/>
        <v>4168115</v>
      </c>
      <c r="E60" s="431">
        <v>1012468</v>
      </c>
      <c r="F60" s="431">
        <v>155945</v>
      </c>
      <c r="G60" s="431">
        <v>288619</v>
      </c>
      <c r="H60" s="431">
        <v>0</v>
      </c>
      <c r="I60" s="431">
        <v>1683898</v>
      </c>
      <c r="J60" s="431">
        <v>50000</v>
      </c>
      <c r="K60" s="431">
        <v>790870</v>
      </c>
      <c r="L60" s="431"/>
      <c r="M60" s="431">
        <v>612839</v>
      </c>
      <c r="N60" s="431">
        <v>18040</v>
      </c>
      <c r="O60" s="431"/>
      <c r="P60" s="443">
        <f t="shared" si="14"/>
        <v>4271925</v>
      </c>
      <c r="Q60" s="431">
        <v>1919602</v>
      </c>
      <c r="R60" s="431">
        <v>881024</v>
      </c>
      <c r="S60" s="431">
        <v>0</v>
      </c>
      <c r="T60" s="431">
        <v>0</v>
      </c>
      <c r="U60" s="431">
        <v>0</v>
      </c>
      <c r="V60" s="431">
        <v>0</v>
      </c>
      <c r="W60" s="431">
        <v>0</v>
      </c>
      <c r="X60" s="431">
        <v>279110</v>
      </c>
      <c r="Y60" s="431">
        <v>6000</v>
      </c>
      <c r="Z60" s="431">
        <v>1186189</v>
      </c>
      <c r="AA60" s="431">
        <v>0</v>
      </c>
      <c r="AB60" s="431">
        <v>0</v>
      </c>
      <c r="AC60" s="431">
        <v>757786</v>
      </c>
      <c r="AD60" s="431">
        <v>100543</v>
      </c>
      <c r="AE60" s="431">
        <v>1343184</v>
      </c>
      <c r="AF60" s="431">
        <v>0</v>
      </c>
      <c r="AG60" s="431">
        <v>50882</v>
      </c>
      <c r="AH60" s="431">
        <v>428336</v>
      </c>
      <c r="AI60" s="431">
        <v>720286</v>
      </c>
      <c r="AJ60" s="431">
        <v>167115</v>
      </c>
      <c r="AK60" s="431">
        <v>0</v>
      </c>
      <c r="AL60" s="431">
        <v>703793</v>
      </c>
      <c r="AM60" s="431"/>
    </row>
    <row r="61" spans="1:39" s="155" customFormat="1" ht="12" x14ac:dyDescent="0.2">
      <c r="A61" s="168">
        <v>7</v>
      </c>
      <c r="B61" s="199">
        <v>125962</v>
      </c>
      <c r="C61" s="413" t="s">
        <v>1700</v>
      </c>
      <c r="D61" s="443">
        <f t="shared" si="13"/>
        <v>6633084</v>
      </c>
      <c r="E61" s="431">
        <v>1492124</v>
      </c>
      <c r="F61" s="431">
        <v>187703</v>
      </c>
      <c r="G61" s="431">
        <v>543454</v>
      </c>
      <c r="H61" s="431">
        <v>0</v>
      </c>
      <c r="I61" s="431">
        <v>2699785</v>
      </c>
      <c r="J61" s="431">
        <v>50000</v>
      </c>
      <c r="K61" s="431">
        <v>860740</v>
      </c>
      <c r="L61" s="431"/>
      <c r="M61" s="431">
        <v>884354</v>
      </c>
      <c r="N61" s="431">
        <v>643081</v>
      </c>
      <c r="O61" s="431">
        <v>3000</v>
      </c>
      <c r="P61" s="443">
        <f t="shared" si="14"/>
        <v>6792257</v>
      </c>
      <c r="Q61" s="431">
        <v>3114412</v>
      </c>
      <c r="R61" s="431">
        <v>1131155</v>
      </c>
      <c r="S61" s="431">
        <v>0</v>
      </c>
      <c r="T61" s="431">
        <v>0</v>
      </c>
      <c r="U61" s="431">
        <v>0</v>
      </c>
      <c r="V61" s="431">
        <v>0</v>
      </c>
      <c r="W61" s="431">
        <v>400285</v>
      </c>
      <c r="X61" s="431">
        <v>701435</v>
      </c>
      <c r="Y61" s="431">
        <v>10000</v>
      </c>
      <c r="Z61" s="431">
        <v>905772</v>
      </c>
      <c r="AA61" s="431">
        <v>530343</v>
      </c>
      <c r="AB61" s="431">
        <v>-1145</v>
      </c>
      <c r="AC61" s="431">
        <v>1223771</v>
      </c>
      <c r="AD61" s="431">
        <v>74419</v>
      </c>
      <c r="AE61" s="431">
        <v>1846829</v>
      </c>
      <c r="AF61" s="431">
        <v>34607</v>
      </c>
      <c r="AG61" s="431">
        <v>98725</v>
      </c>
      <c r="AH61" s="431">
        <v>1221467</v>
      </c>
      <c r="AI61" s="431">
        <v>1062113</v>
      </c>
      <c r="AJ61" s="431">
        <v>9672</v>
      </c>
      <c r="AK61" s="431">
        <v>0</v>
      </c>
      <c r="AL61" s="431">
        <v>265958</v>
      </c>
      <c r="AM61" s="431">
        <v>954696</v>
      </c>
    </row>
    <row r="62" spans="1:39" s="155" customFormat="1" ht="12" x14ac:dyDescent="0.2">
      <c r="A62" s="168">
        <v>8</v>
      </c>
      <c r="B62" s="199">
        <v>126022</v>
      </c>
      <c r="C62" s="413" t="s">
        <v>1701</v>
      </c>
      <c r="D62" s="443">
        <f t="shared" si="13"/>
        <v>4061404</v>
      </c>
      <c r="E62" s="431">
        <v>700291</v>
      </c>
      <c r="F62" s="431">
        <v>133956</v>
      </c>
      <c r="G62" s="431">
        <v>242286</v>
      </c>
      <c r="H62" s="431">
        <v>0</v>
      </c>
      <c r="I62" s="431">
        <v>1242165</v>
      </c>
      <c r="J62" s="431">
        <v>50000</v>
      </c>
      <c r="K62" s="431">
        <v>1519630</v>
      </c>
      <c r="L62" s="431"/>
      <c r="M62" s="431">
        <v>183601</v>
      </c>
      <c r="N62" s="431">
        <v>265717</v>
      </c>
      <c r="O62" s="431">
        <v>100000</v>
      </c>
      <c r="P62" s="443">
        <f t="shared" si="14"/>
        <v>3311033</v>
      </c>
      <c r="Q62" s="431">
        <v>1742212</v>
      </c>
      <c r="R62" s="431">
        <v>529176</v>
      </c>
      <c r="S62" s="431">
        <v>0</v>
      </c>
      <c r="T62" s="431">
        <v>0</v>
      </c>
      <c r="U62" s="431">
        <v>0</v>
      </c>
      <c r="V62" s="431">
        <v>0</v>
      </c>
      <c r="W62" s="431">
        <v>481698</v>
      </c>
      <c r="X62" s="431">
        <v>180825</v>
      </c>
      <c r="Y62" s="431">
        <v>30000</v>
      </c>
      <c r="Z62" s="431">
        <v>347122</v>
      </c>
      <c r="AA62" s="431">
        <v>0</v>
      </c>
      <c r="AB62" s="431">
        <v>0</v>
      </c>
      <c r="AC62" s="431">
        <v>1554846</v>
      </c>
      <c r="AD62" s="431">
        <v>12387</v>
      </c>
      <c r="AE62" s="431">
        <v>1108461</v>
      </c>
      <c r="AF62" s="431">
        <v>42768</v>
      </c>
      <c r="AG62" s="431">
        <v>99608</v>
      </c>
      <c r="AH62" s="431">
        <v>254296</v>
      </c>
      <c r="AI62" s="431">
        <v>58454</v>
      </c>
      <c r="AJ62" s="431">
        <v>0</v>
      </c>
      <c r="AK62" s="431">
        <v>0</v>
      </c>
      <c r="AL62" s="431">
        <v>173088</v>
      </c>
      <c r="AM62" s="431">
        <v>7125</v>
      </c>
    </row>
    <row r="63" spans="1:39" s="155" customFormat="1" ht="12" x14ac:dyDescent="0.2">
      <c r="A63" s="168">
        <v>9</v>
      </c>
      <c r="B63" s="199">
        <v>125999</v>
      </c>
      <c r="C63" s="413" t="s">
        <v>1702</v>
      </c>
      <c r="D63" s="443">
        <f t="shared" si="13"/>
        <v>6587045</v>
      </c>
      <c r="E63" s="431">
        <v>1320264</v>
      </c>
      <c r="F63" s="431">
        <v>240153</v>
      </c>
      <c r="G63" s="431">
        <v>198848</v>
      </c>
      <c r="H63" s="431">
        <v>0</v>
      </c>
      <c r="I63" s="431">
        <v>1193643</v>
      </c>
      <c r="J63" s="431">
        <v>50000</v>
      </c>
      <c r="K63" s="431">
        <v>1149440</v>
      </c>
      <c r="L63" s="431"/>
      <c r="M63" s="431">
        <v>36357</v>
      </c>
      <c r="N63" s="431">
        <v>572106</v>
      </c>
      <c r="O63" s="431">
        <v>2265235</v>
      </c>
      <c r="P63" s="443">
        <f t="shared" si="14"/>
        <v>5152307</v>
      </c>
      <c r="Q63" s="431">
        <v>1664278</v>
      </c>
      <c r="R63" s="431">
        <v>775320</v>
      </c>
      <c r="S63" s="431">
        <v>31085</v>
      </c>
      <c r="T63" s="431">
        <v>0</v>
      </c>
      <c r="U63" s="431">
        <v>0</v>
      </c>
      <c r="V63" s="431">
        <v>0</v>
      </c>
      <c r="W63" s="431">
        <v>583188</v>
      </c>
      <c r="X63" s="431">
        <v>169764</v>
      </c>
      <c r="Y63" s="431">
        <v>14997</v>
      </c>
      <c r="Z63" s="431">
        <v>1858119</v>
      </c>
      <c r="AA63" s="431">
        <v>55556</v>
      </c>
      <c r="AB63" s="431">
        <v>0</v>
      </c>
      <c r="AC63" s="431">
        <v>895085</v>
      </c>
      <c r="AD63" s="431">
        <v>37273</v>
      </c>
      <c r="AE63" s="431">
        <v>1071589</v>
      </c>
      <c r="AF63" s="431">
        <v>29937</v>
      </c>
      <c r="AG63" s="431">
        <v>38585</v>
      </c>
      <c r="AH63" s="431">
        <v>280606</v>
      </c>
      <c r="AI63" s="431">
        <v>1343062</v>
      </c>
      <c r="AJ63" s="431">
        <v>67777</v>
      </c>
      <c r="AK63" s="431">
        <v>0</v>
      </c>
      <c r="AL63" s="431">
        <v>805205</v>
      </c>
      <c r="AM63" s="431">
        <v>583188</v>
      </c>
    </row>
    <row r="64" spans="1:39" s="155" customFormat="1" ht="12" x14ac:dyDescent="0.2">
      <c r="A64" s="168">
        <v>10</v>
      </c>
      <c r="B64" s="199">
        <v>126077</v>
      </c>
      <c r="C64" s="413" t="s">
        <v>1703</v>
      </c>
      <c r="D64" s="443">
        <f t="shared" si="13"/>
        <v>3218599</v>
      </c>
      <c r="E64" s="431">
        <v>702959</v>
      </c>
      <c r="F64" s="431">
        <v>188695</v>
      </c>
      <c r="G64" s="431">
        <v>232633</v>
      </c>
      <c r="H64" s="431">
        <v>0</v>
      </c>
      <c r="I64" s="431">
        <v>988974</v>
      </c>
      <c r="J64" s="431">
        <v>50000</v>
      </c>
      <c r="K64" s="431">
        <v>994450</v>
      </c>
      <c r="L64" s="431"/>
      <c r="M64" s="431">
        <v>260611</v>
      </c>
      <c r="N64" s="431">
        <v>221605</v>
      </c>
      <c r="O64" s="431"/>
      <c r="P64" s="443">
        <f t="shared" si="14"/>
        <v>2814272</v>
      </c>
      <c r="Q64" s="431">
        <v>1447936</v>
      </c>
      <c r="R64" s="431">
        <v>346987</v>
      </c>
      <c r="S64" s="431">
        <v>0</v>
      </c>
      <c r="T64" s="431">
        <v>0</v>
      </c>
      <c r="U64" s="431">
        <v>0</v>
      </c>
      <c r="V64" s="431">
        <v>0</v>
      </c>
      <c r="W64" s="431">
        <v>0</v>
      </c>
      <c r="X64" s="431">
        <v>218063</v>
      </c>
      <c r="Y64" s="431">
        <v>0</v>
      </c>
      <c r="Z64" s="431">
        <v>803451</v>
      </c>
      <c r="AA64" s="431">
        <v>0</v>
      </c>
      <c r="AB64" s="431">
        <v>-2165</v>
      </c>
      <c r="AC64" s="431">
        <v>775252</v>
      </c>
      <c r="AD64" s="431">
        <v>70308</v>
      </c>
      <c r="AE64" s="431">
        <v>773617</v>
      </c>
      <c r="AF64" s="431">
        <v>0</v>
      </c>
      <c r="AG64" s="431">
        <v>21035</v>
      </c>
      <c r="AH64" s="431">
        <v>368426</v>
      </c>
      <c r="AI64" s="431">
        <v>737361</v>
      </c>
      <c r="AJ64" s="431">
        <v>0</v>
      </c>
      <c r="AK64" s="431">
        <v>0</v>
      </c>
      <c r="AL64" s="431">
        <v>68273</v>
      </c>
      <c r="AM64" s="431"/>
    </row>
    <row r="65" spans="1:39" s="155" customFormat="1" ht="12" x14ac:dyDescent="0.2">
      <c r="A65" s="168">
        <v>11</v>
      </c>
      <c r="B65" s="199">
        <v>130295</v>
      </c>
      <c r="C65" s="413" t="s">
        <v>1704</v>
      </c>
      <c r="D65" s="443">
        <f t="shared" si="13"/>
        <v>3340800</v>
      </c>
      <c r="E65" s="431">
        <v>530483</v>
      </c>
      <c r="F65" s="431">
        <v>58596</v>
      </c>
      <c r="G65" s="431">
        <v>318543</v>
      </c>
      <c r="H65" s="431">
        <v>0</v>
      </c>
      <c r="I65" s="431">
        <v>940666</v>
      </c>
      <c r="J65" s="431">
        <v>50000</v>
      </c>
      <c r="K65" s="431">
        <v>1269350</v>
      </c>
      <c r="L65" s="431"/>
      <c r="M65" s="431">
        <v>153355</v>
      </c>
      <c r="N65" s="431">
        <v>395384</v>
      </c>
      <c r="O65" s="431">
        <v>1562</v>
      </c>
      <c r="P65" s="443">
        <f t="shared" si="14"/>
        <v>3001279</v>
      </c>
      <c r="Q65" s="431">
        <v>1101416</v>
      </c>
      <c r="R65" s="431">
        <v>584787</v>
      </c>
      <c r="S65" s="431">
        <v>5903</v>
      </c>
      <c r="T65" s="431">
        <v>0</v>
      </c>
      <c r="U65" s="431">
        <v>0</v>
      </c>
      <c r="V65" s="431">
        <v>0</v>
      </c>
      <c r="W65" s="431">
        <v>512054</v>
      </c>
      <c r="X65" s="431">
        <v>234863</v>
      </c>
      <c r="Y65" s="431">
        <v>7000</v>
      </c>
      <c r="Z65" s="431">
        <v>555256</v>
      </c>
      <c r="AA65" s="431">
        <v>0</v>
      </c>
      <c r="AB65" s="431">
        <v>0</v>
      </c>
      <c r="AC65" s="431">
        <v>622908</v>
      </c>
      <c r="AD65" s="431">
        <v>32978</v>
      </c>
      <c r="AE65" s="431">
        <v>828035</v>
      </c>
      <c r="AF65" s="431">
        <v>0</v>
      </c>
      <c r="AG65" s="431">
        <v>268852</v>
      </c>
      <c r="AH65" s="431">
        <v>234863</v>
      </c>
      <c r="AI65" s="431">
        <v>485032</v>
      </c>
      <c r="AJ65" s="431">
        <v>33400</v>
      </c>
      <c r="AK65" s="431">
        <v>0</v>
      </c>
      <c r="AL65" s="431">
        <v>495211</v>
      </c>
      <c r="AM65" s="431"/>
    </row>
    <row r="66" spans="1:39" s="155" customFormat="1" ht="12" x14ac:dyDescent="0.2">
      <c r="A66" s="168">
        <v>12</v>
      </c>
      <c r="B66" s="199">
        <v>126166</v>
      </c>
      <c r="C66" s="413" t="s">
        <v>1705</v>
      </c>
      <c r="D66" s="443">
        <f t="shared" si="13"/>
        <v>5815848</v>
      </c>
      <c r="E66" s="431">
        <v>738928</v>
      </c>
      <c r="F66" s="431">
        <v>175610</v>
      </c>
      <c r="G66" s="431">
        <v>267383</v>
      </c>
      <c r="H66" s="431">
        <v>0</v>
      </c>
      <c r="I66" s="431">
        <v>1221547</v>
      </c>
      <c r="J66" s="431">
        <v>50000</v>
      </c>
      <c r="K66" s="431">
        <v>1196350</v>
      </c>
      <c r="L66" s="431"/>
      <c r="M66" s="431">
        <v>843730</v>
      </c>
      <c r="N66" s="431">
        <v>1621293</v>
      </c>
      <c r="O66" s="431">
        <v>144000</v>
      </c>
      <c r="P66" s="443">
        <f t="shared" si="14"/>
        <v>5520962</v>
      </c>
      <c r="Q66" s="431">
        <v>1597131</v>
      </c>
      <c r="R66" s="431">
        <v>782853</v>
      </c>
      <c r="S66" s="431">
        <v>0</v>
      </c>
      <c r="T66" s="431">
        <v>0</v>
      </c>
      <c r="U66" s="431">
        <v>0</v>
      </c>
      <c r="V66" s="431">
        <v>0</v>
      </c>
      <c r="W66" s="431">
        <v>1802977</v>
      </c>
      <c r="X66" s="431">
        <v>166812</v>
      </c>
      <c r="Y66" s="431">
        <v>3000</v>
      </c>
      <c r="Z66" s="431">
        <v>1168189</v>
      </c>
      <c r="AA66" s="431">
        <v>0</v>
      </c>
      <c r="AB66" s="431">
        <v>0</v>
      </c>
      <c r="AC66" s="431">
        <v>877817</v>
      </c>
      <c r="AD66" s="431">
        <v>15472</v>
      </c>
      <c r="AE66" s="431">
        <v>1049997</v>
      </c>
      <c r="AF66" s="431">
        <v>0</v>
      </c>
      <c r="AG66" s="431">
        <v>268772</v>
      </c>
      <c r="AH66" s="431">
        <v>284412</v>
      </c>
      <c r="AI66" s="431">
        <v>70427</v>
      </c>
      <c r="AJ66" s="431">
        <v>30000</v>
      </c>
      <c r="AK66" s="431">
        <v>0</v>
      </c>
      <c r="AL66" s="431">
        <v>1296327</v>
      </c>
      <c r="AM66" s="431">
        <v>1627738</v>
      </c>
    </row>
    <row r="67" spans="1:39" s="155" customFormat="1" ht="12" x14ac:dyDescent="0.2">
      <c r="A67" s="168">
        <v>13</v>
      </c>
      <c r="B67" s="199">
        <v>126102</v>
      </c>
      <c r="C67" s="413" t="s">
        <v>1706</v>
      </c>
      <c r="D67" s="443">
        <f t="shared" si="13"/>
        <v>4698340</v>
      </c>
      <c r="E67" s="431">
        <v>814313</v>
      </c>
      <c r="F67" s="431">
        <v>160697</v>
      </c>
      <c r="G67" s="431">
        <v>242286</v>
      </c>
      <c r="H67" s="431">
        <v>0</v>
      </c>
      <c r="I67" s="431">
        <v>774278</v>
      </c>
      <c r="J67" s="431">
        <v>50000</v>
      </c>
      <c r="K67" s="431">
        <v>1037240</v>
      </c>
      <c r="L67" s="431"/>
      <c r="M67" s="431">
        <v>1248207</v>
      </c>
      <c r="N67" s="431">
        <v>731502</v>
      </c>
      <c r="O67" s="431">
        <v>42800</v>
      </c>
      <c r="P67" s="443">
        <f t="shared" si="14"/>
        <v>4205206</v>
      </c>
      <c r="Q67" s="431">
        <v>1174427</v>
      </c>
      <c r="R67" s="431">
        <v>767964</v>
      </c>
      <c r="S67" s="431">
        <v>0</v>
      </c>
      <c r="T67" s="431">
        <v>0</v>
      </c>
      <c r="U67" s="431">
        <v>0</v>
      </c>
      <c r="V67" s="431">
        <v>0</v>
      </c>
      <c r="W67" s="431">
        <v>974528</v>
      </c>
      <c r="X67" s="431">
        <v>106392</v>
      </c>
      <c r="Y67" s="431">
        <v>0</v>
      </c>
      <c r="Z67" s="431">
        <v>1181895</v>
      </c>
      <c r="AA67" s="431">
        <v>0</v>
      </c>
      <c r="AB67" s="431">
        <v>0</v>
      </c>
      <c r="AC67" s="431">
        <v>753975</v>
      </c>
      <c r="AD67" s="431">
        <v>4784</v>
      </c>
      <c r="AE67" s="431">
        <v>698879</v>
      </c>
      <c r="AF67" s="431">
        <v>19790</v>
      </c>
      <c r="AG67" s="431">
        <v>552836</v>
      </c>
      <c r="AH67" s="431">
        <v>121040</v>
      </c>
      <c r="AI67" s="431">
        <v>1145544</v>
      </c>
      <c r="AJ67" s="431">
        <v>24941</v>
      </c>
      <c r="AK67" s="431">
        <v>0</v>
      </c>
      <c r="AL67" s="431">
        <v>863575</v>
      </c>
      <c r="AM67" s="431">
        <v>19842</v>
      </c>
    </row>
    <row r="68" spans="1:39" s="155" customFormat="1" ht="12" x14ac:dyDescent="0.2">
      <c r="A68" s="168">
        <v>14</v>
      </c>
      <c r="B68" s="199">
        <v>126148</v>
      </c>
      <c r="C68" s="413" t="s">
        <v>1707</v>
      </c>
      <c r="D68" s="443">
        <f t="shared" si="13"/>
        <v>4665611</v>
      </c>
      <c r="E68" s="431">
        <v>971357</v>
      </c>
      <c r="F68" s="431">
        <v>250020</v>
      </c>
      <c r="G68" s="431">
        <v>266418</v>
      </c>
      <c r="H68" s="431">
        <v>0</v>
      </c>
      <c r="I68" s="431">
        <v>2323911</v>
      </c>
      <c r="J68" s="431">
        <v>0</v>
      </c>
      <c r="K68" s="431">
        <v>973590</v>
      </c>
      <c r="L68" s="431"/>
      <c r="M68" s="431">
        <v>109330</v>
      </c>
      <c r="N68" s="431">
        <v>287423</v>
      </c>
      <c r="O68" s="431"/>
      <c r="P68" s="443">
        <f t="shared" si="14"/>
        <v>5007767</v>
      </c>
      <c r="Q68" s="431">
        <v>2671627</v>
      </c>
      <c r="R68" s="431">
        <v>1069352</v>
      </c>
      <c r="S68" s="431">
        <v>0</v>
      </c>
      <c r="T68" s="431">
        <v>0</v>
      </c>
      <c r="U68" s="431">
        <v>0</v>
      </c>
      <c r="V68" s="431">
        <v>6000</v>
      </c>
      <c r="W68" s="431">
        <v>361208</v>
      </c>
      <c r="X68" s="431">
        <v>231768</v>
      </c>
      <c r="Y68" s="431">
        <v>0</v>
      </c>
      <c r="Z68" s="431">
        <v>667812</v>
      </c>
      <c r="AA68" s="431">
        <v>0</v>
      </c>
      <c r="AB68" s="431">
        <v>0</v>
      </c>
      <c r="AC68" s="431">
        <v>998825</v>
      </c>
      <c r="AD68" s="431">
        <v>434623</v>
      </c>
      <c r="AE68" s="431">
        <v>2079657</v>
      </c>
      <c r="AF68" s="431">
        <v>20778</v>
      </c>
      <c r="AG68" s="431">
        <v>114409</v>
      </c>
      <c r="AH68" s="431">
        <v>433379</v>
      </c>
      <c r="AI68" s="431">
        <v>314938</v>
      </c>
      <c r="AJ68" s="431">
        <v>52908</v>
      </c>
      <c r="AK68" s="431">
        <v>0</v>
      </c>
      <c r="AL68" s="431">
        <v>513829</v>
      </c>
      <c r="AM68" s="431">
        <v>44421</v>
      </c>
    </row>
    <row r="69" spans="1:39" s="155" customFormat="1" ht="12" x14ac:dyDescent="0.2">
      <c r="A69" s="168">
        <v>15</v>
      </c>
      <c r="B69" s="199">
        <v>126228</v>
      </c>
      <c r="C69" s="413" t="s">
        <v>1708</v>
      </c>
      <c r="D69" s="443">
        <f t="shared" si="13"/>
        <v>2923050</v>
      </c>
      <c r="E69" s="431">
        <v>772790</v>
      </c>
      <c r="F69" s="431">
        <v>102828</v>
      </c>
      <c r="G69" s="431">
        <v>273175</v>
      </c>
      <c r="H69" s="431">
        <v>0</v>
      </c>
      <c r="I69" s="431">
        <v>891630</v>
      </c>
      <c r="J69" s="431">
        <v>50000</v>
      </c>
      <c r="K69" s="431">
        <v>1055960</v>
      </c>
      <c r="L69" s="431"/>
      <c r="M69" s="431">
        <v>39952</v>
      </c>
      <c r="N69" s="431">
        <v>0</v>
      </c>
      <c r="O69" s="431">
        <v>112718</v>
      </c>
      <c r="P69" s="443">
        <f t="shared" si="14"/>
        <v>2905241</v>
      </c>
      <c r="Q69" s="431">
        <v>1290390</v>
      </c>
      <c r="R69" s="431">
        <v>1254330</v>
      </c>
      <c r="S69" s="431">
        <v>0</v>
      </c>
      <c r="T69" s="431">
        <v>0</v>
      </c>
      <c r="U69" s="431">
        <v>0</v>
      </c>
      <c r="V69" s="431">
        <v>0</v>
      </c>
      <c r="W69" s="431">
        <v>0</v>
      </c>
      <c r="X69" s="431">
        <v>171728</v>
      </c>
      <c r="Y69" s="431">
        <v>9180</v>
      </c>
      <c r="Z69" s="431">
        <v>179613</v>
      </c>
      <c r="AA69" s="431">
        <v>0</v>
      </c>
      <c r="AB69" s="431">
        <v>0</v>
      </c>
      <c r="AC69" s="431">
        <v>1202937</v>
      </c>
      <c r="AD69" s="431">
        <v>0</v>
      </c>
      <c r="AE69" s="431">
        <v>772531</v>
      </c>
      <c r="AF69" s="431">
        <v>32014</v>
      </c>
      <c r="AG69" s="431">
        <v>241555</v>
      </c>
      <c r="AH69" s="431">
        <v>215728</v>
      </c>
      <c r="AI69" s="431">
        <v>230000</v>
      </c>
      <c r="AJ69" s="431">
        <v>0</v>
      </c>
      <c r="AK69" s="431">
        <v>0</v>
      </c>
      <c r="AL69" s="431">
        <v>92489</v>
      </c>
      <c r="AM69" s="431">
        <v>117987</v>
      </c>
    </row>
    <row r="70" spans="1:39" s="155" customFormat="1" ht="12" x14ac:dyDescent="0.2">
      <c r="A70" s="168">
        <v>16</v>
      </c>
      <c r="B70" s="199">
        <v>126326</v>
      </c>
      <c r="C70" s="413" t="s">
        <v>1709</v>
      </c>
      <c r="D70" s="443">
        <f t="shared" si="13"/>
        <v>5283258</v>
      </c>
      <c r="E70" s="431">
        <v>821948</v>
      </c>
      <c r="F70" s="431">
        <v>217439</v>
      </c>
      <c r="G70" s="431">
        <v>209466</v>
      </c>
      <c r="H70" s="431">
        <v>0</v>
      </c>
      <c r="I70" s="431">
        <v>1394542</v>
      </c>
      <c r="J70" s="431">
        <v>50000</v>
      </c>
      <c r="K70" s="431">
        <v>1263340</v>
      </c>
      <c r="L70" s="431"/>
      <c r="M70" s="431">
        <v>788500</v>
      </c>
      <c r="N70" s="431">
        <v>610678</v>
      </c>
      <c r="O70" s="431">
        <v>354250</v>
      </c>
      <c r="P70" s="443">
        <f t="shared" si="14"/>
        <v>4915500</v>
      </c>
      <c r="Q70" s="431">
        <v>1757861</v>
      </c>
      <c r="R70" s="431">
        <v>832645</v>
      </c>
      <c r="S70" s="431">
        <v>0</v>
      </c>
      <c r="T70" s="431">
        <v>0</v>
      </c>
      <c r="U70" s="431">
        <v>0</v>
      </c>
      <c r="V70" s="431">
        <v>5000</v>
      </c>
      <c r="W70" s="431">
        <v>790573</v>
      </c>
      <c r="X70" s="431">
        <v>203375</v>
      </c>
      <c r="Y70" s="431">
        <v>9940</v>
      </c>
      <c r="Z70" s="431">
        <v>1317317</v>
      </c>
      <c r="AA70" s="431">
        <v>0</v>
      </c>
      <c r="AB70" s="431">
        <v>-1211</v>
      </c>
      <c r="AC70" s="431">
        <v>916155</v>
      </c>
      <c r="AD70" s="431">
        <v>0</v>
      </c>
      <c r="AE70" s="431">
        <v>1167604</v>
      </c>
      <c r="AF70" s="431">
        <v>23890</v>
      </c>
      <c r="AG70" s="431">
        <v>56787</v>
      </c>
      <c r="AH70" s="431">
        <v>331127</v>
      </c>
      <c r="AI70" s="431">
        <v>951755</v>
      </c>
      <c r="AJ70" s="431">
        <v>489872</v>
      </c>
      <c r="AK70" s="431">
        <v>0</v>
      </c>
      <c r="AL70" s="431">
        <v>963658</v>
      </c>
      <c r="AM70" s="431">
        <v>14652</v>
      </c>
    </row>
    <row r="71" spans="1:39" s="155" customFormat="1" ht="12" x14ac:dyDescent="0.2">
      <c r="A71" s="168">
        <v>17</v>
      </c>
      <c r="B71" s="199">
        <v>126380</v>
      </c>
      <c r="C71" s="413" t="s">
        <v>1710</v>
      </c>
      <c r="D71" s="443">
        <f t="shared" si="13"/>
        <v>6173407</v>
      </c>
      <c r="E71" s="431">
        <v>909961</v>
      </c>
      <c r="F71" s="431">
        <v>156856</v>
      </c>
      <c r="G71" s="431">
        <v>257730</v>
      </c>
      <c r="H71" s="431">
        <v>0</v>
      </c>
      <c r="I71" s="431">
        <v>1215640</v>
      </c>
      <c r="J71" s="431">
        <v>50000</v>
      </c>
      <c r="K71" s="431">
        <v>1235700</v>
      </c>
      <c r="L71" s="431"/>
      <c r="M71" s="431">
        <v>727097</v>
      </c>
      <c r="N71" s="431">
        <v>1756227</v>
      </c>
      <c r="O71" s="431">
        <v>278782</v>
      </c>
      <c r="P71" s="443">
        <f t="shared" si="14"/>
        <v>4102011</v>
      </c>
      <c r="Q71" s="431">
        <v>1500749</v>
      </c>
      <c r="R71" s="431">
        <v>1122980</v>
      </c>
      <c r="S71" s="431">
        <v>35800</v>
      </c>
      <c r="T71" s="431">
        <v>0</v>
      </c>
      <c r="U71" s="431">
        <v>0</v>
      </c>
      <c r="V71" s="431">
        <v>0</v>
      </c>
      <c r="W71" s="431">
        <v>281882</v>
      </c>
      <c r="X71" s="431">
        <v>243772</v>
      </c>
      <c r="Y71" s="431">
        <v>0</v>
      </c>
      <c r="Z71" s="431">
        <v>1038933</v>
      </c>
      <c r="AA71" s="431">
        <v>8800</v>
      </c>
      <c r="AB71" s="431">
        <v>-130905</v>
      </c>
      <c r="AC71" s="431">
        <v>1081181</v>
      </c>
      <c r="AD71" s="431">
        <v>0</v>
      </c>
      <c r="AE71" s="431">
        <v>895096</v>
      </c>
      <c r="AF71" s="431">
        <v>65633</v>
      </c>
      <c r="AG71" s="431">
        <v>391144</v>
      </c>
      <c r="AH71" s="431">
        <v>359777</v>
      </c>
      <c r="AI71" s="431">
        <v>66180</v>
      </c>
      <c r="AJ71" s="431">
        <v>7298</v>
      </c>
      <c r="AK71" s="431">
        <v>0</v>
      </c>
      <c r="AL71" s="431">
        <v>849770</v>
      </c>
      <c r="AM71" s="431">
        <v>385932</v>
      </c>
    </row>
    <row r="72" spans="1:39" s="155" customFormat="1" ht="12" x14ac:dyDescent="0.2">
      <c r="A72" s="168">
        <v>18</v>
      </c>
      <c r="B72" s="199">
        <v>126406</v>
      </c>
      <c r="C72" s="413" t="s">
        <v>1711</v>
      </c>
      <c r="D72" s="443">
        <f t="shared" si="13"/>
        <v>5581701</v>
      </c>
      <c r="E72" s="431">
        <v>757126</v>
      </c>
      <c r="F72" s="431">
        <v>138828</v>
      </c>
      <c r="G72" s="431">
        <v>275105</v>
      </c>
      <c r="H72" s="431">
        <v>0</v>
      </c>
      <c r="I72" s="431">
        <v>1978792</v>
      </c>
      <c r="J72" s="431">
        <v>50000</v>
      </c>
      <c r="K72" s="431">
        <v>1207350</v>
      </c>
      <c r="L72" s="431"/>
      <c r="M72" s="431">
        <v>664771</v>
      </c>
      <c r="N72" s="431">
        <v>923662</v>
      </c>
      <c r="O72" s="431"/>
      <c r="P72" s="443">
        <f t="shared" si="14"/>
        <v>5570716</v>
      </c>
      <c r="Q72" s="431">
        <v>2071927</v>
      </c>
      <c r="R72" s="431">
        <v>951400</v>
      </c>
      <c r="S72" s="431">
        <v>0</v>
      </c>
      <c r="T72" s="431">
        <v>0</v>
      </c>
      <c r="U72" s="431">
        <v>0</v>
      </c>
      <c r="V72" s="431">
        <v>0</v>
      </c>
      <c r="W72" s="431">
        <v>1552362</v>
      </c>
      <c r="X72" s="431">
        <v>329851</v>
      </c>
      <c r="Y72" s="431">
        <v>0</v>
      </c>
      <c r="Z72" s="431">
        <v>665176</v>
      </c>
      <c r="AA72" s="431">
        <v>0</v>
      </c>
      <c r="AB72" s="431">
        <v>0</v>
      </c>
      <c r="AC72" s="431">
        <v>732911</v>
      </c>
      <c r="AD72" s="431">
        <v>0</v>
      </c>
      <c r="AE72" s="431">
        <v>2985603</v>
      </c>
      <c r="AF72" s="431">
        <v>65857</v>
      </c>
      <c r="AG72" s="431">
        <v>408901</v>
      </c>
      <c r="AH72" s="431">
        <v>336051</v>
      </c>
      <c r="AI72" s="431">
        <v>690307</v>
      </c>
      <c r="AJ72" s="431">
        <v>0</v>
      </c>
      <c r="AK72" s="431">
        <v>0</v>
      </c>
      <c r="AL72" s="431">
        <v>207337</v>
      </c>
      <c r="AM72" s="431">
        <v>143749</v>
      </c>
    </row>
    <row r="73" spans="1:39" s="155" customFormat="1" ht="12" x14ac:dyDescent="0.2">
      <c r="A73" s="168">
        <v>19</v>
      </c>
      <c r="B73" s="199">
        <v>126503</v>
      </c>
      <c r="C73" s="413" t="s">
        <v>1712</v>
      </c>
      <c r="D73" s="443">
        <f t="shared" si="13"/>
        <v>3644271</v>
      </c>
      <c r="E73" s="431">
        <v>1864745</v>
      </c>
      <c r="F73" s="431">
        <v>1390320</v>
      </c>
      <c r="G73" s="431">
        <v>132244</v>
      </c>
      <c r="H73" s="431">
        <v>0</v>
      </c>
      <c r="I73" s="431">
        <v>962569</v>
      </c>
      <c r="J73" s="431">
        <v>50000</v>
      </c>
      <c r="K73" s="431">
        <v>75860</v>
      </c>
      <c r="L73" s="431"/>
      <c r="M73" s="431">
        <v>691097</v>
      </c>
      <c r="N73" s="431">
        <v>0</v>
      </c>
      <c r="O73" s="431"/>
      <c r="P73" s="443">
        <f t="shared" si="14"/>
        <v>3323657</v>
      </c>
      <c r="Q73" s="431">
        <v>1268748</v>
      </c>
      <c r="R73" s="431">
        <v>926226</v>
      </c>
      <c r="S73" s="431">
        <v>0</v>
      </c>
      <c r="T73" s="431">
        <v>0</v>
      </c>
      <c r="U73" s="431">
        <v>0</v>
      </c>
      <c r="V73" s="431">
        <v>0</v>
      </c>
      <c r="W73" s="431">
        <v>0</v>
      </c>
      <c r="X73" s="431">
        <v>177886</v>
      </c>
      <c r="Y73" s="431">
        <v>17451</v>
      </c>
      <c r="Z73" s="431">
        <v>933586</v>
      </c>
      <c r="AA73" s="431">
        <v>0</v>
      </c>
      <c r="AB73" s="431">
        <v>-240</v>
      </c>
      <c r="AC73" s="431">
        <v>795005</v>
      </c>
      <c r="AD73" s="431">
        <v>0</v>
      </c>
      <c r="AE73" s="431">
        <v>872470</v>
      </c>
      <c r="AF73" s="431">
        <v>28679</v>
      </c>
      <c r="AG73" s="431">
        <v>243372</v>
      </c>
      <c r="AH73" s="431">
        <v>251147</v>
      </c>
      <c r="AI73" s="431">
        <v>1057319</v>
      </c>
      <c r="AJ73" s="431">
        <v>1736</v>
      </c>
      <c r="AK73" s="431">
        <v>0</v>
      </c>
      <c r="AL73" s="431">
        <v>73929</v>
      </c>
      <c r="AM73" s="431"/>
    </row>
    <row r="74" spans="1:39" s="155" customFormat="1" ht="12" x14ac:dyDescent="0.2">
      <c r="A74" s="168">
        <v>20</v>
      </c>
      <c r="B74" s="199">
        <v>126433</v>
      </c>
      <c r="C74" s="413" t="s">
        <v>1713</v>
      </c>
      <c r="D74" s="443">
        <f t="shared" si="13"/>
        <v>5857440</v>
      </c>
      <c r="E74" s="431">
        <v>1700155</v>
      </c>
      <c r="F74" s="431">
        <v>467347</v>
      </c>
      <c r="G74" s="431">
        <v>519322</v>
      </c>
      <c r="H74" s="431">
        <v>0</v>
      </c>
      <c r="I74" s="431">
        <v>1560352</v>
      </c>
      <c r="J74" s="431">
        <v>50000</v>
      </c>
      <c r="K74" s="431">
        <v>654600</v>
      </c>
      <c r="L74" s="431"/>
      <c r="M74" s="431">
        <v>140739</v>
      </c>
      <c r="N74" s="431">
        <v>1655187</v>
      </c>
      <c r="O74" s="431">
        <v>96407</v>
      </c>
      <c r="P74" s="443">
        <f t="shared" si="14"/>
        <v>4509188</v>
      </c>
      <c r="Q74" s="431">
        <v>1813069</v>
      </c>
      <c r="R74" s="431">
        <v>1288540</v>
      </c>
      <c r="S74" s="431">
        <v>0</v>
      </c>
      <c r="T74" s="431">
        <v>0</v>
      </c>
      <c r="U74" s="431">
        <v>0</v>
      </c>
      <c r="V74" s="431">
        <v>0</v>
      </c>
      <c r="W74" s="431">
        <v>557443</v>
      </c>
      <c r="X74" s="431">
        <v>222680</v>
      </c>
      <c r="Y74" s="431">
        <v>14970</v>
      </c>
      <c r="Z74" s="431">
        <v>616446</v>
      </c>
      <c r="AA74" s="431">
        <v>0</v>
      </c>
      <c r="AB74" s="431">
        <v>-3960</v>
      </c>
      <c r="AC74" s="431">
        <v>708141</v>
      </c>
      <c r="AD74" s="431">
        <v>19556</v>
      </c>
      <c r="AE74" s="431">
        <v>1985229</v>
      </c>
      <c r="AF74" s="431">
        <v>0</v>
      </c>
      <c r="AG74" s="431">
        <v>131562</v>
      </c>
      <c r="AH74" s="431">
        <v>455768</v>
      </c>
      <c r="AI74" s="431">
        <v>455513</v>
      </c>
      <c r="AJ74" s="431">
        <v>96776</v>
      </c>
      <c r="AK74" s="431">
        <v>0</v>
      </c>
      <c r="AL74" s="431">
        <v>495256</v>
      </c>
      <c r="AM74" s="431">
        <v>161387</v>
      </c>
    </row>
    <row r="75" spans="1:39" s="155" customFormat="1" ht="12" x14ac:dyDescent="0.2">
      <c r="A75" s="168">
        <v>21</v>
      </c>
      <c r="B75" s="199">
        <v>126585</v>
      </c>
      <c r="C75" s="414" t="s">
        <v>1714</v>
      </c>
      <c r="D75" s="443">
        <f t="shared" si="13"/>
        <v>6836317</v>
      </c>
      <c r="E75" s="431">
        <v>741395</v>
      </c>
      <c r="F75" s="431">
        <v>262545</v>
      </c>
      <c r="G75" s="431">
        <v>220084</v>
      </c>
      <c r="H75" s="431">
        <v>0</v>
      </c>
      <c r="I75" s="431">
        <v>2011958</v>
      </c>
      <c r="J75" s="431">
        <v>50000</v>
      </c>
      <c r="K75" s="431">
        <v>900360</v>
      </c>
      <c r="L75" s="431"/>
      <c r="M75" s="431">
        <v>1360635</v>
      </c>
      <c r="N75" s="431">
        <v>1651969</v>
      </c>
      <c r="O75" s="431">
        <v>120000</v>
      </c>
      <c r="P75" s="443">
        <f t="shared" si="14"/>
        <v>5100049</v>
      </c>
      <c r="Q75" s="431">
        <v>2079092</v>
      </c>
      <c r="R75" s="431">
        <v>712975</v>
      </c>
      <c r="S75" s="431">
        <v>4829</v>
      </c>
      <c r="T75" s="431">
        <v>0</v>
      </c>
      <c r="U75" s="431">
        <v>0</v>
      </c>
      <c r="V75" s="431">
        <v>0</v>
      </c>
      <c r="W75" s="431">
        <v>22954</v>
      </c>
      <c r="X75" s="431">
        <v>435131</v>
      </c>
      <c r="Y75" s="431">
        <v>0</v>
      </c>
      <c r="Z75" s="431">
        <v>1780179</v>
      </c>
      <c r="AA75" s="431">
        <v>68750</v>
      </c>
      <c r="AB75" s="431">
        <v>-3861</v>
      </c>
      <c r="AC75" s="431">
        <v>741355</v>
      </c>
      <c r="AD75" s="431">
        <v>0</v>
      </c>
      <c r="AE75" s="431">
        <v>1732976</v>
      </c>
      <c r="AF75" s="431">
        <v>15803</v>
      </c>
      <c r="AG75" s="431">
        <v>106372</v>
      </c>
      <c r="AH75" s="431">
        <v>467376</v>
      </c>
      <c r="AI75" s="431">
        <v>757574</v>
      </c>
      <c r="AJ75" s="431">
        <v>0</v>
      </c>
      <c r="AK75" s="431">
        <v>0</v>
      </c>
      <c r="AL75" s="431">
        <v>1278593</v>
      </c>
      <c r="AM75" s="431"/>
    </row>
    <row r="76" spans="1:39" s="155" customFormat="1" ht="12" x14ac:dyDescent="0.2">
      <c r="A76" s="168">
        <v>22</v>
      </c>
      <c r="B76" s="199">
        <v>126647</v>
      </c>
      <c r="C76" s="414" t="s">
        <v>1715</v>
      </c>
      <c r="D76" s="443">
        <f t="shared" si="13"/>
        <v>9873443</v>
      </c>
      <c r="E76" s="431">
        <v>1648603</v>
      </c>
      <c r="F76" s="431">
        <v>470605</v>
      </c>
      <c r="G76" s="431">
        <v>265452</v>
      </c>
      <c r="H76" s="431">
        <v>0</v>
      </c>
      <c r="I76" s="431">
        <v>1372963</v>
      </c>
      <c r="J76" s="431">
        <v>50000</v>
      </c>
      <c r="K76" s="431">
        <v>1464320</v>
      </c>
      <c r="L76" s="431"/>
      <c r="M76" s="431">
        <v>4932762</v>
      </c>
      <c r="N76" s="431">
        <v>300795</v>
      </c>
      <c r="O76" s="431">
        <v>104000</v>
      </c>
      <c r="P76" s="443">
        <f t="shared" si="14"/>
        <v>9743746</v>
      </c>
      <c r="Q76" s="431">
        <v>1778814</v>
      </c>
      <c r="R76" s="431">
        <v>1086351</v>
      </c>
      <c r="S76" s="431">
        <v>38311</v>
      </c>
      <c r="T76" s="431">
        <v>0</v>
      </c>
      <c r="U76" s="431">
        <v>0</v>
      </c>
      <c r="V76" s="431">
        <v>0</v>
      </c>
      <c r="W76" s="431">
        <v>455384</v>
      </c>
      <c r="X76" s="431">
        <v>161918</v>
      </c>
      <c r="Y76" s="431">
        <v>40465</v>
      </c>
      <c r="Z76" s="431">
        <v>6084507</v>
      </c>
      <c r="AA76" s="431">
        <v>135360</v>
      </c>
      <c r="AB76" s="431">
        <v>-37364</v>
      </c>
      <c r="AC76" s="431">
        <v>987147</v>
      </c>
      <c r="AD76" s="431">
        <v>0</v>
      </c>
      <c r="AE76" s="431">
        <v>1227966</v>
      </c>
      <c r="AF76" s="431">
        <v>47103</v>
      </c>
      <c r="AG76" s="431">
        <v>506749</v>
      </c>
      <c r="AH76" s="431">
        <v>340038</v>
      </c>
      <c r="AI76" s="431">
        <v>1013275</v>
      </c>
      <c r="AJ76" s="431">
        <v>747553</v>
      </c>
      <c r="AK76" s="431">
        <v>0</v>
      </c>
      <c r="AL76" s="431">
        <v>4786383</v>
      </c>
      <c r="AM76" s="431">
        <v>87532</v>
      </c>
    </row>
    <row r="77" spans="1:39" s="155" customFormat="1" ht="12" x14ac:dyDescent="0.2">
      <c r="A77" s="168">
        <v>23</v>
      </c>
      <c r="B77" s="199">
        <v>126674</v>
      </c>
      <c r="C77" s="414" t="s">
        <v>1716</v>
      </c>
      <c r="D77" s="443">
        <f t="shared" si="13"/>
        <v>2444549</v>
      </c>
      <c r="E77" s="431">
        <v>554664</v>
      </c>
      <c r="F77" s="431">
        <v>56446</v>
      </c>
      <c r="G77" s="431">
        <v>279932</v>
      </c>
      <c r="H77" s="431">
        <v>0</v>
      </c>
      <c r="I77" s="431">
        <v>596618</v>
      </c>
      <c r="J77" s="431">
        <v>50000</v>
      </c>
      <c r="K77" s="431">
        <v>1220370</v>
      </c>
      <c r="L77" s="431"/>
      <c r="M77" s="431">
        <v>22897</v>
      </c>
      <c r="N77" s="431">
        <v>0</v>
      </c>
      <c r="O77" s="431"/>
      <c r="P77" s="443">
        <f t="shared" si="14"/>
        <v>2347294</v>
      </c>
      <c r="Q77" s="431">
        <v>915879</v>
      </c>
      <c r="R77" s="431">
        <v>782870</v>
      </c>
      <c r="S77" s="431">
        <v>0</v>
      </c>
      <c r="T77" s="431">
        <v>0</v>
      </c>
      <c r="U77" s="431">
        <v>0</v>
      </c>
      <c r="V77" s="431">
        <v>0</v>
      </c>
      <c r="W77" s="431">
        <v>0</v>
      </c>
      <c r="X77" s="431">
        <v>138138</v>
      </c>
      <c r="Y77" s="431">
        <v>9936</v>
      </c>
      <c r="Z77" s="431">
        <v>500471</v>
      </c>
      <c r="AA77" s="431">
        <v>0</v>
      </c>
      <c r="AB77" s="431">
        <v>0</v>
      </c>
      <c r="AC77" s="431">
        <v>972950</v>
      </c>
      <c r="AD77" s="431">
        <v>1515</v>
      </c>
      <c r="AE77" s="431">
        <v>564552</v>
      </c>
      <c r="AF77" s="431">
        <v>0</v>
      </c>
      <c r="AG77" s="431">
        <v>0</v>
      </c>
      <c r="AH77" s="431">
        <v>138138</v>
      </c>
      <c r="AI77" s="431">
        <v>450167</v>
      </c>
      <c r="AJ77" s="431">
        <v>49972</v>
      </c>
      <c r="AK77" s="431">
        <v>0</v>
      </c>
      <c r="AL77" s="431">
        <v>170000</v>
      </c>
      <c r="AM77" s="431"/>
    </row>
    <row r="78" spans="1:39" s="155" customFormat="1" ht="12" x14ac:dyDescent="0.2">
      <c r="A78" s="168">
        <v>24</v>
      </c>
      <c r="B78" s="199">
        <v>126718</v>
      </c>
      <c r="C78" s="414" t="s">
        <v>1717</v>
      </c>
      <c r="D78" s="443">
        <f t="shared" si="13"/>
        <v>4817966</v>
      </c>
      <c r="E78" s="431">
        <v>1018770</v>
      </c>
      <c r="F78" s="431">
        <v>221348</v>
      </c>
      <c r="G78" s="431">
        <v>219119</v>
      </c>
      <c r="H78" s="431">
        <v>0</v>
      </c>
      <c r="I78" s="431">
        <v>1882612</v>
      </c>
      <c r="J78" s="431">
        <v>50000</v>
      </c>
      <c r="K78" s="431">
        <v>856980</v>
      </c>
      <c r="L78" s="431"/>
      <c r="M78" s="431">
        <v>242491</v>
      </c>
      <c r="N78" s="431">
        <v>564706</v>
      </c>
      <c r="O78" s="431">
        <v>202407</v>
      </c>
      <c r="P78" s="443">
        <f t="shared" si="14"/>
        <v>5083401</v>
      </c>
      <c r="Q78" s="431">
        <v>2125323</v>
      </c>
      <c r="R78" s="431">
        <v>883055</v>
      </c>
      <c r="S78" s="431">
        <v>0</v>
      </c>
      <c r="T78" s="431">
        <v>0</v>
      </c>
      <c r="U78" s="431">
        <v>0</v>
      </c>
      <c r="V78" s="431">
        <v>0</v>
      </c>
      <c r="W78" s="431">
        <v>1054276</v>
      </c>
      <c r="X78" s="431">
        <v>397581</v>
      </c>
      <c r="Y78" s="431">
        <v>0</v>
      </c>
      <c r="Z78" s="431">
        <v>623166</v>
      </c>
      <c r="AA78" s="431">
        <v>0</v>
      </c>
      <c r="AB78" s="431">
        <v>0</v>
      </c>
      <c r="AC78" s="431">
        <v>1091919</v>
      </c>
      <c r="AD78" s="431">
        <v>19985</v>
      </c>
      <c r="AE78" s="431">
        <v>1635767</v>
      </c>
      <c r="AF78" s="431">
        <v>17158</v>
      </c>
      <c r="AG78" s="431">
        <v>1366041</v>
      </c>
      <c r="AH78" s="431">
        <v>525195</v>
      </c>
      <c r="AI78" s="431">
        <v>231693</v>
      </c>
      <c r="AJ78" s="431">
        <v>0</v>
      </c>
      <c r="AK78" s="431">
        <v>0</v>
      </c>
      <c r="AL78" s="431">
        <v>195643</v>
      </c>
      <c r="AM78" s="431"/>
    </row>
    <row r="79" spans="1:39" s="155" customFormat="1" ht="12" x14ac:dyDescent="0.2">
      <c r="A79" s="168">
        <v>25</v>
      </c>
      <c r="B79" s="199">
        <v>126772</v>
      </c>
      <c r="C79" s="414" t="s">
        <v>1718</v>
      </c>
      <c r="D79" s="443">
        <f t="shared" si="13"/>
        <v>3251077</v>
      </c>
      <c r="E79" s="431">
        <v>790654</v>
      </c>
      <c r="F79" s="431">
        <v>257676</v>
      </c>
      <c r="G79" s="431">
        <v>191126</v>
      </c>
      <c r="H79" s="431">
        <v>0</v>
      </c>
      <c r="I79" s="431">
        <v>964701</v>
      </c>
      <c r="J79" s="431">
        <v>50000</v>
      </c>
      <c r="K79" s="431">
        <v>904790</v>
      </c>
      <c r="L79" s="431"/>
      <c r="M79" s="431">
        <v>540932</v>
      </c>
      <c r="N79" s="431">
        <v>0</v>
      </c>
      <c r="O79" s="431"/>
      <c r="P79" s="443">
        <f t="shared" si="14"/>
        <v>3356512</v>
      </c>
      <c r="Q79" s="431">
        <v>1243858</v>
      </c>
      <c r="R79" s="431">
        <v>608397</v>
      </c>
      <c r="S79" s="431">
        <v>0</v>
      </c>
      <c r="T79" s="431">
        <v>0</v>
      </c>
      <c r="U79" s="431">
        <v>0</v>
      </c>
      <c r="V79" s="431">
        <v>0</v>
      </c>
      <c r="W79" s="431">
        <v>0</v>
      </c>
      <c r="X79" s="431">
        <v>116028</v>
      </c>
      <c r="Y79" s="431">
        <v>11980</v>
      </c>
      <c r="Z79" s="431">
        <v>1376249</v>
      </c>
      <c r="AA79" s="431">
        <v>0</v>
      </c>
      <c r="AB79" s="431">
        <v>0</v>
      </c>
      <c r="AC79" s="431">
        <v>615075</v>
      </c>
      <c r="AD79" s="431">
        <v>16521</v>
      </c>
      <c r="AE79" s="431">
        <v>868196</v>
      </c>
      <c r="AF79" s="431">
        <v>0</v>
      </c>
      <c r="AG79" s="431">
        <v>57901</v>
      </c>
      <c r="AH79" s="431">
        <v>220491</v>
      </c>
      <c r="AI79" s="431">
        <v>765604</v>
      </c>
      <c r="AJ79" s="431">
        <v>0</v>
      </c>
      <c r="AK79" s="431">
        <v>0</v>
      </c>
      <c r="AL79" s="431">
        <v>809133</v>
      </c>
      <c r="AM79" s="431">
        <v>3591</v>
      </c>
    </row>
    <row r="80" spans="1:39" s="155" customFormat="1" ht="12" x14ac:dyDescent="0.2">
      <c r="A80" s="168">
        <v>26</v>
      </c>
      <c r="B80" s="199">
        <v>126825</v>
      </c>
      <c r="C80" s="414" t="s">
        <v>1719</v>
      </c>
      <c r="D80" s="443">
        <f t="shared" si="13"/>
        <v>7150418</v>
      </c>
      <c r="E80" s="431">
        <v>626349</v>
      </c>
      <c r="F80" s="431">
        <v>79407</v>
      </c>
      <c r="G80" s="431">
        <v>299237</v>
      </c>
      <c r="H80" s="431">
        <v>0</v>
      </c>
      <c r="I80" s="431">
        <v>928299</v>
      </c>
      <c r="J80" s="431">
        <v>50000</v>
      </c>
      <c r="K80" s="431">
        <v>1220850</v>
      </c>
      <c r="L80" s="431"/>
      <c r="M80" s="431">
        <v>710109</v>
      </c>
      <c r="N80" s="431">
        <v>3314811</v>
      </c>
      <c r="O80" s="431">
        <v>300000</v>
      </c>
      <c r="P80" s="443">
        <f t="shared" si="14"/>
        <v>6044303</v>
      </c>
      <c r="Q80" s="431">
        <v>1174490</v>
      </c>
      <c r="R80" s="431">
        <v>1024250</v>
      </c>
      <c r="S80" s="431">
        <v>0</v>
      </c>
      <c r="T80" s="431">
        <v>0</v>
      </c>
      <c r="U80" s="431">
        <v>0</v>
      </c>
      <c r="V80" s="431">
        <v>0</v>
      </c>
      <c r="W80" s="431">
        <v>1316490</v>
      </c>
      <c r="X80" s="431">
        <v>113920</v>
      </c>
      <c r="Y80" s="431">
        <v>54880</v>
      </c>
      <c r="Z80" s="431">
        <v>2378148</v>
      </c>
      <c r="AA80" s="431">
        <v>0</v>
      </c>
      <c r="AB80" s="431">
        <v>-17875</v>
      </c>
      <c r="AC80" s="431">
        <v>904679</v>
      </c>
      <c r="AD80" s="431">
        <v>0</v>
      </c>
      <c r="AE80" s="431">
        <v>2625704</v>
      </c>
      <c r="AF80" s="431">
        <v>23944</v>
      </c>
      <c r="AG80" s="431">
        <v>141877</v>
      </c>
      <c r="AH80" s="431">
        <v>117791</v>
      </c>
      <c r="AI80" s="431">
        <v>188103</v>
      </c>
      <c r="AJ80" s="431">
        <v>1146658</v>
      </c>
      <c r="AK80" s="431">
        <v>0</v>
      </c>
      <c r="AL80" s="431">
        <v>806393</v>
      </c>
      <c r="AM80" s="431">
        <v>89154</v>
      </c>
    </row>
    <row r="81" spans="1:39" s="155" customFormat="1" ht="12" x14ac:dyDescent="0.2">
      <c r="A81" s="168">
        <v>27</v>
      </c>
      <c r="B81" s="199">
        <v>125490</v>
      </c>
      <c r="C81" s="414" t="s">
        <v>1720</v>
      </c>
      <c r="D81" s="443">
        <f t="shared" si="13"/>
        <v>2713994</v>
      </c>
      <c r="E81" s="431">
        <v>642282</v>
      </c>
      <c r="F81" s="431">
        <v>91370</v>
      </c>
      <c r="G81" s="431">
        <v>231668</v>
      </c>
      <c r="H81" s="431">
        <v>0</v>
      </c>
      <c r="I81" s="431">
        <v>834893</v>
      </c>
      <c r="J81" s="431">
        <v>150000</v>
      </c>
      <c r="K81" s="431">
        <v>1077910</v>
      </c>
      <c r="L81" s="431"/>
      <c r="M81" s="431">
        <v>8909</v>
      </c>
      <c r="N81" s="431">
        <v>0</v>
      </c>
      <c r="O81" s="431"/>
      <c r="P81" s="443">
        <f t="shared" si="14"/>
        <v>2541420</v>
      </c>
      <c r="Q81" s="431">
        <v>1123598</v>
      </c>
      <c r="R81" s="431">
        <v>976295</v>
      </c>
      <c r="S81" s="431">
        <v>0</v>
      </c>
      <c r="T81" s="431">
        <v>0</v>
      </c>
      <c r="U81" s="431">
        <v>64134</v>
      </c>
      <c r="V81" s="431">
        <v>80000</v>
      </c>
      <c r="W81" s="431">
        <v>0</v>
      </c>
      <c r="X81" s="431">
        <v>172659</v>
      </c>
      <c r="Y81" s="431">
        <v>4000</v>
      </c>
      <c r="Z81" s="431">
        <v>138920</v>
      </c>
      <c r="AA81" s="431">
        <v>0</v>
      </c>
      <c r="AB81" s="431">
        <v>-18186</v>
      </c>
      <c r="AC81" s="431">
        <v>687455</v>
      </c>
      <c r="AD81" s="431">
        <v>0</v>
      </c>
      <c r="AE81" s="431">
        <v>747104</v>
      </c>
      <c r="AF81" s="431">
        <v>0</v>
      </c>
      <c r="AG81" s="431">
        <v>103599</v>
      </c>
      <c r="AH81" s="431">
        <v>172659</v>
      </c>
      <c r="AI81" s="431">
        <v>226434</v>
      </c>
      <c r="AJ81" s="431">
        <v>9374</v>
      </c>
      <c r="AK81" s="431">
        <v>0</v>
      </c>
      <c r="AL81" s="431">
        <v>594795</v>
      </c>
      <c r="AM81" s="431"/>
    </row>
    <row r="82" spans="1:39" s="155" customFormat="1" ht="12" x14ac:dyDescent="0.2">
      <c r="A82" s="168">
        <v>28</v>
      </c>
      <c r="B82" s="199">
        <v>126905</v>
      </c>
      <c r="C82" s="414" t="s">
        <v>1721</v>
      </c>
      <c r="D82" s="443">
        <f t="shared" si="13"/>
        <v>2553095</v>
      </c>
      <c r="E82" s="431">
        <v>566514</v>
      </c>
      <c r="F82" s="431">
        <v>47073</v>
      </c>
      <c r="G82" s="431">
        <v>243251</v>
      </c>
      <c r="H82" s="431">
        <v>0</v>
      </c>
      <c r="I82" s="431">
        <v>614398</v>
      </c>
      <c r="J82" s="431">
        <v>50000</v>
      </c>
      <c r="K82" s="431">
        <v>1120410</v>
      </c>
      <c r="L82" s="431"/>
      <c r="M82" s="431">
        <v>201773</v>
      </c>
      <c r="N82" s="431">
        <v>0</v>
      </c>
      <c r="O82" s="431"/>
      <c r="P82" s="443">
        <f t="shared" si="14"/>
        <v>1453686</v>
      </c>
      <c r="Q82" s="431">
        <v>855695</v>
      </c>
      <c r="R82" s="431">
        <v>249118</v>
      </c>
      <c r="S82" s="431">
        <v>0</v>
      </c>
      <c r="T82" s="431">
        <v>0</v>
      </c>
      <c r="U82" s="431">
        <v>0</v>
      </c>
      <c r="V82" s="431">
        <v>0</v>
      </c>
      <c r="W82" s="431">
        <v>0</v>
      </c>
      <c r="X82" s="431">
        <v>131647</v>
      </c>
      <c r="Y82" s="431">
        <v>0</v>
      </c>
      <c r="Z82" s="431">
        <v>217226</v>
      </c>
      <c r="AA82" s="431">
        <v>0</v>
      </c>
      <c r="AB82" s="431">
        <v>0</v>
      </c>
      <c r="AC82" s="431">
        <v>457268</v>
      </c>
      <c r="AD82" s="431">
        <v>12912</v>
      </c>
      <c r="AE82" s="431">
        <v>582789</v>
      </c>
      <c r="AF82" s="431">
        <v>0</v>
      </c>
      <c r="AG82" s="431">
        <v>19093</v>
      </c>
      <c r="AH82" s="431">
        <v>147119</v>
      </c>
      <c r="AI82" s="431">
        <v>9551</v>
      </c>
      <c r="AJ82" s="431">
        <v>0</v>
      </c>
      <c r="AK82" s="431">
        <v>0</v>
      </c>
      <c r="AL82" s="431">
        <v>224954</v>
      </c>
      <c r="AM82" s="431"/>
    </row>
    <row r="83" spans="1:39" s="155" customFormat="1" ht="12" x14ac:dyDescent="0.2">
      <c r="A83" s="168">
        <v>29</v>
      </c>
      <c r="B83" s="199">
        <v>126978</v>
      </c>
      <c r="C83" s="414" t="s">
        <v>1722</v>
      </c>
      <c r="D83" s="443">
        <f t="shared" si="13"/>
        <v>7541950</v>
      </c>
      <c r="E83" s="431">
        <v>905247</v>
      </c>
      <c r="F83" s="431">
        <v>184581</v>
      </c>
      <c r="G83" s="431">
        <v>231668</v>
      </c>
      <c r="H83" s="431">
        <v>0</v>
      </c>
      <c r="I83" s="431">
        <v>2068670</v>
      </c>
      <c r="J83" s="431">
        <v>50000</v>
      </c>
      <c r="K83" s="431">
        <v>963620</v>
      </c>
      <c r="L83" s="431"/>
      <c r="M83" s="431">
        <v>1889937</v>
      </c>
      <c r="N83" s="431">
        <v>1664476</v>
      </c>
      <c r="O83" s="431"/>
      <c r="P83" s="443">
        <f t="shared" si="14"/>
        <v>5408798</v>
      </c>
      <c r="Q83" s="431">
        <v>2175302</v>
      </c>
      <c r="R83" s="431">
        <v>484868</v>
      </c>
      <c r="S83" s="431">
        <v>0</v>
      </c>
      <c r="T83" s="431">
        <v>0</v>
      </c>
      <c r="U83" s="431">
        <v>0</v>
      </c>
      <c r="V83" s="431">
        <v>0</v>
      </c>
      <c r="W83" s="431">
        <v>88040</v>
      </c>
      <c r="X83" s="431">
        <v>430543</v>
      </c>
      <c r="Y83" s="431">
        <v>23250</v>
      </c>
      <c r="Z83" s="431">
        <v>2206795</v>
      </c>
      <c r="AA83" s="431">
        <v>0</v>
      </c>
      <c r="AB83" s="431">
        <v>0</v>
      </c>
      <c r="AC83" s="431">
        <v>713388</v>
      </c>
      <c r="AD83" s="431">
        <v>66732</v>
      </c>
      <c r="AE83" s="431">
        <v>1782830</v>
      </c>
      <c r="AF83" s="431">
        <v>0</v>
      </c>
      <c r="AG83" s="431">
        <v>50405</v>
      </c>
      <c r="AH83" s="431">
        <v>430543</v>
      </c>
      <c r="AI83" s="431">
        <v>139405</v>
      </c>
      <c r="AJ83" s="431">
        <v>3501</v>
      </c>
      <c r="AK83" s="431">
        <v>0</v>
      </c>
      <c r="AL83" s="431">
        <v>2212602</v>
      </c>
      <c r="AM83" s="431">
        <v>9392</v>
      </c>
    </row>
    <row r="84" spans="1:39" s="155" customFormat="1" ht="12" x14ac:dyDescent="0.2">
      <c r="A84" s="168">
        <v>30</v>
      </c>
      <c r="B84" s="199">
        <v>127019</v>
      </c>
      <c r="C84" s="414" t="s">
        <v>1723</v>
      </c>
      <c r="D84" s="443">
        <f t="shared" si="13"/>
        <v>6288578</v>
      </c>
      <c r="E84" s="431">
        <v>905572</v>
      </c>
      <c r="F84" s="431">
        <v>212548</v>
      </c>
      <c r="G84" s="431">
        <v>267383</v>
      </c>
      <c r="H84" s="431">
        <v>0</v>
      </c>
      <c r="I84" s="431">
        <v>2667171</v>
      </c>
      <c r="J84" s="431">
        <v>50000</v>
      </c>
      <c r="K84" s="431">
        <v>1096930</v>
      </c>
      <c r="L84" s="431"/>
      <c r="M84" s="431">
        <v>1260758</v>
      </c>
      <c r="N84" s="431">
        <v>208147</v>
      </c>
      <c r="O84" s="431">
        <v>100000</v>
      </c>
      <c r="P84" s="443">
        <f t="shared" si="14"/>
        <v>5727524</v>
      </c>
      <c r="Q84" s="431">
        <v>2664237</v>
      </c>
      <c r="R84" s="431">
        <v>668006</v>
      </c>
      <c r="S84" s="431">
        <v>0</v>
      </c>
      <c r="T84" s="431">
        <v>0</v>
      </c>
      <c r="U84" s="431">
        <v>0</v>
      </c>
      <c r="V84" s="431">
        <v>0</v>
      </c>
      <c r="W84" s="431">
        <v>481482</v>
      </c>
      <c r="X84" s="431">
        <v>673244</v>
      </c>
      <c r="Y84" s="431">
        <v>0</v>
      </c>
      <c r="Z84" s="431">
        <v>1240555</v>
      </c>
      <c r="AA84" s="431">
        <v>0</v>
      </c>
      <c r="AB84" s="431">
        <v>0</v>
      </c>
      <c r="AC84" s="431">
        <v>1019792</v>
      </c>
      <c r="AD84" s="431">
        <v>0</v>
      </c>
      <c r="AE84" s="431">
        <v>2220884</v>
      </c>
      <c r="AF84" s="431">
        <v>0</v>
      </c>
      <c r="AG84" s="431">
        <v>596614</v>
      </c>
      <c r="AH84" s="431">
        <v>673244</v>
      </c>
      <c r="AI84" s="431">
        <v>38027</v>
      </c>
      <c r="AJ84" s="431">
        <v>0</v>
      </c>
      <c r="AK84" s="431">
        <v>0</v>
      </c>
      <c r="AL84" s="431">
        <v>1173963</v>
      </c>
      <c r="AM84" s="431">
        <v>5000</v>
      </c>
    </row>
    <row r="85" spans="1:39" s="155" customFormat="1" ht="12" x14ac:dyDescent="0.2">
      <c r="A85" s="168">
        <v>31</v>
      </c>
      <c r="B85" s="199">
        <v>127064</v>
      </c>
      <c r="C85" s="414" t="s">
        <v>1724</v>
      </c>
      <c r="D85" s="443">
        <f t="shared" si="13"/>
        <v>7261999</v>
      </c>
      <c r="E85" s="431">
        <v>1378800</v>
      </c>
      <c r="F85" s="431">
        <v>586159</v>
      </c>
      <c r="G85" s="431">
        <v>261591</v>
      </c>
      <c r="H85" s="431">
        <v>0</v>
      </c>
      <c r="I85" s="431">
        <v>1563937</v>
      </c>
      <c r="J85" s="431">
        <v>50000</v>
      </c>
      <c r="K85" s="431">
        <v>865460</v>
      </c>
      <c r="L85" s="431"/>
      <c r="M85" s="431">
        <v>3186604</v>
      </c>
      <c r="N85" s="431">
        <v>217198</v>
      </c>
      <c r="O85" s="431"/>
      <c r="P85" s="443">
        <f t="shared" si="14"/>
        <v>7927641</v>
      </c>
      <c r="Q85" s="431">
        <v>1769699</v>
      </c>
      <c r="R85" s="431">
        <v>696924</v>
      </c>
      <c r="S85" s="431">
        <v>0</v>
      </c>
      <c r="T85" s="431">
        <v>0</v>
      </c>
      <c r="U85" s="431">
        <v>0</v>
      </c>
      <c r="V85" s="431">
        <v>3000</v>
      </c>
      <c r="W85" s="431">
        <v>0</v>
      </c>
      <c r="X85" s="431">
        <v>282915</v>
      </c>
      <c r="Y85" s="431">
        <v>10000</v>
      </c>
      <c r="Z85" s="431">
        <v>5165103</v>
      </c>
      <c r="AA85" s="431">
        <v>0</v>
      </c>
      <c r="AB85" s="431">
        <v>0</v>
      </c>
      <c r="AC85" s="431">
        <v>696811</v>
      </c>
      <c r="AD85" s="431">
        <v>0</v>
      </c>
      <c r="AE85" s="431">
        <v>1470988</v>
      </c>
      <c r="AF85" s="431">
        <v>0</v>
      </c>
      <c r="AG85" s="431">
        <v>3000</v>
      </c>
      <c r="AH85" s="431">
        <v>282915</v>
      </c>
      <c r="AI85" s="431">
        <v>2370788</v>
      </c>
      <c r="AJ85" s="431">
        <v>30222</v>
      </c>
      <c r="AK85" s="431">
        <v>0</v>
      </c>
      <c r="AL85" s="431">
        <v>2906513</v>
      </c>
      <c r="AM85" s="431">
        <v>166404</v>
      </c>
    </row>
    <row r="86" spans="1:39" s="155" customFormat="1" ht="12" x14ac:dyDescent="0.2">
      <c r="A86" s="168">
        <v>32</v>
      </c>
      <c r="B86" s="199">
        <v>130302</v>
      </c>
      <c r="C86" s="414" t="s">
        <v>1725</v>
      </c>
      <c r="D86" s="443">
        <f t="shared" si="13"/>
        <v>6807274</v>
      </c>
      <c r="E86" s="431">
        <v>641156</v>
      </c>
      <c r="F86" s="431">
        <v>82163</v>
      </c>
      <c r="G86" s="431">
        <v>281862</v>
      </c>
      <c r="H86" s="431">
        <v>0</v>
      </c>
      <c r="I86" s="431">
        <v>1221070</v>
      </c>
      <c r="J86" s="431">
        <v>50000</v>
      </c>
      <c r="K86" s="431">
        <v>1149010</v>
      </c>
      <c r="L86" s="431"/>
      <c r="M86" s="431">
        <v>3744343</v>
      </c>
      <c r="N86" s="431">
        <v>1695</v>
      </c>
      <c r="O86" s="431"/>
      <c r="P86" s="443">
        <f t="shared" si="14"/>
        <v>6850532</v>
      </c>
      <c r="Q86" s="431">
        <v>1493485</v>
      </c>
      <c r="R86" s="431">
        <v>560185</v>
      </c>
      <c r="S86" s="431">
        <v>0</v>
      </c>
      <c r="T86" s="431">
        <v>0</v>
      </c>
      <c r="U86" s="431">
        <v>0</v>
      </c>
      <c r="V86" s="431">
        <v>0</v>
      </c>
      <c r="W86" s="431">
        <v>0</v>
      </c>
      <c r="X86" s="431">
        <v>156519</v>
      </c>
      <c r="Y86" s="431">
        <v>6000</v>
      </c>
      <c r="Z86" s="431">
        <v>4639985</v>
      </c>
      <c r="AA86" s="431">
        <v>0</v>
      </c>
      <c r="AB86" s="431">
        <v>-5642</v>
      </c>
      <c r="AC86" s="431">
        <v>630915</v>
      </c>
      <c r="AD86" s="431">
        <v>1958</v>
      </c>
      <c r="AE86" s="431">
        <v>1038602</v>
      </c>
      <c r="AF86" s="431">
        <v>0</v>
      </c>
      <c r="AG86" s="431">
        <v>72779</v>
      </c>
      <c r="AH86" s="431">
        <v>293949</v>
      </c>
      <c r="AI86" s="431">
        <v>439235</v>
      </c>
      <c r="AJ86" s="431">
        <v>2818537</v>
      </c>
      <c r="AK86" s="431">
        <v>0</v>
      </c>
      <c r="AL86" s="431">
        <v>1551058</v>
      </c>
      <c r="AM86" s="431">
        <v>3499</v>
      </c>
    </row>
    <row r="87" spans="1:39" s="155" customFormat="1" ht="12" x14ac:dyDescent="0.2">
      <c r="A87" s="168">
        <v>33</v>
      </c>
      <c r="B87" s="199">
        <v>125588</v>
      </c>
      <c r="C87" s="414" t="s">
        <v>1726</v>
      </c>
      <c r="D87" s="443">
        <f t="shared" si="13"/>
        <v>4558944</v>
      </c>
      <c r="E87" s="431">
        <v>706791</v>
      </c>
      <c r="F87" s="431">
        <v>103360</v>
      </c>
      <c r="G87" s="431">
        <v>259661</v>
      </c>
      <c r="H87" s="431">
        <v>0</v>
      </c>
      <c r="I87" s="431">
        <v>1408235</v>
      </c>
      <c r="J87" s="431">
        <v>50000</v>
      </c>
      <c r="K87" s="431">
        <v>1187340</v>
      </c>
      <c r="L87" s="431"/>
      <c r="M87" s="431">
        <v>418546</v>
      </c>
      <c r="N87" s="431">
        <v>788032</v>
      </c>
      <c r="O87" s="431"/>
      <c r="P87" s="443">
        <f t="shared" si="14"/>
        <v>4664178</v>
      </c>
      <c r="Q87" s="431">
        <v>1799025</v>
      </c>
      <c r="R87" s="431">
        <v>568639</v>
      </c>
      <c r="S87" s="431">
        <v>0</v>
      </c>
      <c r="T87" s="431">
        <v>0</v>
      </c>
      <c r="U87" s="431">
        <v>0</v>
      </c>
      <c r="V87" s="431">
        <v>0</v>
      </c>
      <c r="W87" s="431">
        <v>1760056</v>
      </c>
      <c r="X87" s="431">
        <v>243310</v>
      </c>
      <c r="Y87" s="431">
        <v>0</v>
      </c>
      <c r="Z87" s="431">
        <v>293148</v>
      </c>
      <c r="AA87" s="431">
        <v>0</v>
      </c>
      <c r="AB87" s="431">
        <v>0</v>
      </c>
      <c r="AC87" s="431">
        <v>752184</v>
      </c>
      <c r="AD87" s="431">
        <v>46212</v>
      </c>
      <c r="AE87" s="431">
        <v>1141440</v>
      </c>
      <c r="AF87" s="431">
        <v>23403</v>
      </c>
      <c r="AG87" s="431">
        <v>1869056</v>
      </c>
      <c r="AH87" s="431">
        <v>437304</v>
      </c>
      <c r="AI87" s="431">
        <v>34675</v>
      </c>
      <c r="AJ87" s="431">
        <v>215427</v>
      </c>
      <c r="AK87" s="431">
        <v>0</v>
      </c>
      <c r="AL87" s="431">
        <v>105567</v>
      </c>
      <c r="AM87" s="431">
        <v>38910</v>
      </c>
    </row>
    <row r="88" spans="1:39" s="155" customFormat="1" ht="12" x14ac:dyDescent="0.2">
      <c r="A88" s="168">
        <v>34</v>
      </c>
      <c r="B88" s="199">
        <v>130311</v>
      </c>
      <c r="C88" s="414" t="s">
        <v>1727</v>
      </c>
      <c r="D88" s="443">
        <f t="shared" si="13"/>
        <v>3234815</v>
      </c>
      <c r="E88" s="431">
        <v>759399</v>
      </c>
      <c r="F88" s="431">
        <v>92030</v>
      </c>
      <c r="G88" s="431">
        <v>239390</v>
      </c>
      <c r="H88" s="431">
        <v>0</v>
      </c>
      <c r="I88" s="431">
        <v>918723</v>
      </c>
      <c r="J88" s="431">
        <v>50000</v>
      </c>
      <c r="K88" s="431">
        <v>1185290</v>
      </c>
      <c r="L88" s="431"/>
      <c r="M88" s="431">
        <v>321403</v>
      </c>
      <c r="N88" s="431">
        <v>0</v>
      </c>
      <c r="O88" s="431"/>
      <c r="P88" s="443">
        <f t="shared" si="14"/>
        <v>3075188</v>
      </c>
      <c r="Q88" s="431">
        <v>1329505</v>
      </c>
      <c r="R88" s="431">
        <v>860390</v>
      </c>
      <c r="S88" s="431">
        <v>0</v>
      </c>
      <c r="T88" s="431">
        <v>0</v>
      </c>
      <c r="U88" s="431">
        <v>0</v>
      </c>
      <c r="V88" s="431">
        <v>0</v>
      </c>
      <c r="W88" s="431">
        <v>0</v>
      </c>
      <c r="X88" s="431">
        <v>71071</v>
      </c>
      <c r="Y88" s="431">
        <v>0</v>
      </c>
      <c r="Z88" s="431">
        <v>814222</v>
      </c>
      <c r="AA88" s="431">
        <v>0</v>
      </c>
      <c r="AB88" s="431">
        <v>0</v>
      </c>
      <c r="AC88" s="431">
        <v>865782</v>
      </c>
      <c r="AD88" s="431">
        <v>78087</v>
      </c>
      <c r="AE88" s="431">
        <v>831062</v>
      </c>
      <c r="AF88" s="431">
        <v>23479</v>
      </c>
      <c r="AG88" s="431">
        <v>108672</v>
      </c>
      <c r="AH88" s="431">
        <v>182215</v>
      </c>
      <c r="AI88" s="431">
        <v>431964</v>
      </c>
      <c r="AJ88" s="431">
        <v>0</v>
      </c>
      <c r="AK88" s="431">
        <v>0</v>
      </c>
      <c r="AL88" s="431">
        <v>410663</v>
      </c>
      <c r="AM88" s="431">
        <v>143264</v>
      </c>
    </row>
    <row r="89" spans="1:39" s="155" customFormat="1" ht="12" x14ac:dyDescent="0.2">
      <c r="A89" s="168">
        <v>35</v>
      </c>
      <c r="B89" s="199">
        <v>127126</v>
      </c>
      <c r="C89" s="414" t="s">
        <v>1728</v>
      </c>
      <c r="D89" s="443">
        <f t="shared" si="13"/>
        <v>3462542</v>
      </c>
      <c r="E89" s="431">
        <v>843408</v>
      </c>
      <c r="F89" s="431">
        <v>178675</v>
      </c>
      <c r="G89" s="431">
        <v>264487</v>
      </c>
      <c r="H89" s="431">
        <v>0</v>
      </c>
      <c r="I89" s="431">
        <v>1156968</v>
      </c>
      <c r="J89" s="431">
        <v>50000</v>
      </c>
      <c r="K89" s="431">
        <v>927020</v>
      </c>
      <c r="L89" s="431"/>
      <c r="M89" s="431">
        <v>106865</v>
      </c>
      <c r="N89" s="431">
        <v>314581</v>
      </c>
      <c r="O89" s="431">
        <v>63700</v>
      </c>
      <c r="P89" s="443">
        <f t="shared" si="14"/>
        <v>2937373</v>
      </c>
      <c r="Q89" s="431">
        <v>1538725</v>
      </c>
      <c r="R89" s="431">
        <v>745624</v>
      </c>
      <c r="S89" s="431">
        <v>0</v>
      </c>
      <c r="T89" s="431">
        <v>0</v>
      </c>
      <c r="U89" s="431">
        <v>0</v>
      </c>
      <c r="V89" s="431">
        <v>0</v>
      </c>
      <c r="W89" s="431">
        <v>405177</v>
      </c>
      <c r="X89" s="431">
        <v>73297</v>
      </c>
      <c r="Y89" s="431">
        <v>0</v>
      </c>
      <c r="Z89" s="431">
        <v>174550</v>
      </c>
      <c r="AA89" s="431">
        <v>0</v>
      </c>
      <c r="AB89" s="431">
        <v>0</v>
      </c>
      <c r="AC89" s="431">
        <v>1243318</v>
      </c>
      <c r="AD89" s="431">
        <v>89633</v>
      </c>
      <c r="AE89" s="431">
        <v>1062368</v>
      </c>
      <c r="AF89" s="431">
        <v>0</v>
      </c>
      <c r="AG89" s="431">
        <v>56222</v>
      </c>
      <c r="AH89" s="431">
        <v>221764</v>
      </c>
      <c r="AI89" s="431">
        <v>63071</v>
      </c>
      <c r="AJ89" s="431">
        <v>31362</v>
      </c>
      <c r="AK89" s="431">
        <v>0</v>
      </c>
      <c r="AL89" s="431">
        <v>99205</v>
      </c>
      <c r="AM89" s="431">
        <v>70430</v>
      </c>
    </row>
    <row r="90" spans="1:39" s="155" customFormat="1" ht="12" x14ac:dyDescent="0.2">
      <c r="A90" s="168">
        <v>36</v>
      </c>
      <c r="B90" s="199">
        <v>127144</v>
      </c>
      <c r="C90" s="414" t="s">
        <v>1729</v>
      </c>
      <c r="D90" s="443">
        <f t="shared" si="13"/>
        <v>9012013</v>
      </c>
      <c r="E90" s="431">
        <v>945181</v>
      </c>
      <c r="F90" s="431">
        <v>111086</v>
      </c>
      <c r="G90" s="431">
        <v>231668</v>
      </c>
      <c r="H90" s="431">
        <v>0</v>
      </c>
      <c r="I90" s="431">
        <v>1125266</v>
      </c>
      <c r="J90" s="431">
        <v>50000</v>
      </c>
      <c r="K90" s="431">
        <v>982230</v>
      </c>
      <c r="L90" s="431"/>
      <c r="M90" s="431">
        <v>1957325</v>
      </c>
      <c r="N90" s="431">
        <v>3824039</v>
      </c>
      <c r="O90" s="431">
        <v>127972</v>
      </c>
      <c r="P90" s="443">
        <f t="shared" si="14"/>
        <v>5121014</v>
      </c>
      <c r="Q90" s="431">
        <v>1353010</v>
      </c>
      <c r="R90" s="431">
        <v>844318</v>
      </c>
      <c r="S90" s="431">
        <v>0</v>
      </c>
      <c r="T90" s="431">
        <v>0</v>
      </c>
      <c r="U90" s="431">
        <v>0</v>
      </c>
      <c r="V90" s="431">
        <v>0</v>
      </c>
      <c r="W90" s="431">
        <v>0</v>
      </c>
      <c r="X90" s="431">
        <v>290017</v>
      </c>
      <c r="Y90" s="431">
        <v>9935</v>
      </c>
      <c r="Z90" s="431">
        <v>2623734</v>
      </c>
      <c r="AA90" s="431">
        <v>0</v>
      </c>
      <c r="AB90" s="431">
        <v>0</v>
      </c>
      <c r="AC90" s="431">
        <v>1254599</v>
      </c>
      <c r="AD90" s="431">
        <v>34696</v>
      </c>
      <c r="AE90" s="431">
        <v>1241018</v>
      </c>
      <c r="AF90" s="431">
        <v>0</v>
      </c>
      <c r="AG90" s="431">
        <v>89718</v>
      </c>
      <c r="AH90" s="431">
        <v>290017</v>
      </c>
      <c r="AI90" s="431">
        <v>58152</v>
      </c>
      <c r="AJ90" s="431">
        <v>0</v>
      </c>
      <c r="AK90" s="431">
        <v>0</v>
      </c>
      <c r="AL90" s="431">
        <v>2152814</v>
      </c>
      <c r="AM90" s="431"/>
    </row>
    <row r="91" spans="1:39" s="155" customFormat="1" ht="12" x14ac:dyDescent="0.2">
      <c r="A91" s="168">
        <v>37</v>
      </c>
      <c r="B91" s="199">
        <v>127171</v>
      </c>
      <c r="C91" s="414" t="s">
        <v>1730</v>
      </c>
      <c r="D91" s="443">
        <f t="shared" si="13"/>
        <v>7096098</v>
      </c>
      <c r="E91" s="431">
        <v>738674</v>
      </c>
      <c r="F91" s="431">
        <v>134898</v>
      </c>
      <c r="G91" s="431">
        <v>258695</v>
      </c>
      <c r="H91" s="431">
        <v>0</v>
      </c>
      <c r="I91" s="431">
        <v>1146005</v>
      </c>
      <c r="J91" s="431">
        <v>50000</v>
      </c>
      <c r="K91" s="431">
        <v>1029550</v>
      </c>
      <c r="L91" s="431"/>
      <c r="M91" s="431">
        <v>843367</v>
      </c>
      <c r="N91" s="431">
        <v>3238502</v>
      </c>
      <c r="O91" s="431">
        <v>50000</v>
      </c>
      <c r="P91" s="443">
        <f t="shared" si="14"/>
        <v>5413789</v>
      </c>
      <c r="Q91" s="431">
        <v>1409289</v>
      </c>
      <c r="R91" s="431">
        <v>1044753</v>
      </c>
      <c r="S91" s="431">
        <v>0</v>
      </c>
      <c r="T91" s="431">
        <v>0</v>
      </c>
      <c r="U91" s="431">
        <v>0</v>
      </c>
      <c r="V91" s="431">
        <v>0</v>
      </c>
      <c r="W91" s="431">
        <v>1752590</v>
      </c>
      <c r="X91" s="431">
        <v>229897</v>
      </c>
      <c r="Y91" s="431">
        <v>15000</v>
      </c>
      <c r="Z91" s="431">
        <v>962260</v>
      </c>
      <c r="AA91" s="431">
        <v>0</v>
      </c>
      <c r="AB91" s="431">
        <v>0</v>
      </c>
      <c r="AC91" s="431">
        <v>2206351</v>
      </c>
      <c r="AD91" s="431">
        <v>59565</v>
      </c>
      <c r="AE91" s="431">
        <v>1857010</v>
      </c>
      <c r="AF91" s="431">
        <v>9554</v>
      </c>
      <c r="AG91" s="431">
        <v>0</v>
      </c>
      <c r="AH91" s="431">
        <v>320642</v>
      </c>
      <c r="AI91" s="431">
        <v>163487</v>
      </c>
      <c r="AJ91" s="431">
        <v>0</v>
      </c>
      <c r="AK91" s="431">
        <v>0</v>
      </c>
      <c r="AL91" s="431">
        <v>797180</v>
      </c>
      <c r="AM91" s="431"/>
    </row>
    <row r="92" spans="1:39" s="155" customFormat="1" ht="12" x14ac:dyDescent="0.2">
      <c r="A92" s="168">
        <v>38</v>
      </c>
      <c r="B92" s="199">
        <v>130320</v>
      </c>
      <c r="C92" s="414" t="s">
        <v>1731</v>
      </c>
      <c r="D92" s="443">
        <f t="shared" si="13"/>
        <v>3424969</v>
      </c>
      <c r="E92" s="431">
        <v>750712</v>
      </c>
      <c r="F92" s="431">
        <v>166489</v>
      </c>
      <c r="G92" s="431">
        <v>285723</v>
      </c>
      <c r="H92" s="431">
        <v>0</v>
      </c>
      <c r="I92" s="431">
        <v>957616</v>
      </c>
      <c r="J92" s="431">
        <v>50000</v>
      </c>
      <c r="K92" s="431">
        <v>1032780</v>
      </c>
      <c r="L92" s="431"/>
      <c r="M92" s="431">
        <v>358735</v>
      </c>
      <c r="N92" s="431">
        <v>275126</v>
      </c>
      <c r="O92" s="431"/>
      <c r="P92" s="443">
        <f t="shared" si="14"/>
        <v>3440776</v>
      </c>
      <c r="Q92" s="431">
        <v>1265503</v>
      </c>
      <c r="R92" s="431">
        <v>484347</v>
      </c>
      <c r="S92" s="431">
        <v>0</v>
      </c>
      <c r="T92" s="431">
        <v>0</v>
      </c>
      <c r="U92" s="431">
        <v>0</v>
      </c>
      <c r="V92" s="431">
        <v>0</v>
      </c>
      <c r="W92" s="431">
        <v>367339</v>
      </c>
      <c r="X92" s="431">
        <v>164996</v>
      </c>
      <c r="Y92" s="431">
        <v>10000</v>
      </c>
      <c r="Z92" s="431">
        <v>1148823</v>
      </c>
      <c r="AA92" s="431">
        <v>0</v>
      </c>
      <c r="AB92" s="431">
        <v>-232</v>
      </c>
      <c r="AC92" s="431">
        <v>609596</v>
      </c>
      <c r="AD92" s="431">
        <v>41934</v>
      </c>
      <c r="AE92" s="431">
        <v>894682</v>
      </c>
      <c r="AF92" s="431">
        <v>18695</v>
      </c>
      <c r="AG92" s="431">
        <v>409323</v>
      </c>
      <c r="AH92" s="431">
        <v>243655</v>
      </c>
      <c r="AI92" s="431">
        <v>373447</v>
      </c>
      <c r="AJ92" s="431">
        <v>345472</v>
      </c>
      <c r="AK92" s="431">
        <v>0</v>
      </c>
      <c r="AL92" s="431">
        <v>503972</v>
      </c>
      <c r="AM92" s="431"/>
    </row>
    <row r="93" spans="1:39" s="155" customFormat="1" ht="12" x14ac:dyDescent="0.2">
      <c r="A93" s="168">
        <v>39</v>
      </c>
      <c r="B93" s="199">
        <v>127224</v>
      </c>
      <c r="C93" s="414" t="s">
        <v>1732</v>
      </c>
      <c r="D93" s="443">
        <f t="shared" si="13"/>
        <v>4538317</v>
      </c>
      <c r="E93" s="431">
        <v>919518</v>
      </c>
      <c r="F93" s="431">
        <v>123399</v>
      </c>
      <c r="G93" s="431">
        <v>211397</v>
      </c>
      <c r="H93" s="431">
        <v>0</v>
      </c>
      <c r="I93" s="431">
        <v>1190828</v>
      </c>
      <c r="J93" s="431">
        <v>50000</v>
      </c>
      <c r="K93" s="431">
        <v>799330</v>
      </c>
      <c r="L93" s="431"/>
      <c r="M93" s="431">
        <v>353134</v>
      </c>
      <c r="N93" s="431">
        <v>1125507</v>
      </c>
      <c r="O93" s="431">
        <v>100000</v>
      </c>
      <c r="P93" s="443">
        <f t="shared" si="14"/>
        <v>4726527</v>
      </c>
      <c r="Q93" s="431">
        <v>1625658</v>
      </c>
      <c r="R93" s="431">
        <v>528288</v>
      </c>
      <c r="S93" s="431">
        <v>0</v>
      </c>
      <c r="T93" s="431">
        <v>0</v>
      </c>
      <c r="U93" s="431">
        <v>0</v>
      </c>
      <c r="V93" s="431">
        <v>0</v>
      </c>
      <c r="W93" s="431">
        <v>2324326</v>
      </c>
      <c r="X93" s="431">
        <v>235505</v>
      </c>
      <c r="Y93" s="431">
        <v>0</v>
      </c>
      <c r="Z93" s="431">
        <v>13000</v>
      </c>
      <c r="AA93" s="431">
        <v>0</v>
      </c>
      <c r="AB93" s="431">
        <v>-250</v>
      </c>
      <c r="AC93" s="431">
        <v>879504</v>
      </c>
      <c r="AD93" s="431">
        <v>2923</v>
      </c>
      <c r="AE93" s="431">
        <v>959165</v>
      </c>
      <c r="AF93" s="431">
        <v>18433</v>
      </c>
      <c r="AG93" s="431">
        <v>1794257</v>
      </c>
      <c r="AH93" s="431">
        <v>338148</v>
      </c>
      <c r="AI93" s="431">
        <v>50747</v>
      </c>
      <c r="AJ93" s="431">
        <v>40982</v>
      </c>
      <c r="AK93" s="431">
        <v>0</v>
      </c>
      <c r="AL93" s="431">
        <v>69189</v>
      </c>
      <c r="AM93" s="431">
        <v>573179</v>
      </c>
    </row>
    <row r="94" spans="1:39" s="155" customFormat="1" ht="12" x14ac:dyDescent="0.2">
      <c r="A94" s="168">
        <v>40</v>
      </c>
      <c r="B94" s="199">
        <v>130339</v>
      </c>
      <c r="C94" s="414" t="s">
        <v>1733</v>
      </c>
      <c r="D94" s="443">
        <f t="shared" si="13"/>
        <v>4250894</v>
      </c>
      <c r="E94" s="431">
        <v>693541</v>
      </c>
      <c r="F94" s="431">
        <v>186396</v>
      </c>
      <c r="G94" s="431">
        <v>233598</v>
      </c>
      <c r="H94" s="431">
        <v>0</v>
      </c>
      <c r="I94" s="431">
        <v>970599</v>
      </c>
      <c r="J94" s="431">
        <v>50000</v>
      </c>
      <c r="K94" s="431">
        <v>1125510</v>
      </c>
      <c r="L94" s="431"/>
      <c r="M94" s="431">
        <v>960558</v>
      </c>
      <c r="N94" s="431">
        <v>383074</v>
      </c>
      <c r="O94" s="431">
        <v>67612</v>
      </c>
      <c r="P94" s="443">
        <f t="shared" si="14"/>
        <v>4212053</v>
      </c>
      <c r="Q94" s="431">
        <v>1286437</v>
      </c>
      <c r="R94" s="431">
        <v>400268</v>
      </c>
      <c r="S94" s="431">
        <v>0</v>
      </c>
      <c r="T94" s="431">
        <v>0</v>
      </c>
      <c r="U94" s="431">
        <v>0</v>
      </c>
      <c r="V94" s="431">
        <v>0</v>
      </c>
      <c r="W94" s="431">
        <v>734878</v>
      </c>
      <c r="X94" s="431">
        <v>229296</v>
      </c>
      <c r="Y94" s="431">
        <v>0</v>
      </c>
      <c r="Z94" s="431">
        <v>1541174</v>
      </c>
      <c r="AA94" s="431">
        <v>20000</v>
      </c>
      <c r="AB94" s="431">
        <v>0</v>
      </c>
      <c r="AC94" s="431">
        <v>594019</v>
      </c>
      <c r="AD94" s="431">
        <v>58426</v>
      </c>
      <c r="AE94" s="431">
        <v>860505</v>
      </c>
      <c r="AF94" s="431">
        <v>21651</v>
      </c>
      <c r="AG94" s="431">
        <v>1379041</v>
      </c>
      <c r="AH94" s="431">
        <v>303529</v>
      </c>
      <c r="AI94" s="431">
        <v>90605</v>
      </c>
      <c r="AJ94" s="431">
        <v>25068</v>
      </c>
      <c r="AK94" s="431">
        <v>0</v>
      </c>
      <c r="AL94" s="431">
        <v>811383</v>
      </c>
      <c r="AM94" s="431">
        <v>67826</v>
      </c>
    </row>
    <row r="95" spans="1:39" s="155" customFormat="1" ht="12" x14ac:dyDescent="0.2">
      <c r="A95" s="168">
        <v>41</v>
      </c>
      <c r="B95" s="199">
        <v>127251</v>
      </c>
      <c r="C95" s="414" t="s">
        <v>1734</v>
      </c>
      <c r="D95" s="443">
        <f t="shared" si="13"/>
        <v>6660076</v>
      </c>
      <c r="E95" s="431">
        <v>1152779</v>
      </c>
      <c r="F95" s="431">
        <v>377554</v>
      </c>
      <c r="G95" s="431">
        <v>206570</v>
      </c>
      <c r="H95" s="431">
        <v>0</v>
      </c>
      <c r="I95" s="431">
        <v>2017128</v>
      </c>
      <c r="J95" s="431">
        <v>50000</v>
      </c>
      <c r="K95" s="431">
        <v>818250</v>
      </c>
      <c r="L95" s="431"/>
      <c r="M95" s="431">
        <v>1003428</v>
      </c>
      <c r="N95" s="431">
        <v>635841</v>
      </c>
      <c r="O95" s="431">
        <v>982650</v>
      </c>
      <c r="P95" s="443">
        <f t="shared" si="14"/>
        <v>6880675</v>
      </c>
      <c r="Q95" s="431">
        <v>2404439</v>
      </c>
      <c r="R95" s="431">
        <v>628489</v>
      </c>
      <c r="S95" s="431">
        <v>0</v>
      </c>
      <c r="T95" s="431">
        <v>0</v>
      </c>
      <c r="U95" s="431">
        <v>0</v>
      </c>
      <c r="V95" s="431">
        <v>0</v>
      </c>
      <c r="W95" s="431">
        <v>1570679</v>
      </c>
      <c r="X95" s="431">
        <v>349202</v>
      </c>
      <c r="Y95" s="431">
        <v>6000</v>
      </c>
      <c r="Z95" s="431">
        <v>1921866</v>
      </c>
      <c r="AA95" s="431">
        <v>0</v>
      </c>
      <c r="AB95" s="431">
        <v>0</v>
      </c>
      <c r="AC95" s="431">
        <v>843496</v>
      </c>
      <c r="AD95" s="431">
        <v>53500</v>
      </c>
      <c r="AE95" s="431">
        <v>1672399</v>
      </c>
      <c r="AF95" s="431">
        <v>29352</v>
      </c>
      <c r="AG95" s="431">
        <v>1776791</v>
      </c>
      <c r="AH95" s="431">
        <v>596372</v>
      </c>
      <c r="AI95" s="431">
        <v>861927</v>
      </c>
      <c r="AJ95" s="431">
        <v>927650</v>
      </c>
      <c r="AK95" s="431">
        <v>50000</v>
      </c>
      <c r="AL95" s="431">
        <v>66188</v>
      </c>
      <c r="AM95" s="431">
        <v>3000</v>
      </c>
    </row>
    <row r="96" spans="1:39" s="155" customFormat="1" ht="12" x14ac:dyDescent="0.2">
      <c r="A96" s="168">
        <v>42</v>
      </c>
      <c r="B96" s="199">
        <v>127288</v>
      </c>
      <c r="C96" s="414" t="s">
        <v>1735</v>
      </c>
      <c r="D96" s="443">
        <f t="shared" si="13"/>
        <v>7181264</v>
      </c>
      <c r="E96" s="431">
        <v>965570</v>
      </c>
      <c r="F96" s="431">
        <v>281290</v>
      </c>
      <c r="G96" s="431">
        <v>246147</v>
      </c>
      <c r="H96" s="431">
        <v>0</v>
      </c>
      <c r="I96" s="431">
        <v>3148760</v>
      </c>
      <c r="J96" s="431">
        <v>50000</v>
      </c>
      <c r="K96" s="431">
        <v>1018720</v>
      </c>
      <c r="L96" s="431"/>
      <c r="M96" s="431">
        <v>299744</v>
      </c>
      <c r="N96" s="431">
        <v>1698470</v>
      </c>
      <c r="O96" s="431"/>
      <c r="P96" s="443">
        <f t="shared" si="14"/>
        <v>5919838</v>
      </c>
      <c r="Q96" s="431">
        <v>3413643</v>
      </c>
      <c r="R96" s="431">
        <v>792025</v>
      </c>
      <c r="S96" s="431">
        <v>12000</v>
      </c>
      <c r="T96" s="431">
        <v>0</v>
      </c>
      <c r="U96" s="431">
        <v>0</v>
      </c>
      <c r="V96" s="431">
        <v>45000</v>
      </c>
      <c r="W96" s="431">
        <v>937335</v>
      </c>
      <c r="X96" s="431">
        <v>551895</v>
      </c>
      <c r="Y96" s="431">
        <v>0</v>
      </c>
      <c r="Z96" s="431">
        <v>149236</v>
      </c>
      <c r="AA96" s="431">
        <v>19000</v>
      </c>
      <c r="AB96" s="431">
        <v>-296</v>
      </c>
      <c r="AC96" s="431">
        <v>1025701</v>
      </c>
      <c r="AD96" s="431">
        <v>78338</v>
      </c>
      <c r="AE96" s="431">
        <v>2777811</v>
      </c>
      <c r="AF96" s="431">
        <v>37812</v>
      </c>
      <c r="AG96" s="431">
        <v>76560</v>
      </c>
      <c r="AH96" s="431">
        <v>554445</v>
      </c>
      <c r="AI96" s="431">
        <v>1067983</v>
      </c>
      <c r="AJ96" s="431">
        <v>85673</v>
      </c>
      <c r="AK96" s="431">
        <v>0</v>
      </c>
      <c r="AL96" s="431">
        <v>215515</v>
      </c>
      <c r="AM96" s="431"/>
    </row>
    <row r="97" spans="1:39" s="155" customFormat="1" ht="12" x14ac:dyDescent="0.2">
      <c r="A97" s="168">
        <v>43</v>
      </c>
      <c r="B97" s="199">
        <v>127322</v>
      </c>
      <c r="C97" s="414" t="s">
        <v>1736</v>
      </c>
      <c r="D97" s="443">
        <f t="shared" si="13"/>
        <v>4407423</v>
      </c>
      <c r="E97" s="431">
        <v>1840980</v>
      </c>
      <c r="F97" s="431">
        <v>1295788</v>
      </c>
      <c r="G97" s="431">
        <v>150584</v>
      </c>
      <c r="H97" s="431">
        <v>0</v>
      </c>
      <c r="I97" s="431">
        <v>1130511</v>
      </c>
      <c r="J97" s="431">
        <v>50000</v>
      </c>
      <c r="K97" s="431">
        <v>137860</v>
      </c>
      <c r="L97" s="431"/>
      <c r="M97" s="431">
        <v>163652</v>
      </c>
      <c r="N97" s="431">
        <v>1067420</v>
      </c>
      <c r="O97" s="431">
        <v>17000</v>
      </c>
      <c r="P97" s="443">
        <f t="shared" si="14"/>
        <v>3949078</v>
      </c>
      <c r="Q97" s="431">
        <v>1414196</v>
      </c>
      <c r="R97" s="431">
        <v>931165</v>
      </c>
      <c r="S97" s="431">
        <v>10000</v>
      </c>
      <c r="T97" s="431">
        <v>0</v>
      </c>
      <c r="U97" s="431">
        <v>0</v>
      </c>
      <c r="V97" s="431">
        <v>0</v>
      </c>
      <c r="W97" s="431">
        <v>604785</v>
      </c>
      <c r="X97" s="431">
        <v>130926</v>
      </c>
      <c r="Y97" s="431">
        <v>11174</v>
      </c>
      <c r="Z97" s="431">
        <v>362347</v>
      </c>
      <c r="AA97" s="431">
        <v>486985</v>
      </c>
      <c r="AB97" s="431">
        <v>-2500</v>
      </c>
      <c r="AC97" s="431">
        <v>662942</v>
      </c>
      <c r="AD97" s="431">
        <v>9956</v>
      </c>
      <c r="AE97" s="431">
        <v>1099546</v>
      </c>
      <c r="AF97" s="431">
        <v>20420</v>
      </c>
      <c r="AG97" s="431">
        <v>74</v>
      </c>
      <c r="AH97" s="431">
        <v>224926</v>
      </c>
      <c r="AI97" s="431">
        <v>1272072</v>
      </c>
      <c r="AJ97" s="431">
        <v>620</v>
      </c>
      <c r="AK97" s="431">
        <v>0</v>
      </c>
      <c r="AL97" s="431">
        <v>657617</v>
      </c>
      <c r="AM97" s="431">
        <v>905</v>
      </c>
    </row>
    <row r="98" spans="1:39" s="155" customFormat="1" ht="12" x14ac:dyDescent="0.2">
      <c r="A98" s="168">
        <v>44</v>
      </c>
      <c r="B98" s="199">
        <v>130348</v>
      </c>
      <c r="C98" s="414" t="s">
        <v>1737</v>
      </c>
      <c r="D98" s="443">
        <f t="shared" si="13"/>
        <v>3382849</v>
      </c>
      <c r="E98" s="431">
        <v>405250</v>
      </c>
      <c r="F98" s="431">
        <v>64890</v>
      </c>
      <c r="G98" s="431">
        <v>267383</v>
      </c>
      <c r="H98" s="431">
        <v>0</v>
      </c>
      <c r="I98" s="431">
        <v>1026225</v>
      </c>
      <c r="J98" s="431">
        <v>50000</v>
      </c>
      <c r="K98" s="431">
        <v>1288780</v>
      </c>
      <c r="L98" s="431"/>
      <c r="M98" s="431">
        <v>512594</v>
      </c>
      <c r="N98" s="431">
        <v>0</v>
      </c>
      <c r="O98" s="431">
        <v>100000</v>
      </c>
      <c r="P98" s="443">
        <f t="shared" si="14"/>
        <v>2666820</v>
      </c>
      <c r="Q98" s="431">
        <v>1274829</v>
      </c>
      <c r="R98" s="431">
        <v>302733</v>
      </c>
      <c r="S98" s="431">
        <v>0</v>
      </c>
      <c r="T98" s="431">
        <v>0</v>
      </c>
      <c r="U98" s="431">
        <v>0</v>
      </c>
      <c r="V98" s="431">
        <v>0</v>
      </c>
      <c r="W98" s="431">
        <v>0</v>
      </c>
      <c r="X98" s="431">
        <v>131012</v>
      </c>
      <c r="Y98" s="431">
        <v>0</v>
      </c>
      <c r="Z98" s="431">
        <v>958246</v>
      </c>
      <c r="AA98" s="431">
        <v>0</v>
      </c>
      <c r="AB98" s="431">
        <v>0</v>
      </c>
      <c r="AC98" s="431">
        <v>558655</v>
      </c>
      <c r="AD98" s="431">
        <v>0</v>
      </c>
      <c r="AE98" s="431">
        <v>834030</v>
      </c>
      <c r="AF98" s="431">
        <v>19239</v>
      </c>
      <c r="AG98" s="431">
        <v>6843</v>
      </c>
      <c r="AH98" s="431">
        <v>252012</v>
      </c>
      <c r="AI98" s="431">
        <v>61045</v>
      </c>
      <c r="AJ98" s="431">
        <v>0</v>
      </c>
      <c r="AK98" s="431">
        <v>0</v>
      </c>
      <c r="AL98" s="431">
        <v>934996</v>
      </c>
      <c r="AM98" s="431"/>
    </row>
    <row r="99" spans="1:39" s="155" customFormat="1" ht="12" x14ac:dyDescent="0.2">
      <c r="A99" s="168">
        <v>45</v>
      </c>
      <c r="B99" s="199">
        <v>127368</v>
      </c>
      <c r="C99" s="414" t="s">
        <v>1738</v>
      </c>
      <c r="D99" s="443">
        <f t="shared" si="13"/>
        <v>5409953</v>
      </c>
      <c r="E99" s="431">
        <v>1617600</v>
      </c>
      <c r="F99" s="431">
        <v>306490</v>
      </c>
      <c r="G99" s="431">
        <v>475884</v>
      </c>
      <c r="H99" s="431">
        <v>0</v>
      </c>
      <c r="I99" s="431">
        <v>2417222</v>
      </c>
      <c r="J99" s="431">
        <v>50000</v>
      </c>
      <c r="K99" s="431">
        <v>525310</v>
      </c>
      <c r="L99" s="431"/>
      <c r="M99" s="431">
        <v>421709</v>
      </c>
      <c r="N99" s="431">
        <v>278112</v>
      </c>
      <c r="O99" s="431">
        <v>100000</v>
      </c>
      <c r="P99" s="443">
        <f t="shared" si="14"/>
        <v>5424566</v>
      </c>
      <c r="Q99" s="431">
        <v>3019307</v>
      </c>
      <c r="R99" s="431">
        <v>1041985</v>
      </c>
      <c r="S99" s="431">
        <v>0</v>
      </c>
      <c r="T99" s="431">
        <v>0</v>
      </c>
      <c r="U99" s="431">
        <v>0</v>
      </c>
      <c r="V99" s="431">
        <v>0</v>
      </c>
      <c r="W99" s="431">
        <v>511454</v>
      </c>
      <c r="X99" s="431">
        <v>162552</v>
      </c>
      <c r="Y99" s="431">
        <v>24000</v>
      </c>
      <c r="Z99" s="431">
        <v>665268</v>
      </c>
      <c r="AA99" s="431">
        <v>0</v>
      </c>
      <c r="AB99" s="431">
        <v>0</v>
      </c>
      <c r="AC99" s="431">
        <v>1314067</v>
      </c>
      <c r="AD99" s="431">
        <v>47070</v>
      </c>
      <c r="AE99" s="431">
        <v>1994588</v>
      </c>
      <c r="AF99" s="431">
        <v>23939</v>
      </c>
      <c r="AG99" s="431">
        <v>591687</v>
      </c>
      <c r="AH99" s="431">
        <v>543361</v>
      </c>
      <c r="AI99" s="431">
        <v>126558</v>
      </c>
      <c r="AJ99" s="431">
        <v>613265</v>
      </c>
      <c r="AK99" s="431">
        <v>0</v>
      </c>
      <c r="AL99" s="431">
        <v>139185</v>
      </c>
      <c r="AM99" s="431">
        <v>30846</v>
      </c>
    </row>
    <row r="100" spans="1:39" s="155" customFormat="1" ht="12" x14ac:dyDescent="0.2">
      <c r="A100" s="168">
        <v>46</v>
      </c>
      <c r="B100" s="199">
        <v>127386</v>
      </c>
      <c r="C100" s="414" t="s">
        <v>1739</v>
      </c>
      <c r="D100" s="443">
        <f t="shared" si="13"/>
        <v>5206068</v>
      </c>
      <c r="E100" s="431">
        <v>841218</v>
      </c>
      <c r="F100" s="431">
        <v>153632</v>
      </c>
      <c r="G100" s="431">
        <v>301168</v>
      </c>
      <c r="H100" s="431">
        <v>0</v>
      </c>
      <c r="I100" s="431">
        <v>2647788</v>
      </c>
      <c r="J100" s="431">
        <v>50000</v>
      </c>
      <c r="K100" s="431">
        <v>1175270</v>
      </c>
      <c r="L100" s="431"/>
      <c r="M100" s="431">
        <v>368419</v>
      </c>
      <c r="N100" s="431">
        <v>123373</v>
      </c>
      <c r="O100" s="431"/>
      <c r="P100" s="443">
        <f t="shared" si="14"/>
        <v>5172784</v>
      </c>
      <c r="Q100" s="431">
        <v>2762102</v>
      </c>
      <c r="R100" s="431">
        <v>1095033</v>
      </c>
      <c r="S100" s="431">
        <v>4574</v>
      </c>
      <c r="T100" s="431">
        <v>0</v>
      </c>
      <c r="U100" s="431">
        <v>0</v>
      </c>
      <c r="V100" s="431">
        <v>0</v>
      </c>
      <c r="W100" s="431">
        <v>341371</v>
      </c>
      <c r="X100" s="431">
        <v>401064</v>
      </c>
      <c r="Y100" s="431">
        <v>0</v>
      </c>
      <c r="Z100" s="431">
        <v>568640</v>
      </c>
      <c r="AA100" s="431">
        <v>0</v>
      </c>
      <c r="AB100" s="431">
        <v>0</v>
      </c>
      <c r="AC100" s="431">
        <v>914852</v>
      </c>
      <c r="AD100" s="431">
        <v>149874</v>
      </c>
      <c r="AE100" s="431">
        <v>2489348</v>
      </c>
      <c r="AF100" s="431">
        <v>20849</v>
      </c>
      <c r="AG100" s="431">
        <v>253087</v>
      </c>
      <c r="AH100" s="431">
        <v>654104</v>
      </c>
      <c r="AI100" s="431">
        <v>382471</v>
      </c>
      <c r="AJ100" s="431">
        <v>3623</v>
      </c>
      <c r="AK100" s="431">
        <v>0</v>
      </c>
      <c r="AL100" s="431">
        <v>283288</v>
      </c>
      <c r="AM100" s="431">
        <v>21288</v>
      </c>
    </row>
    <row r="101" spans="1:39" s="155" customFormat="1" ht="12" x14ac:dyDescent="0.2">
      <c r="A101" s="168">
        <v>47</v>
      </c>
      <c r="B101" s="199">
        <v>127411</v>
      </c>
      <c r="C101" s="414" t="s">
        <v>1740</v>
      </c>
      <c r="D101" s="443">
        <f t="shared" si="13"/>
        <v>2806758</v>
      </c>
      <c r="E101" s="431">
        <v>678243</v>
      </c>
      <c r="F101" s="431">
        <v>77309</v>
      </c>
      <c r="G101" s="431">
        <v>230702</v>
      </c>
      <c r="H101" s="431">
        <v>0</v>
      </c>
      <c r="I101" s="431">
        <v>793767</v>
      </c>
      <c r="J101" s="431">
        <v>50000</v>
      </c>
      <c r="K101" s="431">
        <v>1062250</v>
      </c>
      <c r="L101" s="431"/>
      <c r="M101" s="431">
        <v>222498</v>
      </c>
      <c r="N101" s="431">
        <v>0</v>
      </c>
      <c r="O101" s="431"/>
      <c r="P101" s="443">
        <f t="shared" si="14"/>
        <v>2356180</v>
      </c>
      <c r="Q101" s="431">
        <v>1110873</v>
      </c>
      <c r="R101" s="431">
        <v>516248</v>
      </c>
      <c r="S101" s="431">
        <v>0</v>
      </c>
      <c r="T101" s="431">
        <v>0</v>
      </c>
      <c r="U101" s="431">
        <v>0</v>
      </c>
      <c r="V101" s="431">
        <v>0</v>
      </c>
      <c r="W101" s="431">
        <v>0</v>
      </c>
      <c r="X101" s="431">
        <v>175240</v>
      </c>
      <c r="Y101" s="431">
        <v>13785</v>
      </c>
      <c r="Z101" s="431">
        <v>540034</v>
      </c>
      <c r="AA101" s="431">
        <v>0</v>
      </c>
      <c r="AB101" s="431">
        <v>0</v>
      </c>
      <c r="AC101" s="431">
        <v>620589</v>
      </c>
      <c r="AD101" s="431">
        <v>16549</v>
      </c>
      <c r="AE101" s="431">
        <v>686683</v>
      </c>
      <c r="AF101" s="431">
        <v>0</v>
      </c>
      <c r="AG101" s="431">
        <v>100770</v>
      </c>
      <c r="AH101" s="431">
        <v>237133</v>
      </c>
      <c r="AI101" s="431">
        <v>52664</v>
      </c>
      <c r="AJ101" s="431">
        <v>0</v>
      </c>
      <c r="AK101" s="431">
        <v>0</v>
      </c>
      <c r="AL101" s="431">
        <v>641792</v>
      </c>
      <c r="AM101" s="431"/>
    </row>
    <row r="102" spans="1:39" s="155" customFormat="1" ht="12" x14ac:dyDescent="0.2">
      <c r="A102" s="168">
        <v>48</v>
      </c>
      <c r="B102" s="199">
        <v>127493</v>
      </c>
      <c r="C102" s="414" t="s">
        <v>1741</v>
      </c>
      <c r="D102" s="443">
        <f t="shared" si="13"/>
        <v>4604173</v>
      </c>
      <c r="E102" s="431">
        <v>870896</v>
      </c>
      <c r="F102" s="431">
        <v>199749</v>
      </c>
      <c r="G102" s="431">
        <v>270279</v>
      </c>
      <c r="H102" s="431">
        <v>0</v>
      </c>
      <c r="I102" s="431">
        <v>2209864</v>
      </c>
      <c r="J102" s="431">
        <v>50000</v>
      </c>
      <c r="K102" s="431">
        <v>1169750</v>
      </c>
      <c r="L102" s="431"/>
      <c r="M102" s="431">
        <v>190663</v>
      </c>
      <c r="N102" s="431">
        <v>0</v>
      </c>
      <c r="O102" s="431">
        <v>113000</v>
      </c>
      <c r="P102" s="443">
        <f t="shared" si="14"/>
        <v>4539657</v>
      </c>
      <c r="Q102" s="431">
        <v>2336181</v>
      </c>
      <c r="R102" s="431">
        <v>1496907</v>
      </c>
      <c r="S102" s="431">
        <v>0</v>
      </c>
      <c r="T102" s="431">
        <v>0</v>
      </c>
      <c r="U102" s="431">
        <v>0</v>
      </c>
      <c r="V102" s="431">
        <v>0</v>
      </c>
      <c r="W102" s="431">
        <v>0</v>
      </c>
      <c r="X102" s="431">
        <v>470780</v>
      </c>
      <c r="Y102" s="431">
        <v>0</v>
      </c>
      <c r="Z102" s="431">
        <v>235789</v>
      </c>
      <c r="AA102" s="431">
        <v>0</v>
      </c>
      <c r="AB102" s="431">
        <v>0</v>
      </c>
      <c r="AC102" s="431">
        <v>881522</v>
      </c>
      <c r="AD102" s="431">
        <v>119275</v>
      </c>
      <c r="AE102" s="431">
        <v>2149977</v>
      </c>
      <c r="AF102" s="431">
        <v>0</v>
      </c>
      <c r="AG102" s="431">
        <v>103843</v>
      </c>
      <c r="AH102" s="431">
        <v>530734</v>
      </c>
      <c r="AI102" s="431">
        <v>111728</v>
      </c>
      <c r="AJ102" s="431">
        <v>109698</v>
      </c>
      <c r="AK102" s="431">
        <v>0</v>
      </c>
      <c r="AL102" s="431">
        <v>486711</v>
      </c>
      <c r="AM102" s="431">
        <v>46169</v>
      </c>
    </row>
    <row r="103" spans="1:39" s="155" customFormat="1" ht="12" x14ac:dyDescent="0.2">
      <c r="A103" s="168">
        <v>49</v>
      </c>
      <c r="B103" s="199">
        <v>127536</v>
      </c>
      <c r="C103" s="414" t="s">
        <v>1742</v>
      </c>
      <c r="D103" s="443">
        <f t="shared" si="13"/>
        <v>2460162</v>
      </c>
      <c r="E103" s="431">
        <v>820283</v>
      </c>
      <c r="F103" s="431">
        <v>232905</v>
      </c>
      <c r="G103" s="431">
        <v>166994</v>
      </c>
      <c r="H103" s="431">
        <v>0</v>
      </c>
      <c r="I103" s="431">
        <v>824401</v>
      </c>
      <c r="J103" s="431">
        <v>0</v>
      </c>
      <c r="K103" s="431">
        <v>782700</v>
      </c>
      <c r="L103" s="431"/>
      <c r="M103" s="431">
        <v>32778</v>
      </c>
      <c r="N103" s="431">
        <v>0</v>
      </c>
      <c r="O103" s="431"/>
      <c r="P103" s="443">
        <f t="shared" si="14"/>
        <v>2451878</v>
      </c>
      <c r="Q103" s="431">
        <v>934066</v>
      </c>
      <c r="R103" s="431">
        <v>271867</v>
      </c>
      <c r="S103" s="431">
        <v>0</v>
      </c>
      <c r="T103" s="431">
        <v>0</v>
      </c>
      <c r="U103" s="431">
        <v>0</v>
      </c>
      <c r="V103" s="431">
        <v>0</v>
      </c>
      <c r="W103" s="431">
        <v>0</v>
      </c>
      <c r="X103" s="431">
        <v>196730</v>
      </c>
      <c r="Y103" s="431">
        <v>0</v>
      </c>
      <c r="Z103" s="431">
        <v>1049215</v>
      </c>
      <c r="AA103" s="431">
        <v>0</v>
      </c>
      <c r="AB103" s="431">
        <v>0</v>
      </c>
      <c r="AC103" s="431">
        <v>1065964</v>
      </c>
      <c r="AD103" s="431">
        <v>0</v>
      </c>
      <c r="AE103" s="431">
        <v>659290</v>
      </c>
      <c r="AF103" s="431">
        <v>18858</v>
      </c>
      <c r="AG103" s="431">
        <v>22041</v>
      </c>
      <c r="AH103" s="431">
        <v>196730</v>
      </c>
      <c r="AI103" s="431">
        <v>186661</v>
      </c>
      <c r="AJ103" s="431">
        <v>0</v>
      </c>
      <c r="AK103" s="431">
        <v>0</v>
      </c>
      <c r="AL103" s="431">
        <v>302334</v>
      </c>
      <c r="AM103" s="431"/>
    </row>
    <row r="104" spans="1:39" s="155" customFormat="1" ht="12" x14ac:dyDescent="0.2">
      <c r="A104" s="168">
        <v>50</v>
      </c>
      <c r="B104" s="199">
        <v>127563</v>
      </c>
      <c r="C104" s="414" t="s">
        <v>1743</v>
      </c>
      <c r="D104" s="443">
        <f t="shared" si="13"/>
        <v>2771087</v>
      </c>
      <c r="E104" s="431">
        <v>483236</v>
      </c>
      <c r="F104" s="431">
        <v>90622</v>
      </c>
      <c r="G104" s="431">
        <v>280897</v>
      </c>
      <c r="H104" s="431">
        <v>0</v>
      </c>
      <c r="I104" s="431">
        <v>836771</v>
      </c>
      <c r="J104" s="431">
        <v>50000</v>
      </c>
      <c r="K104" s="431">
        <v>1200050</v>
      </c>
      <c r="L104" s="431"/>
      <c r="M104" s="431">
        <v>201030</v>
      </c>
      <c r="N104" s="431">
        <v>0</v>
      </c>
      <c r="O104" s="431"/>
      <c r="P104" s="443">
        <f t="shared" si="14"/>
        <v>2332887</v>
      </c>
      <c r="Q104" s="431">
        <v>1236802</v>
      </c>
      <c r="R104" s="431">
        <v>226320</v>
      </c>
      <c r="S104" s="431">
        <v>1046</v>
      </c>
      <c r="T104" s="431">
        <v>0</v>
      </c>
      <c r="U104" s="431">
        <v>0</v>
      </c>
      <c r="V104" s="431">
        <v>0</v>
      </c>
      <c r="W104" s="431">
        <v>0</v>
      </c>
      <c r="X104" s="431">
        <v>68470</v>
      </c>
      <c r="Y104" s="431">
        <v>11600</v>
      </c>
      <c r="Z104" s="431">
        <v>788649</v>
      </c>
      <c r="AA104" s="431">
        <v>0</v>
      </c>
      <c r="AB104" s="431">
        <v>0</v>
      </c>
      <c r="AC104" s="431">
        <v>601271</v>
      </c>
      <c r="AD104" s="431">
        <v>0</v>
      </c>
      <c r="AE104" s="431">
        <v>722740</v>
      </c>
      <c r="AF104" s="431">
        <v>0</v>
      </c>
      <c r="AG104" s="431">
        <v>0</v>
      </c>
      <c r="AH104" s="431">
        <v>233499</v>
      </c>
      <c r="AI104" s="431">
        <v>309308</v>
      </c>
      <c r="AJ104" s="431">
        <v>1414</v>
      </c>
      <c r="AK104" s="431">
        <v>0</v>
      </c>
      <c r="AL104" s="431">
        <v>464655</v>
      </c>
      <c r="AM104" s="431"/>
    </row>
    <row r="105" spans="1:39" s="155" customFormat="1" ht="12" x14ac:dyDescent="0.2">
      <c r="A105" s="168">
        <v>51</v>
      </c>
      <c r="B105" s="199">
        <v>127625</v>
      </c>
      <c r="C105" s="414" t="s">
        <v>1744</v>
      </c>
      <c r="D105" s="443">
        <f t="shared" si="13"/>
        <v>3573492</v>
      </c>
      <c r="E105" s="431">
        <v>620278</v>
      </c>
      <c r="F105" s="431">
        <v>68863</v>
      </c>
      <c r="G105" s="431">
        <v>308890</v>
      </c>
      <c r="H105" s="431">
        <v>0</v>
      </c>
      <c r="I105" s="431">
        <v>1135220</v>
      </c>
      <c r="J105" s="431">
        <v>50000</v>
      </c>
      <c r="K105" s="431">
        <v>1207410</v>
      </c>
      <c r="L105" s="431"/>
      <c r="M105" s="431">
        <v>519259</v>
      </c>
      <c r="N105" s="431">
        <v>41325</v>
      </c>
      <c r="O105" s="431"/>
      <c r="P105" s="443">
        <f t="shared" si="14"/>
        <v>3415707</v>
      </c>
      <c r="Q105" s="431">
        <v>1489347</v>
      </c>
      <c r="R105" s="431">
        <v>552599</v>
      </c>
      <c r="S105" s="431">
        <v>0</v>
      </c>
      <c r="T105" s="431">
        <v>0</v>
      </c>
      <c r="U105" s="431">
        <v>9475</v>
      </c>
      <c r="V105" s="431">
        <v>0</v>
      </c>
      <c r="W105" s="431">
        <v>173148</v>
      </c>
      <c r="X105" s="431">
        <v>123165</v>
      </c>
      <c r="Y105" s="431">
        <v>3000</v>
      </c>
      <c r="Z105" s="431">
        <v>1064973</v>
      </c>
      <c r="AA105" s="431">
        <v>0</v>
      </c>
      <c r="AB105" s="431">
        <v>0</v>
      </c>
      <c r="AC105" s="431">
        <v>634381</v>
      </c>
      <c r="AD105" s="431">
        <v>0</v>
      </c>
      <c r="AE105" s="431">
        <v>936373</v>
      </c>
      <c r="AF105" s="431">
        <v>23871</v>
      </c>
      <c r="AG105" s="431">
        <v>187423</v>
      </c>
      <c r="AH105" s="431">
        <v>243065</v>
      </c>
      <c r="AI105" s="431">
        <v>64706</v>
      </c>
      <c r="AJ105" s="431">
        <v>2850</v>
      </c>
      <c r="AK105" s="431">
        <v>0</v>
      </c>
      <c r="AL105" s="431">
        <v>1165677</v>
      </c>
      <c r="AM105" s="431">
        <v>157361</v>
      </c>
    </row>
    <row r="106" spans="1:39" s="155" customFormat="1" ht="12" x14ac:dyDescent="0.2">
      <c r="A106" s="168">
        <v>52</v>
      </c>
      <c r="B106" s="199">
        <v>127689</v>
      </c>
      <c r="C106" s="414" t="s">
        <v>1745</v>
      </c>
      <c r="D106" s="443">
        <f t="shared" si="13"/>
        <v>10692261</v>
      </c>
      <c r="E106" s="431">
        <v>859593</v>
      </c>
      <c r="F106" s="431">
        <v>165580</v>
      </c>
      <c r="G106" s="431">
        <v>241320</v>
      </c>
      <c r="H106" s="431">
        <v>0</v>
      </c>
      <c r="I106" s="431">
        <v>1812789</v>
      </c>
      <c r="J106" s="431">
        <v>50000</v>
      </c>
      <c r="K106" s="431">
        <v>1073250</v>
      </c>
      <c r="L106" s="431"/>
      <c r="M106" s="431">
        <v>2133275</v>
      </c>
      <c r="N106" s="431">
        <v>4633354</v>
      </c>
      <c r="O106" s="431">
        <v>130000</v>
      </c>
      <c r="P106" s="443">
        <f t="shared" si="14"/>
        <v>12536776</v>
      </c>
      <c r="Q106" s="431">
        <v>2070478</v>
      </c>
      <c r="R106" s="431">
        <v>1036735</v>
      </c>
      <c r="S106" s="431">
        <v>0</v>
      </c>
      <c r="T106" s="431">
        <v>0</v>
      </c>
      <c r="U106" s="431">
        <v>0</v>
      </c>
      <c r="V106" s="431">
        <v>0</v>
      </c>
      <c r="W106" s="431">
        <v>7380380</v>
      </c>
      <c r="X106" s="431">
        <v>461821</v>
      </c>
      <c r="Y106" s="431">
        <v>13875</v>
      </c>
      <c r="Z106" s="431">
        <v>1612769</v>
      </c>
      <c r="AA106" s="431">
        <v>0</v>
      </c>
      <c r="AB106" s="431">
        <v>-39282</v>
      </c>
      <c r="AC106" s="431">
        <v>670103</v>
      </c>
      <c r="AD106" s="431">
        <v>97718</v>
      </c>
      <c r="AE106" s="431">
        <v>1475009</v>
      </c>
      <c r="AF106" s="431">
        <v>48132</v>
      </c>
      <c r="AG106" s="431">
        <v>756510</v>
      </c>
      <c r="AH106" s="431">
        <v>2782766</v>
      </c>
      <c r="AI106" s="431">
        <v>452619</v>
      </c>
      <c r="AJ106" s="431">
        <v>4822389</v>
      </c>
      <c r="AK106" s="431">
        <v>0</v>
      </c>
      <c r="AL106" s="431">
        <v>1368885</v>
      </c>
      <c r="AM106" s="431">
        <v>62645</v>
      </c>
    </row>
    <row r="107" spans="1:39" s="155" customFormat="1" ht="12" x14ac:dyDescent="0.2">
      <c r="A107" s="168">
        <v>53</v>
      </c>
      <c r="B107" s="199">
        <v>127714</v>
      </c>
      <c r="C107" s="414" t="s">
        <v>1746</v>
      </c>
      <c r="D107" s="443">
        <f t="shared" si="13"/>
        <v>2533640</v>
      </c>
      <c r="E107" s="431">
        <v>643916</v>
      </c>
      <c r="F107" s="431">
        <v>145460</v>
      </c>
      <c r="G107" s="431">
        <v>275105</v>
      </c>
      <c r="H107" s="431">
        <v>0</v>
      </c>
      <c r="I107" s="431">
        <v>747318</v>
      </c>
      <c r="J107" s="431">
        <v>49996</v>
      </c>
      <c r="K107" s="431">
        <v>1076090</v>
      </c>
      <c r="L107" s="431"/>
      <c r="M107" s="431">
        <v>16320</v>
      </c>
      <c r="N107" s="431">
        <v>0</v>
      </c>
      <c r="O107" s="431"/>
      <c r="P107" s="443">
        <f t="shared" si="14"/>
        <v>2242780</v>
      </c>
      <c r="Q107" s="431">
        <v>1036101</v>
      </c>
      <c r="R107" s="431">
        <v>547409</v>
      </c>
      <c r="S107" s="431">
        <v>0</v>
      </c>
      <c r="T107" s="431">
        <v>0</v>
      </c>
      <c r="U107" s="431">
        <v>0</v>
      </c>
      <c r="V107" s="431">
        <v>224000</v>
      </c>
      <c r="W107" s="431">
        <v>0</v>
      </c>
      <c r="X107" s="431">
        <v>90859</v>
      </c>
      <c r="Y107" s="431">
        <v>0</v>
      </c>
      <c r="Z107" s="431">
        <v>373086</v>
      </c>
      <c r="AA107" s="431">
        <v>0</v>
      </c>
      <c r="AB107" s="431">
        <v>-28675</v>
      </c>
      <c r="AC107" s="431">
        <v>536217</v>
      </c>
      <c r="AD107" s="431">
        <v>31000</v>
      </c>
      <c r="AE107" s="431">
        <v>666034</v>
      </c>
      <c r="AF107" s="431">
        <v>0</v>
      </c>
      <c r="AG107" s="431">
        <v>319713</v>
      </c>
      <c r="AH107" s="431">
        <v>217518</v>
      </c>
      <c r="AI107" s="431">
        <v>95185</v>
      </c>
      <c r="AJ107" s="431">
        <v>0</v>
      </c>
      <c r="AK107" s="431">
        <v>0</v>
      </c>
      <c r="AL107" s="431">
        <v>322762</v>
      </c>
      <c r="AM107" s="431">
        <v>54351</v>
      </c>
    </row>
    <row r="108" spans="1:39" s="155" customFormat="1" ht="12" x14ac:dyDescent="0.2">
      <c r="A108" s="168">
        <v>54</v>
      </c>
      <c r="B108" s="199">
        <v>127750</v>
      </c>
      <c r="C108" s="414" t="s">
        <v>1747</v>
      </c>
      <c r="D108" s="443">
        <f t="shared" si="13"/>
        <v>3679369</v>
      </c>
      <c r="E108" s="431">
        <v>652628</v>
      </c>
      <c r="F108" s="431">
        <v>112161</v>
      </c>
      <c r="G108" s="431">
        <v>220084</v>
      </c>
      <c r="H108" s="431">
        <v>0</v>
      </c>
      <c r="I108" s="431">
        <v>1612993</v>
      </c>
      <c r="J108" s="431">
        <v>50000</v>
      </c>
      <c r="K108" s="431">
        <v>1279550</v>
      </c>
      <c r="L108" s="431"/>
      <c r="M108" s="431">
        <v>34198</v>
      </c>
      <c r="N108" s="431">
        <v>0</v>
      </c>
      <c r="O108" s="431">
        <v>50000</v>
      </c>
      <c r="P108" s="443">
        <f t="shared" si="14"/>
        <v>3403217</v>
      </c>
      <c r="Q108" s="431">
        <v>2149572</v>
      </c>
      <c r="R108" s="431">
        <v>676650</v>
      </c>
      <c r="S108" s="431">
        <v>0</v>
      </c>
      <c r="T108" s="431">
        <v>0</v>
      </c>
      <c r="U108" s="431">
        <v>0</v>
      </c>
      <c r="V108" s="431">
        <v>0</v>
      </c>
      <c r="W108" s="431">
        <v>0</v>
      </c>
      <c r="X108" s="431">
        <v>185543</v>
      </c>
      <c r="Y108" s="431">
        <v>0</v>
      </c>
      <c r="Z108" s="431">
        <v>393502</v>
      </c>
      <c r="AA108" s="431">
        <v>0</v>
      </c>
      <c r="AB108" s="431">
        <v>-2050</v>
      </c>
      <c r="AC108" s="431">
        <v>955540</v>
      </c>
      <c r="AD108" s="431">
        <v>47424</v>
      </c>
      <c r="AE108" s="431">
        <v>1236333</v>
      </c>
      <c r="AF108" s="431">
        <v>24000</v>
      </c>
      <c r="AG108" s="431">
        <v>200251</v>
      </c>
      <c r="AH108" s="431">
        <v>514971</v>
      </c>
      <c r="AI108" s="431">
        <v>83803</v>
      </c>
      <c r="AJ108" s="431">
        <v>0</v>
      </c>
      <c r="AK108" s="431">
        <v>0</v>
      </c>
      <c r="AL108" s="431">
        <v>322143</v>
      </c>
      <c r="AM108" s="431">
        <v>18752</v>
      </c>
    </row>
    <row r="109" spans="1:39" s="155" customFormat="1" ht="12" x14ac:dyDescent="0.2">
      <c r="A109" s="168">
        <v>55</v>
      </c>
      <c r="B109" s="199">
        <v>127812</v>
      </c>
      <c r="C109" s="414" t="s">
        <v>1748</v>
      </c>
      <c r="D109" s="443">
        <f t="shared" si="13"/>
        <v>5124124</v>
      </c>
      <c r="E109" s="431">
        <v>513453</v>
      </c>
      <c r="F109" s="431">
        <v>76948</v>
      </c>
      <c r="G109" s="431">
        <v>270279</v>
      </c>
      <c r="H109" s="431">
        <v>0</v>
      </c>
      <c r="I109" s="431">
        <v>1035676</v>
      </c>
      <c r="J109" s="431">
        <v>50000</v>
      </c>
      <c r="K109" s="431">
        <v>1258840</v>
      </c>
      <c r="L109" s="431"/>
      <c r="M109" s="431">
        <v>220518</v>
      </c>
      <c r="N109" s="431">
        <v>1499637</v>
      </c>
      <c r="O109" s="431">
        <v>546000</v>
      </c>
      <c r="P109" s="443">
        <f t="shared" si="14"/>
        <v>3598167</v>
      </c>
      <c r="Q109" s="431">
        <v>1352194</v>
      </c>
      <c r="R109" s="431">
        <v>835177</v>
      </c>
      <c r="S109" s="431">
        <v>0</v>
      </c>
      <c r="T109" s="431">
        <v>0</v>
      </c>
      <c r="U109" s="431">
        <v>0</v>
      </c>
      <c r="V109" s="431">
        <v>0</v>
      </c>
      <c r="W109" s="431">
        <v>151881</v>
      </c>
      <c r="X109" s="431">
        <v>140849</v>
      </c>
      <c r="Y109" s="431">
        <v>27000</v>
      </c>
      <c r="Z109" s="431">
        <v>1113952</v>
      </c>
      <c r="AA109" s="431">
        <v>0</v>
      </c>
      <c r="AB109" s="431">
        <v>-22886</v>
      </c>
      <c r="AC109" s="431">
        <v>740727</v>
      </c>
      <c r="AD109" s="431">
        <v>0</v>
      </c>
      <c r="AE109" s="431">
        <v>840301</v>
      </c>
      <c r="AF109" s="431">
        <v>5411</v>
      </c>
      <c r="AG109" s="431">
        <v>385128</v>
      </c>
      <c r="AH109" s="431">
        <v>398280</v>
      </c>
      <c r="AI109" s="431">
        <v>488047</v>
      </c>
      <c r="AJ109" s="431">
        <v>400000</v>
      </c>
      <c r="AK109" s="431">
        <v>0</v>
      </c>
      <c r="AL109" s="431">
        <v>340273</v>
      </c>
      <c r="AM109" s="431"/>
    </row>
    <row r="110" spans="1:39" s="155" customFormat="1" ht="12" x14ac:dyDescent="0.2">
      <c r="A110" s="168">
        <v>56</v>
      </c>
      <c r="B110" s="199">
        <v>127858</v>
      </c>
      <c r="C110" s="414" t="s">
        <v>1749</v>
      </c>
      <c r="D110" s="443">
        <f t="shared" si="13"/>
        <v>2577519</v>
      </c>
      <c r="E110" s="431">
        <v>622260</v>
      </c>
      <c r="F110" s="431">
        <v>52452</v>
      </c>
      <c r="G110" s="431">
        <v>231668</v>
      </c>
      <c r="H110" s="431">
        <v>0</v>
      </c>
      <c r="I110" s="431">
        <v>665368</v>
      </c>
      <c r="J110" s="431">
        <v>50000</v>
      </c>
      <c r="K110" s="431">
        <v>901500</v>
      </c>
      <c r="L110" s="431"/>
      <c r="M110" s="431">
        <v>166391</v>
      </c>
      <c r="N110" s="431">
        <v>0</v>
      </c>
      <c r="O110" s="431">
        <v>172000</v>
      </c>
      <c r="P110" s="443">
        <f t="shared" si="14"/>
        <v>2563938</v>
      </c>
      <c r="Q110" s="431">
        <v>953926</v>
      </c>
      <c r="R110" s="431">
        <v>1184376</v>
      </c>
      <c r="S110" s="431">
        <v>0</v>
      </c>
      <c r="T110" s="431">
        <v>0</v>
      </c>
      <c r="U110" s="431">
        <v>0</v>
      </c>
      <c r="V110" s="431">
        <v>0</v>
      </c>
      <c r="W110" s="431">
        <v>0</v>
      </c>
      <c r="X110" s="431">
        <v>134590</v>
      </c>
      <c r="Y110" s="431">
        <v>14000</v>
      </c>
      <c r="Z110" s="431">
        <v>277545</v>
      </c>
      <c r="AA110" s="431">
        <v>0</v>
      </c>
      <c r="AB110" s="431">
        <v>-499</v>
      </c>
      <c r="AC110" s="431">
        <v>1193007</v>
      </c>
      <c r="AD110" s="431">
        <v>0</v>
      </c>
      <c r="AE110" s="431">
        <v>608385</v>
      </c>
      <c r="AF110" s="431">
        <v>29268</v>
      </c>
      <c r="AG110" s="431">
        <v>16409</v>
      </c>
      <c r="AH110" s="431">
        <v>194464</v>
      </c>
      <c r="AI110" s="431">
        <v>382405</v>
      </c>
      <c r="AJ110" s="431">
        <v>50000</v>
      </c>
      <c r="AK110" s="431">
        <v>0</v>
      </c>
      <c r="AL110" s="431">
        <v>90000</v>
      </c>
      <c r="AM110" s="431"/>
    </row>
    <row r="111" spans="1:39" s="155" customFormat="1" ht="12" x14ac:dyDescent="0.2">
      <c r="A111" s="168">
        <v>57</v>
      </c>
      <c r="B111" s="199">
        <v>127901</v>
      </c>
      <c r="C111" s="414" t="s">
        <v>1750</v>
      </c>
      <c r="D111" s="443">
        <f t="shared" si="13"/>
        <v>3310792</v>
      </c>
      <c r="E111" s="431">
        <v>544603</v>
      </c>
      <c r="F111" s="431">
        <v>92394</v>
      </c>
      <c r="G111" s="431">
        <v>266418</v>
      </c>
      <c r="H111" s="431">
        <v>0</v>
      </c>
      <c r="I111" s="431">
        <v>574619</v>
      </c>
      <c r="J111" s="431">
        <v>50000</v>
      </c>
      <c r="K111" s="431">
        <v>1090520</v>
      </c>
      <c r="L111" s="431"/>
      <c r="M111" s="431">
        <v>478947</v>
      </c>
      <c r="N111" s="431">
        <v>572103</v>
      </c>
      <c r="O111" s="431"/>
      <c r="P111" s="443">
        <f t="shared" si="14"/>
        <v>2861635</v>
      </c>
      <c r="Q111" s="431">
        <v>886987</v>
      </c>
      <c r="R111" s="431">
        <v>759544</v>
      </c>
      <c r="S111" s="431">
        <v>0</v>
      </c>
      <c r="T111" s="431">
        <v>0</v>
      </c>
      <c r="U111" s="431">
        <v>0</v>
      </c>
      <c r="V111" s="431">
        <v>0</v>
      </c>
      <c r="W111" s="431">
        <v>583197</v>
      </c>
      <c r="X111" s="431">
        <v>112227</v>
      </c>
      <c r="Y111" s="431">
        <v>8820</v>
      </c>
      <c r="Z111" s="431">
        <v>513514</v>
      </c>
      <c r="AA111" s="431">
        <v>0</v>
      </c>
      <c r="AB111" s="431">
        <v>-2654</v>
      </c>
      <c r="AC111" s="431">
        <v>608845</v>
      </c>
      <c r="AD111" s="431">
        <v>66366</v>
      </c>
      <c r="AE111" s="431">
        <v>489407</v>
      </c>
      <c r="AF111" s="431">
        <v>24073</v>
      </c>
      <c r="AG111" s="431">
        <v>123465</v>
      </c>
      <c r="AH111" s="431">
        <v>178852</v>
      </c>
      <c r="AI111" s="431">
        <v>121806</v>
      </c>
      <c r="AJ111" s="431">
        <v>20000</v>
      </c>
      <c r="AK111" s="431">
        <v>0</v>
      </c>
      <c r="AL111" s="431">
        <v>645624</v>
      </c>
      <c r="AM111" s="431">
        <v>583197</v>
      </c>
    </row>
    <row r="112" spans="1:39" s="155" customFormat="1" ht="12" x14ac:dyDescent="0.2">
      <c r="A112" s="168">
        <v>58</v>
      </c>
      <c r="B112" s="199">
        <v>127938</v>
      </c>
      <c r="C112" s="414" t="s">
        <v>1751</v>
      </c>
      <c r="D112" s="443">
        <f t="shared" si="13"/>
        <v>6553092</v>
      </c>
      <c r="E112" s="431">
        <v>734484</v>
      </c>
      <c r="F112" s="431">
        <v>118710</v>
      </c>
      <c r="G112" s="431">
        <v>257730</v>
      </c>
      <c r="H112" s="431">
        <v>0</v>
      </c>
      <c r="I112" s="431">
        <v>1038126</v>
      </c>
      <c r="J112" s="431">
        <v>50000</v>
      </c>
      <c r="K112" s="431">
        <v>1100580</v>
      </c>
      <c r="L112" s="431"/>
      <c r="M112" s="431">
        <v>175791</v>
      </c>
      <c r="N112" s="431">
        <v>570144</v>
      </c>
      <c r="O112" s="431">
        <v>2883967</v>
      </c>
      <c r="P112" s="443">
        <f t="shared" si="14"/>
        <v>6985134</v>
      </c>
      <c r="Q112" s="431">
        <v>1394608</v>
      </c>
      <c r="R112" s="431">
        <v>648942</v>
      </c>
      <c r="S112" s="431">
        <v>0</v>
      </c>
      <c r="T112" s="431">
        <v>0</v>
      </c>
      <c r="U112" s="431">
        <v>0</v>
      </c>
      <c r="V112" s="431">
        <v>6000</v>
      </c>
      <c r="W112" s="431">
        <v>1440488</v>
      </c>
      <c r="X112" s="431">
        <v>136188</v>
      </c>
      <c r="Y112" s="431">
        <v>13320</v>
      </c>
      <c r="Z112" s="431">
        <v>3345588</v>
      </c>
      <c r="AA112" s="431">
        <v>0</v>
      </c>
      <c r="AB112" s="431">
        <v>0</v>
      </c>
      <c r="AC112" s="431">
        <v>671142</v>
      </c>
      <c r="AD112" s="431">
        <v>7746</v>
      </c>
      <c r="AE112" s="431">
        <v>868935</v>
      </c>
      <c r="AF112" s="431">
        <v>22770</v>
      </c>
      <c r="AG112" s="431">
        <v>1120873</v>
      </c>
      <c r="AH112" s="431">
        <v>279234</v>
      </c>
      <c r="AI112" s="431">
        <v>3421452</v>
      </c>
      <c r="AJ112" s="431">
        <v>2480</v>
      </c>
      <c r="AK112" s="431">
        <v>0</v>
      </c>
      <c r="AL112" s="431">
        <v>97472</v>
      </c>
      <c r="AM112" s="431">
        <v>493030</v>
      </c>
    </row>
    <row r="113" spans="1:39" s="155" customFormat="1" ht="12" x14ac:dyDescent="0.2">
      <c r="A113" s="168">
        <v>59</v>
      </c>
      <c r="B113" s="199">
        <v>130357</v>
      </c>
      <c r="C113" s="414" t="s">
        <v>1752</v>
      </c>
      <c r="D113" s="443">
        <f t="shared" si="13"/>
        <v>3195244</v>
      </c>
      <c r="E113" s="431">
        <v>511239</v>
      </c>
      <c r="F113" s="431">
        <v>68357</v>
      </c>
      <c r="G113" s="431">
        <v>268348</v>
      </c>
      <c r="H113" s="431">
        <v>0</v>
      </c>
      <c r="I113" s="431">
        <v>1020017</v>
      </c>
      <c r="J113" s="431">
        <v>50000</v>
      </c>
      <c r="K113" s="431">
        <v>1164750</v>
      </c>
      <c r="L113" s="431"/>
      <c r="M113" s="431">
        <v>4404</v>
      </c>
      <c r="N113" s="431">
        <v>444834</v>
      </c>
      <c r="O113" s="431"/>
      <c r="P113" s="443">
        <f t="shared" si="14"/>
        <v>3444725</v>
      </c>
      <c r="Q113" s="431">
        <v>1270476</v>
      </c>
      <c r="R113" s="431">
        <v>224691</v>
      </c>
      <c r="S113" s="431">
        <v>0</v>
      </c>
      <c r="T113" s="431">
        <v>0</v>
      </c>
      <c r="U113" s="431">
        <v>0</v>
      </c>
      <c r="V113" s="431">
        <v>0</v>
      </c>
      <c r="W113" s="431">
        <v>444422</v>
      </c>
      <c r="X113" s="431">
        <v>194768</v>
      </c>
      <c r="Y113" s="431">
        <v>7440</v>
      </c>
      <c r="Z113" s="431">
        <v>1302928</v>
      </c>
      <c r="AA113" s="431">
        <v>0</v>
      </c>
      <c r="AB113" s="431">
        <v>0</v>
      </c>
      <c r="AC113" s="431">
        <v>481864</v>
      </c>
      <c r="AD113" s="431">
        <v>600</v>
      </c>
      <c r="AE113" s="431">
        <v>1100552</v>
      </c>
      <c r="AF113" s="431">
        <v>0</v>
      </c>
      <c r="AG113" s="431">
        <v>1303350</v>
      </c>
      <c r="AH113" s="431">
        <v>282968</v>
      </c>
      <c r="AI113" s="431">
        <v>215819</v>
      </c>
      <c r="AJ113" s="431">
        <v>0</v>
      </c>
      <c r="AK113" s="431">
        <v>0</v>
      </c>
      <c r="AL113" s="431">
        <v>0</v>
      </c>
      <c r="AM113" s="431">
        <v>59572</v>
      </c>
    </row>
    <row r="114" spans="1:39" s="155" customFormat="1" ht="12" x14ac:dyDescent="0.2">
      <c r="A114" s="168">
        <v>60</v>
      </c>
      <c r="B114" s="199">
        <v>127983</v>
      </c>
      <c r="C114" s="414" t="s">
        <v>1753</v>
      </c>
      <c r="D114" s="443">
        <f t="shared" si="13"/>
        <v>7787115</v>
      </c>
      <c r="E114" s="431">
        <v>1326868</v>
      </c>
      <c r="F114" s="431">
        <v>276556</v>
      </c>
      <c r="G114" s="431">
        <v>405418</v>
      </c>
      <c r="H114" s="431">
        <v>0</v>
      </c>
      <c r="I114" s="431">
        <v>3381867</v>
      </c>
      <c r="J114" s="431">
        <v>50000</v>
      </c>
      <c r="K114" s="431">
        <v>810250</v>
      </c>
      <c r="L114" s="431"/>
      <c r="M114" s="431">
        <v>289482</v>
      </c>
      <c r="N114" s="431">
        <v>1928648</v>
      </c>
      <c r="O114" s="431"/>
      <c r="P114" s="443">
        <f t="shared" si="14"/>
        <v>7039557</v>
      </c>
      <c r="Q114" s="431">
        <v>3427694</v>
      </c>
      <c r="R114" s="431">
        <v>972456</v>
      </c>
      <c r="S114" s="431">
        <v>0</v>
      </c>
      <c r="T114" s="431">
        <v>0</v>
      </c>
      <c r="U114" s="431">
        <v>0</v>
      </c>
      <c r="V114" s="431">
        <v>0</v>
      </c>
      <c r="W114" s="431">
        <v>854933</v>
      </c>
      <c r="X114" s="431">
        <v>435803</v>
      </c>
      <c r="Y114" s="431">
        <v>0</v>
      </c>
      <c r="Z114" s="431">
        <v>1364676</v>
      </c>
      <c r="AA114" s="431">
        <v>0</v>
      </c>
      <c r="AB114" s="431">
        <v>-16005</v>
      </c>
      <c r="AC114" s="431">
        <v>702452</v>
      </c>
      <c r="AD114" s="431">
        <v>0</v>
      </c>
      <c r="AE114" s="431">
        <v>3672775</v>
      </c>
      <c r="AF114" s="431">
        <v>107816</v>
      </c>
      <c r="AG114" s="431">
        <v>1556875</v>
      </c>
      <c r="AH114" s="431">
        <v>508945</v>
      </c>
      <c r="AI114" s="431">
        <v>206447</v>
      </c>
      <c r="AJ114" s="431">
        <v>21403</v>
      </c>
      <c r="AK114" s="431">
        <v>0</v>
      </c>
      <c r="AL114" s="431">
        <v>175344</v>
      </c>
      <c r="AM114" s="431">
        <v>87500</v>
      </c>
    </row>
    <row r="115" spans="1:39" s="155" customFormat="1" ht="12" x14ac:dyDescent="0.2">
      <c r="A115" s="168">
        <v>61</v>
      </c>
      <c r="B115" s="199">
        <v>128178</v>
      </c>
      <c r="C115" s="414" t="s">
        <v>1754</v>
      </c>
      <c r="D115" s="443">
        <f t="shared" si="13"/>
        <v>5495851</v>
      </c>
      <c r="E115" s="431">
        <v>638265</v>
      </c>
      <c r="F115" s="431">
        <v>115940</v>
      </c>
      <c r="G115" s="431">
        <v>240355</v>
      </c>
      <c r="H115" s="431">
        <v>0</v>
      </c>
      <c r="I115" s="431">
        <v>1735169</v>
      </c>
      <c r="J115" s="431">
        <v>50000</v>
      </c>
      <c r="K115" s="431">
        <v>1015630</v>
      </c>
      <c r="L115" s="431"/>
      <c r="M115" s="431">
        <v>260022</v>
      </c>
      <c r="N115" s="431">
        <v>696765</v>
      </c>
      <c r="O115" s="431">
        <v>1100000</v>
      </c>
      <c r="P115" s="443">
        <f t="shared" si="14"/>
        <v>5320328</v>
      </c>
      <c r="Q115" s="431">
        <v>2108380</v>
      </c>
      <c r="R115" s="431">
        <v>481697</v>
      </c>
      <c r="S115" s="431">
        <v>5345</v>
      </c>
      <c r="T115" s="431">
        <v>0</v>
      </c>
      <c r="U115" s="431">
        <v>0</v>
      </c>
      <c r="V115" s="431">
        <v>0</v>
      </c>
      <c r="W115" s="431">
        <v>935042</v>
      </c>
      <c r="X115" s="431">
        <v>302588</v>
      </c>
      <c r="Y115" s="431">
        <v>24635</v>
      </c>
      <c r="Z115" s="431">
        <v>1450536</v>
      </c>
      <c r="AA115" s="431">
        <v>12105</v>
      </c>
      <c r="AB115" s="431">
        <v>0</v>
      </c>
      <c r="AC115" s="431">
        <v>674222</v>
      </c>
      <c r="AD115" s="431">
        <v>72444</v>
      </c>
      <c r="AE115" s="431">
        <v>1423237</v>
      </c>
      <c r="AF115" s="431">
        <v>23081</v>
      </c>
      <c r="AG115" s="431">
        <v>601153</v>
      </c>
      <c r="AH115" s="431">
        <v>513537</v>
      </c>
      <c r="AI115" s="431">
        <v>377470</v>
      </c>
      <c r="AJ115" s="431">
        <v>982093</v>
      </c>
      <c r="AK115" s="431">
        <v>0</v>
      </c>
      <c r="AL115" s="431">
        <v>67776</v>
      </c>
      <c r="AM115" s="431">
        <v>585315</v>
      </c>
    </row>
    <row r="116" spans="1:39" s="155" customFormat="1" ht="12" x14ac:dyDescent="0.2">
      <c r="A116" s="168">
        <v>62</v>
      </c>
      <c r="B116" s="199">
        <v>128052</v>
      </c>
      <c r="C116" s="414" t="s">
        <v>1755</v>
      </c>
      <c r="D116" s="443">
        <f t="shared" si="13"/>
        <v>3943131</v>
      </c>
      <c r="E116" s="431">
        <v>656243</v>
      </c>
      <c r="F116" s="431">
        <v>116257</v>
      </c>
      <c r="G116" s="431">
        <v>300203</v>
      </c>
      <c r="H116" s="431">
        <v>0</v>
      </c>
      <c r="I116" s="431">
        <v>1443968</v>
      </c>
      <c r="J116" s="431">
        <v>49553</v>
      </c>
      <c r="K116" s="431">
        <v>1201000</v>
      </c>
      <c r="L116" s="431"/>
      <c r="M116" s="431">
        <v>91861</v>
      </c>
      <c r="N116" s="431">
        <v>500506</v>
      </c>
      <c r="O116" s="431"/>
      <c r="P116" s="443">
        <f t="shared" si="14"/>
        <v>3849341</v>
      </c>
      <c r="Q116" s="431">
        <v>1713496</v>
      </c>
      <c r="R116" s="431">
        <v>1083092</v>
      </c>
      <c r="S116" s="431">
        <v>0</v>
      </c>
      <c r="T116" s="431">
        <v>0</v>
      </c>
      <c r="U116" s="431">
        <v>0</v>
      </c>
      <c r="V116" s="431">
        <v>0</v>
      </c>
      <c r="W116" s="431">
        <v>589884</v>
      </c>
      <c r="X116" s="431">
        <v>298917</v>
      </c>
      <c r="Y116" s="431">
        <v>5000</v>
      </c>
      <c r="Z116" s="431">
        <v>158952</v>
      </c>
      <c r="AA116" s="431">
        <v>0</v>
      </c>
      <c r="AB116" s="431">
        <v>0</v>
      </c>
      <c r="AC116" s="431">
        <v>1311489</v>
      </c>
      <c r="AD116" s="431">
        <v>0</v>
      </c>
      <c r="AE116" s="431">
        <v>1325178</v>
      </c>
      <c r="AF116" s="431">
        <v>0</v>
      </c>
      <c r="AG116" s="431">
        <v>661853</v>
      </c>
      <c r="AH116" s="431">
        <v>298917</v>
      </c>
      <c r="AI116" s="431">
        <v>59984</v>
      </c>
      <c r="AJ116" s="431">
        <v>0</v>
      </c>
      <c r="AK116" s="431">
        <v>0</v>
      </c>
      <c r="AL116" s="431">
        <v>191920</v>
      </c>
      <c r="AM116" s="431"/>
    </row>
    <row r="117" spans="1:39" s="155" customFormat="1" ht="12" x14ac:dyDescent="0.2">
      <c r="A117" s="168">
        <v>63</v>
      </c>
      <c r="B117" s="199">
        <v>128221</v>
      </c>
      <c r="C117" s="414" t="s">
        <v>1756</v>
      </c>
      <c r="D117" s="443">
        <f t="shared" si="13"/>
        <v>4058632</v>
      </c>
      <c r="E117" s="431">
        <v>937226</v>
      </c>
      <c r="F117" s="431">
        <v>262416</v>
      </c>
      <c r="G117" s="431">
        <v>263522</v>
      </c>
      <c r="H117" s="431">
        <v>0</v>
      </c>
      <c r="I117" s="431">
        <v>1404636</v>
      </c>
      <c r="J117" s="431">
        <v>50000</v>
      </c>
      <c r="K117" s="431">
        <v>941080</v>
      </c>
      <c r="L117" s="431"/>
      <c r="M117" s="431">
        <v>725690</v>
      </c>
      <c r="N117" s="431">
        <v>0</v>
      </c>
      <c r="O117" s="431"/>
      <c r="P117" s="443">
        <f t="shared" si="14"/>
        <v>4058407</v>
      </c>
      <c r="Q117" s="431">
        <v>1460782</v>
      </c>
      <c r="R117" s="431">
        <v>983788</v>
      </c>
      <c r="S117" s="431">
        <v>0</v>
      </c>
      <c r="T117" s="431">
        <v>0</v>
      </c>
      <c r="U117" s="431">
        <v>0</v>
      </c>
      <c r="V117" s="431">
        <v>0</v>
      </c>
      <c r="W117" s="431">
        <v>0</v>
      </c>
      <c r="X117" s="431">
        <v>422003</v>
      </c>
      <c r="Y117" s="431">
        <v>1000</v>
      </c>
      <c r="Z117" s="431">
        <v>1195143</v>
      </c>
      <c r="AA117" s="431">
        <v>0</v>
      </c>
      <c r="AB117" s="431">
        <v>-4309</v>
      </c>
      <c r="AC117" s="431">
        <v>915670</v>
      </c>
      <c r="AD117" s="431">
        <v>0</v>
      </c>
      <c r="AE117" s="431">
        <v>1093540</v>
      </c>
      <c r="AF117" s="431">
        <v>0</v>
      </c>
      <c r="AG117" s="431">
        <v>43463</v>
      </c>
      <c r="AH117" s="431">
        <v>422003</v>
      </c>
      <c r="AI117" s="431">
        <v>134598</v>
      </c>
      <c r="AJ117" s="431">
        <v>38000</v>
      </c>
      <c r="AK117" s="431">
        <v>0</v>
      </c>
      <c r="AL117" s="431">
        <v>1411133</v>
      </c>
      <c r="AM117" s="431"/>
    </row>
    <row r="118" spans="1:39" s="155" customFormat="1" ht="12" x14ac:dyDescent="0.2">
      <c r="A118" s="168">
        <v>64</v>
      </c>
      <c r="B118" s="199">
        <v>128301</v>
      </c>
      <c r="C118" s="414" t="s">
        <v>1757</v>
      </c>
      <c r="D118" s="443">
        <f t="shared" si="13"/>
        <v>3579269</v>
      </c>
      <c r="E118" s="431">
        <v>712584</v>
      </c>
      <c r="F118" s="431">
        <v>164185</v>
      </c>
      <c r="G118" s="431">
        <v>197883</v>
      </c>
      <c r="H118" s="431">
        <v>0</v>
      </c>
      <c r="I118" s="431">
        <v>948279</v>
      </c>
      <c r="J118" s="431">
        <v>49850</v>
      </c>
      <c r="K118" s="431">
        <v>896260</v>
      </c>
      <c r="L118" s="431"/>
      <c r="M118" s="431">
        <v>972296</v>
      </c>
      <c r="N118" s="431">
        <v>0</v>
      </c>
      <c r="O118" s="431"/>
      <c r="P118" s="443">
        <f t="shared" si="14"/>
        <v>2976274</v>
      </c>
      <c r="Q118" s="431">
        <v>1086947</v>
      </c>
      <c r="R118" s="431">
        <v>550032</v>
      </c>
      <c r="S118" s="431">
        <v>0</v>
      </c>
      <c r="T118" s="431">
        <v>0</v>
      </c>
      <c r="U118" s="431">
        <v>0</v>
      </c>
      <c r="V118" s="431">
        <v>0</v>
      </c>
      <c r="W118" s="431">
        <v>0</v>
      </c>
      <c r="X118" s="431">
        <v>264412</v>
      </c>
      <c r="Y118" s="431">
        <v>17884</v>
      </c>
      <c r="Z118" s="431">
        <v>1102834</v>
      </c>
      <c r="AA118" s="431">
        <v>0</v>
      </c>
      <c r="AB118" s="431">
        <v>-45835</v>
      </c>
      <c r="AC118" s="431">
        <v>568380</v>
      </c>
      <c r="AD118" s="431">
        <v>29513</v>
      </c>
      <c r="AE118" s="431">
        <v>823087</v>
      </c>
      <c r="AF118" s="431">
        <v>0</v>
      </c>
      <c r="AG118" s="431">
        <v>104068</v>
      </c>
      <c r="AH118" s="431">
        <v>264412</v>
      </c>
      <c r="AI118" s="431">
        <v>52914</v>
      </c>
      <c r="AJ118" s="431">
        <v>4565</v>
      </c>
      <c r="AK118" s="431">
        <v>0</v>
      </c>
      <c r="AL118" s="431">
        <v>1121270</v>
      </c>
      <c r="AM118" s="431">
        <v>8065</v>
      </c>
    </row>
    <row r="119" spans="1:39" s="155" customFormat="1" ht="12" x14ac:dyDescent="0.2">
      <c r="A119" s="168">
        <v>65</v>
      </c>
      <c r="B119" s="199">
        <v>128436</v>
      </c>
      <c r="C119" s="414" t="s">
        <v>1758</v>
      </c>
      <c r="D119" s="443">
        <f t="shared" ref="D119:D158" si="15">E119+SUM(H119:O119)</f>
        <v>2599838</v>
      </c>
      <c r="E119" s="431">
        <v>674781</v>
      </c>
      <c r="F119" s="431">
        <v>167299</v>
      </c>
      <c r="G119" s="431">
        <v>226841</v>
      </c>
      <c r="H119" s="431">
        <v>0</v>
      </c>
      <c r="I119" s="431">
        <v>655421</v>
      </c>
      <c r="J119" s="431">
        <v>50000</v>
      </c>
      <c r="K119" s="431">
        <v>985630</v>
      </c>
      <c r="L119" s="431"/>
      <c r="M119" s="431">
        <v>15298</v>
      </c>
      <c r="N119" s="431">
        <v>218708</v>
      </c>
      <c r="O119" s="431"/>
      <c r="P119" s="443">
        <f t="shared" ref="P119:P158" si="16">IF(SUM(Q119:AB119)=SUM(AC119:AM119),SUM(Q119:AB119),"  EROARE ART/CAP")</f>
        <v>1186732</v>
      </c>
      <c r="Q119" s="431">
        <v>722146</v>
      </c>
      <c r="R119" s="431">
        <v>287281</v>
      </c>
      <c r="S119" s="431">
        <v>0</v>
      </c>
      <c r="T119" s="431">
        <v>0</v>
      </c>
      <c r="U119" s="431">
        <v>0</v>
      </c>
      <c r="V119" s="431">
        <v>0</v>
      </c>
      <c r="W119" s="431">
        <v>0</v>
      </c>
      <c r="X119" s="431">
        <v>177305</v>
      </c>
      <c r="Y119" s="431">
        <v>0</v>
      </c>
      <c r="Z119" s="431">
        <v>0</v>
      </c>
      <c r="AA119" s="431">
        <v>0</v>
      </c>
      <c r="AB119" s="431">
        <v>0</v>
      </c>
      <c r="AC119" s="431">
        <v>348205</v>
      </c>
      <c r="AD119" s="431">
        <v>9631</v>
      </c>
      <c r="AE119" s="431">
        <v>583436</v>
      </c>
      <c r="AF119" s="431">
        <v>0</v>
      </c>
      <c r="AG119" s="431">
        <v>16631</v>
      </c>
      <c r="AH119" s="431">
        <v>177305</v>
      </c>
      <c r="AI119" s="431">
        <v>37064</v>
      </c>
      <c r="AJ119" s="431">
        <v>3000</v>
      </c>
      <c r="AK119" s="431">
        <v>0</v>
      </c>
      <c r="AL119" s="431">
        <v>0</v>
      </c>
      <c r="AM119" s="431">
        <v>11460</v>
      </c>
    </row>
    <row r="120" spans="1:39" s="155" customFormat="1" ht="12" x14ac:dyDescent="0.2">
      <c r="A120" s="168">
        <v>66</v>
      </c>
      <c r="B120" s="199">
        <v>128472</v>
      </c>
      <c r="C120" s="414" t="s">
        <v>1759</v>
      </c>
      <c r="D120" s="443">
        <f t="shared" si="15"/>
        <v>6813028</v>
      </c>
      <c r="E120" s="431">
        <v>1253783</v>
      </c>
      <c r="F120" s="431">
        <v>338214</v>
      </c>
      <c r="G120" s="431">
        <v>222015</v>
      </c>
      <c r="H120" s="431">
        <v>0</v>
      </c>
      <c r="I120" s="431">
        <v>1673524</v>
      </c>
      <c r="J120" s="431">
        <v>50000</v>
      </c>
      <c r="K120" s="431">
        <v>889370</v>
      </c>
      <c r="L120" s="431"/>
      <c r="M120" s="431">
        <v>2821666</v>
      </c>
      <c r="N120" s="431">
        <v>12685</v>
      </c>
      <c r="O120" s="431">
        <v>112000</v>
      </c>
      <c r="P120" s="443">
        <f t="shared" si="16"/>
        <v>6704650</v>
      </c>
      <c r="Q120" s="431">
        <v>1759626</v>
      </c>
      <c r="R120" s="431">
        <v>1409258</v>
      </c>
      <c r="S120" s="431">
        <v>0</v>
      </c>
      <c r="T120" s="431">
        <v>0</v>
      </c>
      <c r="U120" s="431">
        <v>0</v>
      </c>
      <c r="V120" s="431">
        <v>0</v>
      </c>
      <c r="W120" s="431">
        <v>133782</v>
      </c>
      <c r="X120" s="431">
        <v>336582</v>
      </c>
      <c r="Y120" s="431">
        <v>21000</v>
      </c>
      <c r="Z120" s="431">
        <v>3045625</v>
      </c>
      <c r="AA120" s="431">
        <v>0</v>
      </c>
      <c r="AB120" s="431">
        <v>-1223</v>
      </c>
      <c r="AC120" s="431">
        <v>655836</v>
      </c>
      <c r="AD120" s="431">
        <v>89955</v>
      </c>
      <c r="AE120" s="431">
        <v>1465676</v>
      </c>
      <c r="AF120" s="431">
        <v>56000</v>
      </c>
      <c r="AG120" s="431">
        <v>85264</v>
      </c>
      <c r="AH120" s="431">
        <v>400582</v>
      </c>
      <c r="AI120" s="431">
        <v>944812</v>
      </c>
      <c r="AJ120" s="431">
        <v>36000</v>
      </c>
      <c r="AK120" s="431">
        <v>0</v>
      </c>
      <c r="AL120" s="431">
        <v>2940625</v>
      </c>
      <c r="AM120" s="431">
        <v>29900</v>
      </c>
    </row>
    <row r="121" spans="1:39" s="155" customFormat="1" ht="12" x14ac:dyDescent="0.2">
      <c r="A121" s="168">
        <v>67</v>
      </c>
      <c r="B121" s="199">
        <v>128524</v>
      </c>
      <c r="C121" s="414" t="s">
        <v>1760</v>
      </c>
      <c r="D121" s="443">
        <f t="shared" si="15"/>
        <v>3677414</v>
      </c>
      <c r="E121" s="431">
        <v>1267807</v>
      </c>
      <c r="F121" s="431">
        <v>304844</v>
      </c>
      <c r="G121" s="431">
        <v>152515</v>
      </c>
      <c r="H121" s="431">
        <v>0</v>
      </c>
      <c r="I121" s="431">
        <v>1350608</v>
      </c>
      <c r="J121" s="431">
        <v>50000</v>
      </c>
      <c r="K121" s="431">
        <v>706720</v>
      </c>
      <c r="L121" s="431"/>
      <c r="M121" s="431">
        <v>80102</v>
      </c>
      <c r="N121" s="431">
        <v>222177</v>
      </c>
      <c r="O121" s="431"/>
      <c r="P121" s="443">
        <f t="shared" si="16"/>
        <v>3378622</v>
      </c>
      <c r="Q121" s="431">
        <v>1598717</v>
      </c>
      <c r="R121" s="431">
        <v>878235</v>
      </c>
      <c r="S121" s="431">
        <v>34465</v>
      </c>
      <c r="T121" s="431">
        <v>0</v>
      </c>
      <c r="U121" s="431">
        <v>0</v>
      </c>
      <c r="V121" s="431">
        <v>0</v>
      </c>
      <c r="W121" s="431">
        <v>0</v>
      </c>
      <c r="X121" s="431">
        <v>249847</v>
      </c>
      <c r="Y121" s="431">
        <v>4000</v>
      </c>
      <c r="Z121" s="431">
        <v>508024</v>
      </c>
      <c r="AA121" s="431">
        <v>105334</v>
      </c>
      <c r="AB121" s="431">
        <v>0</v>
      </c>
      <c r="AC121" s="431">
        <v>757419</v>
      </c>
      <c r="AD121" s="431">
        <v>18580</v>
      </c>
      <c r="AE121" s="431">
        <v>1154067</v>
      </c>
      <c r="AF121" s="431">
        <v>0</v>
      </c>
      <c r="AG121" s="431">
        <v>120937</v>
      </c>
      <c r="AH121" s="431">
        <v>352251</v>
      </c>
      <c r="AI121" s="431">
        <v>85785</v>
      </c>
      <c r="AJ121" s="431">
        <v>39999</v>
      </c>
      <c r="AK121" s="431">
        <v>0</v>
      </c>
      <c r="AL121" s="431">
        <v>849584</v>
      </c>
      <c r="AM121" s="431"/>
    </row>
    <row r="122" spans="1:39" s="155" customFormat="1" ht="12" x14ac:dyDescent="0.2">
      <c r="A122" s="168">
        <v>68</v>
      </c>
      <c r="B122" s="199">
        <v>128560</v>
      </c>
      <c r="C122" s="414" t="s">
        <v>1761</v>
      </c>
      <c r="D122" s="443">
        <f t="shared" si="15"/>
        <v>5549081</v>
      </c>
      <c r="E122" s="431">
        <v>718086</v>
      </c>
      <c r="F122" s="431">
        <v>119960</v>
      </c>
      <c r="G122" s="431">
        <v>263522</v>
      </c>
      <c r="H122" s="431">
        <v>0</v>
      </c>
      <c r="I122" s="431">
        <v>1427031</v>
      </c>
      <c r="J122" s="431">
        <v>50000</v>
      </c>
      <c r="K122" s="431">
        <v>1185990</v>
      </c>
      <c r="L122" s="431"/>
      <c r="M122" s="431">
        <v>245339</v>
      </c>
      <c r="N122" s="431">
        <v>1922635</v>
      </c>
      <c r="O122" s="431"/>
      <c r="P122" s="443">
        <f t="shared" si="16"/>
        <v>3235638</v>
      </c>
      <c r="Q122" s="431">
        <v>1739049</v>
      </c>
      <c r="R122" s="431">
        <v>704276</v>
      </c>
      <c r="S122" s="431">
        <v>0</v>
      </c>
      <c r="T122" s="431">
        <v>0</v>
      </c>
      <c r="U122" s="431">
        <v>0</v>
      </c>
      <c r="V122" s="431">
        <v>0</v>
      </c>
      <c r="W122" s="431">
        <v>448198</v>
      </c>
      <c r="X122" s="431">
        <v>249351</v>
      </c>
      <c r="Y122" s="431">
        <v>0</v>
      </c>
      <c r="Z122" s="431">
        <v>99895</v>
      </c>
      <c r="AA122" s="431">
        <v>0</v>
      </c>
      <c r="AB122" s="431">
        <v>-5131</v>
      </c>
      <c r="AC122" s="431">
        <v>1018159</v>
      </c>
      <c r="AD122" s="431">
        <v>69095</v>
      </c>
      <c r="AE122" s="431">
        <v>1220847</v>
      </c>
      <c r="AF122" s="431">
        <v>56105</v>
      </c>
      <c r="AG122" s="431">
        <v>468636</v>
      </c>
      <c r="AH122" s="431">
        <v>308154</v>
      </c>
      <c r="AI122" s="431">
        <v>41126</v>
      </c>
      <c r="AJ122" s="431">
        <v>0</v>
      </c>
      <c r="AK122" s="431">
        <v>0</v>
      </c>
      <c r="AL122" s="431">
        <v>52662</v>
      </c>
      <c r="AM122" s="431">
        <v>854</v>
      </c>
    </row>
    <row r="123" spans="1:39" s="155" customFormat="1" ht="12" x14ac:dyDescent="0.2">
      <c r="A123" s="168">
        <v>69</v>
      </c>
      <c r="B123" s="199">
        <v>128588</v>
      </c>
      <c r="C123" s="414" t="s">
        <v>1762</v>
      </c>
      <c r="D123" s="443">
        <f t="shared" si="15"/>
        <v>5029506</v>
      </c>
      <c r="E123" s="431">
        <v>1326136</v>
      </c>
      <c r="F123" s="431">
        <v>340923</v>
      </c>
      <c r="G123" s="431">
        <v>375495</v>
      </c>
      <c r="H123" s="431">
        <v>0</v>
      </c>
      <c r="I123" s="431">
        <v>1857569</v>
      </c>
      <c r="J123" s="431">
        <v>50000</v>
      </c>
      <c r="K123" s="431">
        <v>788150</v>
      </c>
      <c r="L123" s="431"/>
      <c r="M123" s="431">
        <v>907651</v>
      </c>
      <c r="N123" s="431">
        <v>0</v>
      </c>
      <c r="O123" s="431">
        <v>100000</v>
      </c>
      <c r="P123" s="443">
        <f t="shared" si="16"/>
        <v>5069116</v>
      </c>
      <c r="Q123" s="431">
        <v>2178730</v>
      </c>
      <c r="R123" s="431">
        <v>1106830</v>
      </c>
      <c r="S123" s="431">
        <v>0</v>
      </c>
      <c r="T123" s="431">
        <v>0</v>
      </c>
      <c r="U123" s="431">
        <v>0</v>
      </c>
      <c r="V123" s="431">
        <v>80000</v>
      </c>
      <c r="W123" s="431">
        <v>0</v>
      </c>
      <c r="X123" s="431">
        <v>294202</v>
      </c>
      <c r="Y123" s="431">
        <v>0</v>
      </c>
      <c r="Z123" s="431">
        <v>1409354</v>
      </c>
      <c r="AA123" s="431">
        <v>0</v>
      </c>
      <c r="AB123" s="431">
        <v>0</v>
      </c>
      <c r="AC123" s="431">
        <v>773773</v>
      </c>
      <c r="AD123" s="431">
        <v>103416</v>
      </c>
      <c r="AE123" s="431">
        <v>1890334</v>
      </c>
      <c r="AF123" s="431">
        <v>23432</v>
      </c>
      <c r="AG123" s="431">
        <v>347308</v>
      </c>
      <c r="AH123" s="431">
        <v>440108</v>
      </c>
      <c r="AI123" s="431">
        <v>194696</v>
      </c>
      <c r="AJ123" s="431">
        <v>81364</v>
      </c>
      <c r="AK123" s="431">
        <v>0</v>
      </c>
      <c r="AL123" s="431">
        <v>1214685</v>
      </c>
      <c r="AM123" s="431"/>
    </row>
    <row r="124" spans="1:39" s="155" customFormat="1" ht="12" x14ac:dyDescent="0.2">
      <c r="A124" s="168">
        <v>70</v>
      </c>
      <c r="B124" s="199">
        <v>128882</v>
      </c>
      <c r="C124" s="414" t="s">
        <v>1763</v>
      </c>
      <c r="D124" s="443">
        <f t="shared" si="15"/>
        <v>3897567</v>
      </c>
      <c r="E124" s="431">
        <v>609992</v>
      </c>
      <c r="F124" s="431">
        <v>116413</v>
      </c>
      <c r="G124" s="431">
        <v>278001</v>
      </c>
      <c r="H124" s="431">
        <v>0</v>
      </c>
      <c r="I124" s="431">
        <v>917704</v>
      </c>
      <c r="J124" s="431">
        <v>50000</v>
      </c>
      <c r="K124" s="431">
        <v>1901590</v>
      </c>
      <c r="L124" s="431"/>
      <c r="M124" s="431">
        <v>418281</v>
      </c>
      <c r="N124" s="431">
        <v>0</v>
      </c>
      <c r="O124" s="431"/>
      <c r="P124" s="443">
        <f t="shared" si="16"/>
        <v>4711005</v>
      </c>
      <c r="Q124" s="431">
        <v>1152007</v>
      </c>
      <c r="R124" s="431">
        <v>732411</v>
      </c>
      <c r="S124" s="431">
        <v>0</v>
      </c>
      <c r="T124" s="431">
        <v>0</v>
      </c>
      <c r="U124" s="431">
        <v>0</v>
      </c>
      <c r="V124" s="431">
        <v>0</v>
      </c>
      <c r="W124" s="431">
        <v>0</v>
      </c>
      <c r="X124" s="431">
        <v>211195</v>
      </c>
      <c r="Y124" s="431">
        <v>7950</v>
      </c>
      <c r="Z124" s="431">
        <v>2607442</v>
      </c>
      <c r="AA124" s="431">
        <v>0</v>
      </c>
      <c r="AB124" s="431">
        <v>0</v>
      </c>
      <c r="AC124" s="431">
        <v>758851</v>
      </c>
      <c r="AD124" s="431">
        <v>0</v>
      </c>
      <c r="AE124" s="431">
        <v>788848</v>
      </c>
      <c r="AF124" s="431">
        <v>0</v>
      </c>
      <c r="AG124" s="431">
        <v>126485</v>
      </c>
      <c r="AH124" s="431">
        <v>211195</v>
      </c>
      <c r="AI124" s="431">
        <v>58554</v>
      </c>
      <c r="AJ124" s="431">
        <v>530709</v>
      </c>
      <c r="AK124" s="431">
        <v>0</v>
      </c>
      <c r="AL124" s="431">
        <v>2236363</v>
      </c>
      <c r="AM124" s="431"/>
    </row>
    <row r="125" spans="1:39" s="155" customFormat="1" ht="12" x14ac:dyDescent="0.2">
      <c r="A125" s="168">
        <v>71</v>
      </c>
      <c r="B125" s="199">
        <v>130366</v>
      </c>
      <c r="C125" s="414" t="s">
        <v>1764</v>
      </c>
      <c r="D125" s="443">
        <f t="shared" si="15"/>
        <v>3461752</v>
      </c>
      <c r="E125" s="431">
        <v>645546</v>
      </c>
      <c r="F125" s="431">
        <v>102623</v>
      </c>
      <c r="G125" s="431">
        <v>250973</v>
      </c>
      <c r="H125" s="431">
        <v>0</v>
      </c>
      <c r="I125" s="431">
        <v>1110884</v>
      </c>
      <c r="J125" s="431">
        <v>50000</v>
      </c>
      <c r="K125" s="431">
        <v>989910</v>
      </c>
      <c r="L125" s="431"/>
      <c r="M125" s="431">
        <v>496137</v>
      </c>
      <c r="N125" s="431">
        <v>169275</v>
      </c>
      <c r="O125" s="431"/>
      <c r="P125" s="443">
        <f t="shared" si="16"/>
        <v>3408551</v>
      </c>
      <c r="Q125" s="431">
        <v>1479055</v>
      </c>
      <c r="R125" s="431">
        <v>902580</v>
      </c>
      <c r="S125" s="431">
        <v>0</v>
      </c>
      <c r="T125" s="431">
        <v>0</v>
      </c>
      <c r="U125" s="431">
        <v>0</v>
      </c>
      <c r="V125" s="431">
        <v>0</v>
      </c>
      <c r="W125" s="431">
        <v>306465</v>
      </c>
      <c r="X125" s="431">
        <v>216654</v>
      </c>
      <c r="Y125" s="431">
        <v>0</v>
      </c>
      <c r="Z125" s="431">
        <v>511536</v>
      </c>
      <c r="AA125" s="431">
        <v>0</v>
      </c>
      <c r="AB125" s="431">
        <v>-7739</v>
      </c>
      <c r="AC125" s="431">
        <v>1035027</v>
      </c>
      <c r="AD125" s="431">
        <v>54757</v>
      </c>
      <c r="AE125" s="431">
        <v>870887</v>
      </c>
      <c r="AF125" s="431">
        <v>24035</v>
      </c>
      <c r="AG125" s="431">
        <v>384380</v>
      </c>
      <c r="AH125" s="431">
        <v>458492</v>
      </c>
      <c r="AI125" s="431">
        <v>451650</v>
      </c>
      <c r="AJ125" s="431">
        <v>0</v>
      </c>
      <c r="AK125" s="431">
        <v>0</v>
      </c>
      <c r="AL125" s="431">
        <v>129323</v>
      </c>
      <c r="AM125" s="431"/>
    </row>
    <row r="126" spans="1:39" s="155" customFormat="1" ht="12" x14ac:dyDescent="0.2">
      <c r="A126" s="168">
        <v>72</v>
      </c>
      <c r="B126" s="199">
        <v>128613</v>
      </c>
      <c r="C126" s="414" t="s">
        <v>1765</v>
      </c>
      <c r="D126" s="443">
        <f t="shared" si="15"/>
        <v>3448724</v>
      </c>
      <c r="E126" s="431">
        <v>842729</v>
      </c>
      <c r="F126" s="431">
        <v>161948</v>
      </c>
      <c r="G126" s="431">
        <v>227806</v>
      </c>
      <c r="H126" s="431">
        <v>0</v>
      </c>
      <c r="I126" s="431">
        <v>1616846</v>
      </c>
      <c r="J126" s="431">
        <v>0</v>
      </c>
      <c r="K126" s="431">
        <v>966350</v>
      </c>
      <c r="L126" s="431"/>
      <c r="M126" s="431">
        <v>22799</v>
      </c>
      <c r="N126" s="431">
        <v>0</v>
      </c>
      <c r="O126" s="431"/>
      <c r="P126" s="443">
        <f t="shared" si="16"/>
        <v>3276390</v>
      </c>
      <c r="Q126" s="431">
        <v>1965696</v>
      </c>
      <c r="R126" s="431">
        <v>861396</v>
      </c>
      <c r="S126" s="431">
        <v>0</v>
      </c>
      <c r="T126" s="431">
        <v>0</v>
      </c>
      <c r="U126" s="431">
        <v>0</v>
      </c>
      <c r="V126" s="431">
        <v>0</v>
      </c>
      <c r="W126" s="431">
        <v>0</v>
      </c>
      <c r="X126" s="431">
        <v>99881</v>
      </c>
      <c r="Y126" s="431">
        <v>20000</v>
      </c>
      <c r="Z126" s="431">
        <v>330418</v>
      </c>
      <c r="AA126" s="431">
        <v>0</v>
      </c>
      <c r="AB126" s="431">
        <v>-1001</v>
      </c>
      <c r="AC126" s="431">
        <v>1134340</v>
      </c>
      <c r="AD126" s="431">
        <v>38845</v>
      </c>
      <c r="AE126" s="431">
        <v>1469063</v>
      </c>
      <c r="AF126" s="431">
        <v>155135</v>
      </c>
      <c r="AG126" s="431">
        <v>50797</v>
      </c>
      <c r="AH126" s="431">
        <v>292858</v>
      </c>
      <c r="AI126" s="431">
        <v>29172</v>
      </c>
      <c r="AJ126" s="431">
        <v>0</v>
      </c>
      <c r="AK126" s="431">
        <v>0</v>
      </c>
      <c r="AL126" s="431">
        <v>106180</v>
      </c>
      <c r="AM126" s="431"/>
    </row>
    <row r="127" spans="1:39" s="155" customFormat="1" ht="12" x14ac:dyDescent="0.2">
      <c r="A127" s="168">
        <v>73</v>
      </c>
      <c r="B127" s="199">
        <v>128659</v>
      </c>
      <c r="C127" s="414" t="s">
        <v>1766</v>
      </c>
      <c r="D127" s="443">
        <f t="shared" si="15"/>
        <v>3804968</v>
      </c>
      <c r="E127" s="431">
        <v>789839</v>
      </c>
      <c r="F127" s="431">
        <v>318573</v>
      </c>
      <c r="G127" s="431">
        <v>253869</v>
      </c>
      <c r="H127" s="431">
        <v>0</v>
      </c>
      <c r="I127" s="431">
        <v>1520545</v>
      </c>
      <c r="J127" s="431">
        <v>50000</v>
      </c>
      <c r="K127" s="431">
        <v>1006120</v>
      </c>
      <c r="L127" s="431"/>
      <c r="M127" s="431">
        <v>312422</v>
      </c>
      <c r="N127" s="431">
        <v>126042</v>
      </c>
      <c r="O127" s="431"/>
      <c r="P127" s="443">
        <f t="shared" si="16"/>
        <v>3800532</v>
      </c>
      <c r="Q127" s="431">
        <v>1920222</v>
      </c>
      <c r="R127" s="431">
        <v>709674</v>
      </c>
      <c r="S127" s="431">
        <v>0</v>
      </c>
      <c r="T127" s="431">
        <v>0</v>
      </c>
      <c r="U127" s="431">
        <v>0</v>
      </c>
      <c r="V127" s="431">
        <v>0</v>
      </c>
      <c r="W127" s="431">
        <v>191749</v>
      </c>
      <c r="X127" s="431">
        <v>299985</v>
      </c>
      <c r="Y127" s="431">
        <v>0</v>
      </c>
      <c r="Z127" s="431">
        <v>706402</v>
      </c>
      <c r="AA127" s="431">
        <v>0</v>
      </c>
      <c r="AB127" s="431">
        <v>-27500</v>
      </c>
      <c r="AC127" s="431">
        <v>1120372</v>
      </c>
      <c r="AD127" s="431">
        <v>0</v>
      </c>
      <c r="AE127" s="431">
        <v>1357778</v>
      </c>
      <c r="AF127" s="431">
        <v>0</v>
      </c>
      <c r="AG127" s="431">
        <v>0</v>
      </c>
      <c r="AH127" s="431">
        <v>447357</v>
      </c>
      <c r="AI127" s="431">
        <v>64429</v>
      </c>
      <c r="AJ127" s="431">
        <v>0</v>
      </c>
      <c r="AK127" s="431">
        <v>0</v>
      </c>
      <c r="AL127" s="431">
        <v>618847</v>
      </c>
      <c r="AM127" s="431">
        <v>191749</v>
      </c>
    </row>
    <row r="128" spans="1:39" s="155" customFormat="1" ht="12" x14ac:dyDescent="0.2">
      <c r="A128" s="168">
        <v>74</v>
      </c>
      <c r="B128" s="199">
        <v>128864</v>
      </c>
      <c r="C128" s="414" t="s">
        <v>1767</v>
      </c>
      <c r="D128" s="443">
        <f t="shared" si="15"/>
        <v>4274337</v>
      </c>
      <c r="E128" s="431">
        <v>660103</v>
      </c>
      <c r="F128" s="431">
        <v>86404</v>
      </c>
      <c r="G128" s="431">
        <v>272209</v>
      </c>
      <c r="H128" s="431">
        <v>0</v>
      </c>
      <c r="I128" s="431">
        <v>1224734</v>
      </c>
      <c r="J128" s="431">
        <v>0</v>
      </c>
      <c r="K128" s="431">
        <v>1194130</v>
      </c>
      <c r="L128" s="431"/>
      <c r="M128" s="431">
        <v>1133756</v>
      </c>
      <c r="N128" s="431">
        <v>56614</v>
      </c>
      <c r="O128" s="431">
        <v>5000</v>
      </c>
      <c r="P128" s="443">
        <f t="shared" si="16"/>
        <v>3510732</v>
      </c>
      <c r="Q128" s="431">
        <v>1395821</v>
      </c>
      <c r="R128" s="431">
        <v>757604</v>
      </c>
      <c r="S128" s="431">
        <v>0</v>
      </c>
      <c r="T128" s="431">
        <v>0</v>
      </c>
      <c r="U128" s="431">
        <v>0</v>
      </c>
      <c r="V128" s="431">
        <v>0</v>
      </c>
      <c r="W128" s="431">
        <v>105560</v>
      </c>
      <c r="X128" s="431">
        <v>233949</v>
      </c>
      <c r="Y128" s="431">
        <v>0</v>
      </c>
      <c r="Z128" s="431">
        <v>1017798</v>
      </c>
      <c r="AA128" s="431">
        <v>0</v>
      </c>
      <c r="AB128" s="431">
        <v>0</v>
      </c>
      <c r="AC128" s="431">
        <v>540087</v>
      </c>
      <c r="AD128" s="431">
        <v>58803</v>
      </c>
      <c r="AE128" s="431">
        <v>1099114</v>
      </c>
      <c r="AF128" s="431">
        <v>24381</v>
      </c>
      <c r="AG128" s="431">
        <v>56070</v>
      </c>
      <c r="AH128" s="431">
        <v>465687</v>
      </c>
      <c r="AI128" s="431">
        <v>55671</v>
      </c>
      <c r="AJ128" s="431">
        <v>30160</v>
      </c>
      <c r="AK128" s="431">
        <v>0</v>
      </c>
      <c r="AL128" s="431">
        <v>1037896</v>
      </c>
      <c r="AM128" s="431">
        <v>142863</v>
      </c>
    </row>
    <row r="129" spans="1:39" s="155" customFormat="1" ht="12" x14ac:dyDescent="0.2">
      <c r="A129" s="168">
        <v>75</v>
      </c>
      <c r="B129" s="199">
        <v>125374</v>
      </c>
      <c r="C129" s="414" t="s">
        <v>1768</v>
      </c>
      <c r="D129" s="443">
        <f t="shared" si="15"/>
        <v>6323406</v>
      </c>
      <c r="E129" s="431">
        <v>1633933</v>
      </c>
      <c r="F129" s="431">
        <v>652130</v>
      </c>
      <c r="G129" s="431">
        <v>166028</v>
      </c>
      <c r="H129" s="431">
        <v>0</v>
      </c>
      <c r="I129" s="431">
        <v>949368</v>
      </c>
      <c r="J129" s="431">
        <v>50000</v>
      </c>
      <c r="K129" s="431">
        <v>639560</v>
      </c>
      <c r="L129" s="431"/>
      <c r="M129" s="431">
        <v>2043393</v>
      </c>
      <c r="N129" s="431">
        <v>211775</v>
      </c>
      <c r="O129" s="431">
        <v>795377</v>
      </c>
      <c r="P129" s="443">
        <f t="shared" si="16"/>
        <v>5450101</v>
      </c>
      <c r="Q129" s="431">
        <v>1472114</v>
      </c>
      <c r="R129" s="431">
        <v>597616</v>
      </c>
      <c r="S129" s="431">
        <v>0</v>
      </c>
      <c r="T129" s="431">
        <v>0</v>
      </c>
      <c r="U129" s="431">
        <v>0</v>
      </c>
      <c r="V129" s="431">
        <v>0</v>
      </c>
      <c r="W129" s="431">
        <v>273286</v>
      </c>
      <c r="X129" s="431">
        <v>196922</v>
      </c>
      <c r="Y129" s="431">
        <v>0</v>
      </c>
      <c r="Z129" s="431">
        <v>2910163</v>
      </c>
      <c r="AA129" s="431">
        <v>0</v>
      </c>
      <c r="AB129" s="431">
        <v>0</v>
      </c>
      <c r="AC129" s="431">
        <v>880214</v>
      </c>
      <c r="AD129" s="431">
        <v>4815</v>
      </c>
      <c r="AE129" s="431">
        <v>726696</v>
      </c>
      <c r="AF129" s="431">
        <v>53148</v>
      </c>
      <c r="AG129" s="431">
        <v>41331</v>
      </c>
      <c r="AH129" s="431">
        <v>320139</v>
      </c>
      <c r="AI129" s="431">
        <v>1166911</v>
      </c>
      <c r="AJ129" s="431">
        <v>0</v>
      </c>
      <c r="AK129" s="431">
        <v>0</v>
      </c>
      <c r="AL129" s="431">
        <v>1968551</v>
      </c>
      <c r="AM129" s="431">
        <v>288296</v>
      </c>
    </row>
    <row r="130" spans="1:39" s="155" customFormat="1" ht="12" x14ac:dyDescent="0.2">
      <c r="A130" s="168">
        <v>76</v>
      </c>
      <c r="B130" s="199">
        <v>128962</v>
      </c>
      <c r="C130" s="414" t="s">
        <v>1769</v>
      </c>
      <c r="D130" s="443">
        <f t="shared" si="15"/>
        <v>2714077</v>
      </c>
      <c r="E130" s="431">
        <v>787121</v>
      </c>
      <c r="F130" s="431">
        <v>155829</v>
      </c>
      <c r="G130" s="431">
        <v>215258</v>
      </c>
      <c r="H130" s="431">
        <v>0</v>
      </c>
      <c r="I130" s="431">
        <v>721722</v>
      </c>
      <c r="J130" s="431">
        <v>50000</v>
      </c>
      <c r="K130" s="431">
        <v>1016860</v>
      </c>
      <c r="L130" s="431"/>
      <c r="M130" s="431">
        <v>69074</v>
      </c>
      <c r="N130" s="431">
        <v>0</v>
      </c>
      <c r="O130" s="431">
        <v>69300</v>
      </c>
      <c r="P130" s="443">
        <f t="shared" si="16"/>
        <v>2494092</v>
      </c>
      <c r="Q130" s="431">
        <v>993759</v>
      </c>
      <c r="R130" s="431">
        <v>1243494</v>
      </c>
      <c r="S130" s="431">
        <v>0</v>
      </c>
      <c r="T130" s="431">
        <v>0</v>
      </c>
      <c r="U130" s="431">
        <v>0</v>
      </c>
      <c r="V130" s="431">
        <v>0</v>
      </c>
      <c r="W130" s="431">
        <v>0</v>
      </c>
      <c r="X130" s="431">
        <v>179883</v>
      </c>
      <c r="Y130" s="431">
        <v>6956</v>
      </c>
      <c r="Z130" s="431">
        <v>70000</v>
      </c>
      <c r="AA130" s="431">
        <v>0</v>
      </c>
      <c r="AB130" s="431">
        <v>0</v>
      </c>
      <c r="AC130" s="431">
        <v>572524</v>
      </c>
      <c r="AD130" s="431">
        <v>37155</v>
      </c>
      <c r="AE130" s="431">
        <v>734163</v>
      </c>
      <c r="AF130" s="431">
        <v>19506</v>
      </c>
      <c r="AG130" s="431">
        <v>0</v>
      </c>
      <c r="AH130" s="431">
        <v>209287</v>
      </c>
      <c r="AI130" s="431">
        <v>676008</v>
      </c>
      <c r="AJ130" s="431">
        <v>0</v>
      </c>
      <c r="AK130" s="431">
        <v>0</v>
      </c>
      <c r="AL130" s="431">
        <v>230131</v>
      </c>
      <c r="AM130" s="431">
        <v>15318</v>
      </c>
    </row>
    <row r="131" spans="1:39" s="155" customFormat="1" ht="12" x14ac:dyDescent="0.2">
      <c r="A131" s="168">
        <v>77</v>
      </c>
      <c r="B131" s="199">
        <v>129040</v>
      </c>
      <c r="C131" s="414" t="s">
        <v>1770</v>
      </c>
      <c r="D131" s="443">
        <f t="shared" si="15"/>
        <v>3397943</v>
      </c>
      <c r="E131" s="431">
        <v>844802</v>
      </c>
      <c r="F131" s="431">
        <v>116371</v>
      </c>
      <c r="G131" s="431">
        <v>288619</v>
      </c>
      <c r="H131" s="431">
        <v>0</v>
      </c>
      <c r="I131" s="431">
        <v>1102262</v>
      </c>
      <c r="J131" s="431">
        <v>50000</v>
      </c>
      <c r="K131" s="431">
        <v>1040530</v>
      </c>
      <c r="L131" s="431"/>
      <c r="M131" s="431">
        <v>108033</v>
      </c>
      <c r="N131" s="431">
        <v>237316</v>
      </c>
      <c r="O131" s="431">
        <v>15000</v>
      </c>
      <c r="P131" s="443">
        <f t="shared" si="16"/>
        <v>3416995</v>
      </c>
      <c r="Q131" s="431">
        <v>1292239</v>
      </c>
      <c r="R131" s="431">
        <v>779631</v>
      </c>
      <c r="S131" s="431">
        <v>3000</v>
      </c>
      <c r="T131" s="431">
        <v>0</v>
      </c>
      <c r="U131" s="431">
        <v>0</v>
      </c>
      <c r="V131" s="431">
        <v>0</v>
      </c>
      <c r="W131" s="431">
        <v>309760</v>
      </c>
      <c r="X131" s="431">
        <v>223012</v>
      </c>
      <c r="Y131" s="431">
        <v>0</v>
      </c>
      <c r="Z131" s="431">
        <v>822634</v>
      </c>
      <c r="AA131" s="431">
        <v>0</v>
      </c>
      <c r="AB131" s="431">
        <v>-13281</v>
      </c>
      <c r="AC131" s="431">
        <v>1161708</v>
      </c>
      <c r="AD131" s="431">
        <v>39367</v>
      </c>
      <c r="AE131" s="431">
        <v>1019648</v>
      </c>
      <c r="AF131" s="431">
        <v>19513</v>
      </c>
      <c r="AG131" s="431">
        <v>54029</v>
      </c>
      <c r="AH131" s="431">
        <v>252416</v>
      </c>
      <c r="AI131" s="431">
        <v>40172</v>
      </c>
      <c r="AJ131" s="431">
        <v>0</v>
      </c>
      <c r="AK131" s="431">
        <v>0</v>
      </c>
      <c r="AL131" s="431">
        <v>830142</v>
      </c>
      <c r="AM131" s="431"/>
    </row>
    <row r="132" spans="1:39" s="155" customFormat="1" ht="12" x14ac:dyDescent="0.2">
      <c r="A132" s="168">
        <v>78</v>
      </c>
      <c r="B132" s="199">
        <v>129095</v>
      </c>
      <c r="C132" s="414" t="s">
        <v>1771</v>
      </c>
      <c r="D132" s="443">
        <f t="shared" si="15"/>
        <v>3655189</v>
      </c>
      <c r="E132" s="431">
        <v>778217</v>
      </c>
      <c r="F132" s="431">
        <v>211321</v>
      </c>
      <c r="G132" s="431">
        <v>299237</v>
      </c>
      <c r="H132" s="431">
        <v>0</v>
      </c>
      <c r="I132" s="431">
        <v>938910</v>
      </c>
      <c r="J132" s="431">
        <v>0</v>
      </c>
      <c r="K132" s="431">
        <v>1175180</v>
      </c>
      <c r="L132" s="431"/>
      <c r="M132" s="431">
        <v>396424</v>
      </c>
      <c r="N132" s="431">
        <v>366458</v>
      </c>
      <c r="O132" s="431"/>
      <c r="P132" s="443">
        <f t="shared" si="16"/>
        <v>3179216</v>
      </c>
      <c r="Q132" s="431">
        <v>1242940</v>
      </c>
      <c r="R132" s="431">
        <v>1040644</v>
      </c>
      <c r="S132" s="431">
        <v>0</v>
      </c>
      <c r="T132" s="431">
        <v>0</v>
      </c>
      <c r="U132" s="431">
        <v>0</v>
      </c>
      <c r="V132" s="431">
        <v>0</v>
      </c>
      <c r="W132" s="431">
        <v>0</v>
      </c>
      <c r="X132" s="431">
        <v>161609</v>
      </c>
      <c r="Y132" s="431">
        <v>0</v>
      </c>
      <c r="Z132" s="431">
        <v>734023</v>
      </c>
      <c r="AA132" s="431">
        <v>0</v>
      </c>
      <c r="AB132" s="431">
        <v>0</v>
      </c>
      <c r="AC132" s="431">
        <v>1672164</v>
      </c>
      <c r="AD132" s="431">
        <v>45038</v>
      </c>
      <c r="AE132" s="431">
        <v>824037</v>
      </c>
      <c r="AF132" s="431">
        <v>0</v>
      </c>
      <c r="AG132" s="431">
        <v>29085</v>
      </c>
      <c r="AH132" s="431">
        <v>240445</v>
      </c>
      <c r="AI132" s="431">
        <v>27411</v>
      </c>
      <c r="AJ132" s="431">
        <v>0</v>
      </c>
      <c r="AK132" s="431">
        <v>0</v>
      </c>
      <c r="AL132" s="431">
        <v>341036</v>
      </c>
      <c r="AM132" s="431"/>
    </row>
    <row r="133" spans="1:39" s="155" customFormat="1" ht="12" x14ac:dyDescent="0.2">
      <c r="A133" s="168">
        <v>79</v>
      </c>
      <c r="B133" s="199">
        <v>129111</v>
      </c>
      <c r="C133" s="414" t="s">
        <v>1772</v>
      </c>
      <c r="D133" s="443">
        <f t="shared" si="15"/>
        <v>4785974</v>
      </c>
      <c r="E133" s="431">
        <v>1103332</v>
      </c>
      <c r="F133" s="431">
        <v>140702</v>
      </c>
      <c r="G133" s="431">
        <v>219119</v>
      </c>
      <c r="H133" s="431">
        <v>0</v>
      </c>
      <c r="I133" s="431">
        <v>1165516</v>
      </c>
      <c r="J133" s="431">
        <v>50000</v>
      </c>
      <c r="K133" s="431">
        <v>750670</v>
      </c>
      <c r="L133" s="431"/>
      <c r="M133" s="431">
        <v>1477219</v>
      </c>
      <c r="N133" s="431">
        <v>239237</v>
      </c>
      <c r="O133" s="431"/>
      <c r="P133" s="443">
        <f t="shared" si="16"/>
        <v>4761696</v>
      </c>
      <c r="Q133" s="431">
        <v>1287379</v>
      </c>
      <c r="R133" s="431">
        <v>720968</v>
      </c>
      <c r="S133" s="431">
        <v>0</v>
      </c>
      <c r="T133" s="431">
        <v>0</v>
      </c>
      <c r="U133" s="431">
        <v>0</v>
      </c>
      <c r="V133" s="431">
        <v>0</v>
      </c>
      <c r="W133" s="431">
        <v>205587</v>
      </c>
      <c r="X133" s="431">
        <v>361999</v>
      </c>
      <c r="Y133" s="431">
        <v>0</v>
      </c>
      <c r="Z133" s="431">
        <v>2185763</v>
      </c>
      <c r="AA133" s="431">
        <v>0</v>
      </c>
      <c r="AB133" s="431">
        <v>0</v>
      </c>
      <c r="AC133" s="431">
        <v>828530</v>
      </c>
      <c r="AD133" s="431">
        <v>47031</v>
      </c>
      <c r="AE133" s="431">
        <v>930251</v>
      </c>
      <c r="AF133" s="431">
        <v>17929</v>
      </c>
      <c r="AG133" s="431">
        <v>496307</v>
      </c>
      <c r="AH133" s="431">
        <v>361999</v>
      </c>
      <c r="AI133" s="431">
        <v>1327897</v>
      </c>
      <c r="AJ133" s="431">
        <v>2521</v>
      </c>
      <c r="AK133" s="431">
        <v>0</v>
      </c>
      <c r="AL133" s="431">
        <v>743651</v>
      </c>
      <c r="AM133" s="431">
        <v>5580</v>
      </c>
    </row>
    <row r="134" spans="1:39" s="155" customFormat="1" ht="12" x14ac:dyDescent="0.2">
      <c r="A134" s="168">
        <v>80</v>
      </c>
      <c r="B134" s="199">
        <v>129139</v>
      </c>
      <c r="C134" s="414" t="s">
        <v>1773</v>
      </c>
      <c r="D134" s="443">
        <f t="shared" si="15"/>
        <v>3971574</v>
      </c>
      <c r="E134" s="431">
        <v>1210184</v>
      </c>
      <c r="F134" s="431">
        <v>358677</v>
      </c>
      <c r="G134" s="431">
        <v>194987</v>
      </c>
      <c r="H134" s="431">
        <v>0</v>
      </c>
      <c r="I134" s="431">
        <v>1383769</v>
      </c>
      <c r="J134" s="431">
        <v>49602</v>
      </c>
      <c r="K134" s="431">
        <v>663890</v>
      </c>
      <c r="L134" s="431"/>
      <c r="M134" s="431">
        <v>216903</v>
      </c>
      <c r="N134" s="431">
        <v>47226</v>
      </c>
      <c r="O134" s="431">
        <v>400000</v>
      </c>
      <c r="P134" s="443">
        <f t="shared" si="16"/>
        <v>4393505</v>
      </c>
      <c r="Q134" s="431">
        <v>1706354</v>
      </c>
      <c r="R134" s="431">
        <v>814389</v>
      </c>
      <c r="S134" s="431">
        <v>0</v>
      </c>
      <c r="T134" s="431">
        <v>0</v>
      </c>
      <c r="U134" s="431">
        <v>0</v>
      </c>
      <c r="V134" s="431">
        <v>0</v>
      </c>
      <c r="W134" s="431">
        <v>108280</v>
      </c>
      <c r="X134" s="431">
        <v>192662</v>
      </c>
      <c r="Y134" s="431">
        <v>5000</v>
      </c>
      <c r="Z134" s="431">
        <v>1566820</v>
      </c>
      <c r="AA134" s="431">
        <v>0</v>
      </c>
      <c r="AB134" s="431">
        <v>0</v>
      </c>
      <c r="AC134" s="431">
        <v>756085</v>
      </c>
      <c r="AD134" s="431">
        <v>45950</v>
      </c>
      <c r="AE134" s="431">
        <v>1370111</v>
      </c>
      <c r="AF134" s="431">
        <v>52233</v>
      </c>
      <c r="AG134" s="431">
        <v>277739</v>
      </c>
      <c r="AH134" s="431">
        <v>234687</v>
      </c>
      <c r="AI134" s="431">
        <v>236634</v>
      </c>
      <c r="AJ134" s="431">
        <v>96601</v>
      </c>
      <c r="AK134" s="431">
        <v>0</v>
      </c>
      <c r="AL134" s="431">
        <v>1212280</v>
      </c>
      <c r="AM134" s="431">
        <v>111185</v>
      </c>
    </row>
    <row r="135" spans="1:39" s="155" customFormat="1" ht="12" x14ac:dyDescent="0.2">
      <c r="A135" s="168">
        <v>81</v>
      </c>
      <c r="B135" s="199">
        <v>129184</v>
      </c>
      <c r="C135" s="414" t="s">
        <v>1774</v>
      </c>
      <c r="D135" s="443">
        <f t="shared" si="15"/>
        <v>5955150</v>
      </c>
      <c r="E135" s="431">
        <v>740978</v>
      </c>
      <c r="F135" s="431">
        <v>118384</v>
      </c>
      <c r="G135" s="431">
        <v>295376</v>
      </c>
      <c r="H135" s="431">
        <v>0</v>
      </c>
      <c r="I135" s="431">
        <v>1222780</v>
      </c>
      <c r="J135" s="431">
        <v>50000</v>
      </c>
      <c r="K135" s="431">
        <v>1109930</v>
      </c>
      <c r="L135" s="431"/>
      <c r="M135" s="431">
        <v>228926</v>
      </c>
      <c r="N135" s="431">
        <v>1553326</v>
      </c>
      <c r="O135" s="431">
        <v>1049210</v>
      </c>
      <c r="P135" s="443">
        <f t="shared" si="16"/>
        <v>4271576</v>
      </c>
      <c r="Q135" s="431">
        <v>1728370</v>
      </c>
      <c r="R135" s="431">
        <v>1198223</v>
      </c>
      <c r="S135" s="431">
        <v>0</v>
      </c>
      <c r="T135" s="431">
        <v>0</v>
      </c>
      <c r="U135" s="431">
        <v>0</v>
      </c>
      <c r="V135" s="431">
        <v>0</v>
      </c>
      <c r="W135" s="431">
        <v>0</v>
      </c>
      <c r="X135" s="431">
        <v>206776</v>
      </c>
      <c r="Y135" s="431">
        <v>5000</v>
      </c>
      <c r="Z135" s="431">
        <v>1148316</v>
      </c>
      <c r="AA135" s="431">
        <v>0</v>
      </c>
      <c r="AB135" s="431">
        <v>-15109</v>
      </c>
      <c r="AC135" s="431">
        <v>1326875</v>
      </c>
      <c r="AD135" s="431">
        <v>19958</v>
      </c>
      <c r="AE135" s="431">
        <v>1094620</v>
      </c>
      <c r="AF135" s="431">
        <v>29294</v>
      </c>
      <c r="AG135" s="431">
        <v>122909</v>
      </c>
      <c r="AH135" s="431">
        <v>314776</v>
      </c>
      <c r="AI135" s="431">
        <v>134828</v>
      </c>
      <c r="AJ135" s="431">
        <v>1049210</v>
      </c>
      <c r="AK135" s="431">
        <v>0</v>
      </c>
      <c r="AL135" s="431">
        <v>179106</v>
      </c>
      <c r="AM135" s="431"/>
    </row>
    <row r="136" spans="1:39" s="155" customFormat="1" ht="12" x14ac:dyDescent="0.2">
      <c r="A136" s="168">
        <v>82</v>
      </c>
      <c r="B136" s="199">
        <v>129246</v>
      </c>
      <c r="C136" s="414" t="s">
        <v>1775</v>
      </c>
      <c r="D136" s="443">
        <f t="shared" si="15"/>
        <v>5090923</v>
      </c>
      <c r="E136" s="431">
        <v>1346525</v>
      </c>
      <c r="F136" s="431">
        <v>438852</v>
      </c>
      <c r="G136" s="431">
        <v>167959</v>
      </c>
      <c r="H136" s="431">
        <v>0</v>
      </c>
      <c r="I136" s="431">
        <v>1472910</v>
      </c>
      <c r="J136" s="431">
        <v>49997</v>
      </c>
      <c r="K136" s="431">
        <v>790740</v>
      </c>
      <c r="L136" s="431"/>
      <c r="M136" s="431">
        <v>1430251</v>
      </c>
      <c r="N136" s="431">
        <v>0</v>
      </c>
      <c r="O136" s="431">
        <v>500</v>
      </c>
      <c r="P136" s="443">
        <f t="shared" si="16"/>
        <v>4860471</v>
      </c>
      <c r="Q136" s="431">
        <v>1744685</v>
      </c>
      <c r="R136" s="431">
        <v>633484</v>
      </c>
      <c r="S136" s="431">
        <v>0</v>
      </c>
      <c r="T136" s="431">
        <v>0</v>
      </c>
      <c r="U136" s="431">
        <v>0</v>
      </c>
      <c r="V136" s="431">
        <v>45000</v>
      </c>
      <c r="W136" s="431">
        <v>0</v>
      </c>
      <c r="X136" s="431">
        <v>246525</v>
      </c>
      <c r="Y136" s="431">
        <v>11970</v>
      </c>
      <c r="Z136" s="431">
        <v>2179880</v>
      </c>
      <c r="AA136" s="431">
        <v>0</v>
      </c>
      <c r="AB136" s="431">
        <v>-1073</v>
      </c>
      <c r="AC136" s="431">
        <v>540536</v>
      </c>
      <c r="AD136" s="431">
        <v>35727</v>
      </c>
      <c r="AE136" s="431">
        <v>1292502</v>
      </c>
      <c r="AF136" s="431">
        <v>366138</v>
      </c>
      <c r="AG136" s="431">
        <v>139106</v>
      </c>
      <c r="AH136" s="431">
        <v>346299</v>
      </c>
      <c r="AI136" s="431">
        <v>352574</v>
      </c>
      <c r="AJ136" s="431">
        <v>992</v>
      </c>
      <c r="AK136" s="431">
        <v>0</v>
      </c>
      <c r="AL136" s="431">
        <v>1737103</v>
      </c>
      <c r="AM136" s="431">
        <v>49494</v>
      </c>
    </row>
    <row r="137" spans="1:39" s="155" customFormat="1" ht="12" x14ac:dyDescent="0.2">
      <c r="A137" s="168">
        <v>83</v>
      </c>
      <c r="B137" s="199">
        <v>130384</v>
      </c>
      <c r="C137" s="414" t="s">
        <v>1776</v>
      </c>
      <c r="D137" s="443">
        <f t="shared" si="15"/>
        <v>6069094</v>
      </c>
      <c r="E137" s="431">
        <v>502635</v>
      </c>
      <c r="F137" s="431">
        <v>104001</v>
      </c>
      <c r="G137" s="431">
        <v>239390</v>
      </c>
      <c r="H137" s="431">
        <v>0</v>
      </c>
      <c r="I137" s="431">
        <v>751574</v>
      </c>
      <c r="J137" s="431">
        <v>50000</v>
      </c>
      <c r="K137" s="431">
        <v>1067040</v>
      </c>
      <c r="L137" s="431"/>
      <c r="M137" s="431">
        <v>389460</v>
      </c>
      <c r="N137" s="431">
        <v>3305885</v>
      </c>
      <c r="O137" s="431">
        <v>2500</v>
      </c>
      <c r="P137" s="443">
        <f t="shared" si="16"/>
        <v>2091748</v>
      </c>
      <c r="Q137" s="431">
        <v>1219777</v>
      </c>
      <c r="R137" s="431">
        <v>234978</v>
      </c>
      <c r="S137" s="431">
        <v>0</v>
      </c>
      <c r="T137" s="431">
        <v>0</v>
      </c>
      <c r="U137" s="431">
        <v>73288</v>
      </c>
      <c r="V137" s="431">
        <v>0</v>
      </c>
      <c r="W137" s="431">
        <v>0</v>
      </c>
      <c r="X137" s="431">
        <v>45028</v>
      </c>
      <c r="Y137" s="431">
        <v>5994</v>
      </c>
      <c r="Z137" s="431">
        <v>512683</v>
      </c>
      <c r="AA137" s="431">
        <v>0</v>
      </c>
      <c r="AB137" s="431">
        <v>0</v>
      </c>
      <c r="AC137" s="431">
        <v>604636</v>
      </c>
      <c r="AD137" s="431">
        <v>41442</v>
      </c>
      <c r="AE137" s="431">
        <v>534714</v>
      </c>
      <c r="AF137" s="431">
        <v>0</v>
      </c>
      <c r="AG137" s="431">
        <v>92787</v>
      </c>
      <c r="AH137" s="431">
        <v>263028</v>
      </c>
      <c r="AI137" s="431">
        <v>282877</v>
      </c>
      <c r="AJ137" s="431">
        <v>122000</v>
      </c>
      <c r="AK137" s="431">
        <v>0</v>
      </c>
      <c r="AL137" s="431">
        <v>148264</v>
      </c>
      <c r="AM137" s="431">
        <v>2000</v>
      </c>
    </row>
    <row r="138" spans="1:39" s="155" customFormat="1" ht="12" x14ac:dyDescent="0.2">
      <c r="A138" s="168">
        <v>84</v>
      </c>
      <c r="B138" s="199">
        <v>129282</v>
      </c>
      <c r="C138" s="414" t="s">
        <v>1777</v>
      </c>
      <c r="D138" s="443">
        <f t="shared" si="15"/>
        <v>2862403</v>
      </c>
      <c r="E138" s="431">
        <v>666645</v>
      </c>
      <c r="F138" s="431">
        <v>67969</v>
      </c>
      <c r="G138" s="431">
        <v>269314</v>
      </c>
      <c r="H138" s="431">
        <v>0</v>
      </c>
      <c r="I138" s="431">
        <v>1010960</v>
      </c>
      <c r="J138" s="431">
        <v>50000</v>
      </c>
      <c r="K138" s="431">
        <v>1107140</v>
      </c>
      <c r="L138" s="431"/>
      <c r="M138" s="431">
        <v>27658</v>
      </c>
      <c r="N138" s="431">
        <v>0</v>
      </c>
      <c r="O138" s="431"/>
      <c r="P138" s="443">
        <f t="shared" si="16"/>
        <v>2796050</v>
      </c>
      <c r="Q138" s="431">
        <v>1179651</v>
      </c>
      <c r="R138" s="431">
        <v>1059522</v>
      </c>
      <c r="S138" s="431">
        <v>0</v>
      </c>
      <c r="T138" s="431">
        <v>0</v>
      </c>
      <c r="U138" s="431">
        <v>0</v>
      </c>
      <c r="V138" s="431">
        <v>3000</v>
      </c>
      <c r="W138" s="431">
        <v>0</v>
      </c>
      <c r="X138" s="431">
        <v>254065</v>
      </c>
      <c r="Y138" s="431">
        <v>3000</v>
      </c>
      <c r="Z138" s="431">
        <v>296812</v>
      </c>
      <c r="AA138" s="431">
        <v>0</v>
      </c>
      <c r="AB138" s="431">
        <v>0</v>
      </c>
      <c r="AC138" s="431">
        <v>1028936</v>
      </c>
      <c r="AD138" s="431">
        <v>7966</v>
      </c>
      <c r="AE138" s="431">
        <v>936678</v>
      </c>
      <c r="AF138" s="431">
        <v>20062</v>
      </c>
      <c r="AG138" s="431">
        <v>54703</v>
      </c>
      <c r="AH138" s="431">
        <v>379327</v>
      </c>
      <c r="AI138" s="431">
        <v>165534</v>
      </c>
      <c r="AJ138" s="431">
        <v>14905</v>
      </c>
      <c r="AK138" s="431">
        <v>0</v>
      </c>
      <c r="AL138" s="431">
        <v>182961</v>
      </c>
      <c r="AM138" s="431">
        <v>4978</v>
      </c>
    </row>
    <row r="139" spans="1:39" s="155" customFormat="1" ht="12" x14ac:dyDescent="0.2">
      <c r="A139" s="168">
        <v>85</v>
      </c>
      <c r="B139" s="199">
        <v>129317</v>
      </c>
      <c r="C139" s="414" t="s">
        <v>1778</v>
      </c>
      <c r="D139" s="443">
        <f t="shared" si="15"/>
        <v>3211415</v>
      </c>
      <c r="E139" s="431">
        <v>594056</v>
      </c>
      <c r="F139" s="431">
        <v>58106</v>
      </c>
      <c r="G139" s="431">
        <v>298272</v>
      </c>
      <c r="H139" s="431">
        <v>0</v>
      </c>
      <c r="I139" s="431">
        <v>527208</v>
      </c>
      <c r="J139" s="431">
        <v>50000</v>
      </c>
      <c r="K139" s="431">
        <v>1153330</v>
      </c>
      <c r="L139" s="431"/>
      <c r="M139" s="431">
        <v>886821</v>
      </c>
      <c r="N139" s="431">
        <v>0</v>
      </c>
      <c r="O139" s="431"/>
      <c r="P139" s="443">
        <f t="shared" si="16"/>
        <v>2935615</v>
      </c>
      <c r="Q139" s="431">
        <v>831263</v>
      </c>
      <c r="R139" s="431">
        <v>536518</v>
      </c>
      <c r="S139" s="431">
        <v>0</v>
      </c>
      <c r="T139" s="431">
        <v>0</v>
      </c>
      <c r="U139" s="431">
        <v>0</v>
      </c>
      <c r="V139" s="431">
        <v>0</v>
      </c>
      <c r="W139" s="431">
        <v>0</v>
      </c>
      <c r="X139" s="431">
        <v>133199</v>
      </c>
      <c r="Y139" s="431">
        <v>4000</v>
      </c>
      <c r="Z139" s="431">
        <v>1451546</v>
      </c>
      <c r="AA139" s="431">
        <v>0</v>
      </c>
      <c r="AB139" s="431">
        <v>-20911</v>
      </c>
      <c r="AC139" s="431">
        <v>699700</v>
      </c>
      <c r="AD139" s="431">
        <v>0</v>
      </c>
      <c r="AE139" s="431">
        <v>444627</v>
      </c>
      <c r="AF139" s="431">
        <v>0</v>
      </c>
      <c r="AG139" s="431">
        <v>381514</v>
      </c>
      <c r="AH139" s="431">
        <v>147859</v>
      </c>
      <c r="AI139" s="431">
        <v>212858</v>
      </c>
      <c r="AJ139" s="431">
        <v>0</v>
      </c>
      <c r="AK139" s="431">
        <v>0</v>
      </c>
      <c r="AL139" s="431">
        <v>1049057</v>
      </c>
      <c r="AM139" s="431"/>
    </row>
    <row r="140" spans="1:39" s="155" customFormat="1" ht="12" x14ac:dyDescent="0.2">
      <c r="A140" s="168">
        <v>86</v>
      </c>
      <c r="B140" s="199">
        <v>129380</v>
      </c>
      <c r="C140" s="414" t="s">
        <v>1779</v>
      </c>
      <c r="D140" s="443">
        <f t="shared" si="15"/>
        <v>3216945</v>
      </c>
      <c r="E140" s="431">
        <v>869699</v>
      </c>
      <c r="F140" s="431">
        <v>141362</v>
      </c>
      <c r="G140" s="431">
        <v>253869</v>
      </c>
      <c r="H140" s="431">
        <v>0</v>
      </c>
      <c r="I140" s="431">
        <v>1238206</v>
      </c>
      <c r="J140" s="431">
        <v>50000</v>
      </c>
      <c r="K140" s="431">
        <v>1022300</v>
      </c>
      <c r="L140" s="431"/>
      <c r="M140" s="431">
        <v>34240</v>
      </c>
      <c r="N140" s="431">
        <v>0</v>
      </c>
      <c r="O140" s="431">
        <v>2500</v>
      </c>
      <c r="P140" s="443">
        <f t="shared" si="16"/>
        <v>4068684</v>
      </c>
      <c r="Q140" s="431">
        <v>1403085</v>
      </c>
      <c r="R140" s="431">
        <v>475234</v>
      </c>
      <c r="S140" s="431">
        <v>0</v>
      </c>
      <c r="T140" s="431">
        <v>0</v>
      </c>
      <c r="U140" s="431">
        <v>0</v>
      </c>
      <c r="V140" s="431">
        <v>0</v>
      </c>
      <c r="W140" s="431">
        <v>0</v>
      </c>
      <c r="X140" s="431">
        <v>310048</v>
      </c>
      <c r="Y140" s="431">
        <v>12670</v>
      </c>
      <c r="Z140" s="431">
        <v>1870414</v>
      </c>
      <c r="AA140" s="431">
        <v>0</v>
      </c>
      <c r="AB140" s="431">
        <v>-2767</v>
      </c>
      <c r="AC140" s="431">
        <v>554605</v>
      </c>
      <c r="AD140" s="431">
        <v>2319</v>
      </c>
      <c r="AE140" s="431">
        <v>1171438</v>
      </c>
      <c r="AF140" s="431">
        <v>27704</v>
      </c>
      <c r="AG140" s="431">
        <v>44183</v>
      </c>
      <c r="AH140" s="431">
        <v>312625</v>
      </c>
      <c r="AI140" s="431">
        <v>326571</v>
      </c>
      <c r="AJ140" s="431">
        <v>52410</v>
      </c>
      <c r="AK140" s="431">
        <v>0</v>
      </c>
      <c r="AL140" s="431">
        <v>1576829</v>
      </c>
      <c r="AM140" s="431"/>
    </row>
    <row r="141" spans="1:39" s="155" customFormat="1" ht="12" x14ac:dyDescent="0.2">
      <c r="A141" s="168">
        <v>87</v>
      </c>
      <c r="B141" s="199">
        <v>129460</v>
      </c>
      <c r="C141" s="414" t="s">
        <v>1780</v>
      </c>
      <c r="D141" s="443">
        <f t="shared" si="15"/>
        <v>5040948</v>
      </c>
      <c r="E141" s="431">
        <v>1029414</v>
      </c>
      <c r="F141" s="431">
        <v>186798</v>
      </c>
      <c r="G141" s="431">
        <v>238425</v>
      </c>
      <c r="H141" s="431">
        <v>0</v>
      </c>
      <c r="I141" s="431">
        <v>1913818</v>
      </c>
      <c r="J141" s="431">
        <v>50000</v>
      </c>
      <c r="K141" s="431">
        <v>959540</v>
      </c>
      <c r="L141" s="431"/>
      <c r="M141" s="431">
        <v>865396</v>
      </c>
      <c r="N141" s="431">
        <v>83780</v>
      </c>
      <c r="O141" s="431">
        <v>139000</v>
      </c>
      <c r="P141" s="443">
        <f t="shared" si="16"/>
        <v>4743929</v>
      </c>
      <c r="Q141" s="431">
        <v>2391149</v>
      </c>
      <c r="R141" s="431">
        <v>872461</v>
      </c>
      <c r="S141" s="431">
        <v>0</v>
      </c>
      <c r="T141" s="431">
        <v>0</v>
      </c>
      <c r="U141" s="431">
        <v>0</v>
      </c>
      <c r="V141" s="431">
        <v>8000</v>
      </c>
      <c r="W141" s="431">
        <v>90008</v>
      </c>
      <c r="X141" s="431">
        <v>166306</v>
      </c>
      <c r="Y141" s="431">
        <v>40260</v>
      </c>
      <c r="Z141" s="431">
        <v>1175745</v>
      </c>
      <c r="AA141" s="431">
        <v>0</v>
      </c>
      <c r="AB141" s="431">
        <v>0</v>
      </c>
      <c r="AC141" s="431">
        <v>1111313</v>
      </c>
      <c r="AD141" s="431">
        <v>117997</v>
      </c>
      <c r="AE141" s="431">
        <v>1806358</v>
      </c>
      <c r="AF141" s="431">
        <v>35503</v>
      </c>
      <c r="AG141" s="431">
        <v>202192</v>
      </c>
      <c r="AH141" s="431">
        <v>337565</v>
      </c>
      <c r="AI141" s="431">
        <v>939676</v>
      </c>
      <c r="AJ141" s="431">
        <v>10704</v>
      </c>
      <c r="AK141" s="431">
        <v>0</v>
      </c>
      <c r="AL141" s="431">
        <v>125572</v>
      </c>
      <c r="AM141" s="431">
        <v>57049</v>
      </c>
    </row>
    <row r="142" spans="1:39" s="155" customFormat="1" ht="12" x14ac:dyDescent="0.2">
      <c r="A142" s="168">
        <v>88</v>
      </c>
      <c r="B142" s="199">
        <v>129503</v>
      </c>
      <c r="C142" s="414" t="s">
        <v>1781</v>
      </c>
      <c r="D142" s="443">
        <f t="shared" si="15"/>
        <v>2311029</v>
      </c>
      <c r="E142" s="431">
        <v>413745</v>
      </c>
      <c r="F142" s="431">
        <v>50971</v>
      </c>
      <c r="G142" s="431">
        <v>268348</v>
      </c>
      <c r="H142" s="431">
        <v>0</v>
      </c>
      <c r="I142" s="431">
        <v>590157</v>
      </c>
      <c r="J142" s="431">
        <v>50000</v>
      </c>
      <c r="K142" s="431">
        <v>1250720</v>
      </c>
      <c r="L142" s="431"/>
      <c r="M142" s="431">
        <v>6407</v>
      </c>
      <c r="N142" s="431">
        <v>0</v>
      </c>
      <c r="O142" s="431"/>
      <c r="P142" s="443">
        <f t="shared" si="16"/>
        <v>2266704</v>
      </c>
      <c r="Q142" s="431">
        <v>921477</v>
      </c>
      <c r="R142" s="431">
        <v>666955</v>
      </c>
      <c r="S142" s="431">
        <v>0</v>
      </c>
      <c r="T142" s="431">
        <v>0</v>
      </c>
      <c r="U142" s="431">
        <v>0</v>
      </c>
      <c r="V142" s="431">
        <v>0</v>
      </c>
      <c r="W142" s="431">
        <v>0</v>
      </c>
      <c r="X142" s="431">
        <v>94734</v>
      </c>
      <c r="Y142" s="431">
        <v>0</v>
      </c>
      <c r="Z142" s="431">
        <v>589277</v>
      </c>
      <c r="AA142" s="431">
        <v>0</v>
      </c>
      <c r="AB142" s="431">
        <v>-5739</v>
      </c>
      <c r="AC142" s="431">
        <v>717842</v>
      </c>
      <c r="AD142" s="431">
        <v>16202</v>
      </c>
      <c r="AE142" s="431">
        <v>576373</v>
      </c>
      <c r="AF142" s="431">
        <v>0</v>
      </c>
      <c r="AG142" s="431">
        <v>513950</v>
      </c>
      <c r="AH142" s="431">
        <v>107139</v>
      </c>
      <c r="AI142" s="431">
        <v>37462</v>
      </c>
      <c r="AJ142" s="431">
        <v>0</v>
      </c>
      <c r="AK142" s="431">
        <v>0</v>
      </c>
      <c r="AL142" s="431">
        <v>297736</v>
      </c>
      <c r="AM142" s="431"/>
    </row>
    <row r="143" spans="1:39" s="155" customFormat="1" ht="12" x14ac:dyDescent="0.2">
      <c r="A143" s="168">
        <v>89</v>
      </c>
      <c r="B143" s="199">
        <v>129567</v>
      </c>
      <c r="C143" s="414" t="s">
        <v>1782</v>
      </c>
      <c r="D143" s="443">
        <f t="shared" si="15"/>
        <v>3590248</v>
      </c>
      <c r="E143" s="431">
        <v>779997</v>
      </c>
      <c r="F143" s="431">
        <v>133332</v>
      </c>
      <c r="G143" s="431">
        <v>278966</v>
      </c>
      <c r="H143" s="431">
        <v>0</v>
      </c>
      <c r="I143" s="431">
        <v>1622674</v>
      </c>
      <c r="J143" s="431">
        <v>50000</v>
      </c>
      <c r="K143" s="431">
        <v>1036390</v>
      </c>
      <c r="L143" s="431"/>
      <c r="M143" s="431">
        <v>101187</v>
      </c>
      <c r="N143" s="431">
        <v>0</v>
      </c>
      <c r="O143" s="431"/>
      <c r="P143" s="443">
        <f t="shared" si="16"/>
        <v>3329841</v>
      </c>
      <c r="Q143" s="431">
        <v>1929684</v>
      </c>
      <c r="R143" s="431">
        <v>500156</v>
      </c>
      <c r="S143" s="431">
        <v>0</v>
      </c>
      <c r="T143" s="431">
        <v>0</v>
      </c>
      <c r="U143" s="431">
        <v>7168</v>
      </c>
      <c r="V143" s="431">
        <v>0</v>
      </c>
      <c r="W143" s="431">
        <v>0</v>
      </c>
      <c r="X143" s="431">
        <v>250621</v>
      </c>
      <c r="Y143" s="431">
        <v>12000</v>
      </c>
      <c r="Z143" s="431">
        <v>630212</v>
      </c>
      <c r="AA143" s="431">
        <v>0</v>
      </c>
      <c r="AB143" s="431">
        <v>0</v>
      </c>
      <c r="AC143" s="431">
        <v>597174</v>
      </c>
      <c r="AD143" s="431">
        <v>92143</v>
      </c>
      <c r="AE143" s="431">
        <v>1389358</v>
      </c>
      <c r="AF143" s="431">
        <v>23948</v>
      </c>
      <c r="AG143" s="431">
        <v>47747</v>
      </c>
      <c r="AH143" s="431">
        <v>382622</v>
      </c>
      <c r="AI143" s="431">
        <v>215529</v>
      </c>
      <c r="AJ143" s="431">
        <v>55623</v>
      </c>
      <c r="AK143" s="431">
        <v>0</v>
      </c>
      <c r="AL143" s="431">
        <v>501713</v>
      </c>
      <c r="AM143" s="431">
        <v>23984</v>
      </c>
    </row>
    <row r="144" spans="1:39" s="155" customFormat="1" ht="11.25" x14ac:dyDescent="0.2">
      <c r="A144" s="168">
        <v>90</v>
      </c>
      <c r="B144" s="199">
        <v>129585</v>
      </c>
      <c r="C144" s="289" t="s">
        <v>1783</v>
      </c>
      <c r="D144" s="276">
        <f t="shared" si="15"/>
        <v>4581969</v>
      </c>
      <c r="E144" s="274">
        <v>1135682</v>
      </c>
      <c r="F144" s="274">
        <v>384425</v>
      </c>
      <c r="G144" s="274">
        <v>181473</v>
      </c>
      <c r="H144" s="274">
        <v>0</v>
      </c>
      <c r="I144" s="274">
        <v>2122971</v>
      </c>
      <c r="J144" s="274">
        <v>0</v>
      </c>
      <c r="K144" s="274">
        <v>701220</v>
      </c>
      <c r="L144" s="273"/>
      <c r="M144" s="274">
        <v>497318</v>
      </c>
      <c r="N144" s="274">
        <v>124778</v>
      </c>
      <c r="O144" s="273"/>
      <c r="P144" s="276">
        <f t="shared" si="16"/>
        <v>4620088</v>
      </c>
      <c r="Q144" s="274">
        <v>2299758</v>
      </c>
      <c r="R144" s="274">
        <v>900874</v>
      </c>
      <c r="S144" s="274">
        <v>0</v>
      </c>
      <c r="T144" s="274">
        <v>0</v>
      </c>
      <c r="U144" s="274">
        <v>0</v>
      </c>
      <c r="V144" s="274">
        <v>20000</v>
      </c>
      <c r="W144" s="274">
        <v>156414</v>
      </c>
      <c r="X144" s="274">
        <v>263650</v>
      </c>
      <c r="Y144" s="274">
        <v>23642</v>
      </c>
      <c r="Z144" s="274">
        <v>955750</v>
      </c>
      <c r="AA144" s="274">
        <v>0</v>
      </c>
      <c r="AB144" s="274">
        <v>0</v>
      </c>
      <c r="AC144" s="274">
        <v>818973</v>
      </c>
      <c r="AD144" s="274">
        <v>85505</v>
      </c>
      <c r="AE144" s="274">
        <v>1921321</v>
      </c>
      <c r="AF144" s="274">
        <v>12632</v>
      </c>
      <c r="AG144" s="274">
        <v>548445</v>
      </c>
      <c r="AH144" s="274">
        <v>340407</v>
      </c>
      <c r="AI144" s="274">
        <v>766533</v>
      </c>
      <c r="AJ144" s="274">
        <v>0</v>
      </c>
      <c r="AK144" s="274">
        <v>0</v>
      </c>
      <c r="AL144" s="274">
        <v>106182</v>
      </c>
      <c r="AM144" s="273">
        <v>20090</v>
      </c>
    </row>
    <row r="145" spans="1:39" s="155" customFormat="1" ht="11.25" x14ac:dyDescent="0.2">
      <c r="A145" s="168">
        <v>91</v>
      </c>
      <c r="B145" s="199">
        <v>129629</v>
      </c>
      <c r="C145" s="289" t="s">
        <v>1784</v>
      </c>
      <c r="D145" s="219">
        <f t="shared" si="15"/>
        <v>3665461</v>
      </c>
      <c r="E145" s="183">
        <v>622418</v>
      </c>
      <c r="F145" s="183">
        <v>62655</v>
      </c>
      <c r="G145" s="183">
        <v>308890</v>
      </c>
      <c r="H145" s="183">
        <v>0</v>
      </c>
      <c r="I145" s="183">
        <v>1118021</v>
      </c>
      <c r="J145" s="183">
        <v>50000</v>
      </c>
      <c r="K145" s="183">
        <v>1279270</v>
      </c>
      <c r="L145" s="140"/>
      <c r="M145" s="183">
        <v>369544</v>
      </c>
      <c r="N145" s="183">
        <v>226208</v>
      </c>
      <c r="O145" s="140"/>
      <c r="P145" s="219">
        <f t="shared" si="16"/>
        <v>3950550</v>
      </c>
      <c r="Q145" s="183">
        <v>1538613</v>
      </c>
      <c r="R145" s="183">
        <v>767931</v>
      </c>
      <c r="S145" s="183">
        <v>0</v>
      </c>
      <c r="T145" s="183">
        <v>0</v>
      </c>
      <c r="U145" s="183">
        <v>0</v>
      </c>
      <c r="V145" s="183">
        <v>0</v>
      </c>
      <c r="W145" s="183">
        <v>458803</v>
      </c>
      <c r="X145" s="183">
        <v>228583</v>
      </c>
      <c r="Y145" s="183">
        <v>0</v>
      </c>
      <c r="Z145" s="183">
        <v>956620</v>
      </c>
      <c r="AA145" s="183">
        <v>0</v>
      </c>
      <c r="AB145" s="183">
        <v>0</v>
      </c>
      <c r="AC145" s="183">
        <v>1037338</v>
      </c>
      <c r="AD145" s="183">
        <v>470547</v>
      </c>
      <c r="AE145" s="183">
        <v>966744</v>
      </c>
      <c r="AF145" s="183">
        <v>20192</v>
      </c>
      <c r="AG145" s="183">
        <v>102623</v>
      </c>
      <c r="AH145" s="183">
        <v>447396</v>
      </c>
      <c r="AI145" s="183">
        <v>152303</v>
      </c>
      <c r="AJ145" s="183">
        <v>11791</v>
      </c>
      <c r="AK145" s="183">
        <v>0</v>
      </c>
      <c r="AL145" s="183">
        <v>741616</v>
      </c>
      <c r="AM145" s="140"/>
    </row>
    <row r="146" spans="1:39" s="155" customFormat="1" ht="11.25" x14ac:dyDescent="0.2">
      <c r="A146" s="168">
        <v>92</v>
      </c>
      <c r="B146" s="199">
        <v>129656</v>
      </c>
      <c r="C146" s="289" t="s">
        <v>1785</v>
      </c>
      <c r="D146" s="219">
        <f t="shared" si="15"/>
        <v>5431648</v>
      </c>
      <c r="E146" s="183">
        <v>1257126</v>
      </c>
      <c r="F146" s="183">
        <v>169296</v>
      </c>
      <c r="G146" s="183">
        <v>220084</v>
      </c>
      <c r="H146" s="183">
        <v>0</v>
      </c>
      <c r="I146" s="183">
        <v>1795762</v>
      </c>
      <c r="J146" s="183">
        <v>50000</v>
      </c>
      <c r="K146" s="183">
        <v>901280</v>
      </c>
      <c r="L146" s="140"/>
      <c r="M146" s="183">
        <v>421162</v>
      </c>
      <c r="N146" s="183">
        <v>1001318</v>
      </c>
      <c r="O146" s="140">
        <v>5000</v>
      </c>
      <c r="P146" s="219">
        <f t="shared" si="16"/>
        <v>6932063</v>
      </c>
      <c r="Q146" s="183">
        <v>2196520</v>
      </c>
      <c r="R146" s="183">
        <v>892340</v>
      </c>
      <c r="S146" s="183">
        <v>0</v>
      </c>
      <c r="T146" s="183">
        <v>0</v>
      </c>
      <c r="U146" s="183">
        <v>0</v>
      </c>
      <c r="V146" s="183">
        <v>0</v>
      </c>
      <c r="W146" s="183">
        <v>2589583</v>
      </c>
      <c r="X146" s="183">
        <v>295537</v>
      </c>
      <c r="Y146" s="183">
        <v>1000</v>
      </c>
      <c r="Z146" s="183">
        <v>957083</v>
      </c>
      <c r="AA146" s="183">
        <v>0</v>
      </c>
      <c r="AB146" s="183">
        <v>0</v>
      </c>
      <c r="AC146" s="183">
        <v>870773</v>
      </c>
      <c r="AD146" s="183">
        <v>90074</v>
      </c>
      <c r="AE146" s="183">
        <v>1548980</v>
      </c>
      <c r="AF146" s="183">
        <v>34772</v>
      </c>
      <c r="AG146" s="183">
        <v>692720</v>
      </c>
      <c r="AH146" s="183">
        <v>326930</v>
      </c>
      <c r="AI146" s="183">
        <v>902315</v>
      </c>
      <c r="AJ146" s="183">
        <v>0</v>
      </c>
      <c r="AK146" s="183">
        <v>0</v>
      </c>
      <c r="AL146" s="183">
        <v>2464805</v>
      </c>
      <c r="AM146" s="140">
        <v>694</v>
      </c>
    </row>
    <row r="147" spans="1:39" s="155" customFormat="1" ht="11.25" x14ac:dyDescent="0.2">
      <c r="A147" s="168">
        <v>93</v>
      </c>
      <c r="B147" s="199">
        <v>129718</v>
      </c>
      <c r="C147" s="289" t="s">
        <v>1786</v>
      </c>
      <c r="D147" s="219">
        <f t="shared" si="15"/>
        <v>2821403</v>
      </c>
      <c r="E147" s="183">
        <v>618917</v>
      </c>
      <c r="F147" s="183">
        <v>82417</v>
      </c>
      <c r="G147" s="183">
        <v>300203</v>
      </c>
      <c r="H147" s="183">
        <v>0</v>
      </c>
      <c r="I147" s="183">
        <v>746421</v>
      </c>
      <c r="J147" s="183">
        <v>50000</v>
      </c>
      <c r="K147" s="183">
        <v>1193640</v>
      </c>
      <c r="L147" s="140"/>
      <c r="M147" s="183">
        <v>212425</v>
      </c>
      <c r="N147" s="183">
        <v>0</v>
      </c>
      <c r="O147" s="140"/>
      <c r="P147" s="219">
        <f t="shared" si="16"/>
        <v>3122754</v>
      </c>
      <c r="Q147" s="183">
        <v>961464</v>
      </c>
      <c r="R147" s="183">
        <v>463404</v>
      </c>
      <c r="S147" s="183">
        <v>0</v>
      </c>
      <c r="T147" s="183">
        <v>0</v>
      </c>
      <c r="U147" s="183">
        <v>0</v>
      </c>
      <c r="V147" s="183">
        <v>10000</v>
      </c>
      <c r="W147" s="183">
        <v>0</v>
      </c>
      <c r="X147" s="183">
        <v>138034</v>
      </c>
      <c r="Y147" s="183">
        <v>0</v>
      </c>
      <c r="Z147" s="183">
        <v>1551253</v>
      </c>
      <c r="AA147" s="183">
        <v>0</v>
      </c>
      <c r="AB147" s="183">
        <v>-1401</v>
      </c>
      <c r="AC147" s="183">
        <v>454805</v>
      </c>
      <c r="AD147" s="183">
        <v>17963</v>
      </c>
      <c r="AE147" s="183">
        <v>560301</v>
      </c>
      <c r="AF147" s="183">
        <v>0</v>
      </c>
      <c r="AG147" s="183">
        <v>189960</v>
      </c>
      <c r="AH147" s="183">
        <v>236322</v>
      </c>
      <c r="AI147" s="183">
        <v>407520</v>
      </c>
      <c r="AJ147" s="183">
        <v>911883</v>
      </c>
      <c r="AK147" s="183">
        <v>0</v>
      </c>
      <c r="AL147" s="183">
        <v>344000</v>
      </c>
      <c r="AM147" s="140"/>
    </row>
    <row r="148" spans="1:39" s="155" customFormat="1" ht="11.25" x14ac:dyDescent="0.2">
      <c r="A148" s="168">
        <v>94</v>
      </c>
      <c r="B148" s="199">
        <v>129745</v>
      </c>
      <c r="C148" s="289" t="s">
        <v>1787</v>
      </c>
      <c r="D148" s="219">
        <f t="shared" si="15"/>
        <v>4282221</v>
      </c>
      <c r="E148" s="183">
        <v>761494</v>
      </c>
      <c r="F148" s="183">
        <v>113157</v>
      </c>
      <c r="G148" s="183">
        <v>272209</v>
      </c>
      <c r="H148" s="183">
        <v>0</v>
      </c>
      <c r="I148" s="183">
        <v>2052530</v>
      </c>
      <c r="J148" s="183">
        <v>50000</v>
      </c>
      <c r="K148" s="183">
        <v>1087960</v>
      </c>
      <c r="L148" s="140"/>
      <c r="M148" s="183">
        <v>112231</v>
      </c>
      <c r="N148" s="183">
        <v>218006</v>
      </c>
      <c r="O148" s="140"/>
      <c r="P148" s="219">
        <f t="shared" si="16"/>
        <v>3575587</v>
      </c>
      <c r="Q148" s="183">
        <v>2142353</v>
      </c>
      <c r="R148" s="183">
        <v>787887</v>
      </c>
      <c r="S148" s="183">
        <v>0</v>
      </c>
      <c r="T148" s="183">
        <v>0</v>
      </c>
      <c r="U148" s="183">
        <v>0</v>
      </c>
      <c r="V148" s="183">
        <v>0</v>
      </c>
      <c r="W148" s="183">
        <v>72957</v>
      </c>
      <c r="X148" s="183">
        <v>441473</v>
      </c>
      <c r="Y148" s="183">
        <v>0</v>
      </c>
      <c r="Z148" s="183">
        <v>130917</v>
      </c>
      <c r="AA148" s="183">
        <v>0</v>
      </c>
      <c r="AB148" s="183">
        <v>0</v>
      </c>
      <c r="AC148" s="183">
        <v>695097</v>
      </c>
      <c r="AD148" s="183">
        <v>712</v>
      </c>
      <c r="AE148" s="183">
        <v>1851914</v>
      </c>
      <c r="AF148" s="183">
        <v>24134</v>
      </c>
      <c r="AG148" s="183">
        <v>228082</v>
      </c>
      <c r="AH148" s="183">
        <v>441473</v>
      </c>
      <c r="AI148" s="183">
        <v>136880</v>
      </c>
      <c r="AJ148" s="183">
        <v>10528</v>
      </c>
      <c r="AK148" s="183">
        <v>0</v>
      </c>
      <c r="AL148" s="183">
        <v>164228</v>
      </c>
      <c r="AM148" s="140">
        <v>22539</v>
      </c>
    </row>
    <row r="149" spans="1:39" s="155" customFormat="1" ht="11.25" x14ac:dyDescent="0.2">
      <c r="A149" s="168">
        <v>95</v>
      </c>
      <c r="B149" s="199">
        <v>129763</v>
      </c>
      <c r="C149" s="289" t="s">
        <v>1788</v>
      </c>
      <c r="D149" s="219">
        <f t="shared" si="15"/>
        <v>4490618</v>
      </c>
      <c r="E149" s="183">
        <v>903592</v>
      </c>
      <c r="F149" s="183">
        <v>202729</v>
      </c>
      <c r="G149" s="183">
        <v>219119</v>
      </c>
      <c r="H149" s="183">
        <v>0</v>
      </c>
      <c r="I149" s="183">
        <v>2431077</v>
      </c>
      <c r="J149" s="183">
        <v>50000</v>
      </c>
      <c r="K149" s="183">
        <v>904000</v>
      </c>
      <c r="L149" s="140"/>
      <c r="M149" s="183">
        <v>101949</v>
      </c>
      <c r="N149" s="183">
        <v>0</v>
      </c>
      <c r="O149" s="140">
        <v>100000</v>
      </c>
      <c r="P149" s="219">
        <f t="shared" si="16"/>
        <v>4451332</v>
      </c>
      <c r="Q149" s="183">
        <v>2664589</v>
      </c>
      <c r="R149" s="183">
        <v>986321</v>
      </c>
      <c r="S149" s="183">
        <v>0</v>
      </c>
      <c r="T149" s="183">
        <v>0</v>
      </c>
      <c r="U149" s="183">
        <v>0</v>
      </c>
      <c r="V149" s="183">
        <v>0</v>
      </c>
      <c r="W149" s="183">
        <v>160379</v>
      </c>
      <c r="X149" s="183">
        <v>351524</v>
      </c>
      <c r="Y149" s="183">
        <v>0</v>
      </c>
      <c r="Z149" s="183">
        <v>288519</v>
      </c>
      <c r="AA149" s="183">
        <v>0</v>
      </c>
      <c r="AB149" s="183">
        <v>0</v>
      </c>
      <c r="AC149" s="183">
        <v>1060309</v>
      </c>
      <c r="AD149" s="183">
        <v>217712</v>
      </c>
      <c r="AE149" s="183">
        <v>1969757</v>
      </c>
      <c r="AF149" s="183">
        <v>19385</v>
      </c>
      <c r="AG149" s="183">
        <v>265368</v>
      </c>
      <c r="AH149" s="183">
        <v>573524</v>
      </c>
      <c r="AI149" s="183">
        <v>214493</v>
      </c>
      <c r="AJ149" s="183">
        <v>0</v>
      </c>
      <c r="AK149" s="183">
        <v>0</v>
      </c>
      <c r="AL149" s="183">
        <v>130784</v>
      </c>
      <c r="AM149" s="140"/>
    </row>
    <row r="150" spans="1:39" s="155" customFormat="1" ht="11.25" x14ac:dyDescent="0.2">
      <c r="A150" s="168">
        <v>96</v>
      </c>
      <c r="B150" s="199">
        <v>129987</v>
      </c>
      <c r="C150" s="289" t="s">
        <v>1789</v>
      </c>
      <c r="D150" s="219">
        <f t="shared" si="15"/>
        <v>3195048</v>
      </c>
      <c r="E150" s="183">
        <v>707849</v>
      </c>
      <c r="F150" s="183">
        <v>110441</v>
      </c>
      <c r="G150" s="183">
        <v>227806</v>
      </c>
      <c r="H150" s="183">
        <v>0</v>
      </c>
      <c r="I150" s="183">
        <v>1195691</v>
      </c>
      <c r="J150" s="183">
        <v>50000</v>
      </c>
      <c r="K150" s="183">
        <v>1082950</v>
      </c>
      <c r="L150" s="140"/>
      <c r="M150" s="183">
        <v>58558</v>
      </c>
      <c r="N150" s="183">
        <v>0</v>
      </c>
      <c r="O150" s="140">
        <v>100000</v>
      </c>
      <c r="P150" s="219">
        <f t="shared" si="16"/>
        <v>3227724</v>
      </c>
      <c r="Q150" s="183">
        <v>1399681</v>
      </c>
      <c r="R150" s="183">
        <v>803466</v>
      </c>
      <c r="S150" s="183">
        <v>0</v>
      </c>
      <c r="T150" s="183">
        <v>0</v>
      </c>
      <c r="U150" s="183">
        <v>0</v>
      </c>
      <c r="V150" s="183">
        <v>0</v>
      </c>
      <c r="W150" s="183">
        <v>335958</v>
      </c>
      <c r="X150" s="183">
        <v>245364</v>
      </c>
      <c r="Y150" s="183">
        <v>25000</v>
      </c>
      <c r="Z150" s="183">
        <v>418255</v>
      </c>
      <c r="AA150" s="183">
        <v>0</v>
      </c>
      <c r="AB150" s="183">
        <v>0</v>
      </c>
      <c r="AC150" s="183">
        <v>527665</v>
      </c>
      <c r="AD150" s="183">
        <v>250</v>
      </c>
      <c r="AE150" s="183">
        <v>1125178</v>
      </c>
      <c r="AF150" s="183">
        <v>24082</v>
      </c>
      <c r="AG150" s="183">
        <v>32788</v>
      </c>
      <c r="AH150" s="183">
        <v>442087</v>
      </c>
      <c r="AI150" s="183">
        <v>630410</v>
      </c>
      <c r="AJ150" s="183">
        <v>0</v>
      </c>
      <c r="AK150" s="183">
        <v>0</v>
      </c>
      <c r="AL150" s="183">
        <v>434644</v>
      </c>
      <c r="AM150" s="140">
        <v>10620</v>
      </c>
    </row>
    <row r="151" spans="1:39" s="155" customFormat="1" ht="11.25" x14ac:dyDescent="0.2">
      <c r="A151" s="168">
        <v>97</v>
      </c>
      <c r="B151" s="199">
        <v>129816</v>
      </c>
      <c r="C151" s="289" t="s">
        <v>1790</v>
      </c>
      <c r="D151" s="219">
        <f t="shared" si="15"/>
        <v>6091069</v>
      </c>
      <c r="E151" s="183">
        <v>973585</v>
      </c>
      <c r="F151" s="183">
        <v>292695</v>
      </c>
      <c r="G151" s="183">
        <v>265452</v>
      </c>
      <c r="H151" s="183">
        <v>0</v>
      </c>
      <c r="I151" s="183">
        <v>1678581</v>
      </c>
      <c r="J151" s="183">
        <v>50000</v>
      </c>
      <c r="K151" s="183">
        <v>949830</v>
      </c>
      <c r="L151" s="140"/>
      <c r="M151" s="183">
        <v>2439073</v>
      </c>
      <c r="N151" s="183">
        <v>0</v>
      </c>
      <c r="O151" s="140"/>
      <c r="P151" s="219">
        <f t="shared" si="16"/>
        <v>5993527</v>
      </c>
      <c r="Q151" s="183">
        <v>1893712</v>
      </c>
      <c r="R151" s="183">
        <v>859474</v>
      </c>
      <c r="S151" s="183">
        <v>0</v>
      </c>
      <c r="T151" s="183">
        <v>0</v>
      </c>
      <c r="U151" s="183">
        <v>0</v>
      </c>
      <c r="V151" s="183">
        <v>0</v>
      </c>
      <c r="W151" s="183">
        <v>0</v>
      </c>
      <c r="X151" s="183">
        <v>303526</v>
      </c>
      <c r="Y151" s="183">
        <v>14945</v>
      </c>
      <c r="Z151" s="183">
        <v>2921870</v>
      </c>
      <c r="AA151" s="183">
        <v>0</v>
      </c>
      <c r="AB151" s="183">
        <v>0</v>
      </c>
      <c r="AC151" s="183">
        <v>1068617</v>
      </c>
      <c r="AD151" s="183">
        <v>0</v>
      </c>
      <c r="AE151" s="183">
        <v>1719265</v>
      </c>
      <c r="AF151" s="183">
        <v>0</v>
      </c>
      <c r="AG151" s="183">
        <v>45067</v>
      </c>
      <c r="AH151" s="183">
        <v>303526</v>
      </c>
      <c r="AI151" s="183">
        <v>2586051</v>
      </c>
      <c r="AJ151" s="183">
        <v>46012</v>
      </c>
      <c r="AK151" s="183">
        <v>0</v>
      </c>
      <c r="AL151" s="183">
        <v>219934</v>
      </c>
      <c r="AM151" s="140">
        <v>5055</v>
      </c>
    </row>
    <row r="152" spans="1:39" s="155" customFormat="1" ht="11.25" x14ac:dyDescent="0.2">
      <c r="A152" s="205">
        <v>98</v>
      </c>
      <c r="B152" s="199">
        <v>129898</v>
      </c>
      <c r="C152" s="289" t="s">
        <v>1791</v>
      </c>
      <c r="D152" s="219">
        <f t="shared" si="15"/>
        <v>5994444</v>
      </c>
      <c r="E152" s="183">
        <v>1071812</v>
      </c>
      <c r="F152" s="183">
        <v>413746</v>
      </c>
      <c r="G152" s="183">
        <v>189195</v>
      </c>
      <c r="H152" s="183">
        <v>0</v>
      </c>
      <c r="I152" s="183">
        <v>1386314</v>
      </c>
      <c r="J152" s="183">
        <v>50000</v>
      </c>
      <c r="K152" s="183">
        <v>810330</v>
      </c>
      <c r="L152" s="140"/>
      <c r="M152" s="183">
        <v>2549248</v>
      </c>
      <c r="N152" s="183">
        <v>105500</v>
      </c>
      <c r="O152" s="140">
        <v>21240</v>
      </c>
      <c r="P152" s="219">
        <f t="shared" si="16"/>
        <v>6056042</v>
      </c>
      <c r="Q152" s="183">
        <v>1754308</v>
      </c>
      <c r="R152" s="183">
        <v>642714</v>
      </c>
      <c r="S152" s="183">
        <v>0</v>
      </c>
      <c r="T152" s="183">
        <v>0</v>
      </c>
      <c r="U152" s="183">
        <v>0</v>
      </c>
      <c r="V152" s="183">
        <v>0</v>
      </c>
      <c r="W152" s="183">
        <v>0</v>
      </c>
      <c r="X152" s="183">
        <v>196091</v>
      </c>
      <c r="Y152" s="183">
        <v>0</v>
      </c>
      <c r="Z152" s="183">
        <v>3462929</v>
      </c>
      <c r="AA152" s="183">
        <v>0</v>
      </c>
      <c r="AB152" s="183">
        <v>0</v>
      </c>
      <c r="AC152" s="183">
        <v>1004205</v>
      </c>
      <c r="AD152" s="183">
        <v>94589</v>
      </c>
      <c r="AE152" s="183">
        <v>1136446</v>
      </c>
      <c r="AF152" s="183">
        <v>49724</v>
      </c>
      <c r="AG152" s="183">
        <v>221959</v>
      </c>
      <c r="AH152" s="183">
        <v>381664</v>
      </c>
      <c r="AI152" s="183">
        <v>69757</v>
      </c>
      <c r="AJ152" s="183">
        <v>2941232</v>
      </c>
      <c r="AK152" s="183">
        <v>0</v>
      </c>
      <c r="AL152" s="183">
        <v>156466</v>
      </c>
      <c r="AM152" s="140"/>
    </row>
    <row r="153" spans="1:39" s="155" customFormat="1" ht="11.25" x14ac:dyDescent="0.2">
      <c r="A153" s="205">
        <v>99</v>
      </c>
      <c r="B153" s="199">
        <v>130375</v>
      </c>
      <c r="C153" s="289" t="s">
        <v>1792</v>
      </c>
      <c r="D153" s="219">
        <f t="shared" si="15"/>
        <v>3320216</v>
      </c>
      <c r="E153" s="183">
        <v>742383</v>
      </c>
      <c r="F153" s="183">
        <v>110067</v>
      </c>
      <c r="G153" s="183">
        <v>238425</v>
      </c>
      <c r="H153" s="183">
        <v>0</v>
      </c>
      <c r="I153" s="183">
        <v>1081181</v>
      </c>
      <c r="J153" s="183">
        <v>50000</v>
      </c>
      <c r="K153" s="183">
        <v>1101490</v>
      </c>
      <c r="L153" s="140"/>
      <c r="M153" s="183">
        <v>109695</v>
      </c>
      <c r="N153" s="183">
        <v>235467</v>
      </c>
      <c r="O153" s="140"/>
      <c r="P153" s="219">
        <f t="shared" si="16"/>
        <v>2869486</v>
      </c>
      <c r="Q153" s="183">
        <v>1695090</v>
      </c>
      <c r="R153" s="183">
        <v>470961</v>
      </c>
      <c r="S153" s="183">
        <v>0</v>
      </c>
      <c r="T153" s="183">
        <v>0</v>
      </c>
      <c r="U153" s="183">
        <v>0</v>
      </c>
      <c r="V153" s="183">
        <v>70000</v>
      </c>
      <c r="W153" s="183">
        <v>59774</v>
      </c>
      <c r="X153" s="183">
        <v>138466</v>
      </c>
      <c r="Y153" s="183">
        <v>0</v>
      </c>
      <c r="Z153" s="183">
        <v>435195</v>
      </c>
      <c r="AA153" s="183">
        <v>0</v>
      </c>
      <c r="AB153" s="183">
        <v>0</v>
      </c>
      <c r="AC153" s="183">
        <v>954929</v>
      </c>
      <c r="AD153" s="183">
        <v>122308</v>
      </c>
      <c r="AE153" s="183">
        <v>817329</v>
      </c>
      <c r="AF153" s="183">
        <v>129386</v>
      </c>
      <c r="AG153" s="183">
        <v>134943</v>
      </c>
      <c r="AH153" s="183">
        <v>383317</v>
      </c>
      <c r="AI153" s="183">
        <v>178162</v>
      </c>
      <c r="AJ153" s="183">
        <v>1420</v>
      </c>
      <c r="AK153" s="183">
        <v>0</v>
      </c>
      <c r="AL153" s="183">
        <v>147692</v>
      </c>
      <c r="AM153" s="140"/>
    </row>
    <row r="154" spans="1:39" s="155" customFormat="1" ht="11.25" x14ac:dyDescent="0.2">
      <c r="A154" s="205">
        <v>100</v>
      </c>
      <c r="B154" s="199">
        <v>129914</v>
      </c>
      <c r="C154" s="289" t="s">
        <v>1793</v>
      </c>
      <c r="D154" s="219">
        <f t="shared" si="15"/>
        <v>6602252</v>
      </c>
      <c r="E154" s="183">
        <v>707961</v>
      </c>
      <c r="F154" s="183">
        <v>164408</v>
      </c>
      <c r="G154" s="183">
        <v>272209</v>
      </c>
      <c r="H154" s="183">
        <v>0</v>
      </c>
      <c r="I154" s="183">
        <v>2555888</v>
      </c>
      <c r="J154" s="183">
        <v>50000</v>
      </c>
      <c r="K154" s="183">
        <v>1348070</v>
      </c>
      <c r="L154" s="140"/>
      <c r="M154" s="183">
        <v>1130347</v>
      </c>
      <c r="N154" s="183">
        <v>466971</v>
      </c>
      <c r="O154" s="140">
        <v>343015</v>
      </c>
      <c r="P154" s="219">
        <f t="shared" si="16"/>
        <v>6138846</v>
      </c>
      <c r="Q154" s="183">
        <v>2856870</v>
      </c>
      <c r="R154" s="183">
        <v>769845</v>
      </c>
      <c r="S154" s="183">
        <v>4451</v>
      </c>
      <c r="T154" s="183">
        <v>0</v>
      </c>
      <c r="U154" s="183">
        <v>0</v>
      </c>
      <c r="V154" s="183">
        <v>0</v>
      </c>
      <c r="W154" s="183">
        <v>567895</v>
      </c>
      <c r="X154" s="183">
        <v>180792</v>
      </c>
      <c r="Y154" s="183">
        <v>0</v>
      </c>
      <c r="Z154" s="183">
        <v>1705243</v>
      </c>
      <c r="AA154" s="183">
        <v>53750</v>
      </c>
      <c r="AB154" s="183">
        <v>0</v>
      </c>
      <c r="AC154" s="183">
        <v>1473286</v>
      </c>
      <c r="AD154" s="183">
        <v>18754</v>
      </c>
      <c r="AE154" s="183">
        <v>2485019</v>
      </c>
      <c r="AF154" s="183">
        <v>24616</v>
      </c>
      <c r="AG154" s="183">
        <v>36934</v>
      </c>
      <c r="AH154" s="183">
        <v>180792</v>
      </c>
      <c r="AI154" s="183">
        <v>577732</v>
      </c>
      <c r="AJ154" s="183">
        <v>680215</v>
      </c>
      <c r="AK154" s="183">
        <v>0</v>
      </c>
      <c r="AL154" s="183">
        <v>640883</v>
      </c>
      <c r="AM154" s="140">
        <v>20615</v>
      </c>
    </row>
    <row r="155" spans="1:39" s="155" customFormat="1" ht="11.25" x14ac:dyDescent="0.2">
      <c r="A155" s="205">
        <v>101</v>
      </c>
      <c r="B155" s="199">
        <v>130026</v>
      </c>
      <c r="C155" s="289" t="s">
        <v>1794</v>
      </c>
      <c r="D155" s="219">
        <f t="shared" si="15"/>
        <v>2962255</v>
      </c>
      <c r="E155" s="183">
        <v>633916</v>
      </c>
      <c r="F155" s="183">
        <v>139140</v>
      </c>
      <c r="G155" s="183">
        <v>227806</v>
      </c>
      <c r="H155" s="183">
        <v>0</v>
      </c>
      <c r="I155" s="183">
        <v>1030175</v>
      </c>
      <c r="J155" s="183">
        <v>50000</v>
      </c>
      <c r="K155" s="183">
        <v>1043460</v>
      </c>
      <c r="L155" s="140"/>
      <c r="M155" s="183">
        <v>104704</v>
      </c>
      <c r="N155" s="183">
        <v>0</v>
      </c>
      <c r="O155" s="140">
        <v>100000</v>
      </c>
      <c r="P155" s="219">
        <f t="shared" si="16"/>
        <v>2997536</v>
      </c>
      <c r="Q155" s="183">
        <v>1417570</v>
      </c>
      <c r="R155" s="183">
        <v>665129</v>
      </c>
      <c r="S155" s="183">
        <v>0</v>
      </c>
      <c r="T155" s="183">
        <v>0</v>
      </c>
      <c r="U155" s="183">
        <v>0</v>
      </c>
      <c r="V155" s="183">
        <v>0</v>
      </c>
      <c r="W155" s="183">
        <v>0</v>
      </c>
      <c r="X155" s="183">
        <v>142908</v>
      </c>
      <c r="Y155" s="183">
        <v>10000</v>
      </c>
      <c r="Z155" s="183">
        <v>761929</v>
      </c>
      <c r="AA155" s="183">
        <v>0</v>
      </c>
      <c r="AB155" s="183">
        <v>0</v>
      </c>
      <c r="AC155" s="183">
        <v>1030533</v>
      </c>
      <c r="AD155" s="183">
        <v>40404</v>
      </c>
      <c r="AE155" s="183">
        <v>804092</v>
      </c>
      <c r="AF155" s="183">
        <v>13891</v>
      </c>
      <c r="AG155" s="183">
        <v>262552</v>
      </c>
      <c r="AH155" s="183">
        <v>379200</v>
      </c>
      <c r="AI155" s="183">
        <v>341618</v>
      </c>
      <c r="AJ155" s="183">
        <v>0</v>
      </c>
      <c r="AK155" s="183">
        <v>0</v>
      </c>
      <c r="AL155" s="183">
        <v>125246</v>
      </c>
      <c r="AM155" s="140"/>
    </row>
    <row r="156" spans="1:39" s="155" customFormat="1" ht="11.25" x14ac:dyDescent="0.2">
      <c r="A156" s="205">
        <v>102</v>
      </c>
      <c r="B156" s="199">
        <v>130062</v>
      </c>
      <c r="C156" s="289" t="s">
        <v>1795</v>
      </c>
      <c r="D156" s="219">
        <f t="shared" si="15"/>
        <v>5329281</v>
      </c>
      <c r="E156" s="183">
        <v>617283</v>
      </c>
      <c r="F156" s="183">
        <v>103091</v>
      </c>
      <c r="G156" s="183">
        <v>260626</v>
      </c>
      <c r="H156" s="183">
        <v>0</v>
      </c>
      <c r="I156" s="183">
        <v>1685050</v>
      </c>
      <c r="J156" s="183">
        <v>50000</v>
      </c>
      <c r="K156" s="183">
        <v>1124300</v>
      </c>
      <c r="L156" s="140"/>
      <c r="M156" s="183">
        <v>1612552</v>
      </c>
      <c r="N156" s="183">
        <v>240096</v>
      </c>
      <c r="O156" s="140"/>
      <c r="P156" s="219">
        <f t="shared" si="16"/>
        <v>5162016</v>
      </c>
      <c r="Q156" s="183">
        <v>2086707</v>
      </c>
      <c r="R156" s="183">
        <v>564083</v>
      </c>
      <c r="S156" s="183">
        <v>0</v>
      </c>
      <c r="T156" s="183">
        <v>0</v>
      </c>
      <c r="U156" s="183">
        <v>0</v>
      </c>
      <c r="V156" s="183">
        <v>0</v>
      </c>
      <c r="W156" s="183">
        <v>298468</v>
      </c>
      <c r="X156" s="183">
        <v>180087</v>
      </c>
      <c r="Y156" s="183">
        <v>10000</v>
      </c>
      <c r="Z156" s="183">
        <v>2023221</v>
      </c>
      <c r="AA156" s="183">
        <v>0</v>
      </c>
      <c r="AB156" s="183">
        <v>-550</v>
      </c>
      <c r="AC156" s="183">
        <v>932982</v>
      </c>
      <c r="AD156" s="183">
        <v>7635</v>
      </c>
      <c r="AE156" s="183">
        <v>1398994</v>
      </c>
      <c r="AF156" s="183">
        <v>0</v>
      </c>
      <c r="AG156" s="183">
        <v>71490</v>
      </c>
      <c r="AH156" s="183">
        <v>373066</v>
      </c>
      <c r="AI156" s="183">
        <v>31800</v>
      </c>
      <c r="AJ156" s="183">
        <v>0</v>
      </c>
      <c r="AK156" s="183">
        <v>0</v>
      </c>
      <c r="AL156" s="183">
        <v>2346049</v>
      </c>
      <c r="AM156" s="140"/>
    </row>
    <row r="157" spans="1:39" s="155" customFormat="1" ht="11.25" x14ac:dyDescent="0.2">
      <c r="A157" s="205">
        <v>103</v>
      </c>
      <c r="B157" s="199">
        <v>130124</v>
      </c>
      <c r="C157" s="289" t="s">
        <v>1796</v>
      </c>
      <c r="D157" s="219">
        <f t="shared" si="15"/>
        <v>4311213</v>
      </c>
      <c r="E157" s="183">
        <v>707918</v>
      </c>
      <c r="F157" s="183">
        <v>86739</v>
      </c>
      <c r="G157" s="183">
        <v>298272</v>
      </c>
      <c r="H157" s="183">
        <v>0</v>
      </c>
      <c r="I157" s="183">
        <v>1158009</v>
      </c>
      <c r="J157" s="183">
        <v>50000</v>
      </c>
      <c r="K157" s="183">
        <v>1213520</v>
      </c>
      <c r="L157" s="140"/>
      <c r="M157" s="183">
        <v>413915</v>
      </c>
      <c r="N157" s="183">
        <v>767851</v>
      </c>
      <c r="O157" s="140"/>
      <c r="P157" s="219">
        <f t="shared" si="16"/>
        <v>4283632</v>
      </c>
      <c r="Q157" s="183">
        <v>1504157</v>
      </c>
      <c r="R157" s="183">
        <v>477296</v>
      </c>
      <c r="S157" s="183">
        <v>0</v>
      </c>
      <c r="T157" s="183">
        <v>0</v>
      </c>
      <c r="U157" s="183">
        <v>0</v>
      </c>
      <c r="V157" s="183">
        <v>128000</v>
      </c>
      <c r="W157" s="183">
        <v>1052144</v>
      </c>
      <c r="X157" s="183">
        <v>191777</v>
      </c>
      <c r="Y157" s="183">
        <v>6902</v>
      </c>
      <c r="Z157" s="183">
        <v>923356</v>
      </c>
      <c r="AA157" s="183">
        <v>0</v>
      </c>
      <c r="AB157" s="183">
        <v>0</v>
      </c>
      <c r="AC157" s="183">
        <v>856869</v>
      </c>
      <c r="AD157" s="183">
        <v>2670</v>
      </c>
      <c r="AE157" s="183">
        <v>908494</v>
      </c>
      <c r="AF157" s="183">
        <v>0</v>
      </c>
      <c r="AG157" s="183">
        <v>502947</v>
      </c>
      <c r="AH157" s="183">
        <v>364445</v>
      </c>
      <c r="AI157" s="183">
        <v>76100</v>
      </c>
      <c r="AJ157" s="183">
        <v>3486</v>
      </c>
      <c r="AK157" s="183">
        <v>0</v>
      </c>
      <c r="AL157" s="183">
        <v>964018</v>
      </c>
      <c r="AM157" s="140">
        <v>604603</v>
      </c>
    </row>
    <row r="158" spans="1:39" s="155" customFormat="1" ht="11.25" x14ac:dyDescent="0.2">
      <c r="A158" s="205">
        <v>104</v>
      </c>
      <c r="B158" s="199">
        <v>130231</v>
      </c>
      <c r="C158" s="289" t="s">
        <v>1797</v>
      </c>
      <c r="D158" s="219">
        <f t="shared" si="15"/>
        <v>3415547</v>
      </c>
      <c r="E158" s="183">
        <v>769479</v>
      </c>
      <c r="F158" s="183">
        <v>207603</v>
      </c>
      <c r="G158" s="183">
        <v>212362</v>
      </c>
      <c r="H158" s="183">
        <v>0</v>
      </c>
      <c r="I158" s="183">
        <v>1423688</v>
      </c>
      <c r="J158" s="183">
        <v>50000</v>
      </c>
      <c r="K158" s="183">
        <v>956010</v>
      </c>
      <c r="L158" s="140"/>
      <c r="M158" s="183">
        <v>216370</v>
      </c>
      <c r="N158" s="183">
        <v>0</v>
      </c>
      <c r="O158" s="140"/>
      <c r="P158" s="219">
        <f t="shared" si="16"/>
        <v>3295588</v>
      </c>
      <c r="Q158" s="183">
        <v>1711612</v>
      </c>
      <c r="R158" s="183">
        <v>785257</v>
      </c>
      <c r="S158" s="183">
        <v>0</v>
      </c>
      <c r="T158" s="183">
        <v>0</v>
      </c>
      <c r="U158" s="183">
        <v>0</v>
      </c>
      <c r="V158" s="183">
        <v>0</v>
      </c>
      <c r="W158" s="183">
        <v>0</v>
      </c>
      <c r="X158" s="183">
        <v>153398</v>
      </c>
      <c r="Y158" s="183">
        <v>9950</v>
      </c>
      <c r="Z158" s="183">
        <v>650180</v>
      </c>
      <c r="AA158" s="183">
        <v>0</v>
      </c>
      <c r="AB158" s="183">
        <v>-14809</v>
      </c>
      <c r="AC158" s="183">
        <v>686431</v>
      </c>
      <c r="AD158" s="183">
        <v>89524</v>
      </c>
      <c r="AE158" s="183">
        <v>1425453</v>
      </c>
      <c r="AF158" s="183">
        <v>0</v>
      </c>
      <c r="AG158" s="183">
        <v>24451</v>
      </c>
      <c r="AH158" s="183">
        <v>186339</v>
      </c>
      <c r="AI158" s="183">
        <v>253241</v>
      </c>
      <c r="AJ158" s="183">
        <v>6235</v>
      </c>
      <c r="AK158" s="183">
        <v>0</v>
      </c>
      <c r="AL158" s="183">
        <v>605323</v>
      </c>
      <c r="AM158" s="140">
        <v>18591</v>
      </c>
    </row>
    <row r="159" spans="1:39" s="155" customFormat="1" ht="11.25" x14ac:dyDescent="0.2"/>
    <row r="160" spans="1:39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971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2122914239</v>
      </c>
      <c r="E14" s="432">
        <f>SUM(E15,E16,E33,E54)</f>
        <v>944051472</v>
      </c>
      <c r="F14" s="432">
        <f t="shared" ref="F14:O14" si="0">SUM(F15,F16,F33,F54)</f>
        <v>429382449</v>
      </c>
      <c r="G14" s="432">
        <f t="shared" si="0"/>
        <v>149879429</v>
      </c>
      <c r="H14" s="432">
        <f t="shared" si="0"/>
        <v>74744204</v>
      </c>
      <c r="I14" s="432">
        <f t="shared" si="0"/>
        <v>460436410</v>
      </c>
      <c r="J14" s="432">
        <f t="shared" si="0"/>
        <v>18023330</v>
      </c>
      <c r="K14" s="432">
        <f t="shared" si="0"/>
        <v>99055010</v>
      </c>
      <c r="L14" s="432">
        <f t="shared" si="0"/>
        <v>0</v>
      </c>
      <c r="M14" s="432">
        <f t="shared" si="0"/>
        <v>234876407</v>
      </c>
      <c r="N14" s="432">
        <f t="shared" si="0"/>
        <v>277869370</v>
      </c>
      <c r="O14" s="432">
        <f t="shared" si="0"/>
        <v>13858036</v>
      </c>
      <c r="P14" s="432">
        <f>IF(SUM(Q14:AB14)=SUM(AC14:AM14),SUM(Q14:AB14),"  EROARE ART/CAP")</f>
        <v>2085634863</v>
      </c>
      <c r="Q14" s="432">
        <f t="shared" ref="Q14:AM14" si="1">Q15+Q16+Q33+Q54</f>
        <v>523560266</v>
      </c>
      <c r="R14" s="432">
        <f t="shared" si="1"/>
        <v>357614538</v>
      </c>
      <c r="S14" s="432">
        <f t="shared" si="1"/>
        <v>20942312</v>
      </c>
      <c r="T14" s="432">
        <f t="shared" si="1"/>
        <v>64539495</v>
      </c>
      <c r="U14" s="432">
        <f t="shared" si="1"/>
        <v>291020735</v>
      </c>
      <c r="V14" s="432">
        <f t="shared" si="1"/>
        <v>17387910</v>
      </c>
      <c r="W14" s="432">
        <f t="shared" si="1"/>
        <v>413226823</v>
      </c>
      <c r="X14" s="432">
        <f t="shared" si="1"/>
        <v>71019680</v>
      </c>
      <c r="Y14" s="432">
        <f t="shared" si="1"/>
        <v>15581068</v>
      </c>
      <c r="Z14" s="432">
        <f t="shared" si="1"/>
        <v>259043039</v>
      </c>
      <c r="AA14" s="432">
        <f t="shared" si="1"/>
        <v>66211613</v>
      </c>
      <c r="AB14" s="432">
        <f t="shared" si="1"/>
        <v>-14512616</v>
      </c>
      <c r="AC14" s="432">
        <f t="shared" si="1"/>
        <v>276295539</v>
      </c>
      <c r="AD14" s="432">
        <f t="shared" si="1"/>
        <v>30838048</v>
      </c>
      <c r="AE14" s="432">
        <f t="shared" si="1"/>
        <v>469309098</v>
      </c>
      <c r="AF14" s="432">
        <f t="shared" si="1"/>
        <v>44831092</v>
      </c>
      <c r="AG14" s="432">
        <f t="shared" si="1"/>
        <v>167360840</v>
      </c>
      <c r="AH14" s="432">
        <f t="shared" si="1"/>
        <v>308927216</v>
      </c>
      <c r="AI14" s="432">
        <f t="shared" si="1"/>
        <v>201633655</v>
      </c>
      <c r="AJ14" s="432">
        <f t="shared" si="1"/>
        <v>144678067</v>
      </c>
      <c r="AK14" s="432">
        <f t="shared" si="1"/>
        <v>1016347</v>
      </c>
      <c r="AL14" s="432">
        <f t="shared" si="1"/>
        <v>419540411</v>
      </c>
      <c r="AM14" s="432">
        <f t="shared" si="1"/>
        <v>21204550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475498433</v>
      </c>
      <c r="E15" s="431">
        <v>137955917</v>
      </c>
      <c r="F15" s="431">
        <v>91136813</v>
      </c>
      <c r="G15" s="431">
        <v>40374539</v>
      </c>
      <c r="H15" s="431">
        <v>74744204</v>
      </c>
      <c r="I15" s="440">
        <v>0</v>
      </c>
      <c r="J15" s="431">
        <v>5616000</v>
      </c>
      <c r="K15" s="431">
        <v>27946840</v>
      </c>
      <c r="L15" s="440"/>
      <c r="M15" s="431">
        <v>173138704</v>
      </c>
      <c r="N15" s="431">
        <v>56072347</v>
      </c>
      <c r="O15" s="431">
        <v>24421</v>
      </c>
      <c r="P15" s="438">
        <f>IF(SUM(Q15:AB15)=SUM(AC15:AM15),SUM(Q15:AB15),"  EROARE ART/CAP")</f>
        <v>505781953</v>
      </c>
      <c r="Q15" s="431">
        <v>26410307</v>
      </c>
      <c r="R15" s="431">
        <v>48583276</v>
      </c>
      <c r="S15" s="431">
        <v>6539577</v>
      </c>
      <c r="T15" s="431"/>
      <c r="U15" s="431">
        <v>228104125</v>
      </c>
      <c r="V15" s="431">
        <v>14221060</v>
      </c>
      <c r="W15" s="431">
        <v>149479617</v>
      </c>
      <c r="X15" s="431">
        <v>8235350</v>
      </c>
      <c r="Y15" s="431">
        <v>3368469</v>
      </c>
      <c r="Z15" s="431">
        <v>19507262</v>
      </c>
      <c r="AA15" s="431">
        <v>6726865</v>
      </c>
      <c r="AB15" s="431">
        <v>-5393955</v>
      </c>
      <c r="AC15" s="431">
        <v>47636955</v>
      </c>
      <c r="AD15" s="431">
        <v>3800145</v>
      </c>
      <c r="AE15" s="431">
        <v>25690382</v>
      </c>
      <c r="AF15" s="431">
        <v>22709034</v>
      </c>
      <c r="AG15" s="431">
        <v>25478908</v>
      </c>
      <c r="AH15" s="431">
        <v>189197068</v>
      </c>
      <c r="AI15" s="431">
        <v>33235527</v>
      </c>
      <c r="AJ15" s="431">
        <v>82490558</v>
      </c>
      <c r="AK15" s="431"/>
      <c r="AL15" s="431">
        <v>73354523</v>
      </c>
      <c r="AM15" s="431">
        <v>2188853</v>
      </c>
    </row>
    <row r="16" spans="1:39" s="155" customFormat="1" ht="12" x14ac:dyDescent="0.2">
      <c r="A16" s="156" t="s">
        <v>72</v>
      </c>
      <c r="B16" s="157"/>
      <c r="C16" s="159"/>
      <c r="D16" s="432">
        <f>E16+SUM(H16:O16)</f>
        <v>722927731</v>
      </c>
      <c r="E16" s="433">
        <f>SUM(E18:E32)</f>
        <v>347770517</v>
      </c>
      <c r="F16" s="433">
        <f t="shared" ref="F16:O16" si="2">SUM(F18:F32)</f>
        <v>201663025</v>
      </c>
      <c r="G16" s="433">
        <f t="shared" si="2"/>
        <v>8743746</v>
      </c>
      <c r="H16" s="433">
        <f t="shared" si="2"/>
        <v>0</v>
      </c>
      <c r="I16" s="433">
        <f t="shared" si="2"/>
        <v>185746829</v>
      </c>
      <c r="J16" s="433">
        <f t="shared" si="2"/>
        <v>0</v>
      </c>
      <c r="K16" s="433">
        <f t="shared" si="2"/>
        <v>1416000</v>
      </c>
      <c r="L16" s="433">
        <f t="shared" si="2"/>
        <v>0</v>
      </c>
      <c r="M16" s="433">
        <f t="shared" si="2"/>
        <v>1648813</v>
      </c>
      <c r="N16" s="433">
        <f t="shared" si="2"/>
        <v>182374127</v>
      </c>
      <c r="O16" s="433">
        <f t="shared" si="2"/>
        <v>3971445</v>
      </c>
      <c r="P16" s="432">
        <f t="shared" ref="P16:P53" si="3">IF(SUM(Q16:AB16)=SUM(AC16:AM16),SUM(Q16:AB16),"  EROARE ART/CAP")</f>
        <v>719379189</v>
      </c>
      <c r="Q16" s="432">
        <f>SUM(Q18:Q32)</f>
        <v>177321798</v>
      </c>
      <c r="R16" s="432">
        <f t="shared" ref="R16:AM16" si="4">SUM(R18:R32)</f>
        <v>119701826</v>
      </c>
      <c r="S16" s="432">
        <f t="shared" si="4"/>
        <v>8784106</v>
      </c>
      <c r="T16" s="432">
        <f t="shared" si="4"/>
        <v>64528546</v>
      </c>
      <c r="U16" s="432">
        <f t="shared" si="4"/>
        <v>52224934</v>
      </c>
      <c r="V16" s="432">
        <f t="shared" si="4"/>
        <v>245159</v>
      </c>
      <c r="W16" s="432">
        <f t="shared" si="4"/>
        <v>200846004</v>
      </c>
      <c r="X16" s="432">
        <f t="shared" si="4"/>
        <v>29207759</v>
      </c>
      <c r="Y16" s="432">
        <f t="shared" si="4"/>
        <v>3628914</v>
      </c>
      <c r="Z16" s="432">
        <f t="shared" si="4"/>
        <v>31370693</v>
      </c>
      <c r="AA16" s="432">
        <f t="shared" si="4"/>
        <v>36648711</v>
      </c>
      <c r="AB16" s="432">
        <f t="shared" si="4"/>
        <v>-5129261</v>
      </c>
      <c r="AC16" s="432">
        <f t="shared" si="4"/>
        <v>70869625</v>
      </c>
      <c r="AD16" s="432">
        <f t="shared" si="4"/>
        <v>10518429</v>
      </c>
      <c r="AE16" s="432">
        <f t="shared" si="4"/>
        <v>179092374</v>
      </c>
      <c r="AF16" s="432">
        <f t="shared" si="4"/>
        <v>8095236</v>
      </c>
      <c r="AG16" s="432">
        <f t="shared" si="4"/>
        <v>98252315</v>
      </c>
      <c r="AH16" s="432">
        <f t="shared" si="4"/>
        <v>52058828</v>
      </c>
      <c r="AI16" s="432">
        <f t="shared" si="4"/>
        <v>58101496</v>
      </c>
      <c r="AJ16" s="432">
        <f t="shared" si="4"/>
        <v>30885430</v>
      </c>
      <c r="AK16" s="432">
        <f t="shared" si="4"/>
        <v>0</v>
      </c>
      <c r="AL16" s="432">
        <f t="shared" si="4"/>
        <v>211258407</v>
      </c>
      <c r="AM16" s="432">
        <f t="shared" si="4"/>
        <v>247049</v>
      </c>
    </row>
    <row r="17" spans="1:39" s="155" customFormat="1" ht="22.5" x14ac:dyDescent="0.2">
      <c r="A17" s="277" t="s">
        <v>2306</v>
      </c>
      <c r="B17" s="279" t="s">
        <v>74</v>
      </c>
      <c r="C17" s="236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146">
        <v>1</v>
      </c>
      <c r="B18" s="209">
        <v>131256</v>
      </c>
      <c r="C18" s="577" t="s">
        <v>1798</v>
      </c>
      <c r="D18" s="432">
        <f t="shared" ref="D18:D45" si="5">E18+SUM(H18:O18)</f>
        <v>80973900</v>
      </c>
      <c r="E18" s="431">
        <v>43909021</v>
      </c>
      <c r="F18" s="431">
        <v>24376941</v>
      </c>
      <c r="G18" s="431">
        <v>1572064</v>
      </c>
      <c r="H18" s="431"/>
      <c r="I18" s="431">
        <v>31645870</v>
      </c>
      <c r="J18" s="431"/>
      <c r="K18" s="431">
        <v>255000</v>
      </c>
      <c r="L18" s="431"/>
      <c r="M18" s="431">
        <v>1539960</v>
      </c>
      <c r="N18" s="431">
        <v>3572274</v>
      </c>
      <c r="O18" s="431">
        <v>51775</v>
      </c>
      <c r="P18" s="438">
        <f t="shared" ref="P18:P19" si="6">IF(SUM(Q18:AB18)=SUM(AC18:AM18),SUM(Q18:AB18),"  EROARE ART/CAP")</f>
        <v>77824451</v>
      </c>
      <c r="Q18" s="431">
        <v>32793900</v>
      </c>
      <c r="R18" s="431">
        <v>19704507</v>
      </c>
      <c r="S18" s="431">
        <v>659876</v>
      </c>
      <c r="T18" s="431">
        <v>84940</v>
      </c>
      <c r="U18" s="431">
        <v>2194202</v>
      </c>
      <c r="V18" s="431">
        <v>100768</v>
      </c>
      <c r="W18" s="431">
        <v>10904233</v>
      </c>
      <c r="X18" s="431">
        <v>2232616</v>
      </c>
      <c r="Y18" s="431">
        <v>1501820</v>
      </c>
      <c r="Z18" s="431">
        <v>4359832</v>
      </c>
      <c r="AA18" s="431">
        <v>3504188</v>
      </c>
      <c r="AB18" s="431">
        <v>-216431</v>
      </c>
      <c r="AC18" s="431">
        <v>6500839</v>
      </c>
      <c r="AD18" s="431">
        <v>1546357</v>
      </c>
      <c r="AE18" s="431">
        <v>29625247</v>
      </c>
      <c r="AF18" s="431">
        <v>1474780</v>
      </c>
      <c r="AG18" s="431">
        <v>1878109</v>
      </c>
      <c r="AH18" s="431">
        <v>5726310</v>
      </c>
      <c r="AI18" s="431">
        <v>19323709</v>
      </c>
      <c r="AJ18" s="431">
        <v>6019701</v>
      </c>
      <c r="AK18" s="431"/>
      <c r="AL18" s="431">
        <v>5482350</v>
      </c>
      <c r="AM18" s="431">
        <v>247049</v>
      </c>
    </row>
    <row r="19" spans="1:39" s="155" customFormat="1" ht="12" x14ac:dyDescent="0.2">
      <c r="A19" s="146">
        <v>2</v>
      </c>
      <c r="B19" s="210">
        <v>130534</v>
      </c>
      <c r="C19" s="577" t="s">
        <v>1799</v>
      </c>
      <c r="D19" s="432">
        <f t="shared" si="5"/>
        <v>641953831</v>
      </c>
      <c r="E19" s="431">
        <v>303861496</v>
      </c>
      <c r="F19" s="431">
        <v>177286084</v>
      </c>
      <c r="G19" s="431">
        <v>7171682</v>
      </c>
      <c r="H19" s="431"/>
      <c r="I19" s="431">
        <v>154100959</v>
      </c>
      <c r="J19" s="431"/>
      <c r="K19" s="431">
        <v>1161000</v>
      </c>
      <c r="L19" s="431"/>
      <c r="M19" s="431">
        <v>108853</v>
      </c>
      <c r="N19" s="431">
        <v>178801853</v>
      </c>
      <c r="O19" s="431">
        <v>3919670</v>
      </c>
      <c r="P19" s="438">
        <f t="shared" si="6"/>
        <v>641554738</v>
      </c>
      <c r="Q19" s="431">
        <v>144527898</v>
      </c>
      <c r="R19" s="431">
        <v>99997319</v>
      </c>
      <c r="S19" s="431">
        <v>8124230</v>
      </c>
      <c r="T19" s="431">
        <v>64443606</v>
      </c>
      <c r="U19" s="431">
        <v>50030732</v>
      </c>
      <c r="V19" s="431">
        <v>144391</v>
      </c>
      <c r="W19" s="431">
        <v>189941771</v>
      </c>
      <c r="X19" s="431">
        <v>26975143</v>
      </c>
      <c r="Y19" s="431">
        <v>2127094</v>
      </c>
      <c r="Z19" s="431">
        <v>27010861</v>
      </c>
      <c r="AA19" s="431">
        <v>33144523</v>
      </c>
      <c r="AB19" s="431">
        <v>-4912830</v>
      </c>
      <c r="AC19" s="431">
        <v>64368786</v>
      </c>
      <c r="AD19" s="431">
        <v>8972072</v>
      </c>
      <c r="AE19" s="431">
        <v>149467127</v>
      </c>
      <c r="AF19" s="431">
        <v>6620456</v>
      </c>
      <c r="AG19" s="431">
        <v>96374206</v>
      </c>
      <c r="AH19" s="431">
        <v>46332518</v>
      </c>
      <c r="AI19" s="431">
        <v>38777787</v>
      </c>
      <c r="AJ19" s="431">
        <v>24865729</v>
      </c>
      <c r="AK19" s="431"/>
      <c r="AL19" s="431">
        <v>205776057</v>
      </c>
      <c r="AM19" s="431">
        <v>0</v>
      </c>
    </row>
    <row r="20" spans="1:39" s="155" customFormat="1" ht="12" hidden="1" x14ac:dyDescent="0.2">
      <c r="A20" s="146">
        <v>3</v>
      </c>
      <c r="B20" s="161"/>
      <c r="C20" s="162"/>
      <c r="D20" s="432">
        <f t="shared" si="5"/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2">
        <f t="shared" si="3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</row>
    <row r="21" spans="1:39" s="155" customFormat="1" ht="12" hidden="1" x14ac:dyDescent="0.2">
      <c r="A21" s="146">
        <v>4</v>
      </c>
      <c r="B21" s="161"/>
      <c r="C21" s="162"/>
      <c r="D21" s="432">
        <f t="shared" si="5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3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146">
        <v>5</v>
      </c>
      <c r="B22" s="161"/>
      <c r="C22" s="162"/>
      <c r="D22" s="432">
        <f t="shared" si="5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3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161"/>
      <c r="C23" s="206"/>
      <c r="D23" s="432">
        <f t="shared" si="5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3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61"/>
      <c r="C24" s="206"/>
      <c r="D24" s="432">
        <f t="shared" si="5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3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61"/>
      <c r="C25" s="206"/>
      <c r="D25" s="432">
        <f t="shared" si="5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3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61"/>
      <c r="C26" s="206"/>
      <c r="D26" s="432">
        <f t="shared" si="5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3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61"/>
      <c r="C27" s="206"/>
      <c r="D27" s="432">
        <f t="shared" si="5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3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61"/>
      <c r="C28" s="206"/>
      <c r="D28" s="432">
        <f t="shared" si="5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3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61"/>
      <c r="C29" s="206"/>
      <c r="D29" s="432">
        <f t="shared" si="5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3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61"/>
      <c r="C30" s="206"/>
      <c r="D30" s="432">
        <f t="shared" si="5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3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61"/>
      <c r="C31" s="206"/>
      <c r="D31" s="432">
        <f t="shared" si="5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3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61"/>
      <c r="C32" s="207"/>
      <c r="D32" s="432">
        <f t="shared" si="5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3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5"/>
      <c r="C33" s="208"/>
      <c r="D33" s="432">
        <f t="shared" si="5"/>
        <v>291621920</v>
      </c>
      <c r="E33" s="432">
        <f>SUM(E34:E53)</f>
        <v>153824192</v>
      </c>
      <c r="F33" s="432">
        <f t="shared" ref="F33:O33" si="7">SUM(F34:F53)</f>
        <v>50231824</v>
      </c>
      <c r="G33" s="432">
        <f t="shared" si="7"/>
        <v>15189991</v>
      </c>
      <c r="H33" s="432">
        <f t="shared" si="7"/>
        <v>0</v>
      </c>
      <c r="I33" s="432">
        <f t="shared" si="7"/>
        <v>85306841</v>
      </c>
      <c r="J33" s="432">
        <f t="shared" si="7"/>
        <v>2446699</v>
      </c>
      <c r="K33" s="432">
        <f t="shared" si="7"/>
        <v>12486000</v>
      </c>
      <c r="L33" s="432">
        <f t="shared" si="7"/>
        <v>0</v>
      </c>
      <c r="M33" s="432">
        <f t="shared" si="7"/>
        <v>20153857</v>
      </c>
      <c r="N33" s="432">
        <f t="shared" si="7"/>
        <v>16693767</v>
      </c>
      <c r="O33" s="432">
        <f t="shared" si="7"/>
        <v>710564</v>
      </c>
      <c r="P33" s="432">
        <f t="shared" si="3"/>
        <v>286764992</v>
      </c>
      <c r="Q33" s="432">
        <f>SUM(Q34:Q53)</f>
        <v>100908714</v>
      </c>
      <c r="R33" s="432">
        <f t="shared" ref="R33:AM33" si="8">SUM(R34:R53)</f>
        <v>70788836</v>
      </c>
      <c r="S33" s="432">
        <f t="shared" si="8"/>
        <v>4091903</v>
      </c>
      <c r="T33" s="432">
        <f t="shared" si="8"/>
        <v>0</v>
      </c>
      <c r="U33" s="432">
        <f t="shared" si="8"/>
        <v>8608676</v>
      </c>
      <c r="V33" s="432">
        <f t="shared" si="8"/>
        <v>867468</v>
      </c>
      <c r="W33" s="432">
        <f t="shared" si="8"/>
        <v>30621549</v>
      </c>
      <c r="X33" s="432">
        <f t="shared" si="8"/>
        <v>8503235</v>
      </c>
      <c r="Y33" s="432">
        <f t="shared" si="8"/>
        <v>1647490</v>
      </c>
      <c r="Z33" s="432">
        <f t="shared" si="8"/>
        <v>52034144</v>
      </c>
      <c r="AA33" s="432">
        <f t="shared" si="8"/>
        <v>10138042</v>
      </c>
      <c r="AB33" s="432">
        <f t="shared" si="8"/>
        <v>-1445065</v>
      </c>
      <c r="AC33" s="432">
        <f t="shared" si="8"/>
        <v>46341824</v>
      </c>
      <c r="AD33" s="432">
        <f t="shared" si="8"/>
        <v>5407416</v>
      </c>
      <c r="AE33" s="432">
        <f t="shared" si="8"/>
        <v>80099234</v>
      </c>
      <c r="AF33" s="432">
        <f t="shared" si="8"/>
        <v>10488373</v>
      </c>
      <c r="AG33" s="432">
        <f t="shared" si="8"/>
        <v>14373610</v>
      </c>
      <c r="AH33" s="432">
        <f t="shared" si="8"/>
        <v>16959994</v>
      </c>
      <c r="AI33" s="432">
        <f t="shared" si="8"/>
        <v>44822250</v>
      </c>
      <c r="AJ33" s="432">
        <f t="shared" si="8"/>
        <v>15787146</v>
      </c>
      <c r="AK33" s="432">
        <f t="shared" si="8"/>
        <v>1016347</v>
      </c>
      <c r="AL33" s="432">
        <f t="shared" si="8"/>
        <v>37364327</v>
      </c>
      <c r="AM33" s="432">
        <f t="shared" si="8"/>
        <v>14104471</v>
      </c>
    </row>
    <row r="34" spans="1:39" s="155" customFormat="1" ht="12" x14ac:dyDescent="0.2">
      <c r="A34" s="146">
        <v>1</v>
      </c>
      <c r="B34" s="212">
        <v>130954</v>
      </c>
      <c r="C34" s="213" t="s">
        <v>1800</v>
      </c>
      <c r="D34" s="432">
        <f t="shared" si="5"/>
        <v>10180741</v>
      </c>
      <c r="E34" s="431">
        <v>6503060</v>
      </c>
      <c r="F34" s="431">
        <v>1036046</v>
      </c>
      <c r="G34" s="431">
        <v>1846331</v>
      </c>
      <c r="H34" s="431"/>
      <c r="I34" s="431">
        <v>2696317</v>
      </c>
      <c r="J34" s="431">
        <v>0</v>
      </c>
      <c r="K34" s="431">
        <v>261000</v>
      </c>
      <c r="L34" s="431"/>
      <c r="M34" s="431">
        <v>532010</v>
      </c>
      <c r="N34" s="431">
        <v>187054</v>
      </c>
      <c r="O34" s="431">
        <v>1300</v>
      </c>
      <c r="P34" s="438">
        <f t="shared" ref="P34:P45" si="9">IF(SUM(Q34:AB34)=SUM(AC34:AM34),SUM(Q34:AB34),"  EROARE ART/CAP")</f>
        <v>9216102</v>
      </c>
      <c r="Q34" s="431">
        <v>3620922</v>
      </c>
      <c r="R34" s="431">
        <v>3608871</v>
      </c>
      <c r="S34" s="431">
        <v>150424</v>
      </c>
      <c r="T34" s="431">
        <v>0</v>
      </c>
      <c r="U34" s="431">
        <v>50000</v>
      </c>
      <c r="V34" s="431">
        <v>0</v>
      </c>
      <c r="W34" s="431">
        <v>211816</v>
      </c>
      <c r="X34" s="431">
        <v>316989</v>
      </c>
      <c r="Y34" s="431">
        <v>13501</v>
      </c>
      <c r="Z34" s="431">
        <v>944649</v>
      </c>
      <c r="AA34" s="431">
        <v>455259</v>
      </c>
      <c r="AB34" s="431">
        <v>-156329</v>
      </c>
      <c r="AC34" s="431">
        <v>1998442</v>
      </c>
      <c r="AD34" s="431">
        <v>354899</v>
      </c>
      <c r="AE34" s="431">
        <v>2343062</v>
      </c>
      <c r="AF34" s="431">
        <v>17661</v>
      </c>
      <c r="AG34" s="431">
        <v>256416</v>
      </c>
      <c r="AH34" s="431">
        <v>629472</v>
      </c>
      <c r="AI34" s="431">
        <v>1046524</v>
      </c>
      <c r="AJ34" s="431">
        <v>1383172</v>
      </c>
      <c r="AK34" s="431">
        <v>0</v>
      </c>
      <c r="AL34" s="431">
        <v>973810</v>
      </c>
      <c r="AM34" s="431">
        <v>212644</v>
      </c>
    </row>
    <row r="35" spans="1:39" s="155" customFormat="1" ht="12" x14ac:dyDescent="0.2">
      <c r="A35" s="146">
        <v>2</v>
      </c>
      <c r="B35" s="214">
        <v>130981</v>
      </c>
      <c r="C35" s="215" t="s">
        <v>1801</v>
      </c>
      <c r="D35" s="432">
        <f t="shared" si="5"/>
        <v>29579331</v>
      </c>
      <c r="E35" s="431">
        <v>14987383</v>
      </c>
      <c r="F35" s="431">
        <v>6957018</v>
      </c>
      <c r="G35" s="431">
        <v>986763</v>
      </c>
      <c r="H35" s="431"/>
      <c r="I35" s="431">
        <v>8206498</v>
      </c>
      <c r="J35" s="431">
        <v>850000</v>
      </c>
      <c r="K35" s="431">
        <v>1256000</v>
      </c>
      <c r="L35" s="431"/>
      <c r="M35" s="431">
        <v>3422794</v>
      </c>
      <c r="N35" s="431">
        <v>856656</v>
      </c>
      <c r="O35" s="431">
        <v>0</v>
      </c>
      <c r="P35" s="438">
        <f t="shared" si="9"/>
        <v>30445311</v>
      </c>
      <c r="Q35" s="431">
        <v>9870422</v>
      </c>
      <c r="R35" s="431">
        <v>8363023</v>
      </c>
      <c r="S35" s="431">
        <v>98136</v>
      </c>
      <c r="T35" s="431">
        <v>0</v>
      </c>
      <c r="U35" s="431">
        <v>100000</v>
      </c>
      <c r="V35" s="431">
        <v>230000</v>
      </c>
      <c r="W35" s="431">
        <v>2387403</v>
      </c>
      <c r="X35" s="431">
        <v>1220712</v>
      </c>
      <c r="Y35" s="431">
        <v>147922</v>
      </c>
      <c r="Z35" s="431">
        <v>7913243</v>
      </c>
      <c r="AA35" s="431">
        <v>132810</v>
      </c>
      <c r="AB35" s="431">
        <v>-18360</v>
      </c>
      <c r="AC35" s="431">
        <v>7643818</v>
      </c>
      <c r="AD35" s="431">
        <v>742074</v>
      </c>
      <c r="AE35" s="431">
        <v>7466648</v>
      </c>
      <c r="AF35" s="431">
        <v>1630531</v>
      </c>
      <c r="AG35" s="431">
        <v>1270581</v>
      </c>
      <c r="AH35" s="431">
        <v>1785106</v>
      </c>
      <c r="AI35" s="431">
        <v>4702197</v>
      </c>
      <c r="AJ35" s="431">
        <v>809975</v>
      </c>
      <c r="AK35" s="431">
        <v>0</v>
      </c>
      <c r="AL35" s="431">
        <v>4394381</v>
      </c>
      <c r="AM35" s="431">
        <v>0</v>
      </c>
    </row>
    <row r="36" spans="1:39" s="155" customFormat="1" ht="12" x14ac:dyDescent="0.2">
      <c r="A36" s="146">
        <v>3</v>
      </c>
      <c r="B36" s="214">
        <v>131069</v>
      </c>
      <c r="C36" s="215" t="s">
        <v>1802</v>
      </c>
      <c r="D36" s="432">
        <f t="shared" si="5"/>
        <v>19049678</v>
      </c>
      <c r="E36" s="431">
        <v>12021068</v>
      </c>
      <c r="F36" s="431">
        <v>7006064</v>
      </c>
      <c r="G36" s="431">
        <v>397488</v>
      </c>
      <c r="H36" s="431"/>
      <c r="I36" s="431">
        <v>6108076</v>
      </c>
      <c r="J36" s="431">
        <v>400000</v>
      </c>
      <c r="K36" s="431">
        <v>65000</v>
      </c>
      <c r="L36" s="431"/>
      <c r="M36" s="431">
        <v>436734</v>
      </c>
      <c r="N36" s="431">
        <v>0</v>
      </c>
      <c r="O36" s="431">
        <v>18800</v>
      </c>
      <c r="P36" s="438">
        <f t="shared" si="9"/>
        <v>19613003</v>
      </c>
      <c r="Q36" s="431">
        <v>7400583</v>
      </c>
      <c r="R36" s="431">
        <v>4628924</v>
      </c>
      <c r="S36" s="431">
        <v>54500</v>
      </c>
      <c r="T36" s="431">
        <v>0</v>
      </c>
      <c r="U36" s="431">
        <v>1291054</v>
      </c>
      <c r="V36" s="431">
        <v>896</v>
      </c>
      <c r="W36" s="431">
        <v>0</v>
      </c>
      <c r="X36" s="431">
        <v>679328</v>
      </c>
      <c r="Y36" s="431">
        <v>212850</v>
      </c>
      <c r="Z36" s="431">
        <v>4903159</v>
      </c>
      <c r="AA36" s="431">
        <v>500300</v>
      </c>
      <c r="AB36" s="431">
        <v>-58591</v>
      </c>
      <c r="AC36" s="431">
        <v>1981618</v>
      </c>
      <c r="AD36" s="431">
        <v>469642</v>
      </c>
      <c r="AE36" s="431">
        <v>6102133</v>
      </c>
      <c r="AF36" s="431">
        <v>44772</v>
      </c>
      <c r="AG36" s="431">
        <v>806001</v>
      </c>
      <c r="AH36" s="431">
        <v>2304325</v>
      </c>
      <c r="AI36" s="431">
        <v>2127444</v>
      </c>
      <c r="AJ36" s="431">
        <v>479116</v>
      </c>
      <c r="AK36" s="431">
        <v>0</v>
      </c>
      <c r="AL36" s="431">
        <v>5297952</v>
      </c>
      <c r="AM36" s="431">
        <v>0</v>
      </c>
    </row>
    <row r="37" spans="1:39" s="155" customFormat="1" ht="12" x14ac:dyDescent="0.2">
      <c r="A37" s="146">
        <v>4</v>
      </c>
      <c r="B37" s="214">
        <v>131103</v>
      </c>
      <c r="C37" s="215" t="s">
        <v>1803</v>
      </c>
      <c r="D37" s="432">
        <f t="shared" si="5"/>
        <v>24600624</v>
      </c>
      <c r="E37" s="431">
        <v>11616452</v>
      </c>
      <c r="F37" s="431">
        <v>3027427</v>
      </c>
      <c r="G37" s="431">
        <v>1499522</v>
      </c>
      <c r="H37" s="431"/>
      <c r="I37" s="431">
        <v>8734630</v>
      </c>
      <c r="J37" s="431">
        <v>200000</v>
      </c>
      <c r="K37" s="431">
        <v>2626000</v>
      </c>
      <c r="L37" s="431"/>
      <c r="M37" s="431">
        <v>243685</v>
      </c>
      <c r="N37" s="431">
        <v>1172177</v>
      </c>
      <c r="O37" s="431">
        <v>7680</v>
      </c>
      <c r="P37" s="438">
        <f t="shared" si="9"/>
        <v>25851063</v>
      </c>
      <c r="Q37" s="431">
        <v>10719726</v>
      </c>
      <c r="R37" s="431">
        <v>6019909</v>
      </c>
      <c r="S37" s="431">
        <v>395675</v>
      </c>
      <c r="T37" s="431">
        <v>0</v>
      </c>
      <c r="U37" s="431">
        <v>1842502</v>
      </c>
      <c r="V37" s="431">
        <v>0</v>
      </c>
      <c r="W37" s="431">
        <v>2172930</v>
      </c>
      <c r="X37" s="431">
        <v>1168206</v>
      </c>
      <c r="Y37" s="431">
        <v>266522</v>
      </c>
      <c r="Z37" s="431">
        <v>3196901</v>
      </c>
      <c r="AA37" s="431">
        <v>303030</v>
      </c>
      <c r="AB37" s="431">
        <v>-234338</v>
      </c>
      <c r="AC37" s="431">
        <v>3687231</v>
      </c>
      <c r="AD37" s="431">
        <v>707498</v>
      </c>
      <c r="AE37" s="431">
        <v>8554012</v>
      </c>
      <c r="AF37" s="431">
        <v>1053519</v>
      </c>
      <c r="AG37" s="431">
        <v>1092339</v>
      </c>
      <c r="AH37" s="431">
        <v>2393642</v>
      </c>
      <c r="AI37" s="431">
        <v>1404414</v>
      </c>
      <c r="AJ37" s="431">
        <v>346013</v>
      </c>
      <c r="AK37" s="431">
        <v>0</v>
      </c>
      <c r="AL37" s="431">
        <v>6105875</v>
      </c>
      <c r="AM37" s="431">
        <v>506520</v>
      </c>
    </row>
    <row r="38" spans="1:39" s="155" customFormat="1" ht="12" x14ac:dyDescent="0.2">
      <c r="A38" s="146">
        <v>5</v>
      </c>
      <c r="B38" s="214">
        <v>131210</v>
      </c>
      <c r="C38" s="215" t="s">
        <v>1804</v>
      </c>
      <c r="D38" s="432">
        <f t="shared" si="5"/>
        <v>26249468</v>
      </c>
      <c r="E38" s="431">
        <v>15634902</v>
      </c>
      <c r="F38" s="431">
        <v>2953880</v>
      </c>
      <c r="G38" s="431">
        <v>866523</v>
      </c>
      <c r="H38" s="431"/>
      <c r="I38" s="431">
        <v>6003187</v>
      </c>
      <c r="J38" s="431">
        <v>0</v>
      </c>
      <c r="K38" s="431">
        <v>2341800</v>
      </c>
      <c r="L38" s="431"/>
      <c r="M38" s="431">
        <v>2000269</v>
      </c>
      <c r="N38" s="431">
        <v>0</v>
      </c>
      <c r="O38" s="431">
        <v>269310</v>
      </c>
      <c r="P38" s="438">
        <f t="shared" si="9"/>
        <v>26454516</v>
      </c>
      <c r="Q38" s="431">
        <v>7464311</v>
      </c>
      <c r="R38" s="431">
        <v>10375921</v>
      </c>
      <c r="S38" s="431">
        <v>1709985</v>
      </c>
      <c r="T38" s="431">
        <v>0</v>
      </c>
      <c r="U38" s="431">
        <v>849322</v>
      </c>
      <c r="V38" s="431">
        <v>0</v>
      </c>
      <c r="W38" s="431">
        <v>550346</v>
      </c>
      <c r="X38" s="431">
        <v>391092</v>
      </c>
      <c r="Y38" s="431">
        <v>6633</v>
      </c>
      <c r="Z38" s="431">
        <v>4292696</v>
      </c>
      <c r="AA38" s="431">
        <v>1611374</v>
      </c>
      <c r="AB38" s="431">
        <v>-797164</v>
      </c>
      <c r="AC38" s="431">
        <v>6614629</v>
      </c>
      <c r="AD38" s="431">
        <v>676391</v>
      </c>
      <c r="AE38" s="431">
        <v>6314553</v>
      </c>
      <c r="AF38" s="431">
        <v>49291</v>
      </c>
      <c r="AG38" s="431">
        <v>3999357</v>
      </c>
      <c r="AH38" s="431">
        <v>865671</v>
      </c>
      <c r="AI38" s="431">
        <v>4118090</v>
      </c>
      <c r="AJ38" s="431">
        <v>1388776</v>
      </c>
      <c r="AK38" s="431">
        <v>0</v>
      </c>
      <c r="AL38" s="431">
        <v>2075385</v>
      </c>
      <c r="AM38" s="431">
        <v>352373</v>
      </c>
    </row>
    <row r="39" spans="1:39" s="155" customFormat="1" ht="12" x14ac:dyDescent="0.2">
      <c r="A39" s="146">
        <v>6</v>
      </c>
      <c r="B39" s="214">
        <v>131336</v>
      </c>
      <c r="C39" s="215" t="s">
        <v>1805</v>
      </c>
      <c r="D39" s="432">
        <f t="shared" si="5"/>
        <v>14330858</v>
      </c>
      <c r="E39" s="431">
        <v>7913408</v>
      </c>
      <c r="F39" s="431">
        <v>1050190</v>
      </c>
      <c r="G39" s="431">
        <v>3240518</v>
      </c>
      <c r="H39" s="431"/>
      <c r="I39" s="431">
        <v>5428925</v>
      </c>
      <c r="J39" s="431">
        <v>0</v>
      </c>
      <c r="K39" s="431">
        <v>841000</v>
      </c>
      <c r="L39" s="431"/>
      <c r="M39" s="431">
        <v>69685</v>
      </c>
      <c r="N39" s="431">
        <v>72840</v>
      </c>
      <c r="O39" s="431">
        <v>5000</v>
      </c>
      <c r="P39" s="438">
        <f t="shared" si="9"/>
        <v>14653896</v>
      </c>
      <c r="Q39" s="431">
        <v>6113637</v>
      </c>
      <c r="R39" s="431">
        <v>5628846</v>
      </c>
      <c r="S39" s="431">
        <v>21285</v>
      </c>
      <c r="T39" s="431">
        <v>0</v>
      </c>
      <c r="U39" s="431">
        <v>0</v>
      </c>
      <c r="V39" s="431">
        <v>321</v>
      </c>
      <c r="W39" s="431">
        <v>730590</v>
      </c>
      <c r="X39" s="431">
        <v>748321</v>
      </c>
      <c r="Y39" s="431">
        <v>95000</v>
      </c>
      <c r="Z39" s="431">
        <v>1254883</v>
      </c>
      <c r="AA39" s="431">
        <v>61818</v>
      </c>
      <c r="AB39" s="431">
        <v>-805</v>
      </c>
      <c r="AC39" s="431">
        <v>2624436</v>
      </c>
      <c r="AD39" s="431">
        <v>275938</v>
      </c>
      <c r="AE39" s="431">
        <v>4319477</v>
      </c>
      <c r="AF39" s="431">
        <v>696732</v>
      </c>
      <c r="AG39" s="431">
        <v>485706</v>
      </c>
      <c r="AH39" s="431">
        <v>1571036</v>
      </c>
      <c r="AI39" s="431">
        <v>1551380</v>
      </c>
      <c r="AJ39" s="431">
        <v>309257</v>
      </c>
      <c r="AK39" s="431">
        <v>0</v>
      </c>
      <c r="AL39" s="431">
        <v>2819934</v>
      </c>
      <c r="AM39" s="431">
        <v>0</v>
      </c>
    </row>
    <row r="40" spans="1:39" s="155" customFormat="1" ht="12" x14ac:dyDescent="0.2">
      <c r="A40" s="146">
        <v>7</v>
      </c>
      <c r="B40" s="214">
        <v>131407</v>
      </c>
      <c r="C40" s="215" t="s">
        <v>1806</v>
      </c>
      <c r="D40" s="432">
        <f t="shared" si="5"/>
        <v>34593234</v>
      </c>
      <c r="E40" s="431">
        <v>19477093</v>
      </c>
      <c r="F40" s="431">
        <v>6071664</v>
      </c>
      <c r="G40" s="431">
        <v>578344</v>
      </c>
      <c r="H40" s="431"/>
      <c r="I40" s="431">
        <v>12426027</v>
      </c>
      <c r="J40" s="431">
        <v>300000</v>
      </c>
      <c r="K40" s="431">
        <v>2161200</v>
      </c>
      <c r="L40" s="431"/>
      <c r="M40" s="431">
        <v>95334</v>
      </c>
      <c r="N40" s="431">
        <v>104549</v>
      </c>
      <c r="O40" s="431">
        <v>29031</v>
      </c>
      <c r="P40" s="438">
        <f t="shared" si="9"/>
        <v>34538223</v>
      </c>
      <c r="Q40" s="431">
        <v>13720639</v>
      </c>
      <c r="R40" s="431">
        <v>4837787</v>
      </c>
      <c r="S40" s="431">
        <v>566917</v>
      </c>
      <c r="T40" s="431">
        <v>0</v>
      </c>
      <c r="U40" s="431">
        <v>0</v>
      </c>
      <c r="V40" s="431">
        <v>51882</v>
      </c>
      <c r="W40" s="431">
        <v>157235</v>
      </c>
      <c r="X40" s="431">
        <v>1372921</v>
      </c>
      <c r="Y40" s="431">
        <v>11087</v>
      </c>
      <c r="Z40" s="431">
        <v>9261053</v>
      </c>
      <c r="AA40" s="431">
        <v>4607662</v>
      </c>
      <c r="AB40" s="431">
        <v>-48960</v>
      </c>
      <c r="AC40" s="431">
        <v>4861288</v>
      </c>
      <c r="AD40" s="431">
        <v>691683</v>
      </c>
      <c r="AE40" s="431">
        <v>11002272</v>
      </c>
      <c r="AF40" s="431">
        <v>130794</v>
      </c>
      <c r="AG40" s="431">
        <v>1137328</v>
      </c>
      <c r="AH40" s="431">
        <v>1886692</v>
      </c>
      <c r="AI40" s="431">
        <v>3348298</v>
      </c>
      <c r="AJ40" s="431">
        <v>8947287</v>
      </c>
      <c r="AK40" s="431">
        <v>1016347</v>
      </c>
      <c r="AL40" s="431">
        <v>1516234</v>
      </c>
      <c r="AM40" s="431">
        <v>0</v>
      </c>
    </row>
    <row r="41" spans="1:39" s="155" customFormat="1" ht="12" x14ac:dyDescent="0.2">
      <c r="A41" s="146">
        <v>8</v>
      </c>
      <c r="B41" s="214">
        <v>131443</v>
      </c>
      <c r="C41" s="215" t="s">
        <v>1807</v>
      </c>
      <c r="D41" s="432">
        <f t="shared" si="5"/>
        <v>15085966</v>
      </c>
      <c r="E41" s="431">
        <v>7364200</v>
      </c>
      <c r="F41" s="431">
        <v>2381585</v>
      </c>
      <c r="G41" s="431">
        <v>1290841</v>
      </c>
      <c r="H41" s="431"/>
      <c r="I41" s="431">
        <v>5438544</v>
      </c>
      <c r="J41" s="431">
        <v>200000</v>
      </c>
      <c r="K41" s="431">
        <v>1040000</v>
      </c>
      <c r="L41" s="431"/>
      <c r="M41" s="431">
        <v>1039922</v>
      </c>
      <c r="N41" s="431">
        <v>0</v>
      </c>
      <c r="O41" s="431">
        <v>3300</v>
      </c>
      <c r="P41" s="438">
        <f t="shared" si="9"/>
        <v>15095297</v>
      </c>
      <c r="Q41" s="431">
        <v>6668262</v>
      </c>
      <c r="R41" s="431">
        <v>5137975</v>
      </c>
      <c r="S41" s="431">
        <v>45080</v>
      </c>
      <c r="T41" s="431">
        <v>0</v>
      </c>
      <c r="U41" s="431">
        <v>0</v>
      </c>
      <c r="V41" s="431">
        <v>0</v>
      </c>
      <c r="W41" s="431">
        <v>0</v>
      </c>
      <c r="X41" s="431">
        <v>389894</v>
      </c>
      <c r="Y41" s="431">
        <v>11592</v>
      </c>
      <c r="Z41" s="431">
        <v>2531114</v>
      </c>
      <c r="AA41" s="431">
        <v>320706</v>
      </c>
      <c r="AB41" s="431">
        <v>-9326</v>
      </c>
      <c r="AC41" s="431">
        <v>4442128</v>
      </c>
      <c r="AD41" s="431">
        <v>224904</v>
      </c>
      <c r="AE41" s="431">
        <v>4895170</v>
      </c>
      <c r="AF41" s="431">
        <v>31322</v>
      </c>
      <c r="AG41" s="431">
        <v>964154</v>
      </c>
      <c r="AH41" s="431">
        <v>614428</v>
      </c>
      <c r="AI41" s="431">
        <v>2841634</v>
      </c>
      <c r="AJ41" s="431">
        <v>0</v>
      </c>
      <c r="AK41" s="431">
        <v>0</v>
      </c>
      <c r="AL41" s="431">
        <v>1081557</v>
      </c>
      <c r="AM41" s="431">
        <v>0</v>
      </c>
    </row>
    <row r="42" spans="1:39" s="155" customFormat="1" ht="12" x14ac:dyDescent="0.2">
      <c r="A42" s="146">
        <v>9</v>
      </c>
      <c r="B42" s="214">
        <v>131540</v>
      </c>
      <c r="C42" s="215" t="s">
        <v>1808</v>
      </c>
      <c r="D42" s="432">
        <f t="shared" si="5"/>
        <v>59700731</v>
      </c>
      <c r="E42" s="431">
        <v>25720256</v>
      </c>
      <c r="F42" s="431">
        <v>5802358</v>
      </c>
      <c r="G42" s="431">
        <v>512759</v>
      </c>
      <c r="H42" s="431"/>
      <c r="I42" s="431">
        <v>6728744</v>
      </c>
      <c r="J42" s="431">
        <v>250000</v>
      </c>
      <c r="K42" s="431">
        <v>395000</v>
      </c>
      <c r="L42" s="431"/>
      <c r="M42" s="431">
        <v>12162004</v>
      </c>
      <c r="N42" s="431">
        <v>14133516</v>
      </c>
      <c r="O42" s="431">
        <v>311211</v>
      </c>
      <c r="P42" s="438">
        <f t="shared" si="9"/>
        <v>60609738</v>
      </c>
      <c r="Q42" s="431">
        <v>8833587</v>
      </c>
      <c r="R42" s="431">
        <v>12635648</v>
      </c>
      <c r="S42" s="431">
        <v>787160</v>
      </c>
      <c r="T42" s="431">
        <v>0</v>
      </c>
      <c r="U42" s="431">
        <v>1224173</v>
      </c>
      <c r="V42" s="431">
        <v>584369</v>
      </c>
      <c r="W42" s="431">
        <v>24402734</v>
      </c>
      <c r="X42" s="431">
        <v>575053</v>
      </c>
      <c r="Y42" s="431">
        <v>471538</v>
      </c>
      <c r="Z42" s="431">
        <v>9763644</v>
      </c>
      <c r="AA42" s="431">
        <v>1334165</v>
      </c>
      <c r="AB42" s="431">
        <v>-2333</v>
      </c>
      <c r="AC42" s="431">
        <v>5654500</v>
      </c>
      <c r="AD42" s="431">
        <v>292370</v>
      </c>
      <c r="AE42" s="431">
        <v>6810893</v>
      </c>
      <c r="AF42" s="431">
        <v>3225672</v>
      </c>
      <c r="AG42" s="431">
        <v>2106273</v>
      </c>
      <c r="AH42" s="431">
        <v>1290979</v>
      </c>
      <c r="AI42" s="431">
        <v>19340129</v>
      </c>
      <c r="AJ42" s="431">
        <v>1287028</v>
      </c>
      <c r="AK42" s="431">
        <v>0</v>
      </c>
      <c r="AL42" s="431">
        <v>7835512</v>
      </c>
      <c r="AM42" s="431">
        <v>12766382</v>
      </c>
    </row>
    <row r="43" spans="1:39" s="155" customFormat="1" ht="12" x14ac:dyDescent="0.2">
      <c r="A43" s="146">
        <v>10</v>
      </c>
      <c r="B43" s="214">
        <v>131577</v>
      </c>
      <c r="C43" s="215" t="s">
        <v>1809</v>
      </c>
      <c r="D43" s="432">
        <f t="shared" si="5"/>
        <v>11372515</v>
      </c>
      <c r="E43" s="431">
        <v>7130555</v>
      </c>
      <c r="F43" s="431">
        <v>1300623</v>
      </c>
      <c r="G43" s="431">
        <v>2834087</v>
      </c>
      <c r="H43" s="431"/>
      <c r="I43" s="431">
        <v>3997379</v>
      </c>
      <c r="J43" s="431">
        <v>0</v>
      </c>
      <c r="K43" s="431">
        <v>194000</v>
      </c>
      <c r="L43" s="431"/>
      <c r="M43" s="431">
        <v>50581</v>
      </c>
      <c r="N43" s="431">
        <v>0</v>
      </c>
      <c r="O43" s="431">
        <v>0</v>
      </c>
      <c r="P43" s="438">
        <f t="shared" si="9"/>
        <v>8664625</v>
      </c>
      <c r="Q43" s="431">
        <v>4855235</v>
      </c>
      <c r="R43" s="431">
        <v>2349676</v>
      </c>
      <c r="S43" s="431">
        <v>0</v>
      </c>
      <c r="T43" s="431">
        <v>0</v>
      </c>
      <c r="U43" s="431">
        <v>0</v>
      </c>
      <c r="V43" s="431">
        <v>0</v>
      </c>
      <c r="W43" s="431">
        <v>0</v>
      </c>
      <c r="X43" s="431">
        <v>360622</v>
      </c>
      <c r="Y43" s="431">
        <v>78177</v>
      </c>
      <c r="Z43" s="431">
        <v>942597</v>
      </c>
      <c r="AA43" s="431">
        <v>86718</v>
      </c>
      <c r="AB43" s="431">
        <v>-8400</v>
      </c>
      <c r="AC43" s="431">
        <v>1806861</v>
      </c>
      <c r="AD43" s="431">
        <v>202141</v>
      </c>
      <c r="AE43" s="431">
        <v>3461924</v>
      </c>
      <c r="AF43" s="431">
        <v>64197</v>
      </c>
      <c r="AG43" s="431">
        <v>389571</v>
      </c>
      <c r="AH43" s="431">
        <v>685243</v>
      </c>
      <c r="AI43" s="431">
        <v>613623</v>
      </c>
      <c r="AJ43" s="431">
        <v>61131</v>
      </c>
      <c r="AK43" s="431">
        <v>0</v>
      </c>
      <c r="AL43" s="431">
        <v>1379934</v>
      </c>
      <c r="AM43" s="431">
        <v>0</v>
      </c>
    </row>
    <row r="44" spans="1:39" s="155" customFormat="1" ht="12" x14ac:dyDescent="0.2">
      <c r="A44" s="146">
        <v>11</v>
      </c>
      <c r="B44" s="214">
        <v>131620</v>
      </c>
      <c r="C44" s="215" t="s">
        <v>1810</v>
      </c>
      <c r="D44" s="432">
        <f t="shared" si="5"/>
        <v>18379397</v>
      </c>
      <c r="E44" s="431">
        <v>10935704</v>
      </c>
      <c r="F44" s="431">
        <v>5122142</v>
      </c>
      <c r="G44" s="431">
        <v>596232</v>
      </c>
      <c r="H44" s="431"/>
      <c r="I44" s="431">
        <v>6385000</v>
      </c>
      <c r="J44" s="431">
        <v>0</v>
      </c>
      <c r="K44" s="431">
        <v>831000</v>
      </c>
      <c r="L44" s="431"/>
      <c r="M44" s="431">
        <v>30786</v>
      </c>
      <c r="N44" s="431">
        <v>166975</v>
      </c>
      <c r="O44" s="431">
        <v>29932</v>
      </c>
      <c r="P44" s="438">
        <f t="shared" si="9"/>
        <v>14209332</v>
      </c>
      <c r="Q44" s="431">
        <v>7971330</v>
      </c>
      <c r="R44" s="431">
        <v>3093570</v>
      </c>
      <c r="S44" s="431">
        <v>262741</v>
      </c>
      <c r="T44" s="431">
        <v>0</v>
      </c>
      <c r="U44" s="431">
        <v>743170</v>
      </c>
      <c r="V44" s="431">
        <v>0</v>
      </c>
      <c r="W44" s="431">
        <v>8495</v>
      </c>
      <c r="X44" s="431">
        <v>481026</v>
      </c>
      <c r="Y44" s="431">
        <v>224650</v>
      </c>
      <c r="Z44" s="431">
        <v>783679</v>
      </c>
      <c r="AA44" s="431">
        <v>724200</v>
      </c>
      <c r="AB44" s="431">
        <v>-83529</v>
      </c>
      <c r="AC44" s="431">
        <v>2340387</v>
      </c>
      <c r="AD44" s="431">
        <v>471623</v>
      </c>
      <c r="AE44" s="431">
        <v>5785847</v>
      </c>
      <c r="AF44" s="431">
        <v>727775</v>
      </c>
      <c r="AG44" s="431">
        <v>791068</v>
      </c>
      <c r="AH44" s="431">
        <v>1155020</v>
      </c>
      <c r="AI44" s="431">
        <v>2289955</v>
      </c>
      <c r="AJ44" s="431">
        <v>322683</v>
      </c>
      <c r="AK44" s="431">
        <v>0</v>
      </c>
      <c r="AL44" s="431">
        <v>189334</v>
      </c>
      <c r="AM44" s="431">
        <v>135640</v>
      </c>
    </row>
    <row r="45" spans="1:39" s="155" customFormat="1" ht="12" x14ac:dyDescent="0.2">
      <c r="A45" s="146">
        <v>12</v>
      </c>
      <c r="B45" s="216">
        <v>131817</v>
      </c>
      <c r="C45" s="211" t="s">
        <v>1811</v>
      </c>
      <c r="D45" s="432">
        <f t="shared" si="5"/>
        <v>28499377</v>
      </c>
      <c r="E45" s="431">
        <v>14520111</v>
      </c>
      <c r="F45" s="431">
        <v>7522827</v>
      </c>
      <c r="G45" s="431">
        <v>540583</v>
      </c>
      <c r="H45" s="431"/>
      <c r="I45" s="431">
        <v>13153514</v>
      </c>
      <c r="J45" s="431">
        <v>246699</v>
      </c>
      <c r="K45" s="431">
        <v>474000</v>
      </c>
      <c r="L45" s="431"/>
      <c r="M45" s="431">
        <v>70053</v>
      </c>
      <c r="N45" s="431">
        <v>0</v>
      </c>
      <c r="O45" s="431">
        <v>35000</v>
      </c>
      <c r="P45" s="438">
        <f t="shared" si="9"/>
        <v>27413886</v>
      </c>
      <c r="Q45" s="431">
        <v>13670060</v>
      </c>
      <c r="R45" s="431">
        <v>4108686</v>
      </c>
      <c r="S45" s="431">
        <v>0</v>
      </c>
      <c r="T45" s="431">
        <v>0</v>
      </c>
      <c r="U45" s="431">
        <v>2508455</v>
      </c>
      <c r="V45" s="431">
        <v>0</v>
      </c>
      <c r="W45" s="431">
        <v>0</v>
      </c>
      <c r="X45" s="431">
        <v>799071</v>
      </c>
      <c r="Y45" s="431">
        <v>108018</v>
      </c>
      <c r="Z45" s="431">
        <v>6246526</v>
      </c>
      <c r="AA45" s="431">
        <v>0</v>
      </c>
      <c r="AB45" s="431">
        <v>-26930</v>
      </c>
      <c r="AC45" s="431">
        <v>2686486</v>
      </c>
      <c r="AD45" s="431">
        <v>298253</v>
      </c>
      <c r="AE45" s="431">
        <v>13043243</v>
      </c>
      <c r="AF45" s="431">
        <v>2816107</v>
      </c>
      <c r="AG45" s="431">
        <v>1074816</v>
      </c>
      <c r="AH45" s="431">
        <v>1778380</v>
      </c>
      <c r="AI45" s="431">
        <v>1438562</v>
      </c>
      <c r="AJ45" s="431">
        <v>452708</v>
      </c>
      <c r="AK45" s="431">
        <v>0</v>
      </c>
      <c r="AL45" s="431">
        <v>3694419</v>
      </c>
      <c r="AM45" s="431">
        <v>130912</v>
      </c>
    </row>
    <row r="46" spans="1:39" s="155" customFormat="1" ht="12" hidden="1" x14ac:dyDescent="0.2">
      <c r="A46" s="146">
        <v>13</v>
      </c>
      <c r="B46" s="161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3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61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3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61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3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61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3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61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3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61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3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61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3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61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3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5"/>
      <c r="C54" s="208"/>
      <c r="D54" s="432">
        <f t="shared" ref="D54:D117" si="10">E54+SUM(H54:O54)</f>
        <v>632866155</v>
      </c>
      <c r="E54" s="432">
        <f>SUM(E55:E144)</f>
        <v>304500846</v>
      </c>
      <c r="F54" s="432">
        <f t="shared" ref="F54:AM54" si="11">SUM(F55:F144)</f>
        <v>86350787</v>
      </c>
      <c r="G54" s="432">
        <f t="shared" si="11"/>
        <v>85571153</v>
      </c>
      <c r="H54" s="432">
        <f t="shared" si="11"/>
        <v>0</v>
      </c>
      <c r="I54" s="432">
        <f t="shared" si="11"/>
        <v>189382740</v>
      </c>
      <c r="J54" s="432">
        <f t="shared" si="11"/>
        <v>9960631</v>
      </c>
      <c r="K54" s="432">
        <f t="shared" si="11"/>
        <v>57206170</v>
      </c>
      <c r="L54" s="432">
        <f t="shared" si="11"/>
        <v>0</v>
      </c>
      <c r="M54" s="432">
        <f t="shared" si="11"/>
        <v>39935033</v>
      </c>
      <c r="N54" s="432">
        <f t="shared" si="11"/>
        <v>22729129</v>
      </c>
      <c r="O54" s="432">
        <f t="shared" si="11"/>
        <v>9151606</v>
      </c>
      <c r="P54" s="432">
        <f t="shared" si="11"/>
        <v>573708729</v>
      </c>
      <c r="Q54" s="432">
        <f t="shared" si="11"/>
        <v>218919447</v>
      </c>
      <c r="R54" s="432">
        <f t="shared" si="11"/>
        <v>118540600</v>
      </c>
      <c r="S54" s="432">
        <f t="shared" si="11"/>
        <v>1526726</v>
      </c>
      <c r="T54" s="432">
        <f t="shared" si="11"/>
        <v>10949</v>
      </c>
      <c r="U54" s="432">
        <f t="shared" si="11"/>
        <v>2083000</v>
      </c>
      <c r="V54" s="432">
        <f t="shared" si="11"/>
        <v>2054223</v>
      </c>
      <c r="W54" s="432">
        <f t="shared" si="11"/>
        <v>32279653</v>
      </c>
      <c r="X54" s="432">
        <f t="shared" si="11"/>
        <v>25073336</v>
      </c>
      <c r="Y54" s="432">
        <f t="shared" si="11"/>
        <v>6936195</v>
      </c>
      <c r="Z54" s="432">
        <f t="shared" si="11"/>
        <v>156130940</v>
      </c>
      <c r="AA54" s="432">
        <f t="shared" si="11"/>
        <v>12697995</v>
      </c>
      <c r="AB54" s="432">
        <f t="shared" si="11"/>
        <v>-2544335</v>
      </c>
      <c r="AC54" s="432">
        <f t="shared" si="11"/>
        <v>111447135</v>
      </c>
      <c r="AD54" s="432">
        <f t="shared" si="11"/>
        <v>11112058</v>
      </c>
      <c r="AE54" s="432">
        <f t="shared" si="11"/>
        <v>184427108</v>
      </c>
      <c r="AF54" s="432">
        <f t="shared" si="11"/>
        <v>3538449</v>
      </c>
      <c r="AG54" s="432">
        <f t="shared" si="11"/>
        <v>29256007</v>
      </c>
      <c r="AH54" s="432">
        <f t="shared" si="11"/>
        <v>50711326</v>
      </c>
      <c r="AI54" s="432">
        <f t="shared" si="11"/>
        <v>65474382</v>
      </c>
      <c r="AJ54" s="432">
        <f t="shared" si="11"/>
        <v>15514933</v>
      </c>
      <c r="AK54" s="432">
        <f t="shared" si="11"/>
        <v>0</v>
      </c>
      <c r="AL54" s="432">
        <f t="shared" si="11"/>
        <v>97563154</v>
      </c>
      <c r="AM54" s="432">
        <f t="shared" si="11"/>
        <v>4664177</v>
      </c>
    </row>
    <row r="55" spans="1:39" s="155" customFormat="1" ht="12" x14ac:dyDescent="0.2">
      <c r="A55" s="168">
        <v>1</v>
      </c>
      <c r="B55" s="212">
        <v>131899</v>
      </c>
      <c r="C55" s="213" t="s">
        <v>1812</v>
      </c>
      <c r="D55" s="432">
        <f t="shared" si="10"/>
        <v>3017567</v>
      </c>
      <c r="E55" s="431">
        <v>1748203</v>
      </c>
      <c r="F55" s="431">
        <v>104102</v>
      </c>
      <c r="G55" s="431">
        <v>1348477</v>
      </c>
      <c r="H55" s="431"/>
      <c r="I55" s="431">
        <v>856544</v>
      </c>
      <c r="J55" s="431">
        <v>300000</v>
      </c>
      <c r="K55" s="431">
        <v>112000</v>
      </c>
      <c r="L55" s="431"/>
      <c r="M55" s="431">
        <v>820</v>
      </c>
      <c r="N55" s="431">
        <v>0</v>
      </c>
      <c r="O55" s="431">
        <v>0</v>
      </c>
      <c r="P55" s="438">
        <f t="shared" ref="P55:P118" si="12">IF(SUM(Q55:AB55)=SUM(AC55:AM55),SUM(Q55:AB55),"  EROARE ART/CAP")</f>
        <v>2544311</v>
      </c>
      <c r="Q55" s="431">
        <v>1189248</v>
      </c>
      <c r="R55" s="431">
        <v>609707</v>
      </c>
      <c r="S55" s="431">
        <v>0</v>
      </c>
      <c r="T55" s="431">
        <v>0</v>
      </c>
      <c r="U55" s="431">
        <v>0</v>
      </c>
      <c r="V55" s="431">
        <v>0</v>
      </c>
      <c r="W55" s="431">
        <v>0</v>
      </c>
      <c r="X55" s="431">
        <v>154817</v>
      </c>
      <c r="Y55" s="431">
        <v>20932</v>
      </c>
      <c r="Z55" s="431">
        <v>569607</v>
      </c>
      <c r="AA55" s="431">
        <v>0</v>
      </c>
      <c r="AB55" s="431">
        <v>0</v>
      </c>
      <c r="AC55" s="431">
        <v>721176</v>
      </c>
      <c r="AD55" s="431">
        <v>88676</v>
      </c>
      <c r="AE55" s="431">
        <v>809110</v>
      </c>
      <c r="AF55" s="431">
        <v>0</v>
      </c>
      <c r="AG55" s="431">
        <v>178545</v>
      </c>
      <c r="AH55" s="431">
        <v>154817</v>
      </c>
      <c r="AI55" s="431">
        <v>407123</v>
      </c>
      <c r="AJ55" s="431">
        <v>0</v>
      </c>
      <c r="AK55" s="431">
        <v>0</v>
      </c>
      <c r="AL55" s="431">
        <v>184864</v>
      </c>
      <c r="AM55" s="431">
        <v>0</v>
      </c>
    </row>
    <row r="56" spans="1:39" s="155" customFormat="1" ht="12" x14ac:dyDescent="0.2">
      <c r="A56" s="168">
        <v>2</v>
      </c>
      <c r="B56" s="214">
        <v>131933</v>
      </c>
      <c r="C56" s="215" t="s">
        <v>1813</v>
      </c>
      <c r="D56" s="432">
        <f t="shared" si="10"/>
        <v>7087195</v>
      </c>
      <c r="E56" s="431">
        <v>2281274</v>
      </c>
      <c r="F56" s="431">
        <v>626577</v>
      </c>
      <c r="G56" s="431">
        <v>672748</v>
      </c>
      <c r="H56" s="431"/>
      <c r="I56" s="431">
        <v>2747170</v>
      </c>
      <c r="J56" s="431">
        <v>300000</v>
      </c>
      <c r="K56" s="431">
        <v>1312000</v>
      </c>
      <c r="L56" s="431"/>
      <c r="M56" s="431">
        <v>263191</v>
      </c>
      <c r="N56" s="431">
        <v>140891</v>
      </c>
      <c r="O56" s="431">
        <v>42669</v>
      </c>
      <c r="P56" s="438">
        <f t="shared" si="12"/>
        <v>5969254</v>
      </c>
      <c r="Q56" s="431">
        <v>2892198</v>
      </c>
      <c r="R56" s="431">
        <v>789176</v>
      </c>
      <c r="S56" s="431">
        <v>22000</v>
      </c>
      <c r="T56" s="431">
        <v>0</v>
      </c>
      <c r="U56" s="431">
        <v>0</v>
      </c>
      <c r="V56" s="431">
        <v>0</v>
      </c>
      <c r="W56" s="431">
        <v>415387</v>
      </c>
      <c r="X56" s="431">
        <v>683461</v>
      </c>
      <c r="Y56" s="431">
        <v>156725</v>
      </c>
      <c r="Z56" s="431">
        <v>887841</v>
      </c>
      <c r="AA56" s="431">
        <v>204000</v>
      </c>
      <c r="AB56" s="431">
        <v>-81534</v>
      </c>
      <c r="AC56" s="431">
        <v>861627</v>
      </c>
      <c r="AD56" s="431">
        <v>142940</v>
      </c>
      <c r="AE56" s="431">
        <v>2062545</v>
      </c>
      <c r="AF56" s="431">
        <v>0</v>
      </c>
      <c r="AG56" s="431">
        <v>567939</v>
      </c>
      <c r="AH56" s="431">
        <v>1124723</v>
      </c>
      <c r="AI56" s="431">
        <v>184542</v>
      </c>
      <c r="AJ56" s="431">
        <v>322430</v>
      </c>
      <c r="AK56" s="431">
        <v>0</v>
      </c>
      <c r="AL56" s="431">
        <v>692607</v>
      </c>
      <c r="AM56" s="431">
        <v>9901</v>
      </c>
    </row>
    <row r="57" spans="1:39" s="155" customFormat="1" ht="12" x14ac:dyDescent="0.2">
      <c r="A57" s="168">
        <v>3</v>
      </c>
      <c r="B57" s="214">
        <v>131988</v>
      </c>
      <c r="C57" s="215" t="s">
        <v>1814</v>
      </c>
      <c r="D57" s="432">
        <f t="shared" si="10"/>
        <v>5644575</v>
      </c>
      <c r="E57" s="431">
        <v>2109678</v>
      </c>
      <c r="F57" s="431">
        <v>124815</v>
      </c>
      <c r="G57" s="431">
        <v>1286867</v>
      </c>
      <c r="H57" s="431"/>
      <c r="I57" s="431">
        <v>1652687</v>
      </c>
      <c r="J57" s="431">
        <v>0</v>
      </c>
      <c r="K57" s="431">
        <v>776000</v>
      </c>
      <c r="L57" s="431"/>
      <c r="M57" s="431">
        <v>660963</v>
      </c>
      <c r="N57" s="431">
        <v>445247</v>
      </c>
      <c r="O57" s="431">
        <v>0</v>
      </c>
      <c r="P57" s="438">
        <f t="shared" si="12"/>
        <v>5423842</v>
      </c>
      <c r="Q57" s="431">
        <v>2138964</v>
      </c>
      <c r="R57" s="431">
        <v>883750</v>
      </c>
      <c r="S57" s="431">
        <v>0</v>
      </c>
      <c r="T57" s="431">
        <v>0</v>
      </c>
      <c r="U57" s="431">
        <v>0</v>
      </c>
      <c r="V57" s="431">
        <v>0</v>
      </c>
      <c r="W57" s="431">
        <v>678034</v>
      </c>
      <c r="X57" s="431">
        <v>120069</v>
      </c>
      <c r="Y57" s="431">
        <v>6243</v>
      </c>
      <c r="Z57" s="431">
        <v>1613443</v>
      </c>
      <c r="AA57" s="431">
        <v>0</v>
      </c>
      <c r="AB57" s="431">
        <v>-16661</v>
      </c>
      <c r="AC57" s="431">
        <v>1146261</v>
      </c>
      <c r="AD57" s="431">
        <v>0</v>
      </c>
      <c r="AE57" s="431">
        <v>1540866</v>
      </c>
      <c r="AF57" s="431">
        <v>556034</v>
      </c>
      <c r="AG57" s="431">
        <v>320646</v>
      </c>
      <c r="AH57" s="431">
        <v>430217</v>
      </c>
      <c r="AI57" s="431">
        <v>231152</v>
      </c>
      <c r="AJ57" s="431">
        <v>28800</v>
      </c>
      <c r="AK57" s="431">
        <v>0</v>
      </c>
      <c r="AL57" s="431">
        <v>1158868</v>
      </c>
      <c r="AM57" s="431">
        <v>10998</v>
      </c>
    </row>
    <row r="58" spans="1:39" s="155" customFormat="1" ht="12" x14ac:dyDescent="0.2">
      <c r="A58" s="168">
        <v>4</v>
      </c>
      <c r="B58" s="214">
        <v>132011</v>
      </c>
      <c r="C58" s="215" t="s">
        <v>1815</v>
      </c>
      <c r="D58" s="432">
        <f t="shared" si="10"/>
        <v>4182776</v>
      </c>
      <c r="E58" s="431">
        <v>1565247</v>
      </c>
      <c r="F58" s="431">
        <v>146246</v>
      </c>
      <c r="G58" s="431">
        <v>983782</v>
      </c>
      <c r="H58" s="431"/>
      <c r="I58" s="431">
        <v>1219225</v>
      </c>
      <c r="J58" s="431">
        <v>150000</v>
      </c>
      <c r="K58" s="431">
        <v>126860</v>
      </c>
      <c r="L58" s="431"/>
      <c r="M58" s="431">
        <v>1121444</v>
      </c>
      <c r="N58" s="431">
        <v>0</v>
      </c>
      <c r="O58" s="431">
        <v>0</v>
      </c>
      <c r="P58" s="438">
        <f t="shared" si="12"/>
        <v>4032054</v>
      </c>
      <c r="Q58" s="431">
        <v>1547676</v>
      </c>
      <c r="R58" s="431">
        <v>595339</v>
      </c>
      <c r="S58" s="431">
        <v>0</v>
      </c>
      <c r="T58" s="431">
        <v>0</v>
      </c>
      <c r="U58" s="431">
        <v>0</v>
      </c>
      <c r="V58" s="431">
        <v>15000</v>
      </c>
      <c r="W58" s="431">
        <v>0</v>
      </c>
      <c r="X58" s="431">
        <v>151522</v>
      </c>
      <c r="Y58" s="431">
        <v>0</v>
      </c>
      <c r="Z58" s="431">
        <v>1737123</v>
      </c>
      <c r="AA58" s="431">
        <v>0</v>
      </c>
      <c r="AB58" s="431">
        <v>-14606</v>
      </c>
      <c r="AC58" s="431">
        <v>747551</v>
      </c>
      <c r="AD58" s="431">
        <v>71065</v>
      </c>
      <c r="AE58" s="431">
        <v>994225</v>
      </c>
      <c r="AF58" s="431">
        <v>0</v>
      </c>
      <c r="AG58" s="431">
        <v>60632</v>
      </c>
      <c r="AH58" s="431">
        <v>337560</v>
      </c>
      <c r="AI58" s="431">
        <v>83222</v>
      </c>
      <c r="AJ58" s="431">
        <v>1139225</v>
      </c>
      <c r="AK58" s="431">
        <v>0</v>
      </c>
      <c r="AL58" s="431">
        <v>598574</v>
      </c>
      <c r="AM58" s="431">
        <v>0</v>
      </c>
    </row>
    <row r="59" spans="1:39" s="155" customFormat="1" ht="12" x14ac:dyDescent="0.2">
      <c r="A59" s="168">
        <v>5</v>
      </c>
      <c r="B59" s="214">
        <v>132075</v>
      </c>
      <c r="C59" s="215" t="s">
        <v>1816</v>
      </c>
      <c r="D59" s="432">
        <f t="shared" si="10"/>
        <v>29399129</v>
      </c>
      <c r="E59" s="431">
        <v>25308692</v>
      </c>
      <c r="F59" s="431">
        <v>12009476</v>
      </c>
      <c r="G59" s="431">
        <v>344821</v>
      </c>
      <c r="H59" s="431"/>
      <c r="I59" s="431">
        <v>3970152</v>
      </c>
      <c r="J59" s="431">
        <v>0</v>
      </c>
      <c r="K59" s="431">
        <v>56000</v>
      </c>
      <c r="L59" s="431"/>
      <c r="M59" s="431">
        <v>64285</v>
      </c>
      <c r="N59" s="431">
        <v>0</v>
      </c>
      <c r="O59" s="431">
        <v>0</v>
      </c>
      <c r="P59" s="438">
        <f t="shared" si="12"/>
        <v>12596892</v>
      </c>
      <c r="Q59" s="431">
        <v>4009361</v>
      </c>
      <c r="R59" s="431">
        <v>3655577</v>
      </c>
      <c r="S59" s="431">
        <v>0</v>
      </c>
      <c r="T59" s="431">
        <v>0</v>
      </c>
      <c r="U59" s="431">
        <v>0</v>
      </c>
      <c r="V59" s="431">
        <v>0</v>
      </c>
      <c r="W59" s="431">
        <v>0</v>
      </c>
      <c r="X59" s="431">
        <v>336335</v>
      </c>
      <c r="Y59" s="431">
        <v>77366</v>
      </c>
      <c r="Z59" s="431">
        <v>4596737</v>
      </c>
      <c r="AA59" s="431">
        <v>0</v>
      </c>
      <c r="AB59" s="431">
        <v>-78484</v>
      </c>
      <c r="AC59" s="431">
        <v>3528520</v>
      </c>
      <c r="AD59" s="431">
        <v>155106</v>
      </c>
      <c r="AE59" s="431">
        <v>4093812</v>
      </c>
      <c r="AF59" s="431">
        <v>12577</v>
      </c>
      <c r="AG59" s="431">
        <v>359854</v>
      </c>
      <c r="AH59" s="431">
        <v>907904</v>
      </c>
      <c r="AI59" s="431">
        <v>1538677</v>
      </c>
      <c r="AJ59" s="431">
        <v>335291</v>
      </c>
      <c r="AK59" s="431">
        <v>0</v>
      </c>
      <c r="AL59" s="431">
        <v>1665151</v>
      </c>
      <c r="AM59" s="431">
        <v>0</v>
      </c>
    </row>
    <row r="60" spans="1:39" s="155" customFormat="1" ht="12" x14ac:dyDescent="0.2">
      <c r="A60" s="168">
        <v>6</v>
      </c>
      <c r="B60" s="214">
        <v>132137</v>
      </c>
      <c r="C60" s="215" t="s">
        <v>1817</v>
      </c>
      <c r="D60" s="432">
        <f t="shared" si="10"/>
        <v>3738246</v>
      </c>
      <c r="E60" s="431">
        <v>1509672</v>
      </c>
      <c r="F60" s="431">
        <v>52586</v>
      </c>
      <c r="G60" s="431">
        <v>1205382</v>
      </c>
      <c r="H60" s="431"/>
      <c r="I60" s="431">
        <v>702215</v>
      </c>
      <c r="J60" s="431">
        <v>0</v>
      </c>
      <c r="K60" s="431">
        <v>55000</v>
      </c>
      <c r="L60" s="431"/>
      <c r="M60" s="431">
        <v>1468859</v>
      </c>
      <c r="N60" s="431">
        <v>0</v>
      </c>
      <c r="O60" s="431">
        <v>2500</v>
      </c>
      <c r="P60" s="438">
        <f t="shared" si="12"/>
        <v>3590524</v>
      </c>
      <c r="Q60" s="431">
        <v>959125</v>
      </c>
      <c r="R60" s="431">
        <v>520587</v>
      </c>
      <c r="S60" s="431">
        <v>0</v>
      </c>
      <c r="T60" s="431">
        <v>0</v>
      </c>
      <c r="U60" s="431">
        <v>0</v>
      </c>
      <c r="V60" s="431">
        <v>0</v>
      </c>
      <c r="W60" s="431">
        <v>0</v>
      </c>
      <c r="X60" s="431">
        <v>100170</v>
      </c>
      <c r="Y60" s="431">
        <v>4200</v>
      </c>
      <c r="Z60" s="431">
        <v>2127575</v>
      </c>
      <c r="AA60" s="431">
        <v>0</v>
      </c>
      <c r="AB60" s="431">
        <v>-121133</v>
      </c>
      <c r="AC60" s="431">
        <v>501275</v>
      </c>
      <c r="AD60" s="431">
        <v>23719</v>
      </c>
      <c r="AE60" s="431">
        <v>560229</v>
      </c>
      <c r="AF60" s="431">
        <v>0</v>
      </c>
      <c r="AG60" s="431">
        <v>130028</v>
      </c>
      <c r="AH60" s="431">
        <v>205471</v>
      </c>
      <c r="AI60" s="431">
        <v>131389</v>
      </c>
      <c r="AJ60" s="431">
        <v>0</v>
      </c>
      <c r="AK60" s="431">
        <v>0</v>
      </c>
      <c r="AL60" s="431">
        <v>2037520</v>
      </c>
      <c r="AM60" s="431">
        <v>893</v>
      </c>
    </row>
    <row r="61" spans="1:39" s="155" customFormat="1" ht="12" x14ac:dyDescent="0.2">
      <c r="A61" s="168">
        <v>7</v>
      </c>
      <c r="B61" s="214">
        <v>132164</v>
      </c>
      <c r="C61" s="215" t="s">
        <v>1818</v>
      </c>
      <c r="D61" s="432">
        <f t="shared" si="10"/>
        <v>7111540</v>
      </c>
      <c r="E61" s="431">
        <v>2340954</v>
      </c>
      <c r="F61" s="431">
        <v>228153</v>
      </c>
      <c r="G61" s="431">
        <v>813856</v>
      </c>
      <c r="H61" s="431"/>
      <c r="I61" s="431">
        <v>1931368</v>
      </c>
      <c r="J61" s="431">
        <v>300000</v>
      </c>
      <c r="K61" s="431">
        <v>774000</v>
      </c>
      <c r="L61" s="431"/>
      <c r="M61" s="431">
        <v>1762218</v>
      </c>
      <c r="N61" s="431">
        <v>0</v>
      </c>
      <c r="O61" s="431">
        <v>3000</v>
      </c>
      <c r="P61" s="438">
        <f t="shared" si="12"/>
        <v>7769554</v>
      </c>
      <c r="Q61" s="431">
        <v>2379090</v>
      </c>
      <c r="R61" s="431">
        <v>1221704</v>
      </c>
      <c r="S61" s="431">
        <v>0</v>
      </c>
      <c r="T61" s="431">
        <v>0</v>
      </c>
      <c r="U61" s="431">
        <v>0</v>
      </c>
      <c r="V61" s="431">
        <v>0</v>
      </c>
      <c r="W61" s="431">
        <v>0</v>
      </c>
      <c r="X61" s="431">
        <v>321029</v>
      </c>
      <c r="Y61" s="431">
        <v>36930</v>
      </c>
      <c r="Z61" s="431">
        <v>3820935</v>
      </c>
      <c r="AA61" s="431">
        <v>0</v>
      </c>
      <c r="AB61" s="431">
        <v>-10134</v>
      </c>
      <c r="AC61" s="431">
        <v>839798</v>
      </c>
      <c r="AD61" s="431">
        <v>94399</v>
      </c>
      <c r="AE61" s="431">
        <v>1699516</v>
      </c>
      <c r="AF61" s="431">
        <v>16986</v>
      </c>
      <c r="AG61" s="431">
        <v>64746</v>
      </c>
      <c r="AH61" s="431">
        <v>511414</v>
      </c>
      <c r="AI61" s="431">
        <v>194637</v>
      </c>
      <c r="AJ61" s="431">
        <v>2270952</v>
      </c>
      <c r="AK61" s="431">
        <v>0</v>
      </c>
      <c r="AL61" s="431">
        <v>2077106</v>
      </c>
      <c r="AM61" s="431">
        <v>0</v>
      </c>
    </row>
    <row r="62" spans="1:39" s="155" customFormat="1" ht="12" x14ac:dyDescent="0.2">
      <c r="A62" s="168">
        <v>8</v>
      </c>
      <c r="B62" s="214">
        <v>132226</v>
      </c>
      <c r="C62" s="215" t="s">
        <v>1819</v>
      </c>
      <c r="D62" s="432">
        <f t="shared" si="10"/>
        <v>3596281</v>
      </c>
      <c r="E62" s="431">
        <v>1869263</v>
      </c>
      <c r="F62" s="431">
        <v>197828</v>
      </c>
      <c r="G62" s="431">
        <v>1075205</v>
      </c>
      <c r="H62" s="431"/>
      <c r="I62" s="431">
        <v>982825</v>
      </c>
      <c r="J62" s="431">
        <v>0</v>
      </c>
      <c r="K62" s="431">
        <v>575000</v>
      </c>
      <c r="L62" s="431"/>
      <c r="M62" s="431">
        <v>169193</v>
      </c>
      <c r="N62" s="431">
        <v>0</v>
      </c>
      <c r="O62" s="431">
        <v>0</v>
      </c>
      <c r="P62" s="438">
        <f t="shared" si="12"/>
        <v>2640314</v>
      </c>
      <c r="Q62" s="431">
        <v>1172678</v>
      </c>
      <c r="R62" s="431">
        <v>971615</v>
      </c>
      <c r="S62" s="431">
        <v>0</v>
      </c>
      <c r="T62" s="431">
        <v>0</v>
      </c>
      <c r="U62" s="431">
        <v>0</v>
      </c>
      <c r="V62" s="431">
        <v>0</v>
      </c>
      <c r="W62" s="431">
        <v>0</v>
      </c>
      <c r="X62" s="431">
        <v>156515</v>
      </c>
      <c r="Y62" s="431">
        <v>0</v>
      </c>
      <c r="Z62" s="431">
        <v>339506</v>
      </c>
      <c r="AA62" s="431">
        <v>0</v>
      </c>
      <c r="AB62" s="431">
        <v>0</v>
      </c>
      <c r="AC62" s="431">
        <v>486666</v>
      </c>
      <c r="AD62" s="431">
        <v>64750</v>
      </c>
      <c r="AE62" s="431">
        <v>947399</v>
      </c>
      <c r="AF62" s="431">
        <v>81680</v>
      </c>
      <c r="AG62" s="431">
        <v>74172</v>
      </c>
      <c r="AH62" s="431">
        <v>233098</v>
      </c>
      <c r="AI62" s="431">
        <v>436075</v>
      </c>
      <c r="AJ62" s="431">
        <v>0</v>
      </c>
      <c r="AK62" s="431">
        <v>0</v>
      </c>
      <c r="AL62" s="431">
        <v>316474</v>
      </c>
      <c r="AM62" s="431">
        <v>0</v>
      </c>
    </row>
    <row r="63" spans="1:39" s="155" customFormat="1" ht="12" x14ac:dyDescent="0.2">
      <c r="A63" s="168">
        <v>9</v>
      </c>
      <c r="B63" s="214">
        <v>132271</v>
      </c>
      <c r="C63" s="215" t="s">
        <v>1820</v>
      </c>
      <c r="D63" s="432">
        <f t="shared" si="10"/>
        <v>6064350</v>
      </c>
      <c r="E63" s="431">
        <v>1776822</v>
      </c>
      <c r="F63" s="431">
        <v>319102</v>
      </c>
      <c r="G63" s="431">
        <v>510772</v>
      </c>
      <c r="H63" s="431"/>
      <c r="I63" s="431">
        <v>2234170</v>
      </c>
      <c r="J63" s="431">
        <v>0</v>
      </c>
      <c r="K63" s="431">
        <v>996000</v>
      </c>
      <c r="L63" s="431"/>
      <c r="M63" s="431">
        <v>1057358</v>
      </c>
      <c r="N63" s="431">
        <v>0</v>
      </c>
      <c r="O63" s="431">
        <v>0</v>
      </c>
      <c r="P63" s="438">
        <f t="shared" si="12"/>
        <v>6062581</v>
      </c>
      <c r="Q63" s="431">
        <v>2565189</v>
      </c>
      <c r="R63" s="431">
        <v>1052412</v>
      </c>
      <c r="S63" s="431">
        <v>0</v>
      </c>
      <c r="T63" s="431">
        <v>0</v>
      </c>
      <c r="U63" s="431">
        <v>0</v>
      </c>
      <c r="V63" s="431">
        <v>3172</v>
      </c>
      <c r="W63" s="431">
        <v>0</v>
      </c>
      <c r="X63" s="431">
        <v>192972</v>
      </c>
      <c r="Y63" s="431">
        <v>54000</v>
      </c>
      <c r="Z63" s="431">
        <v>2198431</v>
      </c>
      <c r="AA63" s="431">
        <v>0</v>
      </c>
      <c r="AB63" s="431">
        <v>-3595</v>
      </c>
      <c r="AC63" s="431">
        <v>1255444</v>
      </c>
      <c r="AD63" s="431">
        <v>80424</v>
      </c>
      <c r="AE63" s="431">
        <v>2099310</v>
      </c>
      <c r="AF63" s="431">
        <v>38634</v>
      </c>
      <c r="AG63" s="431">
        <v>485762</v>
      </c>
      <c r="AH63" s="431">
        <v>423970</v>
      </c>
      <c r="AI63" s="431">
        <v>1191295</v>
      </c>
      <c r="AJ63" s="431">
        <v>0</v>
      </c>
      <c r="AK63" s="431">
        <v>0</v>
      </c>
      <c r="AL63" s="431">
        <v>459742</v>
      </c>
      <c r="AM63" s="431">
        <v>28000</v>
      </c>
    </row>
    <row r="64" spans="1:39" s="155" customFormat="1" ht="12" x14ac:dyDescent="0.2">
      <c r="A64" s="168">
        <v>10</v>
      </c>
      <c r="B64" s="214">
        <v>132315</v>
      </c>
      <c r="C64" s="215" t="s">
        <v>1821</v>
      </c>
      <c r="D64" s="432">
        <f t="shared" si="10"/>
        <v>12616377</v>
      </c>
      <c r="E64" s="431">
        <v>4812188</v>
      </c>
      <c r="F64" s="431">
        <v>1811544</v>
      </c>
      <c r="G64" s="431">
        <v>699578</v>
      </c>
      <c r="H64" s="431"/>
      <c r="I64" s="431">
        <v>1791683</v>
      </c>
      <c r="J64" s="431">
        <v>0</v>
      </c>
      <c r="K64" s="431">
        <v>530000</v>
      </c>
      <c r="L64" s="431"/>
      <c r="M64" s="431">
        <v>1708350</v>
      </c>
      <c r="N64" s="431">
        <v>3774156</v>
      </c>
      <c r="O64" s="431">
        <v>0</v>
      </c>
      <c r="P64" s="438">
        <f t="shared" si="12"/>
        <v>13175810</v>
      </c>
      <c r="Q64" s="431">
        <v>2203392</v>
      </c>
      <c r="R64" s="431">
        <v>1238413</v>
      </c>
      <c r="S64" s="431">
        <v>65600</v>
      </c>
      <c r="T64" s="431">
        <v>0</v>
      </c>
      <c r="U64" s="431">
        <v>25946</v>
      </c>
      <c r="V64" s="431">
        <v>138336</v>
      </c>
      <c r="W64" s="431">
        <v>7152793</v>
      </c>
      <c r="X64" s="431">
        <v>437203</v>
      </c>
      <c r="Y64" s="431">
        <v>274423</v>
      </c>
      <c r="Z64" s="431">
        <v>1087704</v>
      </c>
      <c r="AA64" s="431">
        <v>552000</v>
      </c>
      <c r="AB64" s="431">
        <v>0</v>
      </c>
      <c r="AC64" s="431">
        <v>8334363</v>
      </c>
      <c r="AD64" s="431">
        <v>140863</v>
      </c>
      <c r="AE64" s="431">
        <v>1579665</v>
      </c>
      <c r="AF64" s="431">
        <v>0</v>
      </c>
      <c r="AG64" s="431">
        <v>730515</v>
      </c>
      <c r="AH64" s="431">
        <v>444640</v>
      </c>
      <c r="AI64" s="431">
        <v>332635</v>
      </c>
      <c r="AJ64" s="431">
        <v>138336</v>
      </c>
      <c r="AK64" s="431">
        <v>0</v>
      </c>
      <c r="AL64" s="431">
        <v>1474793</v>
      </c>
      <c r="AM64" s="431">
        <v>0</v>
      </c>
    </row>
    <row r="65" spans="1:39" s="155" customFormat="1" ht="12" x14ac:dyDescent="0.2">
      <c r="A65" s="168">
        <v>11</v>
      </c>
      <c r="B65" s="214">
        <v>130552</v>
      </c>
      <c r="C65" s="215" t="s">
        <v>1822</v>
      </c>
      <c r="D65" s="432">
        <f t="shared" si="10"/>
        <v>11765338</v>
      </c>
      <c r="E65" s="431">
        <v>4863412</v>
      </c>
      <c r="F65" s="431">
        <v>1823171</v>
      </c>
      <c r="G65" s="431">
        <v>806900</v>
      </c>
      <c r="H65" s="431"/>
      <c r="I65" s="431">
        <v>5444000</v>
      </c>
      <c r="J65" s="431">
        <v>0</v>
      </c>
      <c r="K65" s="431">
        <v>1441000</v>
      </c>
      <c r="L65" s="431"/>
      <c r="M65" s="431">
        <v>16926</v>
      </c>
      <c r="N65" s="431">
        <v>0</v>
      </c>
      <c r="O65" s="431">
        <v>0</v>
      </c>
      <c r="P65" s="438">
        <f t="shared" si="12"/>
        <v>9695650</v>
      </c>
      <c r="Q65" s="431">
        <v>5894935</v>
      </c>
      <c r="R65" s="431">
        <v>2029698</v>
      </c>
      <c r="S65" s="431">
        <v>70000</v>
      </c>
      <c r="T65" s="431">
        <v>0</v>
      </c>
      <c r="U65" s="431">
        <v>0</v>
      </c>
      <c r="V65" s="431">
        <v>0</v>
      </c>
      <c r="W65" s="431">
        <v>0</v>
      </c>
      <c r="X65" s="431">
        <v>440273</v>
      </c>
      <c r="Y65" s="431">
        <v>76852</v>
      </c>
      <c r="Z65" s="431">
        <v>672690</v>
      </c>
      <c r="AA65" s="431">
        <v>523000</v>
      </c>
      <c r="AB65" s="431">
        <v>-11798</v>
      </c>
      <c r="AC65" s="431">
        <v>1283014</v>
      </c>
      <c r="AD65" s="431">
        <v>332657</v>
      </c>
      <c r="AE65" s="431">
        <v>5257203</v>
      </c>
      <c r="AF65" s="431">
        <v>15807</v>
      </c>
      <c r="AG65" s="431">
        <v>449993</v>
      </c>
      <c r="AH65" s="431">
        <v>999304</v>
      </c>
      <c r="AI65" s="431">
        <v>617441</v>
      </c>
      <c r="AJ65" s="431">
        <v>2500</v>
      </c>
      <c r="AK65" s="431">
        <v>0</v>
      </c>
      <c r="AL65" s="431">
        <v>737731</v>
      </c>
      <c r="AM65" s="431">
        <v>0</v>
      </c>
    </row>
    <row r="66" spans="1:39" s="155" customFormat="1" ht="12" x14ac:dyDescent="0.2">
      <c r="A66" s="168">
        <v>12</v>
      </c>
      <c r="B66" s="214">
        <v>136278</v>
      </c>
      <c r="C66" s="215" t="s">
        <v>1823</v>
      </c>
      <c r="D66" s="432">
        <f t="shared" si="10"/>
        <v>3102945</v>
      </c>
      <c r="E66" s="431">
        <v>1676368</v>
      </c>
      <c r="F66" s="431">
        <v>71034</v>
      </c>
      <c r="G66" s="431">
        <v>1269973</v>
      </c>
      <c r="H66" s="431"/>
      <c r="I66" s="431">
        <v>1040248</v>
      </c>
      <c r="J66" s="431">
        <v>0</v>
      </c>
      <c r="K66" s="431">
        <v>173000</v>
      </c>
      <c r="L66" s="431"/>
      <c r="M66" s="431">
        <v>203330</v>
      </c>
      <c r="N66" s="431">
        <v>0</v>
      </c>
      <c r="O66" s="431">
        <v>9999</v>
      </c>
      <c r="P66" s="438">
        <f t="shared" si="12"/>
        <v>2681532</v>
      </c>
      <c r="Q66" s="431">
        <v>1290412</v>
      </c>
      <c r="R66" s="431">
        <v>479166</v>
      </c>
      <c r="S66" s="431">
        <v>0</v>
      </c>
      <c r="T66" s="431">
        <v>0</v>
      </c>
      <c r="U66" s="431">
        <v>0</v>
      </c>
      <c r="V66" s="431">
        <v>0</v>
      </c>
      <c r="W66" s="431">
        <v>0</v>
      </c>
      <c r="X66" s="431">
        <v>148263</v>
      </c>
      <c r="Y66" s="431">
        <v>44397</v>
      </c>
      <c r="Z66" s="431">
        <v>730768</v>
      </c>
      <c r="AA66" s="431">
        <v>0</v>
      </c>
      <c r="AB66" s="431">
        <v>-11474</v>
      </c>
      <c r="AC66" s="431">
        <v>652218</v>
      </c>
      <c r="AD66" s="431">
        <v>72040</v>
      </c>
      <c r="AE66" s="431">
        <v>1030073</v>
      </c>
      <c r="AF66" s="431">
        <v>0</v>
      </c>
      <c r="AG66" s="431">
        <v>145400</v>
      </c>
      <c r="AH66" s="431">
        <v>314405</v>
      </c>
      <c r="AI66" s="431">
        <v>20928</v>
      </c>
      <c r="AJ66" s="431">
        <v>63836</v>
      </c>
      <c r="AK66" s="431">
        <v>0</v>
      </c>
      <c r="AL66" s="431">
        <v>382632</v>
      </c>
      <c r="AM66" s="431">
        <v>0</v>
      </c>
    </row>
    <row r="67" spans="1:39" s="155" customFormat="1" ht="12" x14ac:dyDescent="0.2">
      <c r="A67" s="168">
        <v>13</v>
      </c>
      <c r="B67" s="214">
        <v>132342</v>
      </c>
      <c r="C67" s="215" t="s">
        <v>1824</v>
      </c>
      <c r="D67" s="432">
        <f t="shared" si="10"/>
        <v>4459568</v>
      </c>
      <c r="E67" s="431">
        <v>1898548</v>
      </c>
      <c r="F67" s="431">
        <v>169048</v>
      </c>
      <c r="G67" s="431">
        <v>1274941</v>
      </c>
      <c r="H67" s="431"/>
      <c r="I67" s="431">
        <v>1565768</v>
      </c>
      <c r="J67" s="431">
        <v>350000</v>
      </c>
      <c r="K67" s="431">
        <v>133000</v>
      </c>
      <c r="L67" s="431"/>
      <c r="M67" s="431">
        <v>509102</v>
      </c>
      <c r="N67" s="431">
        <v>0</v>
      </c>
      <c r="O67" s="431">
        <v>3150</v>
      </c>
      <c r="P67" s="438">
        <f t="shared" si="12"/>
        <v>4321255</v>
      </c>
      <c r="Q67" s="431">
        <v>2038383</v>
      </c>
      <c r="R67" s="431">
        <v>551811</v>
      </c>
      <c r="S67" s="431">
        <v>0</v>
      </c>
      <c r="T67" s="431">
        <v>0</v>
      </c>
      <c r="U67" s="431">
        <v>0</v>
      </c>
      <c r="V67" s="431">
        <v>0</v>
      </c>
      <c r="W67" s="431">
        <v>0</v>
      </c>
      <c r="X67" s="431">
        <v>299656</v>
      </c>
      <c r="Y67" s="431">
        <v>9796</v>
      </c>
      <c r="Z67" s="431">
        <v>1428678</v>
      </c>
      <c r="AA67" s="431">
        <v>0</v>
      </c>
      <c r="AB67" s="431">
        <v>-7069</v>
      </c>
      <c r="AC67" s="431">
        <v>809272</v>
      </c>
      <c r="AD67" s="431">
        <v>80603</v>
      </c>
      <c r="AE67" s="431">
        <v>1240987</v>
      </c>
      <c r="AF67" s="431">
        <v>0</v>
      </c>
      <c r="AG67" s="431">
        <v>171280</v>
      </c>
      <c r="AH67" s="431">
        <v>512399</v>
      </c>
      <c r="AI67" s="431">
        <v>44123</v>
      </c>
      <c r="AJ67" s="431">
        <v>0</v>
      </c>
      <c r="AK67" s="431">
        <v>0</v>
      </c>
      <c r="AL67" s="431">
        <v>1444790</v>
      </c>
      <c r="AM67" s="431">
        <v>17801</v>
      </c>
    </row>
    <row r="68" spans="1:39" s="155" customFormat="1" ht="12" x14ac:dyDescent="0.2">
      <c r="A68" s="168">
        <v>14</v>
      </c>
      <c r="B68" s="214">
        <v>130614</v>
      </c>
      <c r="C68" s="215" t="s">
        <v>1825</v>
      </c>
      <c r="D68" s="432">
        <f t="shared" si="10"/>
        <v>6608060</v>
      </c>
      <c r="E68" s="431">
        <v>3135796</v>
      </c>
      <c r="F68" s="431">
        <v>1196760</v>
      </c>
      <c r="G68" s="431">
        <v>433262</v>
      </c>
      <c r="H68" s="431"/>
      <c r="I68" s="431">
        <v>2771193</v>
      </c>
      <c r="J68" s="431">
        <v>0</v>
      </c>
      <c r="K68" s="431">
        <v>690000</v>
      </c>
      <c r="L68" s="431"/>
      <c r="M68" s="431">
        <v>11071</v>
      </c>
      <c r="N68" s="431">
        <v>0</v>
      </c>
      <c r="O68" s="431">
        <v>0</v>
      </c>
      <c r="P68" s="438">
        <f t="shared" si="12"/>
        <v>5484970</v>
      </c>
      <c r="Q68" s="431">
        <v>2988265</v>
      </c>
      <c r="R68" s="431">
        <v>753099</v>
      </c>
      <c r="S68" s="431">
        <v>0</v>
      </c>
      <c r="T68" s="431">
        <v>0</v>
      </c>
      <c r="U68" s="431">
        <v>7543</v>
      </c>
      <c r="V68" s="431">
        <v>0</v>
      </c>
      <c r="W68" s="431">
        <v>0</v>
      </c>
      <c r="X68" s="431">
        <v>340006</v>
      </c>
      <c r="Y68" s="431">
        <v>681984</v>
      </c>
      <c r="Z68" s="431">
        <v>721910</v>
      </c>
      <c r="AA68" s="431">
        <v>0</v>
      </c>
      <c r="AB68" s="431">
        <v>-7837</v>
      </c>
      <c r="AC68" s="431">
        <v>773084</v>
      </c>
      <c r="AD68" s="431">
        <v>120306</v>
      </c>
      <c r="AE68" s="431">
        <v>2544313</v>
      </c>
      <c r="AF68" s="431">
        <v>0</v>
      </c>
      <c r="AG68" s="431">
        <v>681581</v>
      </c>
      <c r="AH68" s="431">
        <v>629334</v>
      </c>
      <c r="AI68" s="431">
        <v>217063</v>
      </c>
      <c r="AJ68" s="431">
        <v>68935</v>
      </c>
      <c r="AK68" s="431">
        <v>0</v>
      </c>
      <c r="AL68" s="431">
        <v>450354</v>
      </c>
      <c r="AM68" s="431">
        <v>0</v>
      </c>
    </row>
    <row r="69" spans="1:39" s="155" customFormat="1" ht="12" x14ac:dyDescent="0.2">
      <c r="A69" s="168">
        <v>15</v>
      </c>
      <c r="B69" s="214">
        <v>132379</v>
      </c>
      <c r="C69" s="215" t="s">
        <v>1826</v>
      </c>
      <c r="D69" s="432">
        <f t="shared" si="10"/>
        <v>2871243</v>
      </c>
      <c r="E69" s="431">
        <v>1685159</v>
      </c>
      <c r="F69" s="431">
        <v>88667</v>
      </c>
      <c r="G69" s="431">
        <v>1081167</v>
      </c>
      <c r="H69" s="431"/>
      <c r="I69" s="431">
        <v>888000</v>
      </c>
      <c r="J69" s="431">
        <v>0</v>
      </c>
      <c r="K69" s="431">
        <v>221000</v>
      </c>
      <c r="L69" s="431"/>
      <c r="M69" s="431">
        <v>12951</v>
      </c>
      <c r="N69" s="431">
        <v>0</v>
      </c>
      <c r="O69" s="431">
        <v>64133</v>
      </c>
      <c r="P69" s="438">
        <f t="shared" si="12"/>
        <v>2503021</v>
      </c>
      <c r="Q69" s="431">
        <v>1234296</v>
      </c>
      <c r="R69" s="431">
        <v>441852</v>
      </c>
      <c r="S69" s="431">
        <v>0</v>
      </c>
      <c r="T69" s="431">
        <v>0</v>
      </c>
      <c r="U69" s="431">
        <v>0</v>
      </c>
      <c r="V69" s="431">
        <v>0</v>
      </c>
      <c r="W69" s="431">
        <v>0</v>
      </c>
      <c r="X69" s="431">
        <v>191734</v>
      </c>
      <c r="Y69" s="431">
        <v>32265</v>
      </c>
      <c r="Z69" s="431">
        <v>602874</v>
      </c>
      <c r="AA69" s="431">
        <v>0</v>
      </c>
      <c r="AB69" s="431">
        <v>0</v>
      </c>
      <c r="AC69" s="431">
        <v>623124</v>
      </c>
      <c r="AD69" s="431">
        <v>80837</v>
      </c>
      <c r="AE69" s="431">
        <v>791166</v>
      </c>
      <c r="AF69" s="431">
        <v>0</v>
      </c>
      <c r="AG69" s="431">
        <v>18567</v>
      </c>
      <c r="AH69" s="431">
        <v>325689</v>
      </c>
      <c r="AI69" s="431">
        <v>420285</v>
      </c>
      <c r="AJ69" s="431">
        <v>0</v>
      </c>
      <c r="AK69" s="431">
        <v>0</v>
      </c>
      <c r="AL69" s="431">
        <v>167433</v>
      </c>
      <c r="AM69" s="431">
        <v>75920</v>
      </c>
    </row>
    <row r="70" spans="1:39" s="155" customFormat="1" ht="12" x14ac:dyDescent="0.2">
      <c r="A70" s="168">
        <v>16</v>
      </c>
      <c r="B70" s="214">
        <v>130678</v>
      </c>
      <c r="C70" s="215" t="s">
        <v>1827</v>
      </c>
      <c r="D70" s="432">
        <f t="shared" si="10"/>
        <v>21315242</v>
      </c>
      <c r="E70" s="431">
        <v>17144968</v>
      </c>
      <c r="F70" s="431">
        <v>6955580</v>
      </c>
      <c r="G70" s="431">
        <v>470030</v>
      </c>
      <c r="H70" s="431"/>
      <c r="I70" s="431">
        <v>3832049</v>
      </c>
      <c r="J70" s="431">
        <v>250000</v>
      </c>
      <c r="K70" s="431">
        <v>76000</v>
      </c>
      <c r="L70" s="431"/>
      <c r="M70" s="431">
        <v>6725</v>
      </c>
      <c r="N70" s="431">
        <v>0</v>
      </c>
      <c r="O70" s="431">
        <v>5500</v>
      </c>
      <c r="P70" s="438">
        <f t="shared" si="12"/>
        <v>16184086</v>
      </c>
      <c r="Q70" s="431">
        <v>4239720</v>
      </c>
      <c r="R70" s="431">
        <v>6374817</v>
      </c>
      <c r="S70" s="431">
        <v>14020</v>
      </c>
      <c r="T70" s="431">
        <v>0</v>
      </c>
      <c r="U70" s="431">
        <v>0</v>
      </c>
      <c r="V70" s="431">
        <v>0</v>
      </c>
      <c r="W70" s="431">
        <v>0</v>
      </c>
      <c r="X70" s="431">
        <v>341986</v>
      </c>
      <c r="Y70" s="431">
        <v>50660</v>
      </c>
      <c r="Z70" s="431">
        <v>4719272</v>
      </c>
      <c r="AA70" s="431">
        <v>454700</v>
      </c>
      <c r="AB70" s="431">
        <v>-11089</v>
      </c>
      <c r="AC70" s="431">
        <v>2208147</v>
      </c>
      <c r="AD70" s="431">
        <v>241874</v>
      </c>
      <c r="AE70" s="431">
        <v>3611732</v>
      </c>
      <c r="AF70" s="431">
        <v>0</v>
      </c>
      <c r="AG70" s="431">
        <v>2165859</v>
      </c>
      <c r="AH70" s="431">
        <v>910849</v>
      </c>
      <c r="AI70" s="431">
        <v>2114346</v>
      </c>
      <c r="AJ70" s="431">
        <v>187062</v>
      </c>
      <c r="AK70" s="431">
        <v>0</v>
      </c>
      <c r="AL70" s="431">
        <v>3726891</v>
      </c>
      <c r="AM70" s="431">
        <v>1017326</v>
      </c>
    </row>
    <row r="71" spans="1:39" s="155" customFormat="1" ht="12" x14ac:dyDescent="0.2">
      <c r="A71" s="168">
        <v>17</v>
      </c>
      <c r="B71" s="214">
        <v>132404</v>
      </c>
      <c r="C71" s="215" t="s">
        <v>582</v>
      </c>
      <c r="D71" s="432">
        <f t="shared" si="10"/>
        <v>8487872</v>
      </c>
      <c r="E71" s="431">
        <v>3567196</v>
      </c>
      <c r="F71" s="431">
        <v>1295569</v>
      </c>
      <c r="G71" s="431">
        <v>789013</v>
      </c>
      <c r="H71" s="431"/>
      <c r="I71" s="431">
        <v>2556000</v>
      </c>
      <c r="J71" s="431">
        <v>510000</v>
      </c>
      <c r="K71" s="431">
        <v>1129000</v>
      </c>
      <c r="L71" s="431"/>
      <c r="M71" s="431">
        <v>725676</v>
      </c>
      <c r="N71" s="431">
        <v>0</v>
      </c>
      <c r="O71" s="431">
        <v>0</v>
      </c>
      <c r="P71" s="438">
        <f t="shared" si="12"/>
        <v>7283279</v>
      </c>
      <c r="Q71" s="431">
        <v>3169568</v>
      </c>
      <c r="R71" s="431">
        <v>925677</v>
      </c>
      <c r="S71" s="431">
        <v>0</v>
      </c>
      <c r="T71" s="431">
        <v>0</v>
      </c>
      <c r="U71" s="431">
        <v>0</v>
      </c>
      <c r="V71" s="431">
        <v>0</v>
      </c>
      <c r="W71" s="431">
        <v>0</v>
      </c>
      <c r="X71" s="431">
        <v>363688</v>
      </c>
      <c r="Y71" s="431">
        <v>88428</v>
      </c>
      <c r="Z71" s="431">
        <v>2889120</v>
      </c>
      <c r="AA71" s="431">
        <v>0</v>
      </c>
      <c r="AB71" s="431">
        <v>-153202</v>
      </c>
      <c r="AC71" s="431">
        <v>1262532</v>
      </c>
      <c r="AD71" s="431">
        <v>87005</v>
      </c>
      <c r="AE71" s="431">
        <v>2101443</v>
      </c>
      <c r="AF71" s="431">
        <v>25083</v>
      </c>
      <c r="AG71" s="431">
        <v>354224</v>
      </c>
      <c r="AH71" s="431">
        <v>790806</v>
      </c>
      <c r="AI71" s="431">
        <v>883542</v>
      </c>
      <c r="AJ71" s="431">
        <v>3616</v>
      </c>
      <c r="AK71" s="431">
        <v>0</v>
      </c>
      <c r="AL71" s="431">
        <v>1775028</v>
      </c>
      <c r="AM71" s="431">
        <v>0</v>
      </c>
    </row>
    <row r="72" spans="1:39" s="155" customFormat="1" ht="12" x14ac:dyDescent="0.2">
      <c r="A72" s="168">
        <v>18</v>
      </c>
      <c r="B72" s="214">
        <v>130712</v>
      </c>
      <c r="C72" s="215" t="s">
        <v>1828</v>
      </c>
      <c r="D72" s="432">
        <f t="shared" si="10"/>
        <v>23894633</v>
      </c>
      <c r="E72" s="431">
        <v>20074268</v>
      </c>
      <c r="F72" s="431">
        <v>14105956</v>
      </c>
      <c r="G72" s="431">
        <v>459098</v>
      </c>
      <c r="H72" s="431"/>
      <c r="I72" s="431">
        <v>3742679</v>
      </c>
      <c r="J72" s="431">
        <v>0</v>
      </c>
      <c r="K72" s="431">
        <v>74000</v>
      </c>
      <c r="L72" s="431"/>
      <c r="M72" s="431">
        <v>3686</v>
      </c>
      <c r="N72" s="431">
        <v>0</v>
      </c>
      <c r="O72" s="431">
        <v>0</v>
      </c>
      <c r="P72" s="438">
        <f t="shared" si="12"/>
        <v>18317490</v>
      </c>
      <c r="Q72" s="431">
        <v>4401685</v>
      </c>
      <c r="R72" s="431">
        <v>9708086</v>
      </c>
      <c r="S72" s="431">
        <v>0</v>
      </c>
      <c r="T72" s="431">
        <v>0</v>
      </c>
      <c r="U72" s="431">
        <v>320211</v>
      </c>
      <c r="V72" s="431">
        <v>0</v>
      </c>
      <c r="W72" s="431">
        <v>0</v>
      </c>
      <c r="X72" s="431">
        <v>465083</v>
      </c>
      <c r="Y72" s="431">
        <v>910163</v>
      </c>
      <c r="Z72" s="431">
        <v>2513548</v>
      </c>
      <c r="AA72" s="431">
        <v>0</v>
      </c>
      <c r="AB72" s="431">
        <v>-1286</v>
      </c>
      <c r="AC72" s="431">
        <v>3429712</v>
      </c>
      <c r="AD72" s="431">
        <v>372047</v>
      </c>
      <c r="AE72" s="431">
        <v>5151004</v>
      </c>
      <c r="AF72" s="431">
        <v>196326</v>
      </c>
      <c r="AG72" s="431">
        <v>2934954</v>
      </c>
      <c r="AH72" s="431">
        <v>988821</v>
      </c>
      <c r="AI72" s="431">
        <v>1984781</v>
      </c>
      <c r="AJ72" s="431">
        <v>92666</v>
      </c>
      <c r="AK72" s="431">
        <v>0</v>
      </c>
      <c r="AL72" s="431">
        <v>3167179</v>
      </c>
      <c r="AM72" s="431">
        <v>0</v>
      </c>
    </row>
    <row r="73" spans="1:39" s="155" customFormat="1" ht="12" x14ac:dyDescent="0.2">
      <c r="A73" s="168">
        <v>19</v>
      </c>
      <c r="B73" s="214">
        <v>130785</v>
      </c>
      <c r="C73" s="215" t="s">
        <v>1829</v>
      </c>
      <c r="D73" s="432">
        <f t="shared" si="10"/>
        <v>14900851</v>
      </c>
      <c r="E73" s="431">
        <v>8313217</v>
      </c>
      <c r="F73" s="431">
        <v>3216641</v>
      </c>
      <c r="G73" s="431">
        <v>874473</v>
      </c>
      <c r="H73" s="431"/>
      <c r="I73" s="431">
        <v>4376063</v>
      </c>
      <c r="J73" s="431">
        <v>0</v>
      </c>
      <c r="K73" s="431">
        <v>1442000</v>
      </c>
      <c r="L73" s="431"/>
      <c r="M73" s="431">
        <v>184702</v>
      </c>
      <c r="N73" s="431">
        <v>578079</v>
      </c>
      <c r="O73" s="431">
        <v>6790</v>
      </c>
      <c r="P73" s="438">
        <f t="shared" si="12"/>
        <v>13127400</v>
      </c>
      <c r="Q73" s="431">
        <v>5189413</v>
      </c>
      <c r="R73" s="431">
        <v>1622948</v>
      </c>
      <c r="S73" s="431">
        <v>240000</v>
      </c>
      <c r="T73" s="431">
        <v>0</v>
      </c>
      <c r="U73" s="431">
        <v>0</v>
      </c>
      <c r="V73" s="431">
        <v>0</v>
      </c>
      <c r="W73" s="431">
        <v>1623682</v>
      </c>
      <c r="X73" s="431">
        <v>495392</v>
      </c>
      <c r="Y73" s="431">
        <v>131139</v>
      </c>
      <c r="Z73" s="431">
        <v>3164826</v>
      </c>
      <c r="AA73" s="431">
        <v>660000</v>
      </c>
      <c r="AB73" s="431">
        <v>0</v>
      </c>
      <c r="AC73" s="431">
        <v>1402863</v>
      </c>
      <c r="AD73" s="431">
        <v>233685</v>
      </c>
      <c r="AE73" s="431">
        <v>5023621</v>
      </c>
      <c r="AF73" s="431">
        <v>0</v>
      </c>
      <c r="AG73" s="431">
        <v>390276</v>
      </c>
      <c r="AH73" s="431">
        <v>789500</v>
      </c>
      <c r="AI73" s="431">
        <v>1556692</v>
      </c>
      <c r="AJ73" s="431">
        <v>525996</v>
      </c>
      <c r="AK73" s="431">
        <v>0</v>
      </c>
      <c r="AL73" s="431">
        <v>3204767</v>
      </c>
      <c r="AM73" s="431">
        <v>0</v>
      </c>
    </row>
    <row r="74" spans="1:39" s="155" customFormat="1" ht="12" x14ac:dyDescent="0.2">
      <c r="A74" s="168">
        <v>20</v>
      </c>
      <c r="B74" s="214">
        <v>132459</v>
      </c>
      <c r="C74" s="215" t="s">
        <v>1830</v>
      </c>
      <c r="D74" s="432">
        <f t="shared" si="10"/>
        <v>2609720</v>
      </c>
      <c r="E74" s="431">
        <v>1583723</v>
      </c>
      <c r="F74" s="431">
        <v>51497</v>
      </c>
      <c r="G74" s="431">
        <v>1253080</v>
      </c>
      <c r="H74" s="431"/>
      <c r="I74" s="431">
        <v>716759</v>
      </c>
      <c r="J74" s="431">
        <v>200000</v>
      </c>
      <c r="K74" s="431">
        <v>103000</v>
      </c>
      <c r="L74" s="431"/>
      <c r="M74" s="431">
        <v>6238</v>
      </c>
      <c r="N74" s="431">
        <v>0</v>
      </c>
      <c r="O74" s="431">
        <v>0</v>
      </c>
      <c r="P74" s="438">
        <f t="shared" si="12"/>
        <v>2328508</v>
      </c>
      <c r="Q74" s="431">
        <v>1058423</v>
      </c>
      <c r="R74" s="431">
        <v>321025</v>
      </c>
      <c r="S74" s="431">
        <v>0</v>
      </c>
      <c r="T74" s="431">
        <v>0</v>
      </c>
      <c r="U74" s="431">
        <v>0</v>
      </c>
      <c r="V74" s="431">
        <v>0</v>
      </c>
      <c r="W74" s="431">
        <v>0</v>
      </c>
      <c r="X74" s="431">
        <v>23172</v>
      </c>
      <c r="Y74" s="431">
        <v>16742</v>
      </c>
      <c r="Z74" s="431">
        <v>909146</v>
      </c>
      <c r="AA74" s="431">
        <v>0</v>
      </c>
      <c r="AB74" s="431">
        <v>0</v>
      </c>
      <c r="AC74" s="431">
        <v>654058</v>
      </c>
      <c r="AD74" s="431">
        <v>0</v>
      </c>
      <c r="AE74" s="431">
        <v>559865</v>
      </c>
      <c r="AF74" s="431">
        <v>0</v>
      </c>
      <c r="AG74" s="431">
        <v>20890</v>
      </c>
      <c r="AH74" s="431">
        <v>271349</v>
      </c>
      <c r="AI74" s="431">
        <v>142019</v>
      </c>
      <c r="AJ74" s="431">
        <v>0</v>
      </c>
      <c r="AK74" s="431">
        <v>0</v>
      </c>
      <c r="AL74" s="431">
        <v>680327</v>
      </c>
      <c r="AM74" s="431">
        <v>0</v>
      </c>
    </row>
    <row r="75" spans="1:39" s="155" customFormat="1" ht="12" x14ac:dyDescent="0.2">
      <c r="A75" s="168">
        <v>21</v>
      </c>
      <c r="B75" s="214">
        <v>132486</v>
      </c>
      <c r="C75" s="215" t="s">
        <v>1831</v>
      </c>
      <c r="D75" s="432">
        <f t="shared" si="10"/>
        <v>2704802</v>
      </c>
      <c r="E75" s="431">
        <v>1897831</v>
      </c>
      <c r="F75" s="431">
        <v>206710</v>
      </c>
      <c r="G75" s="431">
        <v>1024524</v>
      </c>
      <c r="H75" s="431"/>
      <c r="I75" s="431">
        <v>717291</v>
      </c>
      <c r="J75" s="431">
        <v>0</v>
      </c>
      <c r="K75" s="431">
        <v>60000</v>
      </c>
      <c r="L75" s="431"/>
      <c r="M75" s="431">
        <v>29680</v>
      </c>
      <c r="N75" s="431">
        <v>0</v>
      </c>
      <c r="O75" s="431">
        <v>0</v>
      </c>
      <c r="P75" s="438">
        <f t="shared" si="12"/>
        <v>2900859</v>
      </c>
      <c r="Q75" s="431">
        <v>927515</v>
      </c>
      <c r="R75" s="431">
        <v>718861</v>
      </c>
      <c r="S75" s="431">
        <v>0</v>
      </c>
      <c r="T75" s="431">
        <v>0</v>
      </c>
      <c r="U75" s="431">
        <v>0</v>
      </c>
      <c r="V75" s="431">
        <v>0</v>
      </c>
      <c r="W75" s="431">
        <v>0</v>
      </c>
      <c r="X75" s="431">
        <v>151199</v>
      </c>
      <c r="Y75" s="431">
        <v>15900</v>
      </c>
      <c r="Z75" s="431">
        <v>1209846</v>
      </c>
      <c r="AA75" s="431">
        <v>0</v>
      </c>
      <c r="AB75" s="431">
        <v>-122462</v>
      </c>
      <c r="AC75" s="431">
        <v>585385</v>
      </c>
      <c r="AD75" s="431">
        <v>49491</v>
      </c>
      <c r="AE75" s="431">
        <v>769170</v>
      </c>
      <c r="AF75" s="431">
        <v>0</v>
      </c>
      <c r="AG75" s="431">
        <v>18909</v>
      </c>
      <c r="AH75" s="431">
        <v>175467</v>
      </c>
      <c r="AI75" s="431">
        <v>84640</v>
      </c>
      <c r="AJ75" s="431">
        <v>15354</v>
      </c>
      <c r="AK75" s="431">
        <v>0</v>
      </c>
      <c r="AL75" s="431">
        <v>1202443</v>
      </c>
      <c r="AM75" s="431">
        <v>0</v>
      </c>
    </row>
    <row r="76" spans="1:39" s="155" customFormat="1" ht="12" x14ac:dyDescent="0.2">
      <c r="A76" s="168">
        <v>22</v>
      </c>
      <c r="B76" s="214">
        <v>132510</v>
      </c>
      <c r="C76" s="215" t="s">
        <v>1832</v>
      </c>
      <c r="D76" s="432">
        <f t="shared" si="10"/>
        <v>11619171</v>
      </c>
      <c r="E76" s="431">
        <v>3907325</v>
      </c>
      <c r="F76" s="431">
        <v>1317542</v>
      </c>
      <c r="G76" s="431">
        <v>329915</v>
      </c>
      <c r="H76" s="431"/>
      <c r="I76" s="431">
        <v>2963266</v>
      </c>
      <c r="J76" s="431">
        <v>0</v>
      </c>
      <c r="K76" s="431">
        <v>480000</v>
      </c>
      <c r="L76" s="431"/>
      <c r="M76" s="431">
        <v>151733</v>
      </c>
      <c r="N76" s="431">
        <v>386196</v>
      </c>
      <c r="O76" s="431">
        <v>3730651</v>
      </c>
      <c r="P76" s="438">
        <f t="shared" si="12"/>
        <v>9195788</v>
      </c>
      <c r="Q76" s="431">
        <v>3447613</v>
      </c>
      <c r="R76" s="431">
        <v>1159741</v>
      </c>
      <c r="S76" s="431">
        <v>0</v>
      </c>
      <c r="T76" s="431">
        <v>0</v>
      </c>
      <c r="U76" s="431">
        <v>0</v>
      </c>
      <c r="V76" s="431">
        <v>0</v>
      </c>
      <c r="W76" s="431">
        <v>495196</v>
      </c>
      <c r="X76" s="431">
        <v>202604</v>
      </c>
      <c r="Y76" s="431">
        <v>104853</v>
      </c>
      <c r="Z76" s="431">
        <v>3818989</v>
      </c>
      <c r="AA76" s="431">
        <v>0</v>
      </c>
      <c r="AB76" s="431">
        <v>-33208</v>
      </c>
      <c r="AC76" s="431">
        <v>1018540</v>
      </c>
      <c r="AD76" s="431">
        <v>146051</v>
      </c>
      <c r="AE76" s="431">
        <v>2648254</v>
      </c>
      <c r="AF76" s="431">
        <v>28442</v>
      </c>
      <c r="AG76" s="431">
        <v>239599</v>
      </c>
      <c r="AH76" s="431">
        <v>473100</v>
      </c>
      <c r="AI76" s="431">
        <v>897410</v>
      </c>
      <c r="AJ76" s="431">
        <v>3592396</v>
      </c>
      <c r="AK76" s="431">
        <v>0</v>
      </c>
      <c r="AL76" s="431">
        <v>151996</v>
      </c>
      <c r="AM76" s="431">
        <v>0</v>
      </c>
    </row>
    <row r="77" spans="1:39" s="155" customFormat="1" ht="12" x14ac:dyDescent="0.2">
      <c r="A77" s="168">
        <v>23</v>
      </c>
      <c r="B77" s="214">
        <v>132574</v>
      </c>
      <c r="C77" s="215" t="s">
        <v>1833</v>
      </c>
      <c r="D77" s="432">
        <f t="shared" si="10"/>
        <v>9632690</v>
      </c>
      <c r="E77" s="431">
        <v>1960576</v>
      </c>
      <c r="F77" s="431">
        <v>232486</v>
      </c>
      <c r="G77" s="431">
        <v>947014</v>
      </c>
      <c r="H77" s="431"/>
      <c r="I77" s="431">
        <v>2665137</v>
      </c>
      <c r="J77" s="431">
        <v>250000</v>
      </c>
      <c r="K77" s="431">
        <v>1001000</v>
      </c>
      <c r="L77" s="431"/>
      <c r="M77" s="431">
        <v>3247132</v>
      </c>
      <c r="N77" s="431">
        <v>508845</v>
      </c>
      <c r="O77" s="431">
        <v>0</v>
      </c>
      <c r="P77" s="438">
        <f t="shared" si="12"/>
        <v>9573464</v>
      </c>
      <c r="Q77" s="431">
        <v>3016376</v>
      </c>
      <c r="R77" s="431">
        <v>1080778</v>
      </c>
      <c r="S77" s="431">
        <v>0</v>
      </c>
      <c r="T77" s="431">
        <v>0</v>
      </c>
      <c r="U77" s="431">
        <v>0</v>
      </c>
      <c r="V77" s="431">
        <v>0</v>
      </c>
      <c r="W77" s="431">
        <v>542181</v>
      </c>
      <c r="X77" s="431">
        <v>336202</v>
      </c>
      <c r="Y77" s="431">
        <v>79946</v>
      </c>
      <c r="Z77" s="431">
        <v>4517981</v>
      </c>
      <c r="AA77" s="431">
        <v>0</v>
      </c>
      <c r="AB77" s="431">
        <v>0</v>
      </c>
      <c r="AC77" s="431">
        <v>770568</v>
      </c>
      <c r="AD77" s="431">
        <v>123344</v>
      </c>
      <c r="AE77" s="431">
        <v>2708783</v>
      </c>
      <c r="AF77" s="431">
        <v>174006</v>
      </c>
      <c r="AG77" s="431">
        <v>274022</v>
      </c>
      <c r="AH77" s="431">
        <v>922611</v>
      </c>
      <c r="AI77" s="431">
        <v>3710161</v>
      </c>
      <c r="AJ77" s="431">
        <v>0</v>
      </c>
      <c r="AK77" s="431">
        <v>0</v>
      </c>
      <c r="AL77" s="431">
        <v>792505</v>
      </c>
      <c r="AM77" s="431">
        <v>97464</v>
      </c>
    </row>
    <row r="78" spans="1:39" s="155" customFormat="1" ht="12" x14ac:dyDescent="0.2">
      <c r="A78" s="168">
        <v>24</v>
      </c>
      <c r="B78" s="214">
        <v>132645</v>
      </c>
      <c r="C78" s="215" t="s">
        <v>1834</v>
      </c>
      <c r="D78" s="432">
        <f t="shared" si="10"/>
        <v>3142775</v>
      </c>
      <c r="E78" s="431">
        <v>1672460</v>
      </c>
      <c r="F78" s="431">
        <v>118505</v>
      </c>
      <c r="G78" s="431">
        <v>1172589</v>
      </c>
      <c r="H78" s="431"/>
      <c r="I78" s="431">
        <v>1132965</v>
      </c>
      <c r="J78" s="431">
        <v>200000</v>
      </c>
      <c r="K78" s="431">
        <v>92000</v>
      </c>
      <c r="L78" s="431"/>
      <c r="M78" s="431">
        <v>33550</v>
      </c>
      <c r="N78" s="431">
        <v>0</v>
      </c>
      <c r="O78" s="431">
        <v>11800</v>
      </c>
      <c r="P78" s="438">
        <f t="shared" si="12"/>
        <v>3170016</v>
      </c>
      <c r="Q78" s="431">
        <v>1353201</v>
      </c>
      <c r="R78" s="431">
        <v>458872</v>
      </c>
      <c r="S78" s="431">
        <v>0</v>
      </c>
      <c r="T78" s="431">
        <v>0</v>
      </c>
      <c r="U78" s="431">
        <v>0</v>
      </c>
      <c r="V78" s="431">
        <v>0</v>
      </c>
      <c r="W78" s="431">
        <v>0</v>
      </c>
      <c r="X78" s="431">
        <v>133663</v>
      </c>
      <c r="Y78" s="431">
        <v>0</v>
      </c>
      <c r="Z78" s="431">
        <v>1233595</v>
      </c>
      <c r="AA78" s="431">
        <v>0</v>
      </c>
      <c r="AB78" s="431">
        <v>-9315</v>
      </c>
      <c r="AC78" s="431">
        <v>655237</v>
      </c>
      <c r="AD78" s="431">
        <v>67477</v>
      </c>
      <c r="AE78" s="431">
        <v>1040158</v>
      </c>
      <c r="AF78" s="431">
        <v>0</v>
      </c>
      <c r="AG78" s="431">
        <v>39029</v>
      </c>
      <c r="AH78" s="431">
        <v>199722</v>
      </c>
      <c r="AI78" s="431">
        <v>45219</v>
      </c>
      <c r="AJ78" s="431">
        <v>0</v>
      </c>
      <c r="AK78" s="431">
        <v>0</v>
      </c>
      <c r="AL78" s="431">
        <v>1123174</v>
      </c>
      <c r="AM78" s="431">
        <v>0</v>
      </c>
    </row>
    <row r="79" spans="1:39" s="155" customFormat="1" ht="12" x14ac:dyDescent="0.2">
      <c r="A79" s="168">
        <v>25</v>
      </c>
      <c r="B79" s="214">
        <v>132681</v>
      </c>
      <c r="C79" s="215" t="s">
        <v>1835</v>
      </c>
      <c r="D79" s="432">
        <f t="shared" si="10"/>
        <v>8853470</v>
      </c>
      <c r="E79" s="431">
        <v>3212494</v>
      </c>
      <c r="F79" s="431">
        <v>927929</v>
      </c>
      <c r="G79" s="431">
        <v>772120</v>
      </c>
      <c r="H79" s="431"/>
      <c r="I79" s="431">
        <v>3948446</v>
      </c>
      <c r="J79" s="431">
        <v>0</v>
      </c>
      <c r="K79" s="431">
        <v>1619000</v>
      </c>
      <c r="L79" s="431"/>
      <c r="M79" s="431">
        <v>73530</v>
      </c>
      <c r="N79" s="431">
        <v>0</v>
      </c>
      <c r="O79" s="431">
        <v>0</v>
      </c>
      <c r="P79" s="438">
        <f t="shared" si="12"/>
        <v>7572375</v>
      </c>
      <c r="Q79" s="431">
        <v>4148510</v>
      </c>
      <c r="R79" s="431">
        <v>1316707</v>
      </c>
      <c r="S79" s="431">
        <v>11960</v>
      </c>
      <c r="T79" s="431">
        <v>0</v>
      </c>
      <c r="U79" s="431">
        <v>0</v>
      </c>
      <c r="V79" s="431">
        <v>0</v>
      </c>
      <c r="W79" s="431">
        <v>0</v>
      </c>
      <c r="X79" s="431">
        <v>397524</v>
      </c>
      <c r="Y79" s="431">
        <v>96000</v>
      </c>
      <c r="Z79" s="431">
        <v>1403574</v>
      </c>
      <c r="AA79" s="431">
        <v>198100</v>
      </c>
      <c r="AB79" s="431">
        <v>0</v>
      </c>
      <c r="AC79" s="431">
        <v>1147723</v>
      </c>
      <c r="AD79" s="431">
        <v>427674</v>
      </c>
      <c r="AE79" s="431">
        <v>3660536</v>
      </c>
      <c r="AF79" s="431">
        <v>0</v>
      </c>
      <c r="AG79" s="431">
        <v>96829</v>
      </c>
      <c r="AH79" s="431">
        <v>606924</v>
      </c>
      <c r="AI79" s="431">
        <v>374181</v>
      </c>
      <c r="AJ79" s="431">
        <v>0</v>
      </c>
      <c r="AK79" s="431">
        <v>0</v>
      </c>
      <c r="AL79" s="431">
        <v>1219837</v>
      </c>
      <c r="AM79" s="431">
        <v>38671</v>
      </c>
    </row>
    <row r="80" spans="1:39" s="155" customFormat="1" ht="12" x14ac:dyDescent="0.2">
      <c r="A80" s="168">
        <v>26</v>
      </c>
      <c r="B80" s="214">
        <v>136241</v>
      </c>
      <c r="C80" s="215" t="s">
        <v>1836</v>
      </c>
      <c r="D80" s="432">
        <f t="shared" si="10"/>
        <v>3931190</v>
      </c>
      <c r="E80" s="431">
        <v>2073681</v>
      </c>
      <c r="F80" s="431">
        <v>245382</v>
      </c>
      <c r="G80" s="431">
        <v>936083</v>
      </c>
      <c r="H80" s="431"/>
      <c r="I80" s="431">
        <v>1168284</v>
      </c>
      <c r="J80" s="431">
        <v>0</v>
      </c>
      <c r="K80" s="431">
        <v>409000</v>
      </c>
      <c r="L80" s="431"/>
      <c r="M80" s="431">
        <v>71181</v>
      </c>
      <c r="N80" s="431">
        <v>209044</v>
      </c>
      <c r="O80" s="431">
        <v>0</v>
      </c>
      <c r="P80" s="438">
        <f t="shared" si="12"/>
        <v>3579270</v>
      </c>
      <c r="Q80" s="431">
        <v>1648717</v>
      </c>
      <c r="R80" s="431">
        <v>492757</v>
      </c>
      <c r="S80" s="431">
        <v>9000</v>
      </c>
      <c r="T80" s="431">
        <v>0</v>
      </c>
      <c r="U80" s="431">
        <v>35985</v>
      </c>
      <c r="V80" s="431">
        <v>0</v>
      </c>
      <c r="W80" s="431">
        <v>149542</v>
      </c>
      <c r="X80" s="431">
        <v>107026</v>
      </c>
      <c r="Y80" s="431">
        <v>23150</v>
      </c>
      <c r="Z80" s="431">
        <v>920232</v>
      </c>
      <c r="AA80" s="431">
        <v>249810</v>
      </c>
      <c r="AB80" s="431">
        <v>-56949</v>
      </c>
      <c r="AC80" s="431">
        <v>1324124</v>
      </c>
      <c r="AD80" s="431">
        <v>190214</v>
      </c>
      <c r="AE80" s="431">
        <v>1106712</v>
      </c>
      <c r="AF80" s="431">
        <v>0</v>
      </c>
      <c r="AG80" s="431">
        <v>44222</v>
      </c>
      <c r="AH80" s="431">
        <v>291715</v>
      </c>
      <c r="AI80" s="431">
        <v>341126</v>
      </c>
      <c r="AJ80" s="431">
        <v>17140</v>
      </c>
      <c r="AK80" s="431">
        <v>0</v>
      </c>
      <c r="AL80" s="431">
        <v>264017</v>
      </c>
      <c r="AM80" s="431">
        <v>0</v>
      </c>
    </row>
    <row r="81" spans="1:39" s="155" customFormat="1" ht="12" x14ac:dyDescent="0.2">
      <c r="A81" s="168">
        <v>27</v>
      </c>
      <c r="B81" s="214">
        <v>132716</v>
      </c>
      <c r="C81" s="215" t="s">
        <v>1837</v>
      </c>
      <c r="D81" s="432">
        <f t="shared" si="10"/>
        <v>4832850</v>
      </c>
      <c r="E81" s="431">
        <v>1876809</v>
      </c>
      <c r="F81" s="431">
        <v>297877</v>
      </c>
      <c r="G81" s="431">
        <v>897328</v>
      </c>
      <c r="H81" s="431"/>
      <c r="I81" s="431">
        <v>1336160</v>
      </c>
      <c r="J81" s="431">
        <v>400000</v>
      </c>
      <c r="K81" s="431">
        <v>423000</v>
      </c>
      <c r="L81" s="431"/>
      <c r="M81" s="431">
        <v>198477</v>
      </c>
      <c r="N81" s="431">
        <v>595904</v>
      </c>
      <c r="O81" s="431">
        <v>2500</v>
      </c>
      <c r="P81" s="438">
        <f t="shared" si="12"/>
        <v>3919508</v>
      </c>
      <c r="Q81" s="431">
        <v>1600671</v>
      </c>
      <c r="R81" s="431">
        <v>551101</v>
      </c>
      <c r="S81" s="431">
        <v>0</v>
      </c>
      <c r="T81" s="431">
        <v>0</v>
      </c>
      <c r="U81" s="431">
        <v>9396</v>
      </c>
      <c r="V81" s="431">
        <v>0</v>
      </c>
      <c r="W81" s="431">
        <v>546532</v>
      </c>
      <c r="X81" s="431">
        <v>289586</v>
      </c>
      <c r="Y81" s="431">
        <v>123976</v>
      </c>
      <c r="Z81" s="431">
        <v>798246</v>
      </c>
      <c r="AA81" s="431">
        <v>0</v>
      </c>
      <c r="AB81" s="431">
        <v>0</v>
      </c>
      <c r="AC81" s="431">
        <v>625623</v>
      </c>
      <c r="AD81" s="431">
        <v>106337</v>
      </c>
      <c r="AE81" s="431">
        <v>1001452</v>
      </c>
      <c r="AF81" s="431">
        <v>0</v>
      </c>
      <c r="AG81" s="431">
        <v>1147206</v>
      </c>
      <c r="AH81" s="431">
        <v>536931</v>
      </c>
      <c r="AI81" s="431">
        <v>103723</v>
      </c>
      <c r="AJ81" s="431">
        <v>239165</v>
      </c>
      <c r="AK81" s="431">
        <v>0</v>
      </c>
      <c r="AL81" s="431">
        <v>159071</v>
      </c>
      <c r="AM81" s="431">
        <v>0</v>
      </c>
    </row>
    <row r="82" spans="1:39" s="155" customFormat="1" ht="12" x14ac:dyDescent="0.2">
      <c r="A82" s="168">
        <v>28</v>
      </c>
      <c r="B82" s="214">
        <v>132752</v>
      </c>
      <c r="C82" s="215" t="s">
        <v>1838</v>
      </c>
      <c r="D82" s="432">
        <f t="shared" si="10"/>
        <v>8217241</v>
      </c>
      <c r="E82" s="431">
        <v>1822549</v>
      </c>
      <c r="F82" s="431">
        <v>239310</v>
      </c>
      <c r="G82" s="431">
        <v>645918</v>
      </c>
      <c r="H82" s="431"/>
      <c r="I82" s="431">
        <v>2942376</v>
      </c>
      <c r="J82" s="431">
        <v>400000</v>
      </c>
      <c r="K82" s="431">
        <v>832000</v>
      </c>
      <c r="L82" s="431"/>
      <c r="M82" s="431">
        <v>5855</v>
      </c>
      <c r="N82" s="431">
        <v>0</v>
      </c>
      <c r="O82" s="431">
        <v>2214461</v>
      </c>
      <c r="P82" s="438">
        <f t="shared" si="12"/>
        <v>7962655</v>
      </c>
      <c r="Q82" s="431">
        <v>2947632</v>
      </c>
      <c r="R82" s="431">
        <v>746982</v>
      </c>
      <c r="S82" s="431">
        <v>0</v>
      </c>
      <c r="T82" s="431">
        <v>0</v>
      </c>
      <c r="U82" s="431">
        <v>0</v>
      </c>
      <c r="V82" s="431">
        <v>0</v>
      </c>
      <c r="W82" s="431">
        <v>0</v>
      </c>
      <c r="X82" s="431">
        <v>505780</v>
      </c>
      <c r="Y82" s="431">
        <v>23922</v>
      </c>
      <c r="Z82" s="431">
        <v>3749964</v>
      </c>
      <c r="AA82" s="431">
        <v>0</v>
      </c>
      <c r="AB82" s="431">
        <v>-11625</v>
      </c>
      <c r="AC82" s="431">
        <v>898251</v>
      </c>
      <c r="AD82" s="431">
        <v>116300</v>
      </c>
      <c r="AE82" s="431">
        <v>2116875</v>
      </c>
      <c r="AF82" s="431">
        <v>0</v>
      </c>
      <c r="AG82" s="431">
        <v>56904</v>
      </c>
      <c r="AH82" s="431">
        <v>1053908</v>
      </c>
      <c r="AI82" s="431">
        <v>3530723</v>
      </c>
      <c r="AJ82" s="431">
        <v>0</v>
      </c>
      <c r="AK82" s="431">
        <v>0</v>
      </c>
      <c r="AL82" s="431">
        <v>189694</v>
      </c>
      <c r="AM82" s="431">
        <v>0</v>
      </c>
    </row>
    <row r="83" spans="1:39" s="155" customFormat="1" ht="12" x14ac:dyDescent="0.2">
      <c r="A83" s="168">
        <v>29</v>
      </c>
      <c r="B83" s="214">
        <v>132805</v>
      </c>
      <c r="C83" s="215" t="s">
        <v>1839</v>
      </c>
      <c r="D83" s="432">
        <f t="shared" si="10"/>
        <v>7711809</v>
      </c>
      <c r="E83" s="431">
        <v>4771114</v>
      </c>
      <c r="F83" s="431">
        <v>1541804</v>
      </c>
      <c r="G83" s="431">
        <v>782057</v>
      </c>
      <c r="H83" s="431"/>
      <c r="I83" s="431">
        <v>1537932</v>
      </c>
      <c r="J83" s="431">
        <v>230000</v>
      </c>
      <c r="K83" s="431">
        <v>523000</v>
      </c>
      <c r="L83" s="431"/>
      <c r="M83" s="431">
        <v>465907</v>
      </c>
      <c r="N83" s="431">
        <v>90301</v>
      </c>
      <c r="O83" s="431">
        <v>93555</v>
      </c>
      <c r="P83" s="438">
        <f t="shared" si="12"/>
        <v>7541895</v>
      </c>
      <c r="Q83" s="431">
        <v>2083463</v>
      </c>
      <c r="R83" s="431">
        <v>1228658</v>
      </c>
      <c r="S83" s="431">
        <v>0</v>
      </c>
      <c r="T83" s="431">
        <v>0</v>
      </c>
      <c r="U83" s="431">
        <v>0</v>
      </c>
      <c r="V83" s="431">
        <v>773378</v>
      </c>
      <c r="W83" s="431">
        <v>440355</v>
      </c>
      <c r="X83" s="431">
        <v>359374</v>
      </c>
      <c r="Y83" s="431">
        <v>252650</v>
      </c>
      <c r="Z83" s="431">
        <v>2407800</v>
      </c>
      <c r="AA83" s="431">
        <v>0</v>
      </c>
      <c r="AB83" s="431">
        <v>-3783</v>
      </c>
      <c r="AC83" s="431">
        <v>985698</v>
      </c>
      <c r="AD83" s="431">
        <v>112700</v>
      </c>
      <c r="AE83" s="431">
        <v>1249070</v>
      </c>
      <c r="AF83" s="431">
        <v>0</v>
      </c>
      <c r="AG83" s="431">
        <v>774683</v>
      </c>
      <c r="AH83" s="431">
        <v>616468</v>
      </c>
      <c r="AI83" s="431">
        <v>1319418</v>
      </c>
      <c r="AJ83" s="431">
        <v>402805</v>
      </c>
      <c r="AK83" s="431">
        <v>0</v>
      </c>
      <c r="AL83" s="431">
        <v>2030300</v>
      </c>
      <c r="AM83" s="431">
        <v>50753</v>
      </c>
    </row>
    <row r="84" spans="1:39" s="155" customFormat="1" ht="12" x14ac:dyDescent="0.2">
      <c r="A84" s="168">
        <v>30</v>
      </c>
      <c r="B84" s="214">
        <v>132841</v>
      </c>
      <c r="C84" s="215" t="s">
        <v>1840</v>
      </c>
      <c r="D84" s="432">
        <f t="shared" si="10"/>
        <v>2244269</v>
      </c>
      <c r="E84" s="431">
        <v>1615684</v>
      </c>
      <c r="F84" s="431">
        <v>48310</v>
      </c>
      <c r="G84" s="431">
        <v>1300778</v>
      </c>
      <c r="H84" s="431"/>
      <c r="I84" s="431">
        <v>362455</v>
      </c>
      <c r="J84" s="431">
        <v>200000</v>
      </c>
      <c r="K84" s="431">
        <v>33000</v>
      </c>
      <c r="L84" s="431"/>
      <c r="M84" s="431">
        <v>33130</v>
      </c>
      <c r="N84" s="431">
        <v>0</v>
      </c>
      <c r="O84" s="431">
        <v>0</v>
      </c>
      <c r="P84" s="438">
        <f t="shared" si="12"/>
        <v>2027249</v>
      </c>
      <c r="Q84" s="431">
        <v>618603</v>
      </c>
      <c r="R84" s="431">
        <v>824143</v>
      </c>
      <c r="S84" s="431">
        <v>0</v>
      </c>
      <c r="T84" s="431">
        <v>0</v>
      </c>
      <c r="U84" s="431">
        <v>0</v>
      </c>
      <c r="V84" s="431">
        <v>0</v>
      </c>
      <c r="W84" s="431">
        <v>0</v>
      </c>
      <c r="X84" s="431">
        <v>111440</v>
      </c>
      <c r="Y84" s="431">
        <v>2409</v>
      </c>
      <c r="Z84" s="431">
        <v>470654</v>
      </c>
      <c r="AA84" s="431">
        <v>0</v>
      </c>
      <c r="AB84" s="431">
        <v>0</v>
      </c>
      <c r="AC84" s="431">
        <v>842339</v>
      </c>
      <c r="AD84" s="431">
        <v>50342</v>
      </c>
      <c r="AE84" s="431">
        <v>422835</v>
      </c>
      <c r="AF84" s="431">
        <v>0</v>
      </c>
      <c r="AG84" s="431">
        <v>51917</v>
      </c>
      <c r="AH84" s="431">
        <v>126068</v>
      </c>
      <c r="AI84" s="431">
        <v>52222</v>
      </c>
      <c r="AJ84" s="431">
        <v>0</v>
      </c>
      <c r="AK84" s="431">
        <v>0</v>
      </c>
      <c r="AL84" s="431">
        <v>481526</v>
      </c>
      <c r="AM84" s="431">
        <v>0</v>
      </c>
    </row>
    <row r="85" spans="1:39" s="155" customFormat="1" ht="12" x14ac:dyDescent="0.2">
      <c r="A85" s="168">
        <v>31</v>
      </c>
      <c r="B85" s="214">
        <v>132896</v>
      </c>
      <c r="C85" s="215" t="s">
        <v>1841</v>
      </c>
      <c r="D85" s="432">
        <f t="shared" si="10"/>
        <v>6582534</v>
      </c>
      <c r="E85" s="431">
        <v>2636326</v>
      </c>
      <c r="F85" s="431">
        <v>787115</v>
      </c>
      <c r="G85" s="431">
        <v>682685</v>
      </c>
      <c r="H85" s="431"/>
      <c r="I85" s="431">
        <v>2491190</v>
      </c>
      <c r="J85" s="431">
        <v>400000</v>
      </c>
      <c r="K85" s="431">
        <v>950000</v>
      </c>
      <c r="L85" s="431"/>
      <c r="M85" s="431">
        <v>101318</v>
      </c>
      <c r="N85" s="431">
        <v>0</v>
      </c>
      <c r="O85" s="431">
        <v>3700</v>
      </c>
      <c r="P85" s="438">
        <f t="shared" si="12"/>
        <v>7070809</v>
      </c>
      <c r="Q85" s="431">
        <v>2772037</v>
      </c>
      <c r="R85" s="431">
        <v>1102919</v>
      </c>
      <c r="S85" s="431">
        <v>0</v>
      </c>
      <c r="T85" s="431">
        <v>0</v>
      </c>
      <c r="U85" s="431">
        <v>50000</v>
      </c>
      <c r="V85" s="431">
        <v>70000</v>
      </c>
      <c r="W85" s="431">
        <v>0</v>
      </c>
      <c r="X85" s="431">
        <v>327188</v>
      </c>
      <c r="Y85" s="431">
        <v>113330</v>
      </c>
      <c r="Z85" s="431">
        <v>2641349</v>
      </c>
      <c r="AA85" s="431">
        <v>0</v>
      </c>
      <c r="AB85" s="431">
        <v>-6014</v>
      </c>
      <c r="AC85" s="431">
        <v>1061196</v>
      </c>
      <c r="AD85" s="431">
        <v>52573</v>
      </c>
      <c r="AE85" s="431">
        <v>2246421</v>
      </c>
      <c r="AF85" s="431">
        <v>247761</v>
      </c>
      <c r="AG85" s="431">
        <v>435728</v>
      </c>
      <c r="AH85" s="431">
        <v>759029</v>
      </c>
      <c r="AI85" s="431">
        <v>682714</v>
      </c>
      <c r="AJ85" s="431">
        <v>4409</v>
      </c>
      <c r="AK85" s="431">
        <v>0</v>
      </c>
      <c r="AL85" s="431">
        <v>1580978</v>
      </c>
      <c r="AM85" s="431">
        <v>0</v>
      </c>
    </row>
    <row r="86" spans="1:39" s="155" customFormat="1" ht="12" x14ac:dyDescent="0.2">
      <c r="A86" s="168">
        <v>32</v>
      </c>
      <c r="B86" s="214">
        <v>133018</v>
      </c>
      <c r="C86" s="215" t="s">
        <v>1682</v>
      </c>
      <c r="D86" s="432">
        <f t="shared" si="10"/>
        <v>6051545</v>
      </c>
      <c r="E86" s="431">
        <v>2485320</v>
      </c>
      <c r="F86" s="431">
        <v>693918</v>
      </c>
      <c r="G86" s="431">
        <v>722434</v>
      </c>
      <c r="H86" s="431"/>
      <c r="I86" s="431">
        <v>1906000</v>
      </c>
      <c r="J86" s="431">
        <v>0</v>
      </c>
      <c r="K86" s="431">
        <v>1111620</v>
      </c>
      <c r="L86" s="431"/>
      <c r="M86" s="431">
        <v>65963</v>
      </c>
      <c r="N86" s="431">
        <v>161240</v>
      </c>
      <c r="O86" s="431">
        <v>321402</v>
      </c>
      <c r="P86" s="438">
        <f t="shared" si="12"/>
        <v>6055151</v>
      </c>
      <c r="Q86" s="431">
        <v>2261246</v>
      </c>
      <c r="R86" s="431">
        <v>1733276</v>
      </c>
      <c r="S86" s="431">
        <v>114500</v>
      </c>
      <c r="T86" s="431">
        <v>0</v>
      </c>
      <c r="U86" s="431">
        <v>0</v>
      </c>
      <c r="V86" s="431">
        <v>0</v>
      </c>
      <c r="W86" s="431">
        <v>388204</v>
      </c>
      <c r="X86" s="431">
        <v>268262</v>
      </c>
      <c r="Y86" s="431">
        <v>687</v>
      </c>
      <c r="Z86" s="431">
        <v>796509</v>
      </c>
      <c r="AA86" s="431">
        <v>510300</v>
      </c>
      <c r="AB86" s="431">
        <v>-17833</v>
      </c>
      <c r="AC86" s="431">
        <v>1444688</v>
      </c>
      <c r="AD86" s="431">
        <v>258612</v>
      </c>
      <c r="AE86" s="431">
        <v>1661531</v>
      </c>
      <c r="AF86" s="431">
        <v>0</v>
      </c>
      <c r="AG86" s="431">
        <v>167823</v>
      </c>
      <c r="AH86" s="431">
        <v>489939</v>
      </c>
      <c r="AI86" s="431">
        <v>310886</v>
      </c>
      <c r="AJ86" s="431">
        <v>46836</v>
      </c>
      <c r="AK86" s="431">
        <v>0</v>
      </c>
      <c r="AL86" s="431">
        <v>1114443</v>
      </c>
      <c r="AM86" s="431">
        <v>560393</v>
      </c>
    </row>
    <row r="87" spans="1:39" s="155" customFormat="1" ht="12" x14ac:dyDescent="0.2">
      <c r="A87" s="168">
        <v>33</v>
      </c>
      <c r="B87" s="214">
        <v>133090</v>
      </c>
      <c r="C87" s="215" t="s">
        <v>521</v>
      </c>
      <c r="D87" s="432">
        <f t="shared" si="10"/>
        <v>4591062</v>
      </c>
      <c r="E87" s="431">
        <v>1990818</v>
      </c>
      <c r="F87" s="431">
        <v>209292</v>
      </c>
      <c r="G87" s="431">
        <v>596232</v>
      </c>
      <c r="H87" s="431"/>
      <c r="I87" s="431">
        <v>1835336</v>
      </c>
      <c r="J87" s="431">
        <v>0</v>
      </c>
      <c r="K87" s="431">
        <v>759000</v>
      </c>
      <c r="L87" s="431"/>
      <c r="M87" s="431">
        <v>5908</v>
      </c>
      <c r="N87" s="431">
        <v>0</v>
      </c>
      <c r="O87" s="431">
        <v>0</v>
      </c>
      <c r="P87" s="438">
        <f t="shared" si="12"/>
        <v>4676354</v>
      </c>
      <c r="Q87" s="431">
        <v>2056111</v>
      </c>
      <c r="R87" s="431">
        <v>1465005</v>
      </c>
      <c r="S87" s="431">
        <v>0</v>
      </c>
      <c r="T87" s="431">
        <v>0</v>
      </c>
      <c r="U87" s="431">
        <v>0</v>
      </c>
      <c r="V87" s="431">
        <v>0</v>
      </c>
      <c r="W87" s="431">
        <v>0</v>
      </c>
      <c r="X87" s="431">
        <v>269509</v>
      </c>
      <c r="Y87" s="431">
        <v>27500</v>
      </c>
      <c r="Z87" s="431">
        <v>860451</v>
      </c>
      <c r="AA87" s="431">
        <v>0</v>
      </c>
      <c r="AB87" s="431">
        <v>-2222</v>
      </c>
      <c r="AC87" s="431">
        <v>1228195</v>
      </c>
      <c r="AD87" s="431">
        <v>115560</v>
      </c>
      <c r="AE87" s="431">
        <v>1730503</v>
      </c>
      <c r="AF87" s="431">
        <v>0</v>
      </c>
      <c r="AG87" s="431">
        <v>65038</v>
      </c>
      <c r="AH87" s="431">
        <v>416031</v>
      </c>
      <c r="AI87" s="431">
        <v>446120</v>
      </c>
      <c r="AJ87" s="431">
        <v>190894</v>
      </c>
      <c r="AK87" s="431">
        <v>0</v>
      </c>
      <c r="AL87" s="431">
        <v>348739</v>
      </c>
      <c r="AM87" s="431">
        <v>135274</v>
      </c>
    </row>
    <row r="88" spans="1:39" s="155" customFormat="1" ht="12" x14ac:dyDescent="0.2">
      <c r="A88" s="168">
        <v>34</v>
      </c>
      <c r="B88" s="214">
        <v>131461</v>
      </c>
      <c r="C88" s="215" t="s">
        <v>1842</v>
      </c>
      <c r="D88" s="432">
        <f t="shared" si="10"/>
        <v>6657639</v>
      </c>
      <c r="E88" s="431">
        <v>1955228</v>
      </c>
      <c r="F88" s="431">
        <v>479875</v>
      </c>
      <c r="G88" s="431">
        <v>685666</v>
      </c>
      <c r="H88" s="431"/>
      <c r="I88" s="431">
        <v>1908624</v>
      </c>
      <c r="J88" s="431">
        <v>0</v>
      </c>
      <c r="K88" s="431">
        <v>484000</v>
      </c>
      <c r="L88" s="431"/>
      <c r="M88" s="431">
        <v>557602</v>
      </c>
      <c r="N88" s="431">
        <v>1752185</v>
      </c>
      <c r="O88" s="431">
        <v>0</v>
      </c>
      <c r="P88" s="438">
        <f t="shared" si="12"/>
        <v>6356274</v>
      </c>
      <c r="Q88" s="431">
        <v>2141187</v>
      </c>
      <c r="R88" s="431">
        <v>1043299</v>
      </c>
      <c r="S88" s="431">
        <v>38500</v>
      </c>
      <c r="T88" s="431">
        <v>0</v>
      </c>
      <c r="U88" s="431">
        <v>0</v>
      </c>
      <c r="V88" s="431">
        <v>0</v>
      </c>
      <c r="W88" s="431">
        <v>1735411</v>
      </c>
      <c r="X88" s="431">
        <v>287255</v>
      </c>
      <c r="Y88" s="431">
        <v>15341</v>
      </c>
      <c r="Z88" s="431">
        <v>836976</v>
      </c>
      <c r="AA88" s="431">
        <v>261978</v>
      </c>
      <c r="AB88" s="431">
        <v>-3673</v>
      </c>
      <c r="AC88" s="431">
        <v>1008286</v>
      </c>
      <c r="AD88" s="431">
        <v>68642</v>
      </c>
      <c r="AE88" s="431">
        <v>1634777</v>
      </c>
      <c r="AF88" s="431">
        <v>0</v>
      </c>
      <c r="AG88" s="431">
        <v>134707</v>
      </c>
      <c r="AH88" s="431">
        <v>411028</v>
      </c>
      <c r="AI88" s="431">
        <v>2679362</v>
      </c>
      <c r="AJ88" s="431">
        <v>0</v>
      </c>
      <c r="AK88" s="431">
        <v>0</v>
      </c>
      <c r="AL88" s="431">
        <v>419472</v>
      </c>
      <c r="AM88" s="431">
        <v>0</v>
      </c>
    </row>
    <row r="89" spans="1:39" s="155" customFormat="1" ht="12" x14ac:dyDescent="0.2">
      <c r="A89" s="168">
        <v>35</v>
      </c>
      <c r="B89" s="214">
        <v>133161</v>
      </c>
      <c r="C89" s="215" t="s">
        <v>1843</v>
      </c>
      <c r="D89" s="432">
        <f t="shared" si="10"/>
        <v>15901529</v>
      </c>
      <c r="E89" s="431">
        <v>8563632</v>
      </c>
      <c r="F89" s="431">
        <v>4747624</v>
      </c>
      <c r="G89" s="431">
        <v>338858</v>
      </c>
      <c r="H89" s="431"/>
      <c r="I89" s="431">
        <v>6700000</v>
      </c>
      <c r="J89" s="431">
        <v>250000</v>
      </c>
      <c r="K89" s="431">
        <v>56000</v>
      </c>
      <c r="L89" s="431"/>
      <c r="M89" s="431">
        <v>53842</v>
      </c>
      <c r="N89" s="431">
        <v>266955</v>
      </c>
      <c r="O89" s="431">
        <v>11100</v>
      </c>
      <c r="P89" s="438">
        <f t="shared" si="12"/>
        <v>18030658</v>
      </c>
      <c r="Q89" s="431">
        <v>7149453</v>
      </c>
      <c r="R89" s="431">
        <v>3289467</v>
      </c>
      <c r="S89" s="431">
        <v>0</v>
      </c>
      <c r="T89" s="431">
        <v>0</v>
      </c>
      <c r="U89" s="431">
        <v>0</v>
      </c>
      <c r="V89" s="431">
        <v>0</v>
      </c>
      <c r="W89" s="431">
        <v>275367</v>
      </c>
      <c r="X89" s="431">
        <v>689360</v>
      </c>
      <c r="Y89" s="431">
        <v>672033</v>
      </c>
      <c r="Z89" s="431">
        <v>5990947</v>
      </c>
      <c r="AA89" s="431">
        <v>0</v>
      </c>
      <c r="AB89" s="431">
        <v>-35969</v>
      </c>
      <c r="AC89" s="431">
        <v>1437266</v>
      </c>
      <c r="AD89" s="431">
        <v>403324</v>
      </c>
      <c r="AE89" s="431">
        <v>6621318</v>
      </c>
      <c r="AF89" s="431">
        <v>31431</v>
      </c>
      <c r="AG89" s="431">
        <v>1043018</v>
      </c>
      <c r="AH89" s="431">
        <v>1729229</v>
      </c>
      <c r="AI89" s="431">
        <v>3182761</v>
      </c>
      <c r="AJ89" s="431">
        <v>0</v>
      </c>
      <c r="AK89" s="431">
        <v>0</v>
      </c>
      <c r="AL89" s="431">
        <v>3542360</v>
      </c>
      <c r="AM89" s="431">
        <v>39951</v>
      </c>
    </row>
    <row r="90" spans="1:39" s="155" customFormat="1" ht="12" x14ac:dyDescent="0.2">
      <c r="A90" s="168">
        <v>36</v>
      </c>
      <c r="B90" s="214">
        <v>133214</v>
      </c>
      <c r="C90" s="215" t="s">
        <v>1844</v>
      </c>
      <c r="D90" s="432">
        <f t="shared" si="10"/>
        <v>13784090</v>
      </c>
      <c r="E90" s="431">
        <v>4360840</v>
      </c>
      <c r="F90" s="431">
        <v>1494380</v>
      </c>
      <c r="G90" s="431">
        <v>711503</v>
      </c>
      <c r="H90" s="431"/>
      <c r="I90" s="431">
        <v>4292314</v>
      </c>
      <c r="J90" s="431">
        <v>0</v>
      </c>
      <c r="K90" s="431">
        <v>1076000</v>
      </c>
      <c r="L90" s="431"/>
      <c r="M90" s="431">
        <v>3638829</v>
      </c>
      <c r="N90" s="431">
        <v>416107</v>
      </c>
      <c r="O90" s="431">
        <v>0</v>
      </c>
      <c r="P90" s="438">
        <f t="shared" si="12"/>
        <v>13615291</v>
      </c>
      <c r="Q90" s="431">
        <v>4441340</v>
      </c>
      <c r="R90" s="431">
        <v>2748907</v>
      </c>
      <c r="S90" s="431">
        <v>22000</v>
      </c>
      <c r="T90" s="431">
        <v>0</v>
      </c>
      <c r="U90" s="431">
        <v>99471</v>
      </c>
      <c r="V90" s="431">
        <v>0</v>
      </c>
      <c r="W90" s="431">
        <v>538564</v>
      </c>
      <c r="X90" s="431">
        <v>629999</v>
      </c>
      <c r="Y90" s="431">
        <v>99621</v>
      </c>
      <c r="Z90" s="431">
        <v>4945426</v>
      </c>
      <c r="AA90" s="431">
        <v>109000</v>
      </c>
      <c r="AB90" s="431">
        <v>-19037</v>
      </c>
      <c r="AC90" s="431">
        <v>1286821</v>
      </c>
      <c r="AD90" s="431">
        <v>300937</v>
      </c>
      <c r="AE90" s="431">
        <v>4085490</v>
      </c>
      <c r="AF90" s="431">
        <v>22023</v>
      </c>
      <c r="AG90" s="431">
        <v>770522</v>
      </c>
      <c r="AH90" s="431">
        <v>1390371</v>
      </c>
      <c r="AI90" s="431">
        <v>4193158</v>
      </c>
      <c r="AJ90" s="431">
        <v>0</v>
      </c>
      <c r="AK90" s="431">
        <v>0</v>
      </c>
      <c r="AL90" s="431">
        <v>686520</v>
      </c>
      <c r="AM90" s="431">
        <v>879449</v>
      </c>
    </row>
    <row r="91" spans="1:39" s="155" customFormat="1" ht="12" x14ac:dyDescent="0.2">
      <c r="A91" s="168">
        <v>37</v>
      </c>
      <c r="B91" s="214">
        <v>133278</v>
      </c>
      <c r="C91" s="215" t="s">
        <v>1845</v>
      </c>
      <c r="D91" s="432">
        <f t="shared" si="10"/>
        <v>2466863</v>
      </c>
      <c r="E91" s="431">
        <v>1210315</v>
      </c>
      <c r="F91" s="431">
        <v>184901</v>
      </c>
      <c r="G91" s="431">
        <v>728396</v>
      </c>
      <c r="H91" s="431"/>
      <c r="I91" s="431">
        <v>929657</v>
      </c>
      <c r="J91" s="431">
        <v>0</v>
      </c>
      <c r="K91" s="431">
        <v>308000</v>
      </c>
      <c r="L91" s="431"/>
      <c r="M91" s="431">
        <v>18891</v>
      </c>
      <c r="N91" s="431">
        <v>0</v>
      </c>
      <c r="O91" s="431">
        <v>0</v>
      </c>
      <c r="P91" s="438">
        <f t="shared" si="12"/>
        <v>2423490</v>
      </c>
      <c r="Q91" s="431">
        <v>1275548</v>
      </c>
      <c r="R91" s="431">
        <v>813690</v>
      </c>
      <c r="S91" s="431">
        <v>0</v>
      </c>
      <c r="T91" s="431">
        <v>0</v>
      </c>
      <c r="U91" s="431">
        <v>0</v>
      </c>
      <c r="V91" s="431">
        <v>0</v>
      </c>
      <c r="W91" s="431">
        <v>0</v>
      </c>
      <c r="X91" s="431">
        <v>153718</v>
      </c>
      <c r="Y91" s="431">
        <v>3984</v>
      </c>
      <c r="Z91" s="431">
        <v>178922</v>
      </c>
      <c r="AA91" s="431">
        <v>0</v>
      </c>
      <c r="AB91" s="431">
        <v>-2372</v>
      </c>
      <c r="AC91" s="431">
        <v>752848</v>
      </c>
      <c r="AD91" s="431">
        <v>88707</v>
      </c>
      <c r="AE91" s="431">
        <v>901479</v>
      </c>
      <c r="AF91" s="431">
        <v>0</v>
      </c>
      <c r="AG91" s="431">
        <v>54108</v>
      </c>
      <c r="AH91" s="431">
        <v>323580</v>
      </c>
      <c r="AI91" s="431">
        <v>77587</v>
      </c>
      <c r="AJ91" s="431">
        <v>6253</v>
      </c>
      <c r="AK91" s="431">
        <v>0</v>
      </c>
      <c r="AL91" s="431">
        <v>218928</v>
      </c>
      <c r="AM91" s="431">
        <v>0</v>
      </c>
    </row>
    <row r="92" spans="1:39" s="155" customFormat="1" ht="12" x14ac:dyDescent="0.2">
      <c r="A92" s="168">
        <v>38</v>
      </c>
      <c r="B92" s="214">
        <v>133330</v>
      </c>
      <c r="C92" s="215" t="s">
        <v>522</v>
      </c>
      <c r="D92" s="432">
        <f t="shared" si="10"/>
        <v>18658338</v>
      </c>
      <c r="E92" s="431">
        <v>14663590</v>
      </c>
      <c r="F92" s="431">
        <v>4498450</v>
      </c>
      <c r="G92" s="431">
        <v>842674</v>
      </c>
      <c r="H92" s="431"/>
      <c r="I92" s="431">
        <v>2939410</v>
      </c>
      <c r="J92" s="431">
        <v>500000</v>
      </c>
      <c r="K92" s="431">
        <v>136000</v>
      </c>
      <c r="L92" s="431"/>
      <c r="M92" s="431">
        <v>95571</v>
      </c>
      <c r="N92" s="431">
        <v>311767</v>
      </c>
      <c r="O92" s="431">
        <v>12000</v>
      </c>
      <c r="P92" s="438">
        <f t="shared" si="12"/>
        <v>18442387</v>
      </c>
      <c r="Q92" s="431">
        <v>3492651</v>
      </c>
      <c r="R92" s="431">
        <v>5875987</v>
      </c>
      <c r="S92" s="431">
        <v>176000</v>
      </c>
      <c r="T92" s="431">
        <v>0</v>
      </c>
      <c r="U92" s="431">
        <v>182760</v>
      </c>
      <c r="V92" s="431">
        <v>0</v>
      </c>
      <c r="W92" s="431">
        <v>0</v>
      </c>
      <c r="X92" s="431">
        <v>1097113</v>
      </c>
      <c r="Y92" s="431">
        <v>58700</v>
      </c>
      <c r="Z92" s="431">
        <v>3452366</v>
      </c>
      <c r="AA92" s="431">
        <v>4106810</v>
      </c>
      <c r="AB92" s="431">
        <v>0</v>
      </c>
      <c r="AC92" s="431">
        <v>7217552</v>
      </c>
      <c r="AD92" s="431">
        <v>328073</v>
      </c>
      <c r="AE92" s="431">
        <v>3504142</v>
      </c>
      <c r="AF92" s="431">
        <v>96369</v>
      </c>
      <c r="AG92" s="431">
        <v>618395</v>
      </c>
      <c r="AH92" s="431">
        <v>1718159</v>
      </c>
      <c r="AI92" s="431">
        <v>2414728</v>
      </c>
      <c r="AJ92" s="431">
        <v>767949</v>
      </c>
      <c r="AK92" s="431">
        <v>0</v>
      </c>
      <c r="AL92" s="431">
        <v>1777020</v>
      </c>
      <c r="AM92" s="431">
        <v>0</v>
      </c>
    </row>
    <row r="93" spans="1:39" s="155" customFormat="1" ht="12" x14ac:dyDescent="0.2">
      <c r="A93" s="168">
        <v>39</v>
      </c>
      <c r="B93" s="214">
        <v>133394</v>
      </c>
      <c r="C93" s="215" t="s">
        <v>1846</v>
      </c>
      <c r="D93" s="432">
        <f t="shared" si="10"/>
        <v>4740304</v>
      </c>
      <c r="E93" s="431">
        <v>2414973</v>
      </c>
      <c r="F93" s="431">
        <v>296812</v>
      </c>
      <c r="G93" s="431">
        <v>770132</v>
      </c>
      <c r="H93" s="431"/>
      <c r="I93" s="431">
        <v>1761450</v>
      </c>
      <c r="J93" s="431">
        <v>0</v>
      </c>
      <c r="K93" s="431">
        <v>562000</v>
      </c>
      <c r="L93" s="431"/>
      <c r="M93" s="431">
        <v>1881</v>
      </c>
      <c r="N93" s="431">
        <v>0</v>
      </c>
      <c r="O93" s="431">
        <v>0</v>
      </c>
      <c r="P93" s="438">
        <f t="shared" si="12"/>
        <v>4321766</v>
      </c>
      <c r="Q93" s="431">
        <v>1932150</v>
      </c>
      <c r="R93" s="431">
        <v>1007498</v>
      </c>
      <c r="S93" s="431">
        <v>0</v>
      </c>
      <c r="T93" s="431">
        <v>0</v>
      </c>
      <c r="U93" s="431">
        <v>0</v>
      </c>
      <c r="V93" s="431">
        <v>0</v>
      </c>
      <c r="W93" s="431">
        <v>0</v>
      </c>
      <c r="X93" s="431">
        <v>255839</v>
      </c>
      <c r="Y93" s="431">
        <v>30988</v>
      </c>
      <c r="Z93" s="431">
        <v>1025081</v>
      </c>
      <c r="AA93" s="431">
        <v>144000</v>
      </c>
      <c r="AB93" s="431">
        <v>-73790</v>
      </c>
      <c r="AC93" s="431">
        <v>1554376</v>
      </c>
      <c r="AD93" s="431">
        <v>54140</v>
      </c>
      <c r="AE93" s="431">
        <v>1513504</v>
      </c>
      <c r="AF93" s="431">
        <v>0</v>
      </c>
      <c r="AG93" s="431">
        <v>21670</v>
      </c>
      <c r="AH93" s="431">
        <v>491774</v>
      </c>
      <c r="AI93" s="431">
        <v>274542</v>
      </c>
      <c r="AJ93" s="431">
        <v>0</v>
      </c>
      <c r="AK93" s="431">
        <v>0</v>
      </c>
      <c r="AL93" s="431">
        <v>411760</v>
      </c>
      <c r="AM93" s="431">
        <v>0</v>
      </c>
    </row>
    <row r="94" spans="1:39" s="155" customFormat="1" ht="12" x14ac:dyDescent="0.2">
      <c r="A94" s="168">
        <v>40</v>
      </c>
      <c r="B94" s="214">
        <v>133429</v>
      </c>
      <c r="C94" s="215" t="s">
        <v>1847</v>
      </c>
      <c r="D94" s="432">
        <f t="shared" si="10"/>
        <v>3154389</v>
      </c>
      <c r="E94" s="431">
        <v>1989780</v>
      </c>
      <c r="F94" s="431">
        <v>296835</v>
      </c>
      <c r="G94" s="431">
        <v>932109</v>
      </c>
      <c r="H94" s="431"/>
      <c r="I94" s="431">
        <v>872000</v>
      </c>
      <c r="J94" s="431">
        <v>0</v>
      </c>
      <c r="K94" s="431">
        <v>271000</v>
      </c>
      <c r="L94" s="431"/>
      <c r="M94" s="431">
        <v>21609</v>
      </c>
      <c r="N94" s="431">
        <v>0</v>
      </c>
      <c r="O94" s="431">
        <v>0</v>
      </c>
      <c r="P94" s="438">
        <f t="shared" si="12"/>
        <v>3260513</v>
      </c>
      <c r="Q94" s="431">
        <v>1124327</v>
      </c>
      <c r="R94" s="431">
        <v>776310</v>
      </c>
      <c r="S94" s="431">
        <v>0</v>
      </c>
      <c r="T94" s="431">
        <v>0</v>
      </c>
      <c r="U94" s="431">
        <v>0</v>
      </c>
      <c r="V94" s="431">
        <v>84985</v>
      </c>
      <c r="W94" s="431">
        <v>0</v>
      </c>
      <c r="X94" s="431">
        <v>167940</v>
      </c>
      <c r="Y94" s="431">
        <v>7194</v>
      </c>
      <c r="Z94" s="431">
        <v>1099981</v>
      </c>
      <c r="AA94" s="431">
        <v>0</v>
      </c>
      <c r="AB94" s="431">
        <v>-224</v>
      </c>
      <c r="AC94" s="431">
        <v>762445</v>
      </c>
      <c r="AD94" s="431">
        <v>73012</v>
      </c>
      <c r="AE94" s="431">
        <v>911918</v>
      </c>
      <c r="AF94" s="431">
        <v>0</v>
      </c>
      <c r="AG94" s="431">
        <v>608189</v>
      </c>
      <c r="AH94" s="431">
        <v>231901</v>
      </c>
      <c r="AI94" s="431">
        <v>199378</v>
      </c>
      <c r="AJ94" s="431">
        <v>128907</v>
      </c>
      <c r="AK94" s="431">
        <v>0</v>
      </c>
      <c r="AL94" s="431">
        <v>317057</v>
      </c>
      <c r="AM94" s="431">
        <v>27706</v>
      </c>
    </row>
    <row r="95" spans="1:39" s="155" customFormat="1" ht="12" x14ac:dyDescent="0.2">
      <c r="A95" s="168">
        <v>41</v>
      </c>
      <c r="B95" s="214">
        <v>133508</v>
      </c>
      <c r="C95" s="215" t="s">
        <v>1848</v>
      </c>
      <c r="D95" s="432">
        <f t="shared" si="10"/>
        <v>6070301</v>
      </c>
      <c r="E95" s="431">
        <v>2551125</v>
      </c>
      <c r="F95" s="431">
        <v>477045</v>
      </c>
      <c r="G95" s="431">
        <v>707528</v>
      </c>
      <c r="H95" s="431"/>
      <c r="I95" s="431">
        <v>2212891</v>
      </c>
      <c r="J95" s="431">
        <v>0</v>
      </c>
      <c r="K95" s="431">
        <v>1264000</v>
      </c>
      <c r="L95" s="431"/>
      <c r="M95" s="431">
        <v>34285</v>
      </c>
      <c r="N95" s="431">
        <v>0</v>
      </c>
      <c r="O95" s="431">
        <v>8000</v>
      </c>
      <c r="P95" s="438">
        <f t="shared" si="12"/>
        <v>5969642</v>
      </c>
      <c r="Q95" s="431">
        <v>2450898</v>
      </c>
      <c r="R95" s="431">
        <v>1381922</v>
      </c>
      <c r="S95" s="431">
        <v>0</v>
      </c>
      <c r="T95" s="431">
        <v>0</v>
      </c>
      <c r="U95" s="431">
        <v>0</v>
      </c>
      <c r="V95" s="431">
        <v>0</v>
      </c>
      <c r="W95" s="431">
        <v>0</v>
      </c>
      <c r="X95" s="431">
        <v>202372</v>
      </c>
      <c r="Y95" s="431">
        <v>67552</v>
      </c>
      <c r="Z95" s="431">
        <v>1866898</v>
      </c>
      <c r="AA95" s="431">
        <v>0</v>
      </c>
      <c r="AB95" s="431">
        <v>0</v>
      </c>
      <c r="AC95" s="431">
        <v>2389455</v>
      </c>
      <c r="AD95" s="431">
        <v>99288</v>
      </c>
      <c r="AE95" s="431">
        <v>2189369</v>
      </c>
      <c r="AF95" s="431">
        <v>0</v>
      </c>
      <c r="AG95" s="431">
        <v>57700</v>
      </c>
      <c r="AH95" s="431">
        <v>403260</v>
      </c>
      <c r="AI95" s="431">
        <v>773213</v>
      </c>
      <c r="AJ95" s="431">
        <v>0</v>
      </c>
      <c r="AK95" s="431">
        <v>0</v>
      </c>
      <c r="AL95" s="431">
        <v>57357</v>
      </c>
      <c r="AM95" s="431">
        <v>0</v>
      </c>
    </row>
    <row r="96" spans="1:39" s="155" customFormat="1" ht="12" x14ac:dyDescent="0.2">
      <c r="A96" s="168">
        <v>42</v>
      </c>
      <c r="B96" s="214">
        <v>133562</v>
      </c>
      <c r="C96" s="215" t="s">
        <v>1849</v>
      </c>
      <c r="D96" s="432">
        <f t="shared" si="10"/>
        <v>4266286</v>
      </c>
      <c r="E96" s="431">
        <v>1749764</v>
      </c>
      <c r="F96" s="431">
        <v>202913</v>
      </c>
      <c r="G96" s="431">
        <v>990738</v>
      </c>
      <c r="H96" s="431"/>
      <c r="I96" s="431">
        <v>1289008</v>
      </c>
      <c r="J96" s="431">
        <v>200000</v>
      </c>
      <c r="K96" s="431">
        <v>262000</v>
      </c>
      <c r="L96" s="431"/>
      <c r="M96" s="431">
        <v>319654</v>
      </c>
      <c r="N96" s="431">
        <v>445860</v>
      </c>
      <c r="O96" s="431">
        <v>0</v>
      </c>
      <c r="P96" s="438">
        <f t="shared" si="12"/>
        <v>3991850</v>
      </c>
      <c r="Q96" s="431">
        <v>1745276</v>
      </c>
      <c r="R96" s="431">
        <v>637312</v>
      </c>
      <c r="S96" s="431">
        <v>0</v>
      </c>
      <c r="T96" s="431">
        <v>0</v>
      </c>
      <c r="U96" s="431">
        <v>0</v>
      </c>
      <c r="V96" s="431">
        <v>0</v>
      </c>
      <c r="W96" s="431">
        <v>445860</v>
      </c>
      <c r="X96" s="431">
        <v>87204</v>
      </c>
      <c r="Y96" s="431">
        <v>109100</v>
      </c>
      <c r="Z96" s="431">
        <v>985855</v>
      </c>
      <c r="AA96" s="431">
        <v>0</v>
      </c>
      <c r="AB96" s="431">
        <v>-18757</v>
      </c>
      <c r="AC96" s="431">
        <v>652223</v>
      </c>
      <c r="AD96" s="431">
        <v>62898</v>
      </c>
      <c r="AE96" s="431">
        <v>1716307</v>
      </c>
      <c r="AF96" s="431">
        <v>0</v>
      </c>
      <c r="AG96" s="431">
        <v>167651</v>
      </c>
      <c r="AH96" s="431">
        <v>309068</v>
      </c>
      <c r="AI96" s="431">
        <v>246542</v>
      </c>
      <c r="AJ96" s="431">
        <v>0</v>
      </c>
      <c r="AK96" s="431">
        <v>0</v>
      </c>
      <c r="AL96" s="431">
        <v>837161</v>
      </c>
      <c r="AM96" s="431">
        <v>0</v>
      </c>
    </row>
    <row r="97" spans="1:39" s="155" customFormat="1" ht="12" x14ac:dyDescent="0.2">
      <c r="A97" s="168">
        <v>43</v>
      </c>
      <c r="B97" s="214">
        <v>133615</v>
      </c>
      <c r="C97" s="215" t="s">
        <v>1850</v>
      </c>
      <c r="D97" s="432">
        <f t="shared" si="10"/>
        <v>4946420</v>
      </c>
      <c r="E97" s="431">
        <v>1655292</v>
      </c>
      <c r="F97" s="431">
        <v>123306</v>
      </c>
      <c r="G97" s="431">
        <v>1249105</v>
      </c>
      <c r="H97" s="431"/>
      <c r="I97" s="431">
        <v>1210079</v>
      </c>
      <c r="J97" s="431">
        <v>100000</v>
      </c>
      <c r="K97" s="431">
        <v>206000</v>
      </c>
      <c r="L97" s="431"/>
      <c r="M97" s="431">
        <v>1367501</v>
      </c>
      <c r="N97" s="431">
        <v>407548</v>
      </c>
      <c r="O97" s="431">
        <v>0</v>
      </c>
      <c r="P97" s="438">
        <f t="shared" si="12"/>
        <v>3914440</v>
      </c>
      <c r="Q97" s="431">
        <v>1352124</v>
      </c>
      <c r="R97" s="431">
        <v>288726</v>
      </c>
      <c r="S97" s="431">
        <v>0</v>
      </c>
      <c r="T97" s="431">
        <v>0</v>
      </c>
      <c r="U97" s="431">
        <v>0</v>
      </c>
      <c r="V97" s="431">
        <v>0</v>
      </c>
      <c r="W97" s="431">
        <v>509860</v>
      </c>
      <c r="X97" s="431">
        <v>252961</v>
      </c>
      <c r="Y97" s="431">
        <v>30300</v>
      </c>
      <c r="Z97" s="431">
        <v>1480469</v>
      </c>
      <c r="AA97" s="431">
        <v>0</v>
      </c>
      <c r="AB97" s="431">
        <v>0</v>
      </c>
      <c r="AC97" s="431">
        <v>505440</v>
      </c>
      <c r="AD97" s="431">
        <v>57664</v>
      </c>
      <c r="AE97" s="431">
        <v>1001579</v>
      </c>
      <c r="AF97" s="431">
        <v>43875</v>
      </c>
      <c r="AG97" s="431">
        <v>181416</v>
      </c>
      <c r="AH97" s="431">
        <v>298184</v>
      </c>
      <c r="AI97" s="431">
        <v>547106</v>
      </c>
      <c r="AJ97" s="431">
        <v>0</v>
      </c>
      <c r="AK97" s="431">
        <v>0</v>
      </c>
      <c r="AL97" s="431">
        <v>1279176</v>
      </c>
      <c r="AM97" s="431">
        <v>0</v>
      </c>
    </row>
    <row r="98" spans="1:39" s="155" customFormat="1" ht="12" x14ac:dyDescent="0.2">
      <c r="A98" s="168">
        <v>44</v>
      </c>
      <c r="B98" s="214">
        <v>133688</v>
      </c>
      <c r="C98" s="215" t="s">
        <v>1851</v>
      </c>
      <c r="D98" s="432">
        <f t="shared" si="10"/>
        <v>3806441</v>
      </c>
      <c r="E98" s="431">
        <v>2253085</v>
      </c>
      <c r="F98" s="431">
        <v>825685</v>
      </c>
      <c r="G98" s="431">
        <v>777088</v>
      </c>
      <c r="H98" s="431"/>
      <c r="I98" s="431">
        <v>1101248</v>
      </c>
      <c r="J98" s="431">
        <v>0</v>
      </c>
      <c r="K98" s="431">
        <v>197000</v>
      </c>
      <c r="L98" s="431"/>
      <c r="M98" s="431">
        <v>66789</v>
      </c>
      <c r="N98" s="431">
        <v>188319</v>
      </c>
      <c r="O98" s="431">
        <v>0</v>
      </c>
      <c r="P98" s="438">
        <f t="shared" si="12"/>
        <v>3656958</v>
      </c>
      <c r="Q98" s="431">
        <v>1602874</v>
      </c>
      <c r="R98" s="431">
        <v>687281</v>
      </c>
      <c r="S98" s="431">
        <v>17000</v>
      </c>
      <c r="T98" s="431">
        <v>0</v>
      </c>
      <c r="U98" s="431">
        <v>0</v>
      </c>
      <c r="V98" s="431">
        <v>0</v>
      </c>
      <c r="W98" s="431">
        <v>91473</v>
      </c>
      <c r="X98" s="431">
        <v>131205</v>
      </c>
      <c r="Y98" s="431">
        <v>18004</v>
      </c>
      <c r="Z98" s="431">
        <v>1032825</v>
      </c>
      <c r="AA98" s="431">
        <v>96000</v>
      </c>
      <c r="AB98" s="431">
        <v>-19704</v>
      </c>
      <c r="AC98" s="431">
        <v>750500</v>
      </c>
      <c r="AD98" s="431">
        <v>73640</v>
      </c>
      <c r="AE98" s="431">
        <v>1055637</v>
      </c>
      <c r="AF98" s="431">
        <v>19086</v>
      </c>
      <c r="AG98" s="431">
        <v>251819</v>
      </c>
      <c r="AH98" s="431">
        <v>347287</v>
      </c>
      <c r="AI98" s="431">
        <v>472091</v>
      </c>
      <c r="AJ98" s="431">
        <v>23431</v>
      </c>
      <c r="AK98" s="431">
        <v>0</v>
      </c>
      <c r="AL98" s="431">
        <v>663467</v>
      </c>
      <c r="AM98" s="431">
        <v>0</v>
      </c>
    </row>
    <row r="99" spans="1:39" s="155" customFormat="1" ht="12" x14ac:dyDescent="0.2">
      <c r="A99" s="168">
        <v>45</v>
      </c>
      <c r="B99" s="214">
        <v>131835</v>
      </c>
      <c r="C99" s="215" t="s">
        <v>1852</v>
      </c>
      <c r="D99" s="432">
        <f t="shared" si="10"/>
        <v>7435733</v>
      </c>
      <c r="E99" s="431">
        <v>2213835</v>
      </c>
      <c r="F99" s="431">
        <v>381303</v>
      </c>
      <c r="G99" s="431">
        <v>560458</v>
      </c>
      <c r="H99" s="431"/>
      <c r="I99" s="431">
        <v>2611851</v>
      </c>
      <c r="J99" s="431">
        <v>0</v>
      </c>
      <c r="K99" s="431">
        <v>1061000</v>
      </c>
      <c r="L99" s="431"/>
      <c r="M99" s="431">
        <v>1529383</v>
      </c>
      <c r="N99" s="431">
        <v>0</v>
      </c>
      <c r="O99" s="431">
        <v>19664</v>
      </c>
      <c r="P99" s="438">
        <f t="shared" si="12"/>
        <v>7041983</v>
      </c>
      <c r="Q99" s="431">
        <v>2752971</v>
      </c>
      <c r="R99" s="431">
        <v>1087386</v>
      </c>
      <c r="S99" s="431">
        <v>44000</v>
      </c>
      <c r="T99" s="431">
        <v>0</v>
      </c>
      <c r="U99" s="431">
        <v>0</v>
      </c>
      <c r="V99" s="431">
        <v>0</v>
      </c>
      <c r="W99" s="431">
        <v>0</v>
      </c>
      <c r="X99" s="431">
        <v>365327</v>
      </c>
      <c r="Y99" s="431">
        <v>19107</v>
      </c>
      <c r="Z99" s="431">
        <v>2534841</v>
      </c>
      <c r="AA99" s="431">
        <v>275000</v>
      </c>
      <c r="AB99" s="431">
        <v>-36649</v>
      </c>
      <c r="AC99" s="431">
        <v>984977</v>
      </c>
      <c r="AD99" s="431">
        <v>140558</v>
      </c>
      <c r="AE99" s="431">
        <v>2516780</v>
      </c>
      <c r="AF99" s="431">
        <v>25692</v>
      </c>
      <c r="AG99" s="431">
        <v>9509</v>
      </c>
      <c r="AH99" s="431">
        <v>673672</v>
      </c>
      <c r="AI99" s="431">
        <v>171318</v>
      </c>
      <c r="AJ99" s="431">
        <v>17510</v>
      </c>
      <c r="AK99" s="431">
        <v>0</v>
      </c>
      <c r="AL99" s="431">
        <v>2501032</v>
      </c>
      <c r="AM99" s="431">
        <v>935</v>
      </c>
    </row>
    <row r="100" spans="1:39" s="155" customFormat="1" ht="12" x14ac:dyDescent="0.2">
      <c r="A100" s="168">
        <v>46</v>
      </c>
      <c r="B100" s="214">
        <v>133722</v>
      </c>
      <c r="C100" s="215" t="s">
        <v>1853</v>
      </c>
      <c r="D100" s="432">
        <f t="shared" si="10"/>
        <v>5911756</v>
      </c>
      <c r="E100" s="431">
        <v>2756560</v>
      </c>
      <c r="F100" s="431">
        <v>337814</v>
      </c>
      <c r="G100" s="431">
        <v>1590944</v>
      </c>
      <c r="H100" s="431"/>
      <c r="I100" s="431">
        <v>2468652</v>
      </c>
      <c r="J100" s="431">
        <v>0</v>
      </c>
      <c r="K100" s="431">
        <v>477000</v>
      </c>
      <c r="L100" s="431"/>
      <c r="M100" s="431">
        <v>113366</v>
      </c>
      <c r="N100" s="431">
        <v>96178</v>
      </c>
      <c r="O100" s="431">
        <v>0</v>
      </c>
      <c r="P100" s="438">
        <f t="shared" si="12"/>
        <v>5883817</v>
      </c>
      <c r="Q100" s="431">
        <v>2998975</v>
      </c>
      <c r="R100" s="431">
        <v>1034180</v>
      </c>
      <c r="S100" s="431">
        <v>22058</v>
      </c>
      <c r="T100" s="431">
        <v>0</v>
      </c>
      <c r="U100" s="431">
        <v>0</v>
      </c>
      <c r="V100" s="431">
        <v>343045</v>
      </c>
      <c r="W100" s="431">
        <v>137913</v>
      </c>
      <c r="X100" s="431">
        <v>173329</v>
      </c>
      <c r="Y100" s="431">
        <v>0</v>
      </c>
      <c r="Z100" s="431">
        <v>997071</v>
      </c>
      <c r="AA100" s="431">
        <v>186484</v>
      </c>
      <c r="AB100" s="431">
        <v>-9238</v>
      </c>
      <c r="AC100" s="431">
        <v>1070763</v>
      </c>
      <c r="AD100" s="431">
        <v>125333</v>
      </c>
      <c r="AE100" s="431">
        <v>2070599</v>
      </c>
      <c r="AF100" s="431">
        <v>15467</v>
      </c>
      <c r="AG100" s="431">
        <v>326270</v>
      </c>
      <c r="AH100" s="431">
        <v>622225</v>
      </c>
      <c r="AI100" s="431">
        <v>535293</v>
      </c>
      <c r="AJ100" s="431">
        <v>546</v>
      </c>
      <c r="AK100" s="431">
        <v>0</v>
      </c>
      <c r="AL100" s="431">
        <v>1117321</v>
      </c>
      <c r="AM100" s="431">
        <v>0</v>
      </c>
    </row>
    <row r="101" spans="1:39" s="155" customFormat="1" ht="12" x14ac:dyDescent="0.2">
      <c r="A101" s="168">
        <v>47</v>
      </c>
      <c r="B101" s="214">
        <v>133795</v>
      </c>
      <c r="C101" s="215" t="s">
        <v>1854</v>
      </c>
      <c r="D101" s="432">
        <f t="shared" si="10"/>
        <v>7686202</v>
      </c>
      <c r="E101" s="431">
        <v>2328859</v>
      </c>
      <c r="F101" s="431">
        <v>537503</v>
      </c>
      <c r="G101" s="431">
        <v>838699</v>
      </c>
      <c r="H101" s="431"/>
      <c r="I101" s="431">
        <v>3448226</v>
      </c>
      <c r="J101" s="431">
        <v>150000</v>
      </c>
      <c r="K101" s="431">
        <v>1575000</v>
      </c>
      <c r="L101" s="431"/>
      <c r="M101" s="431">
        <v>45209</v>
      </c>
      <c r="N101" s="431">
        <v>0</v>
      </c>
      <c r="O101" s="431">
        <v>138908</v>
      </c>
      <c r="P101" s="438">
        <f t="shared" si="12"/>
        <v>7533530</v>
      </c>
      <c r="Q101" s="431">
        <v>3918937</v>
      </c>
      <c r="R101" s="431">
        <v>1014619</v>
      </c>
      <c r="S101" s="431">
        <v>0</v>
      </c>
      <c r="T101" s="431">
        <v>0</v>
      </c>
      <c r="U101" s="431">
        <v>335692</v>
      </c>
      <c r="V101" s="431">
        <v>0</v>
      </c>
      <c r="W101" s="431">
        <v>0</v>
      </c>
      <c r="X101" s="431">
        <v>365124</v>
      </c>
      <c r="Y101" s="431">
        <v>42977</v>
      </c>
      <c r="Z101" s="431">
        <v>1869790</v>
      </c>
      <c r="AA101" s="431">
        <v>0</v>
      </c>
      <c r="AB101" s="431">
        <v>-13609</v>
      </c>
      <c r="AC101" s="431">
        <v>984099</v>
      </c>
      <c r="AD101" s="431">
        <v>150704</v>
      </c>
      <c r="AE101" s="431">
        <v>2978941</v>
      </c>
      <c r="AF101" s="431">
        <v>0</v>
      </c>
      <c r="AG101" s="431">
        <v>374814</v>
      </c>
      <c r="AH101" s="431">
        <v>934621</v>
      </c>
      <c r="AI101" s="431">
        <v>184682</v>
      </c>
      <c r="AJ101" s="431">
        <v>374138</v>
      </c>
      <c r="AK101" s="431">
        <v>0</v>
      </c>
      <c r="AL101" s="431">
        <v>1549663</v>
      </c>
      <c r="AM101" s="431">
        <v>1868</v>
      </c>
    </row>
    <row r="102" spans="1:39" s="155" customFormat="1" ht="12" x14ac:dyDescent="0.2">
      <c r="A102" s="168">
        <v>48</v>
      </c>
      <c r="B102" s="214">
        <v>133866</v>
      </c>
      <c r="C102" s="215" t="s">
        <v>1855</v>
      </c>
      <c r="D102" s="432">
        <f t="shared" si="10"/>
        <v>3161075</v>
      </c>
      <c r="E102" s="431">
        <v>2132205</v>
      </c>
      <c r="F102" s="431">
        <v>26416</v>
      </c>
      <c r="G102" s="431">
        <v>1854280</v>
      </c>
      <c r="H102" s="431"/>
      <c r="I102" s="431">
        <v>343000</v>
      </c>
      <c r="J102" s="431">
        <v>0</v>
      </c>
      <c r="K102" s="431">
        <v>180000</v>
      </c>
      <c r="L102" s="431"/>
      <c r="M102" s="431">
        <v>119094</v>
      </c>
      <c r="N102" s="431">
        <v>386776</v>
      </c>
      <c r="O102" s="431">
        <v>0</v>
      </c>
      <c r="P102" s="438">
        <f t="shared" si="12"/>
        <v>3147631</v>
      </c>
      <c r="Q102" s="431">
        <v>615612</v>
      </c>
      <c r="R102" s="431">
        <v>358280</v>
      </c>
      <c r="S102" s="431">
        <v>0</v>
      </c>
      <c r="T102" s="431">
        <v>0</v>
      </c>
      <c r="U102" s="431">
        <v>0</v>
      </c>
      <c r="V102" s="431">
        <v>0</v>
      </c>
      <c r="W102" s="431">
        <v>0</v>
      </c>
      <c r="X102" s="431">
        <v>66088</v>
      </c>
      <c r="Y102" s="431">
        <v>0</v>
      </c>
      <c r="Z102" s="431">
        <v>2108412</v>
      </c>
      <c r="AA102" s="431">
        <v>0</v>
      </c>
      <c r="AB102" s="431">
        <v>-761</v>
      </c>
      <c r="AC102" s="431">
        <v>518236</v>
      </c>
      <c r="AD102" s="431">
        <v>43270</v>
      </c>
      <c r="AE102" s="431">
        <v>310130</v>
      </c>
      <c r="AF102" s="431">
        <v>0</v>
      </c>
      <c r="AG102" s="431">
        <v>827637</v>
      </c>
      <c r="AH102" s="431">
        <v>98407</v>
      </c>
      <c r="AI102" s="431">
        <v>139302</v>
      </c>
      <c r="AJ102" s="431">
        <v>0</v>
      </c>
      <c r="AK102" s="431">
        <v>0</v>
      </c>
      <c r="AL102" s="431">
        <v>1210649</v>
      </c>
      <c r="AM102" s="431">
        <v>0</v>
      </c>
    </row>
    <row r="103" spans="1:39" s="155" customFormat="1" ht="12" x14ac:dyDescent="0.2">
      <c r="A103" s="168">
        <v>49</v>
      </c>
      <c r="B103" s="214">
        <v>133919</v>
      </c>
      <c r="C103" s="215" t="s">
        <v>1856</v>
      </c>
      <c r="D103" s="432">
        <f t="shared" si="10"/>
        <v>2064960</v>
      </c>
      <c r="E103" s="431">
        <v>1167053</v>
      </c>
      <c r="F103" s="431">
        <v>58567</v>
      </c>
      <c r="G103" s="431">
        <v>893354</v>
      </c>
      <c r="H103" s="431"/>
      <c r="I103" s="431">
        <v>795296</v>
      </c>
      <c r="J103" s="431">
        <v>50000</v>
      </c>
      <c r="K103" s="431">
        <v>44000</v>
      </c>
      <c r="L103" s="431"/>
      <c r="M103" s="431">
        <v>8611</v>
      </c>
      <c r="N103" s="431">
        <v>0</v>
      </c>
      <c r="O103" s="431">
        <v>0</v>
      </c>
      <c r="P103" s="438">
        <f t="shared" si="12"/>
        <v>2062920</v>
      </c>
      <c r="Q103" s="431">
        <v>915393</v>
      </c>
      <c r="R103" s="431">
        <v>433507</v>
      </c>
      <c r="S103" s="431">
        <v>0</v>
      </c>
      <c r="T103" s="431">
        <v>0</v>
      </c>
      <c r="U103" s="431">
        <v>0</v>
      </c>
      <c r="V103" s="431">
        <v>0</v>
      </c>
      <c r="W103" s="431">
        <v>0</v>
      </c>
      <c r="X103" s="431">
        <v>98336</v>
      </c>
      <c r="Y103" s="431">
        <v>0</v>
      </c>
      <c r="Z103" s="431">
        <v>674081</v>
      </c>
      <c r="AA103" s="431">
        <v>0</v>
      </c>
      <c r="AB103" s="431">
        <v>-58397</v>
      </c>
      <c r="AC103" s="431">
        <v>450312</v>
      </c>
      <c r="AD103" s="431">
        <v>0</v>
      </c>
      <c r="AE103" s="431">
        <v>683055</v>
      </c>
      <c r="AF103" s="431">
        <v>84137</v>
      </c>
      <c r="AG103" s="431">
        <v>39738</v>
      </c>
      <c r="AH103" s="431">
        <v>195232</v>
      </c>
      <c r="AI103" s="431">
        <v>117892</v>
      </c>
      <c r="AJ103" s="431">
        <v>0</v>
      </c>
      <c r="AK103" s="431">
        <v>0</v>
      </c>
      <c r="AL103" s="431">
        <v>468287</v>
      </c>
      <c r="AM103" s="431">
        <v>24267</v>
      </c>
    </row>
    <row r="104" spans="1:39" s="155" customFormat="1" ht="12" x14ac:dyDescent="0.2">
      <c r="A104" s="168">
        <v>50</v>
      </c>
      <c r="B104" s="214">
        <v>133964</v>
      </c>
      <c r="C104" s="215" t="s">
        <v>1857</v>
      </c>
      <c r="D104" s="432">
        <f t="shared" si="10"/>
        <v>5919769</v>
      </c>
      <c r="E104" s="431">
        <v>2399611</v>
      </c>
      <c r="F104" s="431">
        <v>705886</v>
      </c>
      <c r="G104" s="431">
        <v>517728</v>
      </c>
      <c r="H104" s="431"/>
      <c r="I104" s="431">
        <v>2207113</v>
      </c>
      <c r="J104" s="431">
        <v>0</v>
      </c>
      <c r="K104" s="431">
        <v>992000</v>
      </c>
      <c r="L104" s="431"/>
      <c r="M104" s="431">
        <v>321045</v>
      </c>
      <c r="N104" s="431">
        <v>0</v>
      </c>
      <c r="O104" s="431">
        <v>0</v>
      </c>
      <c r="P104" s="438">
        <f t="shared" si="12"/>
        <v>5097832</v>
      </c>
      <c r="Q104" s="431">
        <v>2480565</v>
      </c>
      <c r="R104" s="431">
        <v>1558137</v>
      </c>
      <c r="S104" s="431">
        <v>43500</v>
      </c>
      <c r="T104" s="431">
        <v>0</v>
      </c>
      <c r="U104" s="431">
        <v>0</v>
      </c>
      <c r="V104" s="431">
        <v>390</v>
      </c>
      <c r="W104" s="431">
        <v>0</v>
      </c>
      <c r="X104" s="431">
        <v>268440</v>
      </c>
      <c r="Y104" s="431">
        <v>8650</v>
      </c>
      <c r="Z104" s="431">
        <v>438078</v>
      </c>
      <c r="AA104" s="431">
        <v>364500</v>
      </c>
      <c r="AB104" s="431">
        <v>-64428</v>
      </c>
      <c r="AC104" s="431">
        <v>1300766</v>
      </c>
      <c r="AD104" s="431">
        <v>106751</v>
      </c>
      <c r="AE104" s="431">
        <v>1857723</v>
      </c>
      <c r="AF104" s="431">
        <v>10191</v>
      </c>
      <c r="AG104" s="431">
        <v>59582</v>
      </c>
      <c r="AH104" s="431">
        <v>532167</v>
      </c>
      <c r="AI104" s="431">
        <v>878851</v>
      </c>
      <c r="AJ104" s="431">
        <v>5399</v>
      </c>
      <c r="AK104" s="431">
        <v>0</v>
      </c>
      <c r="AL104" s="431">
        <v>346402</v>
      </c>
      <c r="AM104" s="431">
        <v>0</v>
      </c>
    </row>
    <row r="105" spans="1:39" s="155" customFormat="1" ht="12" x14ac:dyDescent="0.2">
      <c r="A105" s="168">
        <v>51</v>
      </c>
      <c r="B105" s="214">
        <v>134014</v>
      </c>
      <c r="C105" s="215" t="s">
        <v>1858</v>
      </c>
      <c r="D105" s="432">
        <f t="shared" si="10"/>
        <v>5782954</v>
      </c>
      <c r="E105" s="431">
        <v>2325871</v>
      </c>
      <c r="F105" s="431">
        <v>463658</v>
      </c>
      <c r="G105" s="431">
        <v>664798</v>
      </c>
      <c r="H105" s="431"/>
      <c r="I105" s="431">
        <v>1909096</v>
      </c>
      <c r="J105" s="431">
        <v>0</v>
      </c>
      <c r="K105" s="431">
        <v>1019000</v>
      </c>
      <c r="L105" s="431"/>
      <c r="M105" s="431">
        <v>504087</v>
      </c>
      <c r="N105" s="431">
        <v>0</v>
      </c>
      <c r="O105" s="431">
        <v>24900</v>
      </c>
      <c r="P105" s="438">
        <f t="shared" si="12"/>
        <v>5509201</v>
      </c>
      <c r="Q105" s="431">
        <v>2158899</v>
      </c>
      <c r="R105" s="431">
        <v>888827</v>
      </c>
      <c r="S105" s="431">
        <v>56000</v>
      </c>
      <c r="T105" s="431">
        <v>0</v>
      </c>
      <c r="U105" s="431">
        <v>0</v>
      </c>
      <c r="V105" s="431">
        <v>11480</v>
      </c>
      <c r="W105" s="431">
        <v>0</v>
      </c>
      <c r="X105" s="431">
        <v>411783</v>
      </c>
      <c r="Y105" s="431">
        <v>33449</v>
      </c>
      <c r="Z105" s="431">
        <v>1588996</v>
      </c>
      <c r="AA105" s="431">
        <v>400000</v>
      </c>
      <c r="AB105" s="431">
        <v>-40233</v>
      </c>
      <c r="AC105" s="431">
        <v>1002075</v>
      </c>
      <c r="AD105" s="431">
        <v>70776</v>
      </c>
      <c r="AE105" s="431">
        <v>2117745</v>
      </c>
      <c r="AF105" s="431">
        <v>0</v>
      </c>
      <c r="AG105" s="431">
        <v>269915</v>
      </c>
      <c r="AH105" s="431">
        <v>498078</v>
      </c>
      <c r="AI105" s="431">
        <v>177223</v>
      </c>
      <c r="AJ105" s="431">
        <v>28359</v>
      </c>
      <c r="AK105" s="431">
        <v>0</v>
      </c>
      <c r="AL105" s="431">
        <v>1345030</v>
      </c>
      <c r="AM105" s="431">
        <v>0</v>
      </c>
    </row>
    <row r="106" spans="1:39" s="155" customFormat="1" ht="12" x14ac:dyDescent="0.2">
      <c r="A106" s="168">
        <v>52</v>
      </c>
      <c r="B106" s="214">
        <v>134050</v>
      </c>
      <c r="C106" s="215" t="s">
        <v>1859</v>
      </c>
      <c r="D106" s="432">
        <f t="shared" si="10"/>
        <v>8642361</v>
      </c>
      <c r="E106" s="431">
        <v>2926211</v>
      </c>
      <c r="F106" s="431">
        <v>1069275</v>
      </c>
      <c r="G106" s="431">
        <v>681692</v>
      </c>
      <c r="H106" s="431"/>
      <c r="I106" s="431">
        <v>2633000</v>
      </c>
      <c r="J106" s="431">
        <v>0</v>
      </c>
      <c r="K106" s="431">
        <v>1604000</v>
      </c>
      <c r="L106" s="431"/>
      <c r="M106" s="431">
        <v>1467150</v>
      </c>
      <c r="N106" s="431">
        <v>0</v>
      </c>
      <c r="O106" s="431">
        <v>12000</v>
      </c>
      <c r="P106" s="438">
        <f t="shared" si="12"/>
        <v>7874625</v>
      </c>
      <c r="Q106" s="431">
        <v>2732358</v>
      </c>
      <c r="R106" s="431">
        <v>1028867</v>
      </c>
      <c r="S106" s="431">
        <v>0</v>
      </c>
      <c r="T106" s="431">
        <v>0</v>
      </c>
      <c r="U106" s="431">
        <v>0</v>
      </c>
      <c r="V106" s="431">
        <v>0</v>
      </c>
      <c r="W106" s="431">
        <v>461759</v>
      </c>
      <c r="X106" s="431">
        <v>519787</v>
      </c>
      <c r="Y106" s="431">
        <v>142265</v>
      </c>
      <c r="Z106" s="431">
        <v>2989863</v>
      </c>
      <c r="AA106" s="431">
        <v>0</v>
      </c>
      <c r="AB106" s="431">
        <v>-274</v>
      </c>
      <c r="AC106" s="431">
        <v>1483363</v>
      </c>
      <c r="AD106" s="431">
        <v>146426</v>
      </c>
      <c r="AE106" s="431">
        <v>2660088</v>
      </c>
      <c r="AF106" s="431">
        <v>0</v>
      </c>
      <c r="AG106" s="431">
        <v>632045</v>
      </c>
      <c r="AH106" s="431">
        <v>603423</v>
      </c>
      <c r="AI106" s="431">
        <v>453192</v>
      </c>
      <c r="AJ106" s="431">
        <v>1707189</v>
      </c>
      <c r="AK106" s="431">
        <v>0</v>
      </c>
      <c r="AL106" s="431">
        <v>188899</v>
      </c>
      <c r="AM106" s="431">
        <v>0</v>
      </c>
    </row>
    <row r="107" spans="1:39" s="155" customFormat="1" ht="12" x14ac:dyDescent="0.2">
      <c r="A107" s="168">
        <v>53</v>
      </c>
      <c r="B107" s="214">
        <v>134096</v>
      </c>
      <c r="C107" s="215" t="s">
        <v>1860</v>
      </c>
      <c r="D107" s="432">
        <f t="shared" si="10"/>
        <v>23963589</v>
      </c>
      <c r="E107" s="431">
        <v>6345186</v>
      </c>
      <c r="F107" s="431">
        <v>1796859</v>
      </c>
      <c r="G107" s="431">
        <v>1390213</v>
      </c>
      <c r="H107" s="431"/>
      <c r="I107" s="431">
        <v>7331353</v>
      </c>
      <c r="J107" s="431">
        <v>200000</v>
      </c>
      <c r="K107" s="431">
        <v>2012160</v>
      </c>
      <c r="L107" s="431"/>
      <c r="M107" s="431">
        <v>2949028</v>
      </c>
      <c r="N107" s="431">
        <v>5125862</v>
      </c>
      <c r="O107" s="431">
        <v>0</v>
      </c>
      <c r="P107" s="438">
        <f t="shared" si="12"/>
        <v>24131484</v>
      </c>
      <c r="Q107" s="431">
        <v>7736226</v>
      </c>
      <c r="R107" s="431">
        <v>2907816</v>
      </c>
      <c r="S107" s="431">
        <v>43610</v>
      </c>
      <c r="T107" s="431">
        <v>0</v>
      </c>
      <c r="U107" s="431">
        <v>379160</v>
      </c>
      <c r="V107" s="431">
        <v>0</v>
      </c>
      <c r="W107" s="431">
        <v>5647810</v>
      </c>
      <c r="X107" s="431">
        <v>252693</v>
      </c>
      <c r="Y107" s="431">
        <v>482820</v>
      </c>
      <c r="Z107" s="431">
        <v>6399280</v>
      </c>
      <c r="AA107" s="431">
        <v>395372</v>
      </c>
      <c r="AB107" s="431">
        <v>-113303</v>
      </c>
      <c r="AC107" s="431">
        <v>2309656</v>
      </c>
      <c r="AD107" s="431">
        <v>451494</v>
      </c>
      <c r="AE107" s="431">
        <v>13581109</v>
      </c>
      <c r="AF107" s="431">
        <v>339369</v>
      </c>
      <c r="AG107" s="431">
        <v>454750</v>
      </c>
      <c r="AH107" s="431">
        <v>1351859</v>
      </c>
      <c r="AI107" s="431">
        <v>1640118</v>
      </c>
      <c r="AJ107" s="431">
        <v>730773</v>
      </c>
      <c r="AK107" s="431">
        <v>0</v>
      </c>
      <c r="AL107" s="431">
        <v>3272356</v>
      </c>
      <c r="AM107" s="431">
        <v>0</v>
      </c>
    </row>
    <row r="108" spans="1:39" s="155" customFormat="1" ht="12" x14ac:dyDescent="0.2">
      <c r="A108" s="168">
        <v>54</v>
      </c>
      <c r="B108" s="214">
        <v>134194</v>
      </c>
      <c r="C108" s="215" t="s">
        <v>1861</v>
      </c>
      <c r="D108" s="432">
        <f t="shared" si="10"/>
        <v>5568312</v>
      </c>
      <c r="E108" s="431">
        <v>2061974</v>
      </c>
      <c r="F108" s="431">
        <v>503969</v>
      </c>
      <c r="G108" s="431">
        <v>473011</v>
      </c>
      <c r="H108" s="431"/>
      <c r="I108" s="431">
        <v>1873537</v>
      </c>
      <c r="J108" s="431">
        <v>400000</v>
      </c>
      <c r="K108" s="431">
        <v>932000</v>
      </c>
      <c r="L108" s="431"/>
      <c r="M108" s="431">
        <v>289701</v>
      </c>
      <c r="N108" s="431">
        <v>0</v>
      </c>
      <c r="O108" s="431">
        <v>11100</v>
      </c>
      <c r="P108" s="438">
        <f t="shared" si="12"/>
        <v>5084253</v>
      </c>
      <c r="Q108" s="431">
        <v>2081561</v>
      </c>
      <c r="R108" s="431">
        <v>1001053</v>
      </c>
      <c r="S108" s="431">
        <v>13668</v>
      </c>
      <c r="T108" s="431">
        <v>0</v>
      </c>
      <c r="U108" s="431">
        <v>27153</v>
      </c>
      <c r="V108" s="431">
        <v>0</v>
      </c>
      <c r="W108" s="431">
        <v>0</v>
      </c>
      <c r="X108" s="431">
        <v>325314</v>
      </c>
      <c r="Y108" s="431">
        <v>14300</v>
      </c>
      <c r="Z108" s="431">
        <v>1582195</v>
      </c>
      <c r="AA108" s="431">
        <v>140541</v>
      </c>
      <c r="AB108" s="431">
        <v>-101532</v>
      </c>
      <c r="AC108" s="431">
        <v>813615</v>
      </c>
      <c r="AD108" s="431">
        <v>150001</v>
      </c>
      <c r="AE108" s="431">
        <v>2008637</v>
      </c>
      <c r="AF108" s="431">
        <v>0</v>
      </c>
      <c r="AG108" s="431">
        <v>463067</v>
      </c>
      <c r="AH108" s="431">
        <v>459039</v>
      </c>
      <c r="AI108" s="431">
        <v>704409</v>
      </c>
      <c r="AJ108" s="431">
        <v>12027</v>
      </c>
      <c r="AK108" s="431">
        <v>0</v>
      </c>
      <c r="AL108" s="431">
        <v>473458</v>
      </c>
      <c r="AM108" s="431">
        <v>0</v>
      </c>
    </row>
    <row r="109" spans="1:39" s="155" customFormat="1" ht="12" x14ac:dyDescent="0.2">
      <c r="A109" s="168">
        <v>55</v>
      </c>
      <c r="B109" s="214">
        <v>136250</v>
      </c>
      <c r="C109" s="215" t="s">
        <v>1862</v>
      </c>
      <c r="D109" s="432">
        <f t="shared" si="10"/>
        <v>4490735</v>
      </c>
      <c r="E109" s="431">
        <v>1487088</v>
      </c>
      <c r="F109" s="431">
        <v>155301</v>
      </c>
      <c r="G109" s="431">
        <v>766158</v>
      </c>
      <c r="H109" s="431"/>
      <c r="I109" s="431">
        <v>1040791</v>
      </c>
      <c r="J109" s="431">
        <v>0</v>
      </c>
      <c r="K109" s="431">
        <v>639000</v>
      </c>
      <c r="L109" s="431"/>
      <c r="M109" s="431">
        <v>1323856</v>
      </c>
      <c r="N109" s="431">
        <v>0</v>
      </c>
      <c r="O109" s="431">
        <v>0</v>
      </c>
      <c r="P109" s="438">
        <f t="shared" si="12"/>
        <v>4757324</v>
      </c>
      <c r="Q109" s="431">
        <v>1143103</v>
      </c>
      <c r="R109" s="431">
        <v>1418752</v>
      </c>
      <c r="S109" s="431">
        <v>0</v>
      </c>
      <c r="T109" s="431">
        <v>0</v>
      </c>
      <c r="U109" s="431">
        <v>0</v>
      </c>
      <c r="V109" s="431">
        <v>4348</v>
      </c>
      <c r="W109" s="431">
        <v>0</v>
      </c>
      <c r="X109" s="431">
        <v>265693</v>
      </c>
      <c r="Y109" s="431">
        <v>0</v>
      </c>
      <c r="Z109" s="431">
        <v>1929776</v>
      </c>
      <c r="AA109" s="431">
        <v>0</v>
      </c>
      <c r="AB109" s="431">
        <v>-4348</v>
      </c>
      <c r="AC109" s="431">
        <v>857171</v>
      </c>
      <c r="AD109" s="431">
        <v>136462</v>
      </c>
      <c r="AE109" s="431">
        <v>1195282</v>
      </c>
      <c r="AF109" s="431">
        <v>553769</v>
      </c>
      <c r="AG109" s="431">
        <v>73479</v>
      </c>
      <c r="AH109" s="431">
        <v>324533</v>
      </c>
      <c r="AI109" s="431">
        <v>1371209</v>
      </c>
      <c r="AJ109" s="431">
        <v>0</v>
      </c>
      <c r="AK109" s="431">
        <v>0</v>
      </c>
      <c r="AL109" s="431">
        <v>208964</v>
      </c>
      <c r="AM109" s="431">
        <v>36455</v>
      </c>
    </row>
    <row r="110" spans="1:39" s="155" customFormat="1" ht="12" x14ac:dyDescent="0.2">
      <c r="A110" s="168">
        <v>56</v>
      </c>
      <c r="B110" s="214">
        <v>130847</v>
      </c>
      <c r="C110" s="215" t="s">
        <v>111</v>
      </c>
      <c r="D110" s="432">
        <f t="shared" si="10"/>
        <v>12468340</v>
      </c>
      <c r="E110" s="431">
        <v>10021902</v>
      </c>
      <c r="F110" s="431">
        <v>4534559</v>
      </c>
      <c r="G110" s="431">
        <v>300103</v>
      </c>
      <c r="H110" s="431"/>
      <c r="I110" s="431">
        <v>2046033</v>
      </c>
      <c r="J110" s="431">
        <v>350000</v>
      </c>
      <c r="K110" s="431">
        <v>48000</v>
      </c>
      <c r="L110" s="431"/>
      <c r="M110" s="431">
        <v>2405</v>
      </c>
      <c r="N110" s="431">
        <v>0</v>
      </c>
      <c r="O110" s="431">
        <v>0</v>
      </c>
      <c r="P110" s="438">
        <f t="shared" si="12"/>
        <v>12467705</v>
      </c>
      <c r="Q110" s="431">
        <v>2523370</v>
      </c>
      <c r="R110" s="431">
        <v>3792189</v>
      </c>
      <c r="S110" s="431">
        <v>43000</v>
      </c>
      <c r="T110" s="431">
        <v>0</v>
      </c>
      <c r="U110" s="431">
        <v>229483</v>
      </c>
      <c r="V110" s="431">
        <v>0</v>
      </c>
      <c r="W110" s="431">
        <v>0</v>
      </c>
      <c r="X110" s="431">
        <v>356250</v>
      </c>
      <c r="Y110" s="431">
        <v>120002</v>
      </c>
      <c r="Z110" s="431">
        <v>4947911</v>
      </c>
      <c r="AA110" s="431">
        <v>458000</v>
      </c>
      <c r="AB110" s="431">
        <v>-2500</v>
      </c>
      <c r="AC110" s="431">
        <v>1976677</v>
      </c>
      <c r="AD110" s="431">
        <v>138904</v>
      </c>
      <c r="AE110" s="431">
        <v>2157928</v>
      </c>
      <c r="AF110" s="431">
        <v>0</v>
      </c>
      <c r="AG110" s="431">
        <v>1331644</v>
      </c>
      <c r="AH110" s="431">
        <v>753338</v>
      </c>
      <c r="AI110" s="431">
        <v>2715120</v>
      </c>
      <c r="AJ110" s="431">
        <v>241861</v>
      </c>
      <c r="AK110" s="431">
        <v>0</v>
      </c>
      <c r="AL110" s="431">
        <v>3046597</v>
      </c>
      <c r="AM110" s="431">
        <v>105636</v>
      </c>
    </row>
    <row r="111" spans="1:39" s="155" customFormat="1" ht="12" x14ac:dyDescent="0.2">
      <c r="A111" s="168">
        <v>57</v>
      </c>
      <c r="B111" s="214">
        <v>134336</v>
      </c>
      <c r="C111" s="215" t="s">
        <v>1863</v>
      </c>
      <c r="D111" s="432">
        <f t="shared" si="10"/>
        <v>3651201</v>
      </c>
      <c r="E111" s="431">
        <v>2254223</v>
      </c>
      <c r="F111" s="431">
        <v>206485</v>
      </c>
      <c r="G111" s="431">
        <v>1536290</v>
      </c>
      <c r="H111" s="431"/>
      <c r="I111" s="431">
        <v>1085711</v>
      </c>
      <c r="J111" s="431">
        <v>150000</v>
      </c>
      <c r="K111" s="431">
        <v>151000</v>
      </c>
      <c r="L111" s="431"/>
      <c r="M111" s="431">
        <v>10267</v>
      </c>
      <c r="N111" s="431">
        <v>0</v>
      </c>
      <c r="O111" s="431">
        <v>0</v>
      </c>
      <c r="P111" s="438">
        <f t="shared" si="12"/>
        <v>4471109</v>
      </c>
      <c r="Q111" s="431">
        <v>1418850</v>
      </c>
      <c r="R111" s="431">
        <v>587935</v>
      </c>
      <c r="S111" s="431">
        <v>0</v>
      </c>
      <c r="T111" s="431">
        <v>0</v>
      </c>
      <c r="U111" s="431">
        <v>0</v>
      </c>
      <c r="V111" s="431">
        <v>42889</v>
      </c>
      <c r="W111" s="431">
        <v>977674</v>
      </c>
      <c r="X111" s="431">
        <v>145226</v>
      </c>
      <c r="Y111" s="431">
        <v>75000</v>
      </c>
      <c r="Z111" s="431">
        <v>1223535</v>
      </c>
      <c r="AA111" s="431">
        <v>0</v>
      </c>
      <c r="AB111" s="431">
        <v>0</v>
      </c>
      <c r="AC111" s="431">
        <v>621502</v>
      </c>
      <c r="AD111" s="431">
        <v>72960</v>
      </c>
      <c r="AE111" s="431">
        <v>1413530</v>
      </c>
      <c r="AF111" s="431">
        <v>0</v>
      </c>
      <c r="AG111" s="431">
        <v>86356</v>
      </c>
      <c r="AH111" s="431">
        <v>289007</v>
      </c>
      <c r="AI111" s="431">
        <v>167088</v>
      </c>
      <c r="AJ111" s="431">
        <v>0</v>
      </c>
      <c r="AK111" s="431">
        <v>0</v>
      </c>
      <c r="AL111" s="431">
        <v>1820666</v>
      </c>
      <c r="AM111" s="431">
        <v>0</v>
      </c>
    </row>
    <row r="112" spans="1:39" s="155" customFormat="1" ht="12" x14ac:dyDescent="0.2">
      <c r="A112" s="168">
        <v>58</v>
      </c>
      <c r="B112" s="214">
        <v>134390</v>
      </c>
      <c r="C112" s="215" t="s">
        <v>1864</v>
      </c>
      <c r="D112" s="432">
        <f t="shared" si="10"/>
        <v>3394029</v>
      </c>
      <c r="E112" s="431">
        <v>2299187</v>
      </c>
      <c r="F112" s="431">
        <v>137946</v>
      </c>
      <c r="G112" s="431">
        <v>1117935</v>
      </c>
      <c r="H112" s="431"/>
      <c r="I112" s="431">
        <v>982679</v>
      </c>
      <c r="J112" s="431">
        <v>0</v>
      </c>
      <c r="K112" s="431">
        <v>106000</v>
      </c>
      <c r="L112" s="431"/>
      <c r="M112" s="431">
        <v>6163</v>
      </c>
      <c r="N112" s="431">
        <v>0</v>
      </c>
      <c r="O112" s="431">
        <v>0</v>
      </c>
      <c r="P112" s="438">
        <f t="shared" si="12"/>
        <v>2972401</v>
      </c>
      <c r="Q112" s="431">
        <v>1388600</v>
      </c>
      <c r="R112" s="431">
        <v>620817</v>
      </c>
      <c r="S112" s="431">
        <v>0</v>
      </c>
      <c r="T112" s="431">
        <v>0</v>
      </c>
      <c r="U112" s="431">
        <v>0</v>
      </c>
      <c r="V112" s="431">
        <v>0</v>
      </c>
      <c r="W112" s="431">
        <v>0</v>
      </c>
      <c r="X112" s="431">
        <v>78666</v>
      </c>
      <c r="Y112" s="431">
        <v>10320</v>
      </c>
      <c r="Z112" s="431">
        <v>878833</v>
      </c>
      <c r="AA112" s="431">
        <v>0</v>
      </c>
      <c r="AB112" s="431">
        <v>-4835</v>
      </c>
      <c r="AC112" s="431">
        <v>622956</v>
      </c>
      <c r="AD112" s="431">
        <v>57405</v>
      </c>
      <c r="AE112" s="431">
        <v>784845</v>
      </c>
      <c r="AF112" s="431">
        <v>0</v>
      </c>
      <c r="AG112" s="431">
        <v>75616</v>
      </c>
      <c r="AH112" s="431">
        <v>317241</v>
      </c>
      <c r="AI112" s="431">
        <v>71631</v>
      </c>
      <c r="AJ112" s="431">
        <v>0</v>
      </c>
      <c r="AK112" s="431">
        <v>0</v>
      </c>
      <c r="AL112" s="431">
        <v>978912</v>
      </c>
      <c r="AM112" s="431">
        <v>63795</v>
      </c>
    </row>
    <row r="113" spans="1:39" s="155" customFormat="1" ht="12" x14ac:dyDescent="0.2">
      <c r="A113" s="168">
        <v>59</v>
      </c>
      <c r="B113" s="214">
        <v>134443</v>
      </c>
      <c r="C113" s="215" t="s">
        <v>1865</v>
      </c>
      <c r="D113" s="432">
        <f t="shared" si="10"/>
        <v>6322528</v>
      </c>
      <c r="E113" s="431">
        <v>1919766</v>
      </c>
      <c r="F113" s="431">
        <v>226838</v>
      </c>
      <c r="G113" s="431">
        <v>918197</v>
      </c>
      <c r="H113" s="431"/>
      <c r="I113" s="431">
        <v>2305602</v>
      </c>
      <c r="J113" s="431">
        <v>200000</v>
      </c>
      <c r="K113" s="431">
        <v>1173000</v>
      </c>
      <c r="L113" s="431"/>
      <c r="M113" s="431">
        <v>722160</v>
      </c>
      <c r="N113" s="431">
        <v>0</v>
      </c>
      <c r="O113" s="431">
        <v>2000</v>
      </c>
      <c r="P113" s="438">
        <f t="shared" si="12"/>
        <v>6170569</v>
      </c>
      <c r="Q113" s="431">
        <v>2849030</v>
      </c>
      <c r="R113" s="431">
        <v>940011</v>
      </c>
      <c r="S113" s="431">
        <v>0</v>
      </c>
      <c r="T113" s="431">
        <v>0</v>
      </c>
      <c r="U113" s="431">
        <v>0</v>
      </c>
      <c r="V113" s="431">
        <v>70000</v>
      </c>
      <c r="W113" s="431">
        <v>0</v>
      </c>
      <c r="X113" s="431">
        <v>271289</v>
      </c>
      <c r="Y113" s="431">
        <v>49433</v>
      </c>
      <c r="Z113" s="431">
        <v>2088854</v>
      </c>
      <c r="AA113" s="431">
        <v>0</v>
      </c>
      <c r="AB113" s="431">
        <v>-98048</v>
      </c>
      <c r="AC113" s="431">
        <v>1489809</v>
      </c>
      <c r="AD113" s="431">
        <v>113721</v>
      </c>
      <c r="AE113" s="431">
        <v>1975145</v>
      </c>
      <c r="AF113" s="431">
        <v>16010</v>
      </c>
      <c r="AG113" s="431">
        <v>404950</v>
      </c>
      <c r="AH113" s="431">
        <v>637079</v>
      </c>
      <c r="AI113" s="431">
        <v>559555</v>
      </c>
      <c r="AJ113" s="431">
        <v>0</v>
      </c>
      <c r="AK113" s="431">
        <v>0</v>
      </c>
      <c r="AL113" s="431">
        <v>974300</v>
      </c>
      <c r="AM113" s="431">
        <v>0</v>
      </c>
    </row>
    <row r="114" spans="1:39" s="155" customFormat="1" ht="12" x14ac:dyDescent="0.2">
      <c r="A114" s="168">
        <v>60</v>
      </c>
      <c r="B114" s="214">
        <v>134559</v>
      </c>
      <c r="C114" s="215" t="s">
        <v>1866</v>
      </c>
      <c r="D114" s="432">
        <f t="shared" si="10"/>
        <v>6570136</v>
      </c>
      <c r="E114" s="431">
        <v>2413976</v>
      </c>
      <c r="F114" s="431">
        <v>251776</v>
      </c>
      <c r="G114" s="431">
        <v>815843</v>
      </c>
      <c r="H114" s="431"/>
      <c r="I114" s="431">
        <v>2047621</v>
      </c>
      <c r="J114" s="431">
        <v>200000</v>
      </c>
      <c r="K114" s="431">
        <v>821000</v>
      </c>
      <c r="L114" s="431"/>
      <c r="M114" s="431">
        <v>865735</v>
      </c>
      <c r="N114" s="431">
        <v>221804</v>
      </c>
      <c r="O114" s="431">
        <v>0</v>
      </c>
      <c r="P114" s="438">
        <f t="shared" si="12"/>
        <v>6654052</v>
      </c>
      <c r="Q114" s="431">
        <v>2449381</v>
      </c>
      <c r="R114" s="431">
        <v>1871044</v>
      </c>
      <c r="S114" s="431">
        <v>0</v>
      </c>
      <c r="T114" s="431">
        <v>0</v>
      </c>
      <c r="U114" s="431">
        <v>0</v>
      </c>
      <c r="V114" s="431">
        <v>0</v>
      </c>
      <c r="W114" s="431">
        <v>295714</v>
      </c>
      <c r="X114" s="431">
        <v>248267</v>
      </c>
      <c r="Y114" s="431">
        <v>46540</v>
      </c>
      <c r="Z114" s="431">
        <v>1745908</v>
      </c>
      <c r="AA114" s="431">
        <v>0</v>
      </c>
      <c r="AB114" s="431">
        <v>-2802</v>
      </c>
      <c r="AC114" s="431">
        <v>1622673</v>
      </c>
      <c r="AD114" s="431">
        <v>54403</v>
      </c>
      <c r="AE114" s="431">
        <v>1855520</v>
      </c>
      <c r="AF114" s="431">
        <v>133533</v>
      </c>
      <c r="AG114" s="431">
        <v>55551</v>
      </c>
      <c r="AH114" s="431">
        <v>514029</v>
      </c>
      <c r="AI114" s="431">
        <v>327830</v>
      </c>
      <c r="AJ114" s="431">
        <v>0</v>
      </c>
      <c r="AK114" s="431">
        <v>0</v>
      </c>
      <c r="AL114" s="431">
        <v>2090513</v>
      </c>
      <c r="AM114" s="431">
        <v>0</v>
      </c>
    </row>
    <row r="115" spans="1:39" s="155" customFormat="1" ht="12" x14ac:dyDescent="0.2">
      <c r="A115" s="168">
        <v>61</v>
      </c>
      <c r="B115" s="214">
        <v>131274</v>
      </c>
      <c r="C115" s="215" t="s">
        <v>1867</v>
      </c>
      <c r="D115" s="432">
        <f t="shared" si="10"/>
        <v>6133441</v>
      </c>
      <c r="E115" s="431">
        <v>3851492</v>
      </c>
      <c r="F115" s="431">
        <v>780402</v>
      </c>
      <c r="G115" s="431">
        <v>546545</v>
      </c>
      <c r="H115" s="431"/>
      <c r="I115" s="431">
        <v>1513174</v>
      </c>
      <c r="J115" s="431">
        <v>0</v>
      </c>
      <c r="K115" s="431">
        <v>727000</v>
      </c>
      <c r="L115" s="431"/>
      <c r="M115" s="431">
        <v>24775</v>
      </c>
      <c r="N115" s="431">
        <v>0</v>
      </c>
      <c r="O115" s="431">
        <v>17000</v>
      </c>
      <c r="P115" s="438">
        <f t="shared" si="12"/>
        <v>4414015</v>
      </c>
      <c r="Q115" s="431">
        <v>1850470</v>
      </c>
      <c r="R115" s="431">
        <v>1488400</v>
      </c>
      <c r="S115" s="431">
        <v>0</v>
      </c>
      <c r="T115" s="431">
        <v>10949</v>
      </c>
      <c r="U115" s="431">
        <v>0</v>
      </c>
      <c r="V115" s="431">
        <v>0</v>
      </c>
      <c r="W115" s="431">
        <v>0</v>
      </c>
      <c r="X115" s="431">
        <v>252336</v>
      </c>
      <c r="Y115" s="431">
        <v>65640</v>
      </c>
      <c r="Z115" s="431">
        <v>863327</v>
      </c>
      <c r="AA115" s="431">
        <v>0</v>
      </c>
      <c r="AB115" s="431">
        <v>-117107</v>
      </c>
      <c r="AC115" s="431">
        <v>790636</v>
      </c>
      <c r="AD115" s="431">
        <v>131026</v>
      </c>
      <c r="AE115" s="431">
        <v>1264054</v>
      </c>
      <c r="AF115" s="431">
        <v>21056</v>
      </c>
      <c r="AG115" s="431">
        <v>126734</v>
      </c>
      <c r="AH115" s="431">
        <v>538343</v>
      </c>
      <c r="AI115" s="431">
        <v>472634</v>
      </c>
      <c r="AJ115" s="431">
        <v>0</v>
      </c>
      <c r="AK115" s="431">
        <v>0</v>
      </c>
      <c r="AL115" s="431">
        <v>1069532</v>
      </c>
      <c r="AM115" s="431">
        <v>0</v>
      </c>
    </row>
    <row r="116" spans="1:39" s="155" customFormat="1" ht="12" x14ac:dyDescent="0.2">
      <c r="A116" s="168">
        <v>62</v>
      </c>
      <c r="B116" s="214">
        <v>134648</v>
      </c>
      <c r="C116" s="215" t="s">
        <v>1868</v>
      </c>
      <c r="D116" s="432">
        <f t="shared" si="10"/>
        <v>4697731</v>
      </c>
      <c r="E116" s="431">
        <v>1811942</v>
      </c>
      <c r="F116" s="431">
        <v>218437</v>
      </c>
      <c r="G116" s="431">
        <v>966889</v>
      </c>
      <c r="H116" s="431"/>
      <c r="I116" s="431">
        <v>2201951</v>
      </c>
      <c r="J116" s="431">
        <v>200000</v>
      </c>
      <c r="K116" s="431">
        <v>450000</v>
      </c>
      <c r="L116" s="431"/>
      <c r="M116" s="431">
        <v>33600</v>
      </c>
      <c r="N116" s="431">
        <v>238</v>
      </c>
      <c r="O116" s="431">
        <v>0</v>
      </c>
      <c r="P116" s="438">
        <f t="shared" si="12"/>
        <v>4711276</v>
      </c>
      <c r="Q116" s="431">
        <v>2646654</v>
      </c>
      <c r="R116" s="431">
        <v>830442</v>
      </c>
      <c r="S116" s="431">
        <v>0</v>
      </c>
      <c r="T116" s="431">
        <v>0</v>
      </c>
      <c r="U116" s="431">
        <v>0</v>
      </c>
      <c r="V116" s="431">
        <v>0</v>
      </c>
      <c r="W116" s="431">
        <v>0</v>
      </c>
      <c r="X116" s="431">
        <v>182801</v>
      </c>
      <c r="Y116" s="431">
        <v>65960</v>
      </c>
      <c r="Z116" s="431">
        <v>1041605</v>
      </c>
      <c r="AA116" s="431">
        <v>0</v>
      </c>
      <c r="AB116" s="431">
        <v>-56186</v>
      </c>
      <c r="AC116" s="431">
        <v>698356</v>
      </c>
      <c r="AD116" s="431">
        <v>81761</v>
      </c>
      <c r="AE116" s="431">
        <v>2188813</v>
      </c>
      <c r="AF116" s="431">
        <v>0</v>
      </c>
      <c r="AG116" s="431">
        <v>366272</v>
      </c>
      <c r="AH116" s="431">
        <v>710117</v>
      </c>
      <c r="AI116" s="431">
        <v>97653</v>
      </c>
      <c r="AJ116" s="431">
        <v>0</v>
      </c>
      <c r="AK116" s="431">
        <v>0</v>
      </c>
      <c r="AL116" s="431">
        <v>568304</v>
      </c>
      <c r="AM116" s="431">
        <v>0</v>
      </c>
    </row>
    <row r="117" spans="1:39" s="155" customFormat="1" ht="12" x14ac:dyDescent="0.2">
      <c r="A117" s="168">
        <v>63</v>
      </c>
      <c r="B117" s="214">
        <v>134755</v>
      </c>
      <c r="C117" s="215" t="s">
        <v>1869</v>
      </c>
      <c r="D117" s="432">
        <f t="shared" si="10"/>
        <v>3077927</v>
      </c>
      <c r="E117" s="431">
        <v>1678733</v>
      </c>
      <c r="F117" s="431">
        <v>94053</v>
      </c>
      <c r="G117" s="431">
        <v>1252086</v>
      </c>
      <c r="H117" s="431"/>
      <c r="I117" s="431">
        <v>1285067</v>
      </c>
      <c r="J117" s="431">
        <v>0</v>
      </c>
      <c r="K117" s="431">
        <v>101000</v>
      </c>
      <c r="L117" s="431"/>
      <c r="M117" s="431">
        <v>13127</v>
      </c>
      <c r="N117" s="431">
        <v>0</v>
      </c>
      <c r="O117" s="431">
        <v>0</v>
      </c>
      <c r="P117" s="438">
        <f t="shared" si="12"/>
        <v>2235478</v>
      </c>
      <c r="Q117" s="431">
        <v>1646250</v>
      </c>
      <c r="R117" s="431">
        <v>448699</v>
      </c>
      <c r="S117" s="431">
        <v>0</v>
      </c>
      <c r="T117" s="431">
        <v>0</v>
      </c>
      <c r="U117" s="431">
        <v>0</v>
      </c>
      <c r="V117" s="431">
        <v>0</v>
      </c>
      <c r="W117" s="431">
        <v>0</v>
      </c>
      <c r="X117" s="431">
        <v>92571</v>
      </c>
      <c r="Y117" s="431">
        <v>22972</v>
      </c>
      <c r="Z117" s="431">
        <v>25489</v>
      </c>
      <c r="AA117" s="431">
        <v>0</v>
      </c>
      <c r="AB117" s="431">
        <v>-503</v>
      </c>
      <c r="AC117" s="431">
        <v>457973</v>
      </c>
      <c r="AD117" s="431">
        <v>73603</v>
      </c>
      <c r="AE117" s="431">
        <v>1074026</v>
      </c>
      <c r="AF117" s="431">
        <v>0</v>
      </c>
      <c r="AG117" s="431">
        <v>16558</v>
      </c>
      <c r="AH117" s="431">
        <v>391697</v>
      </c>
      <c r="AI117" s="431">
        <v>61155</v>
      </c>
      <c r="AJ117" s="431">
        <v>0</v>
      </c>
      <c r="AK117" s="431">
        <v>0</v>
      </c>
      <c r="AL117" s="431">
        <v>160466</v>
      </c>
      <c r="AM117" s="431">
        <v>0</v>
      </c>
    </row>
    <row r="118" spans="1:39" s="155" customFormat="1" ht="12" x14ac:dyDescent="0.2">
      <c r="A118" s="168">
        <v>64</v>
      </c>
      <c r="B118" s="214">
        <v>134853</v>
      </c>
      <c r="C118" s="215" t="s">
        <v>1870</v>
      </c>
      <c r="D118" s="432">
        <f t="shared" ref="D118:D144" si="13">E118+SUM(H118:O118)</f>
        <v>3189573</v>
      </c>
      <c r="E118" s="431">
        <v>1595654</v>
      </c>
      <c r="F118" s="431">
        <v>87223</v>
      </c>
      <c r="G118" s="431">
        <v>1005644</v>
      </c>
      <c r="H118" s="431"/>
      <c r="I118" s="431">
        <v>907488</v>
      </c>
      <c r="J118" s="431">
        <v>386301</v>
      </c>
      <c r="K118" s="431">
        <v>295000</v>
      </c>
      <c r="L118" s="431"/>
      <c r="M118" s="431">
        <v>5130</v>
      </c>
      <c r="N118" s="431">
        <v>0</v>
      </c>
      <c r="O118" s="431">
        <v>0</v>
      </c>
      <c r="P118" s="438">
        <f t="shared" si="12"/>
        <v>2676511</v>
      </c>
      <c r="Q118" s="431">
        <v>1202234</v>
      </c>
      <c r="R118" s="431">
        <v>1254590</v>
      </c>
      <c r="S118" s="431">
        <v>0</v>
      </c>
      <c r="T118" s="431">
        <v>0</v>
      </c>
      <c r="U118" s="431">
        <v>0</v>
      </c>
      <c r="V118" s="431">
        <v>24593</v>
      </c>
      <c r="W118" s="431">
        <v>0</v>
      </c>
      <c r="X118" s="431">
        <v>209357</v>
      </c>
      <c r="Y118" s="431">
        <v>22900</v>
      </c>
      <c r="Z118" s="431">
        <v>9847</v>
      </c>
      <c r="AA118" s="431">
        <v>0</v>
      </c>
      <c r="AB118" s="431">
        <v>-47010</v>
      </c>
      <c r="AC118" s="431">
        <v>650242</v>
      </c>
      <c r="AD118" s="431">
        <v>79875</v>
      </c>
      <c r="AE118" s="431">
        <v>807372</v>
      </c>
      <c r="AF118" s="431">
        <v>0</v>
      </c>
      <c r="AG118" s="431">
        <v>87426</v>
      </c>
      <c r="AH118" s="431">
        <v>232219</v>
      </c>
      <c r="AI118" s="431">
        <v>90761</v>
      </c>
      <c r="AJ118" s="431">
        <v>0</v>
      </c>
      <c r="AK118" s="431">
        <v>0</v>
      </c>
      <c r="AL118" s="431">
        <v>723616</v>
      </c>
      <c r="AM118" s="431">
        <v>5000</v>
      </c>
    </row>
    <row r="119" spans="1:39" s="155" customFormat="1" ht="12" x14ac:dyDescent="0.2">
      <c r="A119" s="168">
        <v>65</v>
      </c>
      <c r="B119" s="214">
        <v>134899</v>
      </c>
      <c r="C119" s="215" t="s">
        <v>1871</v>
      </c>
      <c r="D119" s="432">
        <f t="shared" si="13"/>
        <v>3781780</v>
      </c>
      <c r="E119" s="431">
        <v>1715920</v>
      </c>
      <c r="F119" s="431">
        <v>94927</v>
      </c>
      <c r="G119" s="431">
        <v>1364377</v>
      </c>
      <c r="H119" s="431"/>
      <c r="I119" s="431">
        <v>822300</v>
      </c>
      <c r="J119" s="431">
        <v>0</v>
      </c>
      <c r="K119" s="431">
        <v>107000</v>
      </c>
      <c r="L119" s="431"/>
      <c r="M119" s="431">
        <v>266729</v>
      </c>
      <c r="N119" s="431">
        <v>869831</v>
      </c>
      <c r="O119" s="431">
        <v>0</v>
      </c>
      <c r="P119" s="438">
        <f t="shared" ref="P119:P144" si="14">IF(SUM(Q119:AB119)=SUM(AC119:AM119),SUM(Q119:AB119),"  EROARE ART/CAP")</f>
        <v>3661884</v>
      </c>
      <c r="Q119" s="431">
        <v>1145521</v>
      </c>
      <c r="R119" s="431">
        <v>400077</v>
      </c>
      <c r="S119" s="431">
        <v>0</v>
      </c>
      <c r="T119" s="431">
        <v>0</v>
      </c>
      <c r="U119" s="431">
        <v>0</v>
      </c>
      <c r="V119" s="431">
        <v>27000</v>
      </c>
      <c r="W119" s="431">
        <v>1427631</v>
      </c>
      <c r="X119" s="431">
        <v>93567</v>
      </c>
      <c r="Y119" s="431">
        <v>19650</v>
      </c>
      <c r="Z119" s="431">
        <v>549825</v>
      </c>
      <c r="AA119" s="431">
        <v>0</v>
      </c>
      <c r="AB119" s="431">
        <v>-1387</v>
      </c>
      <c r="AC119" s="431">
        <v>636919</v>
      </c>
      <c r="AD119" s="431">
        <v>28426</v>
      </c>
      <c r="AE119" s="431">
        <v>734182</v>
      </c>
      <c r="AF119" s="431">
        <v>0</v>
      </c>
      <c r="AG119" s="431">
        <v>33559</v>
      </c>
      <c r="AH119" s="431">
        <v>172209</v>
      </c>
      <c r="AI119" s="431">
        <v>468208</v>
      </c>
      <c r="AJ119" s="431">
        <v>0</v>
      </c>
      <c r="AK119" s="431">
        <v>0</v>
      </c>
      <c r="AL119" s="431">
        <v>1588381</v>
      </c>
      <c r="AM119" s="431">
        <v>0</v>
      </c>
    </row>
    <row r="120" spans="1:39" s="155" customFormat="1" ht="12" x14ac:dyDescent="0.2">
      <c r="A120" s="168">
        <v>66</v>
      </c>
      <c r="B120" s="214">
        <v>134942</v>
      </c>
      <c r="C120" s="215" t="s">
        <v>1872</v>
      </c>
      <c r="D120" s="432">
        <f t="shared" si="13"/>
        <v>10387329</v>
      </c>
      <c r="E120" s="431">
        <v>4106370</v>
      </c>
      <c r="F120" s="431">
        <v>784291</v>
      </c>
      <c r="G120" s="431">
        <v>816837</v>
      </c>
      <c r="H120" s="431"/>
      <c r="I120" s="431">
        <v>3463187</v>
      </c>
      <c r="J120" s="431">
        <v>0</v>
      </c>
      <c r="K120" s="431">
        <v>1488000</v>
      </c>
      <c r="L120" s="431"/>
      <c r="M120" s="431">
        <v>1297986</v>
      </c>
      <c r="N120" s="431">
        <v>31786</v>
      </c>
      <c r="O120" s="431">
        <v>0</v>
      </c>
      <c r="P120" s="438">
        <f t="shared" si="14"/>
        <v>7593868</v>
      </c>
      <c r="Q120" s="431">
        <v>3616042</v>
      </c>
      <c r="R120" s="431">
        <v>1709553</v>
      </c>
      <c r="S120" s="431">
        <v>20500</v>
      </c>
      <c r="T120" s="431">
        <v>0</v>
      </c>
      <c r="U120" s="431">
        <v>0</v>
      </c>
      <c r="V120" s="431">
        <v>0</v>
      </c>
      <c r="W120" s="431">
        <v>1109365</v>
      </c>
      <c r="X120" s="431">
        <v>440544</v>
      </c>
      <c r="Y120" s="431">
        <v>69200</v>
      </c>
      <c r="Z120" s="431">
        <v>393046</v>
      </c>
      <c r="AA120" s="431">
        <v>239000</v>
      </c>
      <c r="AB120" s="431">
        <v>-3382</v>
      </c>
      <c r="AC120" s="431">
        <v>1313917</v>
      </c>
      <c r="AD120" s="431">
        <v>216225</v>
      </c>
      <c r="AE120" s="431">
        <v>2917255</v>
      </c>
      <c r="AF120" s="431">
        <v>0</v>
      </c>
      <c r="AG120" s="431">
        <v>331105</v>
      </c>
      <c r="AH120" s="431">
        <v>841028</v>
      </c>
      <c r="AI120" s="431">
        <v>680629</v>
      </c>
      <c r="AJ120" s="431">
        <v>76629</v>
      </c>
      <c r="AK120" s="431">
        <v>0</v>
      </c>
      <c r="AL120" s="431">
        <v>1098438</v>
      </c>
      <c r="AM120" s="431">
        <v>118642</v>
      </c>
    </row>
    <row r="121" spans="1:39" s="155" customFormat="1" ht="12" x14ac:dyDescent="0.2">
      <c r="A121" s="168">
        <v>67</v>
      </c>
      <c r="B121" s="214">
        <v>135020</v>
      </c>
      <c r="C121" s="215" t="s">
        <v>1873</v>
      </c>
      <c r="D121" s="432">
        <f t="shared" si="13"/>
        <v>6276403</v>
      </c>
      <c r="E121" s="431">
        <v>2231798</v>
      </c>
      <c r="F121" s="431">
        <v>208515</v>
      </c>
      <c r="G121" s="431">
        <v>1236186</v>
      </c>
      <c r="H121" s="431"/>
      <c r="I121" s="431">
        <v>2641270</v>
      </c>
      <c r="J121" s="431">
        <v>0</v>
      </c>
      <c r="K121" s="431">
        <v>970000</v>
      </c>
      <c r="L121" s="431"/>
      <c r="M121" s="431">
        <v>433335</v>
      </c>
      <c r="N121" s="431">
        <v>0</v>
      </c>
      <c r="O121" s="431">
        <v>0</v>
      </c>
      <c r="P121" s="438">
        <f t="shared" si="14"/>
        <v>6236749</v>
      </c>
      <c r="Q121" s="431">
        <v>3022308</v>
      </c>
      <c r="R121" s="431">
        <v>1425843</v>
      </c>
      <c r="S121" s="431">
        <v>0</v>
      </c>
      <c r="T121" s="431">
        <v>0</v>
      </c>
      <c r="U121" s="431">
        <v>0</v>
      </c>
      <c r="V121" s="431">
        <v>3809</v>
      </c>
      <c r="W121" s="431">
        <v>0</v>
      </c>
      <c r="X121" s="431">
        <v>261867</v>
      </c>
      <c r="Y121" s="431">
        <v>84300</v>
      </c>
      <c r="Z121" s="431">
        <v>1442431</v>
      </c>
      <c r="AA121" s="431">
        <v>0</v>
      </c>
      <c r="AB121" s="431">
        <v>-3809</v>
      </c>
      <c r="AC121" s="431">
        <v>1115897</v>
      </c>
      <c r="AD121" s="431">
        <v>144980</v>
      </c>
      <c r="AE121" s="431">
        <v>2239677</v>
      </c>
      <c r="AF121" s="431">
        <v>0</v>
      </c>
      <c r="AG121" s="431">
        <v>227253</v>
      </c>
      <c r="AH121" s="431">
        <v>930657</v>
      </c>
      <c r="AI121" s="431">
        <v>766441</v>
      </c>
      <c r="AJ121" s="431">
        <v>0</v>
      </c>
      <c r="AK121" s="431">
        <v>0</v>
      </c>
      <c r="AL121" s="431">
        <v>689254</v>
      </c>
      <c r="AM121" s="431">
        <v>122590</v>
      </c>
    </row>
    <row r="122" spans="1:39" s="155" customFormat="1" ht="12" x14ac:dyDescent="0.2">
      <c r="A122" s="168">
        <v>68</v>
      </c>
      <c r="B122" s="214">
        <v>135128</v>
      </c>
      <c r="C122" s="215" t="s">
        <v>551</v>
      </c>
      <c r="D122" s="432">
        <f t="shared" si="13"/>
        <v>2586510</v>
      </c>
      <c r="E122" s="431">
        <v>1767410</v>
      </c>
      <c r="F122" s="431">
        <v>43057</v>
      </c>
      <c r="G122" s="431">
        <v>1511447</v>
      </c>
      <c r="H122" s="431"/>
      <c r="I122" s="431">
        <v>665520</v>
      </c>
      <c r="J122" s="431">
        <v>0</v>
      </c>
      <c r="K122" s="431">
        <v>137000</v>
      </c>
      <c r="L122" s="431"/>
      <c r="M122" s="431">
        <v>16580</v>
      </c>
      <c r="N122" s="431">
        <v>0</v>
      </c>
      <c r="O122" s="431">
        <v>0</v>
      </c>
      <c r="P122" s="438">
        <f t="shared" si="14"/>
        <v>2013162</v>
      </c>
      <c r="Q122" s="431">
        <v>956996</v>
      </c>
      <c r="R122" s="431">
        <v>436530</v>
      </c>
      <c r="S122" s="431">
        <v>0</v>
      </c>
      <c r="T122" s="431">
        <v>0</v>
      </c>
      <c r="U122" s="431">
        <v>0</v>
      </c>
      <c r="V122" s="431">
        <v>0</v>
      </c>
      <c r="W122" s="431">
        <v>0</v>
      </c>
      <c r="X122" s="431">
        <v>125212</v>
      </c>
      <c r="Y122" s="431">
        <v>60000</v>
      </c>
      <c r="Z122" s="431">
        <v>453821</v>
      </c>
      <c r="AA122" s="431">
        <v>0</v>
      </c>
      <c r="AB122" s="431">
        <v>-19397</v>
      </c>
      <c r="AC122" s="431">
        <v>631359</v>
      </c>
      <c r="AD122" s="431">
        <v>47173</v>
      </c>
      <c r="AE122" s="431">
        <v>635790</v>
      </c>
      <c r="AF122" s="431">
        <v>0</v>
      </c>
      <c r="AG122" s="431">
        <v>222807</v>
      </c>
      <c r="AH122" s="431">
        <v>251412</v>
      </c>
      <c r="AI122" s="431">
        <v>33378</v>
      </c>
      <c r="AJ122" s="431">
        <v>0</v>
      </c>
      <c r="AK122" s="431">
        <v>0</v>
      </c>
      <c r="AL122" s="431">
        <v>191243</v>
      </c>
      <c r="AM122" s="431">
        <v>0</v>
      </c>
    </row>
    <row r="123" spans="1:39" s="155" customFormat="1" ht="12" x14ac:dyDescent="0.2">
      <c r="A123" s="168">
        <v>69</v>
      </c>
      <c r="B123" s="214">
        <v>135146</v>
      </c>
      <c r="C123" s="215" t="s">
        <v>1874</v>
      </c>
      <c r="D123" s="432">
        <f t="shared" si="13"/>
        <v>6941224</v>
      </c>
      <c r="E123" s="431">
        <v>2034084</v>
      </c>
      <c r="F123" s="431">
        <v>196383</v>
      </c>
      <c r="G123" s="431">
        <v>815843</v>
      </c>
      <c r="H123" s="431"/>
      <c r="I123" s="431">
        <v>704597</v>
      </c>
      <c r="J123" s="431">
        <v>0</v>
      </c>
      <c r="K123" s="431">
        <v>1393780</v>
      </c>
      <c r="L123" s="431"/>
      <c r="M123" s="431">
        <v>138572</v>
      </c>
      <c r="N123" s="431">
        <v>387551</v>
      </c>
      <c r="O123" s="431">
        <v>2282640</v>
      </c>
      <c r="P123" s="438">
        <f t="shared" si="14"/>
        <v>6862210</v>
      </c>
      <c r="Q123" s="431">
        <v>878315</v>
      </c>
      <c r="R123" s="431">
        <v>389980</v>
      </c>
      <c r="S123" s="431">
        <v>0</v>
      </c>
      <c r="T123" s="431">
        <v>0</v>
      </c>
      <c r="U123" s="431">
        <v>0</v>
      </c>
      <c r="V123" s="431">
        <v>0</v>
      </c>
      <c r="W123" s="431">
        <v>506206</v>
      </c>
      <c r="X123" s="431">
        <v>184637</v>
      </c>
      <c r="Y123" s="431">
        <v>21378</v>
      </c>
      <c r="Z123" s="431">
        <v>4881694</v>
      </c>
      <c r="AA123" s="431">
        <v>0</v>
      </c>
      <c r="AB123" s="431">
        <v>0</v>
      </c>
      <c r="AC123" s="431">
        <v>536330</v>
      </c>
      <c r="AD123" s="431">
        <v>40805</v>
      </c>
      <c r="AE123" s="431">
        <v>619505</v>
      </c>
      <c r="AF123" s="431">
        <v>0</v>
      </c>
      <c r="AG123" s="431">
        <v>12733</v>
      </c>
      <c r="AH123" s="431">
        <v>215276</v>
      </c>
      <c r="AI123" s="431">
        <v>4404567</v>
      </c>
      <c r="AJ123" s="431">
        <v>0</v>
      </c>
      <c r="AK123" s="431">
        <v>0</v>
      </c>
      <c r="AL123" s="431">
        <v>1017768</v>
      </c>
      <c r="AM123" s="431">
        <v>15226</v>
      </c>
    </row>
    <row r="124" spans="1:39" s="155" customFormat="1" ht="12" x14ac:dyDescent="0.2">
      <c r="A124" s="168">
        <v>70</v>
      </c>
      <c r="B124" s="214">
        <v>135164</v>
      </c>
      <c r="C124" s="215" t="s">
        <v>1875</v>
      </c>
      <c r="D124" s="432">
        <f t="shared" si="13"/>
        <v>7208983</v>
      </c>
      <c r="E124" s="431">
        <v>2689657</v>
      </c>
      <c r="F124" s="431">
        <v>613452</v>
      </c>
      <c r="G124" s="431">
        <v>652873</v>
      </c>
      <c r="H124" s="431"/>
      <c r="I124" s="431">
        <v>2731523</v>
      </c>
      <c r="J124" s="431">
        <v>0</v>
      </c>
      <c r="K124" s="431">
        <v>1318000</v>
      </c>
      <c r="L124" s="431"/>
      <c r="M124" s="431">
        <v>125983</v>
      </c>
      <c r="N124" s="431">
        <v>343820</v>
      </c>
      <c r="O124" s="431">
        <v>0</v>
      </c>
      <c r="P124" s="438">
        <f t="shared" si="14"/>
        <v>7657567</v>
      </c>
      <c r="Q124" s="431">
        <v>3002272</v>
      </c>
      <c r="R124" s="431">
        <v>1432165</v>
      </c>
      <c r="S124" s="431">
        <v>0</v>
      </c>
      <c r="T124" s="431">
        <v>0</v>
      </c>
      <c r="U124" s="431">
        <v>124987</v>
      </c>
      <c r="V124" s="431">
        <v>15396</v>
      </c>
      <c r="W124" s="431">
        <v>436376</v>
      </c>
      <c r="X124" s="431">
        <v>505940</v>
      </c>
      <c r="Y124" s="431">
        <v>133196</v>
      </c>
      <c r="Z124" s="431">
        <v>2015784</v>
      </c>
      <c r="AA124" s="431">
        <v>0</v>
      </c>
      <c r="AB124" s="431">
        <v>-8549</v>
      </c>
      <c r="AC124" s="431">
        <v>1450574</v>
      </c>
      <c r="AD124" s="431">
        <v>151813</v>
      </c>
      <c r="AE124" s="431">
        <v>3068824</v>
      </c>
      <c r="AF124" s="431">
        <v>0</v>
      </c>
      <c r="AG124" s="431">
        <v>977190</v>
      </c>
      <c r="AH124" s="431">
        <v>998085</v>
      </c>
      <c r="AI124" s="431">
        <v>212552</v>
      </c>
      <c r="AJ124" s="431">
        <v>0</v>
      </c>
      <c r="AK124" s="431">
        <v>0</v>
      </c>
      <c r="AL124" s="431">
        <v>798529</v>
      </c>
      <c r="AM124" s="431">
        <v>0</v>
      </c>
    </row>
    <row r="125" spans="1:39" s="155" customFormat="1" ht="12" x14ac:dyDescent="0.2">
      <c r="A125" s="168">
        <v>71</v>
      </c>
      <c r="B125" s="214">
        <v>135226</v>
      </c>
      <c r="C125" s="215" t="s">
        <v>1876</v>
      </c>
      <c r="D125" s="432">
        <f t="shared" si="13"/>
        <v>2688237</v>
      </c>
      <c r="E125" s="431">
        <v>1745990</v>
      </c>
      <c r="F125" s="431">
        <v>85840</v>
      </c>
      <c r="G125" s="431">
        <v>1242149</v>
      </c>
      <c r="H125" s="431"/>
      <c r="I125" s="431">
        <v>684551</v>
      </c>
      <c r="J125" s="431">
        <v>0</v>
      </c>
      <c r="K125" s="431">
        <v>187000</v>
      </c>
      <c r="L125" s="431"/>
      <c r="M125" s="431">
        <v>60054</v>
      </c>
      <c r="N125" s="431">
        <v>0</v>
      </c>
      <c r="O125" s="431">
        <v>10642</v>
      </c>
      <c r="P125" s="438">
        <f t="shared" si="14"/>
        <v>2657014</v>
      </c>
      <c r="Q125" s="431">
        <v>1010208</v>
      </c>
      <c r="R125" s="431">
        <v>1261374</v>
      </c>
      <c r="S125" s="431">
        <v>0</v>
      </c>
      <c r="T125" s="431">
        <v>0</v>
      </c>
      <c r="U125" s="431">
        <v>6156</v>
      </c>
      <c r="V125" s="431">
        <v>0</v>
      </c>
      <c r="W125" s="431">
        <v>0</v>
      </c>
      <c r="X125" s="431">
        <v>148625</v>
      </c>
      <c r="Y125" s="431">
        <v>8800</v>
      </c>
      <c r="Z125" s="431">
        <v>221851</v>
      </c>
      <c r="AA125" s="431">
        <v>0</v>
      </c>
      <c r="AB125" s="431">
        <v>0</v>
      </c>
      <c r="AC125" s="431">
        <v>715439</v>
      </c>
      <c r="AD125" s="431">
        <v>47100</v>
      </c>
      <c r="AE125" s="431">
        <v>587491</v>
      </c>
      <c r="AF125" s="431">
        <v>0</v>
      </c>
      <c r="AG125" s="431">
        <v>141367</v>
      </c>
      <c r="AH125" s="431">
        <v>262032</v>
      </c>
      <c r="AI125" s="431">
        <v>432585</v>
      </c>
      <c r="AJ125" s="431">
        <v>10000</v>
      </c>
      <c r="AK125" s="431">
        <v>0</v>
      </c>
      <c r="AL125" s="431">
        <v>461000</v>
      </c>
      <c r="AM125" s="431">
        <v>0</v>
      </c>
    </row>
    <row r="126" spans="1:39" s="155" customFormat="1" ht="12" x14ac:dyDescent="0.2">
      <c r="A126" s="168">
        <v>72</v>
      </c>
      <c r="B126" s="214">
        <v>135244</v>
      </c>
      <c r="C126" s="215" t="s">
        <v>1877</v>
      </c>
      <c r="D126" s="432">
        <f t="shared" si="13"/>
        <v>7790667</v>
      </c>
      <c r="E126" s="431">
        <v>2282808</v>
      </c>
      <c r="F126" s="431">
        <v>259792</v>
      </c>
      <c r="G126" s="431">
        <v>1394188</v>
      </c>
      <c r="H126" s="431"/>
      <c r="I126" s="431">
        <v>3094625</v>
      </c>
      <c r="J126" s="431">
        <v>350000</v>
      </c>
      <c r="K126" s="431">
        <v>821000</v>
      </c>
      <c r="L126" s="431"/>
      <c r="M126" s="431">
        <v>1242234</v>
      </c>
      <c r="N126" s="431">
        <v>0</v>
      </c>
      <c r="O126" s="431">
        <v>0</v>
      </c>
      <c r="P126" s="438">
        <f t="shared" si="14"/>
        <v>7877862</v>
      </c>
      <c r="Q126" s="431">
        <v>3294682</v>
      </c>
      <c r="R126" s="431">
        <v>1640179</v>
      </c>
      <c r="S126" s="431">
        <v>66550</v>
      </c>
      <c r="T126" s="431">
        <v>0</v>
      </c>
      <c r="U126" s="431">
        <v>0</v>
      </c>
      <c r="V126" s="431">
        <v>203408</v>
      </c>
      <c r="W126" s="431">
        <v>0</v>
      </c>
      <c r="X126" s="431">
        <v>235125</v>
      </c>
      <c r="Y126" s="431">
        <v>0</v>
      </c>
      <c r="Z126" s="431">
        <v>2037502</v>
      </c>
      <c r="AA126" s="431">
        <v>426750</v>
      </c>
      <c r="AB126" s="431">
        <v>-26334</v>
      </c>
      <c r="AC126" s="431">
        <v>1052207</v>
      </c>
      <c r="AD126" s="431">
        <v>53024</v>
      </c>
      <c r="AE126" s="431">
        <v>2368988</v>
      </c>
      <c r="AF126" s="431">
        <v>0</v>
      </c>
      <c r="AG126" s="431">
        <v>404747</v>
      </c>
      <c r="AH126" s="431">
        <v>813289</v>
      </c>
      <c r="AI126" s="431">
        <v>1454343</v>
      </c>
      <c r="AJ126" s="431">
        <v>26040</v>
      </c>
      <c r="AK126" s="431">
        <v>0</v>
      </c>
      <c r="AL126" s="431">
        <v>1705224</v>
      </c>
      <c r="AM126" s="431">
        <v>0</v>
      </c>
    </row>
    <row r="127" spans="1:39" s="155" customFormat="1" ht="12" x14ac:dyDescent="0.2">
      <c r="A127" s="168">
        <v>73</v>
      </c>
      <c r="B127" s="214">
        <v>135315</v>
      </c>
      <c r="C127" s="215" t="s">
        <v>1878</v>
      </c>
      <c r="D127" s="432">
        <f t="shared" si="13"/>
        <v>5759699</v>
      </c>
      <c r="E127" s="431">
        <v>1908899</v>
      </c>
      <c r="F127" s="431">
        <v>321055</v>
      </c>
      <c r="G127" s="431">
        <v>1224262</v>
      </c>
      <c r="H127" s="431"/>
      <c r="I127" s="431">
        <v>2492211</v>
      </c>
      <c r="J127" s="431">
        <v>300000</v>
      </c>
      <c r="K127" s="431">
        <v>997750</v>
      </c>
      <c r="L127" s="431"/>
      <c r="M127" s="431">
        <v>60339</v>
      </c>
      <c r="N127" s="431">
        <v>0</v>
      </c>
      <c r="O127" s="431">
        <v>500</v>
      </c>
      <c r="P127" s="438">
        <f t="shared" si="14"/>
        <v>6590544</v>
      </c>
      <c r="Q127" s="431">
        <v>2626227</v>
      </c>
      <c r="R127" s="431">
        <v>1098409</v>
      </c>
      <c r="S127" s="431">
        <v>0</v>
      </c>
      <c r="T127" s="431">
        <v>0</v>
      </c>
      <c r="U127" s="431">
        <v>0</v>
      </c>
      <c r="V127" s="431">
        <v>0</v>
      </c>
      <c r="W127" s="431">
        <v>0</v>
      </c>
      <c r="X127" s="431">
        <v>301273</v>
      </c>
      <c r="Y127" s="431">
        <v>31036</v>
      </c>
      <c r="Z127" s="431">
        <v>2567160</v>
      </c>
      <c r="AA127" s="431">
        <v>0</v>
      </c>
      <c r="AB127" s="431">
        <v>-33561</v>
      </c>
      <c r="AC127" s="431">
        <v>3061871</v>
      </c>
      <c r="AD127" s="431">
        <v>74251</v>
      </c>
      <c r="AE127" s="431">
        <v>2297811</v>
      </c>
      <c r="AF127" s="431">
        <v>0</v>
      </c>
      <c r="AG127" s="431">
        <v>71604</v>
      </c>
      <c r="AH127" s="431">
        <v>517754</v>
      </c>
      <c r="AI127" s="431">
        <v>128611</v>
      </c>
      <c r="AJ127" s="431">
        <v>0</v>
      </c>
      <c r="AK127" s="431">
        <v>0</v>
      </c>
      <c r="AL127" s="431">
        <v>438642</v>
      </c>
      <c r="AM127" s="431">
        <v>0</v>
      </c>
    </row>
    <row r="128" spans="1:39" s="155" customFormat="1" ht="12" x14ac:dyDescent="0.2">
      <c r="A128" s="168">
        <v>74</v>
      </c>
      <c r="B128" s="214">
        <v>135404</v>
      </c>
      <c r="C128" s="215" t="s">
        <v>1879</v>
      </c>
      <c r="D128" s="432">
        <f t="shared" si="13"/>
        <v>3816892</v>
      </c>
      <c r="E128" s="431">
        <v>1748629</v>
      </c>
      <c r="F128" s="431">
        <v>88612</v>
      </c>
      <c r="G128" s="431">
        <v>1109984</v>
      </c>
      <c r="H128" s="431"/>
      <c r="I128" s="431">
        <v>858713</v>
      </c>
      <c r="J128" s="431">
        <v>0</v>
      </c>
      <c r="K128" s="431">
        <v>142000</v>
      </c>
      <c r="L128" s="431"/>
      <c r="M128" s="431">
        <v>1059550</v>
      </c>
      <c r="N128" s="431">
        <v>0</v>
      </c>
      <c r="O128" s="431">
        <v>8000</v>
      </c>
      <c r="P128" s="438">
        <f t="shared" si="14"/>
        <v>3734915</v>
      </c>
      <c r="Q128" s="431">
        <v>1381672</v>
      </c>
      <c r="R128" s="431">
        <v>579270</v>
      </c>
      <c r="S128" s="431">
        <v>0</v>
      </c>
      <c r="T128" s="431">
        <v>0</v>
      </c>
      <c r="U128" s="431">
        <v>0</v>
      </c>
      <c r="V128" s="431">
        <v>0</v>
      </c>
      <c r="W128" s="431">
        <v>0</v>
      </c>
      <c r="X128" s="431">
        <v>51304</v>
      </c>
      <c r="Y128" s="431">
        <v>34786</v>
      </c>
      <c r="Z128" s="431">
        <v>1690659</v>
      </c>
      <c r="AA128" s="431">
        <v>0</v>
      </c>
      <c r="AB128" s="431">
        <v>-2776</v>
      </c>
      <c r="AC128" s="431">
        <v>537538</v>
      </c>
      <c r="AD128" s="431">
        <v>116256</v>
      </c>
      <c r="AE128" s="431">
        <v>765383</v>
      </c>
      <c r="AF128" s="431">
        <v>18058</v>
      </c>
      <c r="AG128" s="431">
        <v>254817</v>
      </c>
      <c r="AH128" s="431">
        <v>287576</v>
      </c>
      <c r="AI128" s="431">
        <v>92733</v>
      </c>
      <c r="AJ128" s="431">
        <v>14444</v>
      </c>
      <c r="AK128" s="431">
        <v>0</v>
      </c>
      <c r="AL128" s="431">
        <v>1648110</v>
      </c>
      <c r="AM128" s="431">
        <v>0</v>
      </c>
    </row>
    <row r="129" spans="1:39" s="155" customFormat="1" ht="12" x14ac:dyDescent="0.2">
      <c r="A129" s="168">
        <v>75</v>
      </c>
      <c r="B129" s="214">
        <v>135431</v>
      </c>
      <c r="C129" s="215" t="s">
        <v>1880</v>
      </c>
      <c r="D129" s="432">
        <f t="shared" si="13"/>
        <v>5548004</v>
      </c>
      <c r="E129" s="431">
        <v>2139863</v>
      </c>
      <c r="F129" s="431">
        <v>258627</v>
      </c>
      <c r="G129" s="431">
        <v>1008625</v>
      </c>
      <c r="H129" s="431"/>
      <c r="I129" s="431">
        <v>2412407</v>
      </c>
      <c r="J129" s="431">
        <v>0</v>
      </c>
      <c r="K129" s="431">
        <v>986000</v>
      </c>
      <c r="L129" s="431"/>
      <c r="M129" s="431">
        <v>9734</v>
      </c>
      <c r="N129" s="431">
        <v>0</v>
      </c>
      <c r="O129" s="431">
        <v>0</v>
      </c>
      <c r="P129" s="438">
        <f t="shared" si="14"/>
        <v>5054109</v>
      </c>
      <c r="Q129" s="431">
        <v>2804538</v>
      </c>
      <c r="R129" s="431">
        <v>966462</v>
      </c>
      <c r="S129" s="431">
        <v>0</v>
      </c>
      <c r="T129" s="431">
        <v>0</v>
      </c>
      <c r="U129" s="431">
        <v>9860</v>
      </c>
      <c r="V129" s="431">
        <v>0</v>
      </c>
      <c r="W129" s="431">
        <v>0</v>
      </c>
      <c r="X129" s="431">
        <v>213388</v>
      </c>
      <c r="Y129" s="431">
        <v>17400</v>
      </c>
      <c r="Z129" s="431">
        <v>1049188</v>
      </c>
      <c r="AA129" s="431">
        <v>0</v>
      </c>
      <c r="AB129" s="431">
        <v>-6727</v>
      </c>
      <c r="AC129" s="431">
        <v>920080</v>
      </c>
      <c r="AD129" s="431">
        <v>288237</v>
      </c>
      <c r="AE129" s="431">
        <v>1978621</v>
      </c>
      <c r="AF129" s="431">
        <v>0</v>
      </c>
      <c r="AG129" s="431">
        <v>180632</v>
      </c>
      <c r="AH129" s="431">
        <v>617912</v>
      </c>
      <c r="AI129" s="431">
        <v>173613</v>
      </c>
      <c r="AJ129" s="431">
        <v>31111</v>
      </c>
      <c r="AK129" s="431">
        <v>0</v>
      </c>
      <c r="AL129" s="431">
        <v>863903</v>
      </c>
      <c r="AM129" s="431">
        <v>0</v>
      </c>
    </row>
    <row r="130" spans="1:39" s="155" customFormat="1" ht="12" x14ac:dyDescent="0.2">
      <c r="A130" s="168">
        <v>76</v>
      </c>
      <c r="B130" s="214">
        <v>135501</v>
      </c>
      <c r="C130" s="215" t="s">
        <v>1881</v>
      </c>
      <c r="D130" s="432">
        <f t="shared" si="13"/>
        <v>4064553</v>
      </c>
      <c r="E130" s="431">
        <v>1854922</v>
      </c>
      <c r="F130" s="431">
        <v>146897</v>
      </c>
      <c r="G130" s="431">
        <v>1119922</v>
      </c>
      <c r="H130" s="431"/>
      <c r="I130" s="431">
        <v>1676129</v>
      </c>
      <c r="J130" s="431">
        <v>0</v>
      </c>
      <c r="K130" s="431">
        <v>139000</v>
      </c>
      <c r="L130" s="431"/>
      <c r="M130" s="431">
        <v>394502</v>
      </c>
      <c r="N130" s="431">
        <v>0</v>
      </c>
      <c r="O130" s="431">
        <v>0</v>
      </c>
      <c r="P130" s="438">
        <f t="shared" si="14"/>
        <v>3869273</v>
      </c>
      <c r="Q130" s="431">
        <v>2130381</v>
      </c>
      <c r="R130" s="431">
        <v>613481</v>
      </c>
      <c r="S130" s="431">
        <v>0</v>
      </c>
      <c r="T130" s="431">
        <v>0</v>
      </c>
      <c r="U130" s="431">
        <v>64197</v>
      </c>
      <c r="V130" s="431">
        <v>0</v>
      </c>
      <c r="W130" s="431">
        <v>0</v>
      </c>
      <c r="X130" s="431">
        <v>161432</v>
      </c>
      <c r="Y130" s="431">
        <v>0</v>
      </c>
      <c r="Z130" s="431">
        <v>1046587</v>
      </c>
      <c r="AA130" s="431">
        <v>0</v>
      </c>
      <c r="AB130" s="431">
        <v>-146805</v>
      </c>
      <c r="AC130" s="431">
        <v>1012478</v>
      </c>
      <c r="AD130" s="431">
        <v>111872</v>
      </c>
      <c r="AE130" s="431">
        <v>1304986</v>
      </c>
      <c r="AF130" s="431">
        <v>0</v>
      </c>
      <c r="AG130" s="431">
        <v>23594</v>
      </c>
      <c r="AH130" s="431">
        <v>484518</v>
      </c>
      <c r="AI130" s="431">
        <v>405238</v>
      </c>
      <c r="AJ130" s="431">
        <v>16200</v>
      </c>
      <c r="AK130" s="431">
        <v>0</v>
      </c>
      <c r="AL130" s="431">
        <v>510387</v>
      </c>
      <c r="AM130" s="431">
        <v>0</v>
      </c>
    </row>
    <row r="131" spans="1:39" s="155" customFormat="1" ht="12" x14ac:dyDescent="0.2">
      <c r="A131" s="168">
        <v>77</v>
      </c>
      <c r="B131" s="214">
        <v>135547</v>
      </c>
      <c r="C131" s="215" t="s">
        <v>1882</v>
      </c>
      <c r="D131" s="432">
        <f t="shared" si="13"/>
        <v>3758613</v>
      </c>
      <c r="E131" s="431">
        <v>1900168</v>
      </c>
      <c r="F131" s="431">
        <v>100003</v>
      </c>
      <c r="G131" s="431">
        <v>1197432</v>
      </c>
      <c r="H131" s="431"/>
      <c r="I131" s="431">
        <v>1291309</v>
      </c>
      <c r="J131" s="431">
        <v>300000</v>
      </c>
      <c r="K131" s="431">
        <v>255000</v>
      </c>
      <c r="L131" s="431"/>
      <c r="M131" s="431">
        <v>12136</v>
      </c>
      <c r="N131" s="431">
        <v>0</v>
      </c>
      <c r="O131" s="431">
        <v>0</v>
      </c>
      <c r="P131" s="438">
        <f t="shared" si="14"/>
        <v>3238531</v>
      </c>
      <c r="Q131" s="431">
        <v>1382905</v>
      </c>
      <c r="R131" s="431">
        <v>580917</v>
      </c>
      <c r="S131" s="431">
        <v>0</v>
      </c>
      <c r="T131" s="431">
        <v>0</v>
      </c>
      <c r="U131" s="431">
        <v>0</v>
      </c>
      <c r="V131" s="431">
        <v>0</v>
      </c>
      <c r="W131" s="431">
        <v>0</v>
      </c>
      <c r="X131" s="431">
        <v>358777</v>
      </c>
      <c r="Y131" s="431">
        <v>8950</v>
      </c>
      <c r="Z131" s="431">
        <v>909354</v>
      </c>
      <c r="AA131" s="431">
        <v>0</v>
      </c>
      <c r="AB131" s="431">
        <v>-2372</v>
      </c>
      <c r="AC131" s="431">
        <v>564646</v>
      </c>
      <c r="AD131" s="431">
        <v>17238</v>
      </c>
      <c r="AE131" s="431">
        <v>922075</v>
      </c>
      <c r="AF131" s="431">
        <v>0</v>
      </c>
      <c r="AG131" s="431">
        <v>112070</v>
      </c>
      <c r="AH131" s="431">
        <v>548902</v>
      </c>
      <c r="AI131" s="431">
        <v>170004</v>
      </c>
      <c r="AJ131" s="431">
        <v>0</v>
      </c>
      <c r="AK131" s="431">
        <v>0</v>
      </c>
      <c r="AL131" s="431">
        <v>902994</v>
      </c>
      <c r="AM131" s="431">
        <v>602</v>
      </c>
    </row>
    <row r="132" spans="1:39" s="155" customFormat="1" ht="12" x14ac:dyDescent="0.2">
      <c r="A132" s="168">
        <v>78</v>
      </c>
      <c r="B132" s="214">
        <v>135618</v>
      </c>
      <c r="C132" s="215" t="s">
        <v>1883</v>
      </c>
      <c r="D132" s="432">
        <f t="shared" si="13"/>
        <v>3162024</v>
      </c>
      <c r="E132" s="431">
        <v>1878047</v>
      </c>
      <c r="F132" s="431">
        <v>135907</v>
      </c>
      <c r="G132" s="431">
        <v>1198426</v>
      </c>
      <c r="H132" s="431"/>
      <c r="I132" s="431">
        <v>1057193</v>
      </c>
      <c r="J132" s="431">
        <v>100000</v>
      </c>
      <c r="K132" s="431">
        <v>111000</v>
      </c>
      <c r="L132" s="431"/>
      <c r="M132" s="431">
        <v>15784</v>
      </c>
      <c r="N132" s="431">
        <v>0</v>
      </c>
      <c r="O132" s="431">
        <v>0</v>
      </c>
      <c r="P132" s="438">
        <f t="shared" si="14"/>
        <v>3319449</v>
      </c>
      <c r="Q132" s="431">
        <v>1412437</v>
      </c>
      <c r="R132" s="431">
        <v>715419</v>
      </c>
      <c r="S132" s="431">
        <v>0</v>
      </c>
      <c r="T132" s="431">
        <v>0</v>
      </c>
      <c r="U132" s="431">
        <v>0</v>
      </c>
      <c r="V132" s="431">
        <v>0</v>
      </c>
      <c r="W132" s="431">
        <v>0</v>
      </c>
      <c r="X132" s="431">
        <v>138479</v>
      </c>
      <c r="Y132" s="431">
        <v>4208</v>
      </c>
      <c r="Z132" s="431">
        <v>1066245</v>
      </c>
      <c r="AA132" s="431">
        <v>0</v>
      </c>
      <c r="AB132" s="431">
        <v>-17339</v>
      </c>
      <c r="AC132" s="431">
        <v>666313</v>
      </c>
      <c r="AD132" s="431">
        <v>40854</v>
      </c>
      <c r="AE132" s="431">
        <v>889131</v>
      </c>
      <c r="AF132" s="431">
        <v>0</v>
      </c>
      <c r="AG132" s="431">
        <v>105412</v>
      </c>
      <c r="AH132" s="431">
        <v>320212</v>
      </c>
      <c r="AI132" s="431">
        <v>706254</v>
      </c>
      <c r="AJ132" s="431">
        <v>0</v>
      </c>
      <c r="AK132" s="431">
        <v>0</v>
      </c>
      <c r="AL132" s="431">
        <v>584064</v>
      </c>
      <c r="AM132" s="431">
        <v>7209</v>
      </c>
    </row>
    <row r="133" spans="1:39" s="155" customFormat="1" ht="12" x14ac:dyDescent="0.2">
      <c r="A133" s="168">
        <v>79</v>
      </c>
      <c r="B133" s="214">
        <v>135654</v>
      </c>
      <c r="C133" s="215" t="s">
        <v>1884</v>
      </c>
      <c r="D133" s="432">
        <f t="shared" si="13"/>
        <v>2612553</v>
      </c>
      <c r="E133" s="431">
        <v>1666489</v>
      </c>
      <c r="F133" s="431">
        <v>79109</v>
      </c>
      <c r="G133" s="431">
        <v>1166627</v>
      </c>
      <c r="H133" s="431"/>
      <c r="I133" s="431">
        <v>849668</v>
      </c>
      <c r="J133" s="431">
        <v>0</v>
      </c>
      <c r="K133" s="431">
        <v>91000</v>
      </c>
      <c r="L133" s="431"/>
      <c r="M133" s="431">
        <v>5396</v>
      </c>
      <c r="N133" s="431">
        <v>0</v>
      </c>
      <c r="O133" s="431">
        <v>0</v>
      </c>
      <c r="P133" s="438">
        <f t="shared" si="14"/>
        <v>2268380</v>
      </c>
      <c r="Q133" s="431">
        <v>1054432</v>
      </c>
      <c r="R133" s="431">
        <v>704613</v>
      </c>
      <c r="S133" s="431">
        <v>0</v>
      </c>
      <c r="T133" s="431">
        <v>0</v>
      </c>
      <c r="U133" s="431">
        <v>0</v>
      </c>
      <c r="V133" s="431">
        <v>0</v>
      </c>
      <c r="W133" s="431">
        <v>0</v>
      </c>
      <c r="X133" s="431">
        <v>137562</v>
      </c>
      <c r="Y133" s="431">
        <v>7700</v>
      </c>
      <c r="Z133" s="431">
        <v>364073</v>
      </c>
      <c r="AA133" s="431">
        <v>0</v>
      </c>
      <c r="AB133" s="431">
        <v>0</v>
      </c>
      <c r="AC133" s="431">
        <v>550822</v>
      </c>
      <c r="AD133" s="431">
        <v>32239</v>
      </c>
      <c r="AE133" s="431">
        <v>486727</v>
      </c>
      <c r="AF133" s="431">
        <v>0</v>
      </c>
      <c r="AG133" s="431">
        <v>43730</v>
      </c>
      <c r="AH133" s="431">
        <v>428738</v>
      </c>
      <c r="AI133" s="431">
        <v>226601</v>
      </c>
      <c r="AJ133" s="431">
        <v>0</v>
      </c>
      <c r="AK133" s="431">
        <v>0</v>
      </c>
      <c r="AL133" s="431">
        <v>361803</v>
      </c>
      <c r="AM133" s="431">
        <v>137720</v>
      </c>
    </row>
    <row r="134" spans="1:39" s="155" customFormat="1" ht="12" x14ac:dyDescent="0.2">
      <c r="A134" s="168">
        <v>80</v>
      </c>
      <c r="B134" s="214">
        <v>130892</v>
      </c>
      <c r="C134" s="215" t="s">
        <v>1885</v>
      </c>
      <c r="D134" s="432">
        <f t="shared" si="13"/>
        <v>13220765</v>
      </c>
      <c r="E134" s="431">
        <v>6290676</v>
      </c>
      <c r="F134" s="431">
        <v>1636052</v>
      </c>
      <c r="G134" s="431">
        <v>1002663</v>
      </c>
      <c r="H134" s="431"/>
      <c r="I134" s="431">
        <v>4209344</v>
      </c>
      <c r="J134" s="431">
        <v>0</v>
      </c>
      <c r="K134" s="431">
        <v>1829000</v>
      </c>
      <c r="L134" s="431"/>
      <c r="M134" s="431">
        <v>882245</v>
      </c>
      <c r="N134" s="431">
        <v>0</v>
      </c>
      <c r="O134" s="431">
        <v>9500</v>
      </c>
      <c r="P134" s="438">
        <f t="shared" si="14"/>
        <v>12988857</v>
      </c>
      <c r="Q134" s="431">
        <v>4912812</v>
      </c>
      <c r="R134" s="431">
        <v>3279655</v>
      </c>
      <c r="S134" s="431">
        <v>120000</v>
      </c>
      <c r="T134" s="431">
        <v>0</v>
      </c>
      <c r="U134" s="431">
        <v>0</v>
      </c>
      <c r="V134" s="431">
        <v>0</v>
      </c>
      <c r="W134" s="431">
        <v>0</v>
      </c>
      <c r="X134" s="431">
        <v>383187</v>
      </c>
      <c r="Y134" s="431">
        <v>239603</v>
      </c>
      <c r="Z134" s="431">
        <v>3726288</v>
      </c>
      <c r="AA134" s="431">
        <v>375000</v>
      </c>
      <c r="AB134" s="431">
        <v>-47688</v>
      </c>
      <c r="AC134" s="431">
        <v>2903758</v>
      </c>
      <c r="AD134" s="431">
        <v>295670</v>
      </c>
      <c r="AE134" s="431">
        <v>4075206</v>
      </c>
      <c r="AF134" s="431">
        <v>391703</v>
      </c>
      <c r="AG134" s="431">
        <v>110307</v>
      </c>
      <c r="AH134" s="431">
        <v>863454</v>
      </c>
      <c r="AI134" s="431">
        <v>1692846</v>
      </c>
      <c r="AJ134" s="431">
        <v>365833</v>
      </c>
      <c r="AK134" s="431">
        <v>0</v>
      </c>
      <c r="AL134" s="431">
        <v>2290080</v>
      </c>
      <c r="AM134" s="431">
        <v>0</v>
      </c>
    </row>
    <row r="135" spans="1:39" s="155" customFormat="1" ht="12" x14ac:dyDescent="0.2">
      <c r="A135" s="168">
        <v>81</v>
      </c>
      <c r="B135" s="214">
        <v>135681</v>
      </c>
      <c r="C135" s="215" t="s">
        <v>1886</v>
      </c>
      <c r="D135" s="432">
        <f t="shared" si="13"/>
        <v>2894237</v>
      </c>
      <c r="E135" s="431">
        <v>1619793</v>
      </c>
      <c r="F135" s="431">
        <v>39434</v>
      </c>
      <c r="G135" s="431">
        <v>1280904</v>
      </c>
      <c r="H135" s="431"/>
      <c r="I135" s="431">
        <v>561000</v>
      </c>
      <c r="J135" s="431">
        <v>100000</v>
      </c>
      <c r="K135" s="431">
        <v>168000</v>
      </c>
      <c r="L135" s="431"/>
      <c r="M135" s="431">
        <v>433644</v>
      </c>
      <c r="N135" s="431">
        <v>0</v>
      </c>
      <c r="O135" s="431">
        <v>11800</v>
      </c>
      <c r="P135" s="438">
        <f t="shared" si="14"/>
        <v>2546105</v>
      </c>
      <c r="Q135" s="431">
        <v>899242</v>
      </c>
      <c r="R135" s="431">
        <v>799057</v>
      </c>
      <c r="S135" s="431">
        <v>0</v>
      </c>
      <c r="T135" s="431">
        <v>0</v>
      </c>
      <c r="U135" s="431">
        <v>0</v>
      </c>
      <c r="V135" s="431">
        <v>0</v>
      </c>
      <c r="W135" s="431">
        <v>0</v>
      </c>
      <c r="X135" s="431">
        <v>81789</v>
      </c>
      <c r="Y135" s="431">
        <v>32482</v>
      </c>
      <c r="Z135" s="431">
        <v>734035</v>
      </c>
      <c r="AA135" s="431">
        <v>0</v>
      </c>
      <c r="AB135" s="431">
        <v>-500</v>
      </c>
      <c r="AC135" s="431">
        <v>585464</v>
      </c>
      <c r="AD135" s="431">
        <v>70719</v>
      </c>
      <c r="AE135" s="431">
        <v>518478</v>
      </c>
      <c r="AF135" s="431">
        <v>157157</v>
      </c>
      <c r="AG135" s="431">
        <v>155674</v>
      </c>
      <c r="AH135" s="431">
        <v>126123</v>
      </c>
      <c r="AI135" s="431">
        <v>504819</v>
      </c>
      <c r="AJ135" s="431">
        <v>8766</v>
      </c>
      <c r="AK135" s="431">
        <v>0</v>
      </c>
      <c r="AL135" s="431">
        <v>418905</v>
      </c>
      <c r="AM135" s="431">
        <v>0</v>
      </c>
    </row>
    <row r="136" spans="1:39" s="155" customFormat="1" ht="12" x14ac:dyDescent="0.2">
      <c r="A136" s="168">
        <v>82</v>
      </c>
      <c r="B136" s="214">
        <v>135725</v>
      </c>
      <c r="C136" s="215" t="s">
        <v>1887</v>
      </c>
      <c r="D136" s="432">
        <f t="shared" si="13"/>
        <v>4601436</v>
      </c>
      <c r="E136" s="431">
        <v>2082766</v>
      </c>
      <c r="F136" s="431">
        <v>277433</v>
      </c>
      <c r="G136" s="431">
        <v>973845</v>
      </c>
      <c r="H136" s="431"/>
      <c r="I136" s="431">
        <v>1674534</v>
      </c>
      <c r="J136" s="431">
        <v>200000</v>
      </c>
      <c r="K136" s="431">
        <v>633000</v>
      </c>
      <c r="L136" s="431"/>
      <c r="M136" s="431">
        <v>11136</v>
      </c>
      <c r="N136" s="431">
        <v>0</v>
      </c>
      <c r="O136" s="431">
        <v>0</v>
      </c>
      <c r="P136" s="438">
        <f t="shared" si="14"/>
        <v>3771456</v>
      </c>
      <c r="Q136" s="431">
        <v>1687541</v>
      </c>
      <c r="R136" s="431">
        <v>842801</v>
      </c>
      <c r="S136" s="431">
        <v>46760</v>
      </c>
      <c r="T136" s="431">
        <v>0</v>
      </c>
      <c r="U136" s="431">
        <v>0</v>
      </c>
      <c r="V136" s="431">
        <v>0</v>
      </c>
      <c r="W136" s="431">
        <v>0</v>
      </c>
      <c r="X136" s="431">
        <v>365992</v>
      </c>
      <c r="Y136" s="431">
        <v>11278</v>
      </c>
      <c r="Z136" s="431">
        <v>433968</v>
      </c>
      <c r="AA136" s="431">
        <v>401400</v>
      </c>
      <c r="AB136" s="431">
        <v>-18284</v>
      </c>
      <c r="AC136" s="431">
        <v>514577</v>
      </c>
      <c r="AD136" s="431">
        <v>19528</v>
      </c>
      <c r="AE136" s="431">
        <v>1405468</v>
      </c>
      <c r="AF136" s="431">
        <v>128751</v>
      </c>
      <c r="AG136" s="431">
        <v>26524</v>
      </c>
      <c r="AH136" s="431">
        <v>376570</v>
      </c>
      <c r="AI136" s="431">
        <v>55542</v>
      </c>
      <c r="AJ136" s="431">
        <v>5928</v>
      </c>
      <c r="AK136" s="431">
        <v>0</v>
      </c>
      <c r="AL136" s="431">
        <v>1235175</v>
      </c>
      <c r="AM136" s="431">
        <v>3393</v>
      </c>
    </row>
    <row r="137" spans="1:39" s="155" customFormat="1" ht="12" x14ac:dyDescent="0.2">
      <c r="A137" s="168">
        <v>83</v>
      </c>
      <c r="B137" s="214">
        <v>135789</v>
      </c>
      <c r="C137" s="215" t="s">
        <v>1888</v>
      </c>
      <c r="D137" s="432">
        <f t="shared" si="13"/>
        <v>6236000</v>
      </c>
      <c r="E137" s="431">
        <v>2310335</v>
      </c>
      <c r="F137" s="431">
        <v>687297</v>
      </c>
      <c r="G137" s="431">
        <v>701565</v>
      </c>
      <c r="H137" s="431"/>
      <c r="I137" s="431">
        <v>2321206</v>
      </c>
      <c r="J137" s="431">
        <v>350000</v>
      </c>
      <c r="K137" s="431">
        <v>1210000</v>
      </c>
      <c r="L137" s="431"/>
      <c r="M137" s="431">
        <v>6112</v>
      </c>
      <c r="N137" s="431">
        <v>38347</v>
      </c>
      <c r="O137" s="431">
        <v>0</v>
      </c>
      <c r="P137" s="438">
        <f t="shared" si="14"/>
        <v>5246545</v>
      </c>
      <c r="Q137" s="431">
        <v>2587291</v>
      </c>
      <c r="R137" s="431">
        <v>666455</v>
      </c>
      <c r="S137" s="431">
        <v>100000</v>
      </c>
      <c r="T137" s="431">
        <v>0</v>
      </c>
      <c r="U137" s="431">
        <v>0</v>
      </c>
      <c r="V137" s="431">
        <v>0</v>
      </c>
      <c r="W137" s="431">
        <v>23361</v>
      </c>
      <c r="X137" s="431">
        <v>390624</v>
      </c>
      <c r="Y137" s="431">
        <v>9235</v>
      </c>
      <c r="Z137" s="431">
        <v>1159418</v>
      </c>
      <c r="AA137" s="431">
        <v>498000</v>
      </c>
      <c r="AB137" s="431">
        <v>-187839</v>
      </c>
      <c r="AC137" s="431">
        <v>803285</v>
      </c>
      <c r="AD137" s="431">
        <v>143675</v>
      </c>
      <c r="AE137" s="431">
        <v>1832967</v>
      </c>
      <c r="AF137" s="431">
        <v>0</v>
      </c>
      <c r="AG137" s="431">
        <v>151397</v>
      </c>
      <c r="AH137" s="431">
        <v>581726</v>
      </c>
      <c r="AI137" s="431">
        <v>182567</v>
      </c>
      <c r="AJ137" s="431">
        <v>0</v>
      </c>
      <c r="AK137" s="431">
        <v>0</v>
      </c>
      <c r="AL137" s="431">
        <v>1550928</v>
      </c>
      <c r="AM137" s="431">
        <v>0</v>
      </c>
    </row>
    <row r="138" spans="1:39" s="155" customFormat="1" ht="12" x14ac:dyDescent="0.2">
      <c r="A138" s="168">
        <v>84</v>
      </c>
      <c r="B138" s="214">
        <v>135850</v>
      </c>
      <c r="C138" s="215" t="s">
        <v>1889</v>
      </c>
      <c r="D138" s="432">
        <f t="shared" si="13"/>
        <v>3044717</v>
      </c>
      <c r="E138" s="431">
        <v>1637457</v>
      </c>
      <c r="F138" s="431">
        <v>162552</v>
      </c>
      <c r="G138" s="431">
        <v>1141783</v>
      </c>
      <c r="H138" s="431"/>
      <c r="I138" s="431">
        <v>1180510</v>
      </c>
      <c r="J138" s="431">
        <v>114330</v>
      </c>
      <c r="K138" s="431">
        <v>105000</v>
      </c>
      <c r="L138" s="431"/>
      <c r="M138" s="431">
        <v>7420</v>
      </c>
      <c r="N138" s="431">
        <v>0</v>
      </c>
      <c r="O138" s="431">
        <v>0</v>
      </c>
      <c r="P138" s="438">
        <f t="shared" si="14"/>
        <v>2680416</v>
      </c>
      <c r="Q138" s="431">
        <v>1587387</v>
      </c>
      <c r="R138" s="431">
        <v>710386</v>
      </c>
      <c r="S138" s="431">
        <v>18000</v>
      </c>
      <c r="T138" s="431">
        <v>0</v>
      </c>
      <c r="U138" s="431">
        <v>0</v>
      </c>
      <c r="V138" s="431">
        <v>0</v>
      </c>
      <c r="W138" s="431">
        <v>0</v>
      </c>
      <c r="X138" s="431">
        <v>133283</v>
      </c>
      <c r="Y138" s="431">
        <v>0</v>
      </c>
      <c r="Z138" s="431">
        <v>134039</v>
      </c>
      <c r="AA138" s="431">
        <v>122000</v>
      </c>
      <c r="AB138" s="431">
        <v>-24679</v>
      </c>
      <c r="AC138" s="431">
        <v>813825</v>
      </c>
      <c r="AD138" s="431">
        <v>53242</v>
      </c>
      <c r="AE138" s="431">
        <v>936202</v>
      </c>
      <c r="AF138" s="431">
        <v>0</v>
      </c>
      <c r="AG138" s="431">
        <v>27861</v>
      </c>
      <c r="AH138" s="431">
        <v>340144</v>
      </c>
      <c r="AI138" s="431">
        <v>80063</v>
      </c>
      <c r="AJ138" s="431">
        <v>0</v>
      </c>
      <c r="AK138" s="431">
        <v>0</v>
      </c>
      <c r="AL138" s="431">
        <v>429079</v>
      </c>
      <c r="AM138" s="431">
        <v>0</v>
      </c>
    </row>
    <row r="139" spans="1:39" s="155" customFormat="1" ht="12" x14ac:dyDescent="0.2">
      <c r="A139" s="168">
        <v>85</v>
      </c>
      <c r="B139" s="214">
        <v>135896</v>
      </c>
      <c r="C139" s="215" t="s">
        <v>1890</v>
      </c>
      <c r="D139" s="432">
        <f t="shared" si="13"/>
        <v>6169379</v>
      </c>
      <c r="E139" s="431">
        <v>3089079</v>
      </c>
      <c r="F139" s="431">
        <v>183786</v>
      </c>
      <c r="G139" s="431">
        <v>917203</v>
      </c>
      <c r="H139" s="431"/>
      <c r="I139" s="431">
        <v>2185409</v>
      </c>
      <c r="J139" s="431">
        <v>0</v>
      </c>
      <c r="K139" s="431">
        <v>838000</v>
      </c>
      <c r="L139" s="431"/>
      <c r="M139" s="431">
        <v>42851</v>
      </c>
      <c r="N139" s="431">
        <v>0</v>
      </c>
      <c r="O139" s="431">
        <v>14040</v>
      </c>
      <c r="P139" s="438">
        <f t="shared" si="14"/>
        <v>5678487</v>
      </c>
      <c r="Q139" s="431">
        <v>2435586</v>
      </c>
      <c r="R139" s="431">
        <v>683241</v>
      </c>
      <c r="S139" s="431">
        <v>35000</v>
      </c>
      <c r="T139" s="431">
        <v>0</v>
      </c>
      <c r="U139" s="431">
        <v>0</v>
      </c>
      <c r="V139" s="431">
        <v>0</v>
      </c>
      <c r="W139" s="431">
        <v>0</v>
      </c>
      <c r="X139" s="431">
        <v>400091</v>
      </c>
      <c r="Y139" s="431">
        <v>1203</v>
      </c>
      <c r="Z139" s="431">
        <v>2083139</v>
      </c>
      <c r="AA139" s="431">
        <v>134750</v>
      </c>
      <c r="AB139" s="431">
        <v>-94523</v>
      </c>
      <c r="AC139" s="431">
        <v>1067700</v>
      </c>
      <c r="AD139" s="431">
        <v>72787</v>
      </c>
      <c r="AE139" s="431">
        <v>2244210</v>
      </c>
      <c r="AF139" s="431">
        <v>0</v>
      </c>
      <c r="AG139" s="431">
        <v>50307</v>
      </c>
      <c r="AH139" s="431">
        <v>670402</v>
      </c>
      <c r="AI139" s="431">
        <v>217710</v>
      </c>
      <c r="AJ139" s="431">
        <v>0</v>
      </c>
      <c r="AK139" s="431">
        <v>0</v>
      </c>
      <c r="AL139" s="431">
        <v>1355371</v>
      </c>
      <c r="AM139" s="431">
        <v>0</v>
      </c>
    </row>
    <row r="140" spans="1:39" s="155" customFormat="1" ht="12" x14ac:dyDescent="0.2">
      <c r="A140" s="168">
        <v>86</v>
      </c>
      <c r="B140" s="214">
        <v>136269</v>
      </c>
      <c r="C140" s="215" t="s">
        <v>1891</v>
      </c>
      <c r="D140" s="432">
        <f t="shared" si="13"/>
        <v>4470695</v>
      </c>
      <c r="E140" s="431">
        <v>2288903</v>
      </c>
      <c r="F140" s="431">
        <v>168610</v>
      </c>
      <c r="G140" s="431">
        <v>1481636</v>
      </c>
      <c r="H140" s="431"/>
      <c r="I140" s="431">
        <v>746810</v>
      </c>
      <c r="J140" s="431">
        <v>120000</v>
      </c>
      <c r="K140" s="431">
        <v>124000</v>
      </c>
      <c r="L140" s="431"/>
      <c r="M140" s="431">
        <v>158760</v>
      </c>
      <c r="N140" s="431">
        <v>1032222</v>
      </c>
      <c r="O140" s="431">
        <v>0</v>
      </c>
      <c r="P140" s="438">
        <f t="shared" si="14"/>
        <v>3971068</v>
      </c>
      <c r="Q140" s="431">
        <v>1185977</v>
      </c>
      <c r="R140" s="431">
        <v>356447</v>
      </c>
      <c r="S140" s="431">
        <v>0</v>
      </c>
      <c r="T140" s="431">
        <v>0</v>
      </c>
      <c r="U140" s="431">
        <v>0</v>
      </c>
      <c r="V140" s="431">
        <v>208994</v>
      </c>
      <c r="W140" s="431">
        <v>1089916</v>
      </c>
      <c r="X140" s="431">
        <v>122585</v>
      </c>
      <c r="Y140" s="431">
        <v>23520</v>
      </c>
      <c r="Z140" s="431">
        <v>1010168</v>
      </c>
      <c r="AA140" s="431">
        <v>0</v>
      </c>
      <c r="AB140" s="431">
        <v>-26539</v>
      </c>
      <c r="AC140" s="431">
        <v>845051</v>
      </c>
      <c r="AD140" s="431">
        <v>34009</v>
      </c>
      <c r="AE140" s="431">
        <v>837666</v>
      </c>
      <c r="AF140" s="431">
        <v>0</v>
      </c>
      <c r="AG140" s="431">
        <v>66882</v>
      </c>
      <c r="AH140" s="431">
        <v>273710</v>
      </c>
      <c r="AI140" s="431">
        <v>252321</v>
      </c>
      <c r="AJ140" s="431">
        <v>44500</v>
      </c>
      <c r="AK140" s="431">
        <v>0</v>
      </c>
      <c r="AL140" s="431">
        <v>1616929</v>
      </c>
      <c r="AM140" s="431">
        <v>0</v>
      </c>
    </row>
    <row r="141" spans="1:39" s="155" customFormat="1" ht="12" x14ac:dyDescent="0.2">
      <c r="A141" s="168">
        <v>87</v>
      </c>
      <c r="B141" s="214">
        <v>135949</v>
      </c>
      <c r="C141" s="215" t="s">
        <v>1892</v>
      </c>
      <c r="D141" s="432">
        <f t="shared" si="13"/>
        <v>14166390</v>
      </c>
      <c r="E141" s="431">
        <v>4907959</v>
      </c>
      <c r="F141" s="431">
        <v>1091756</v>
      </c>
      <c r="G141" s="431">
        <v>1324628</v>
      </c>
      <c r="H141" s="431"/>
      <c r="I141" s="431">
        <v>6397946</v>
      </c>
      <c r="J141" s="431">
        <v>250000</v>
      </c>
      <c r="K141" s="431">
        <v>1593000</v>
      </c>
      <c r="L141" s="431"/>
      <c r="M141" s="431">
        <v>231642</v>
      </c>
      <c r="N141" s="431">
        <v>776643</v>
      </c>
      <c r="O141" s="431">
        <v>9200</v>
      </c>
      <c r="P141" s="438">
        <f t="shared" si="14"/>
        <v>13223071</v>
      </c>
      <c r="Q141" s="431">
        <v>6754234</v>
      </c>
      <c r="R141" s="431">
        <v>2322259</v>
      </c>
      <c r="S141" s="431">
        <v>0</v>
      </c>
      <c r="T141" s="431">
        <v>0</v>
      </c>
      <c r="U141" s="431">
        <v>0</v>
      </c>
      <c r="V141" s="431">
        <v>14000</v>
      </c>
      <c r="W141" s="431">
        <v>820083</v>
      </c>
      <c r="X141" s="431">
        <v>508692</v>
      </c>
      <c r="Y141" s="431">
        <v>74100</v>
      </c>
      <c r="Z141" s="431">
        <v>2817822</v>
      </c>
      <c r="AA141" s="431">
        <v>0</v>
      </c>
      <c r="AB141" s="431">
        <v>-88119</v>
      </c>
      <c r="AC141" s="431">
        <v>1880648</v>
      </c>
      <c r="AD141" s="431">
        <v>300054</v>
      </c>
      <c r="AE141" s="431">
        <v>6303074</v>
      </c>
      <c r="AF141" s="431">
        <v>20623</v>
      </c>
      <c r="AG141" s="431">
        <v>498937</v>
      </c>
      <c r="AH141" s="431">
        <v>880984</v>
      </c>
      <c r="AI141" s="431">
        <v>569951</v>
      </c>
      <c r="AJ141" s="431">
        <v>24207</v>
      </c>
      <c r="AK141" s="431">
        <v>0</v>
      </c>
      <c r="AL141" s="431">
        <v>2125456</v>
      </c>
      <c r="AM141" s="431">
        <v>619137</v>
      </c>
    </row>
    <row r="142" spans="1:39" s="155" customFormat="1" ht="12" x14ac:dyDescent="0.2">
      <c r="A142" s="168">
        <v>88</v>
      </c>
      <c r="B142" s="214">
        <v>136107</v>
      </c>
      <c r="C142" s="215" t="s">
        <v>1893</v>
      </c>
      <c r="D142" s="432">
        <f t="shared" si="13"/>
        <v>9066963</v>
      </c>
      <c r="E142" s="431">
        <v>3279409</v>
      </c>
      <c r="F142" s="431">
        <v>549666</v>
      </c>
      <c r="G142" s="431">
        <v>1067254</v>
      </c>
      <c r="H142" s="431"/>
      <c r="I142" s="431">
        <v>3922948</v>
      </c>
      <c r="J142" s="431">
        <v>0</v>
      </c>
      <c r="K142" s="431">
        <v>1787000</v>
      </c>
      <c r="L142" s="431"/>
      <c r="M142" s="431">
        <v>49106</v>
      </c>
      <c r="N142" s="431">
        <v>0</v>
      </c>
      <c r="O142" s="431">
        <v>28500</v>
      </c>
      <c r="P142" s="438">
        <f t="shared" si="14"/>
        <v>7408847</v>
      </c>
      <c r="Q142" s="431">
        <v>4424157</v>
      </c>
      <c r="R142" s="431">
        <v>2252621</v>
      </c>
      <c r="S142" s="431">
        <v>0</v>
      </c>
      <c r="T142" s="431">
        <v>0</v>
      </c>
      <c r="U142" s="431">
        <v>0</v>
      </c>
      <c r="V142" s="431">
        <v>0</v>
      </c>
      <c r="W142" s="431">
        <v>0</v>
      </c>
      <c r="X142" s="431">
        <v>342933</v>
      </c>
      <c r="Y142" s="431">
        <v>140812</v>
      </c>
      <c r="Z142" s="431">
        <v>248324</v>
      </c>
      <c r="AA142" s="431">
        <v>0</v>
      </c>
      <c r="AB142" s="431">
        <v>0</v>
      </c>
      <c r="AC142" s="431">
        <v>1269301</v>
      </c>
      <c r="AD142" s="431">
        <v>298087</v>
      </c>
      <c r="AE142" s="431">
        <v>3174924</v>
      </c>
      <c r="AF142" s="431">
        <v>0</v>
      </c>
      <c r="AG142" s="431">
        <v>214597</v>
      </c>
      <c r="AH142" s="431">
        <v>1219170</v>
      </c>
      <c r="AI142" s="431">
        <v>623380</v>
      </c>
      <c r="AJ142" s="431">
        <v>163893</v>
      </c>
      <c r="AK142" s="431">
        <v>0</v>
      </c>
      <c r="AL142" s="431">
        <v>445495</v>
      </c>
      <c r="AM142" s="431">
        <v>0</v>
      </c>
    </row>
    <row r="143" spans="1:39" s="155" customFormat="1" ht="12" x14ac:dyDescent="0.2">
      <c r="A143" s="168">
        <v>89</v>
      </c>
      <c r="B143" s="214">
        <v>136134</v>
      </c>
      <c r="C143" s="215" t="s">
        <v>1894</v>
      </c>
      <c r="D143" s="432">
        <f t="shared" si="13"/>
        <v>10353659</v>
      </c>
      <c r="E143" s="431">
        <v>2460399</v>
      </c>
      <c r="F143" s="431">
        <v>300404</v>
      </c>
      <c r="G143" s="431">
        <v>1257055</v>
      </c>
      <c r="H143" s="431"/>
      <c r="I143" s="431">
        <v>2654343</v>
      </c>
      <c r="J143" s="431">
        <v>0</v>
      </c>
      <c r="K143" s="431">
        <v>1269000</v>
      </c>
      <c r="L143" s="431"/>
      <c r="M143" s="431">
        <v>1842151</v>
      </c>
      <c r="N143" s="431">
        <v>2127766</v>
      </c>
      <c r="O143" s="431">
        <v>0</v>
      </c>
      <c r="P143" s="438">
        <f t="shared" si="14"/>
        <v>8512110</v>
      </c>
      <c r="Q143" s="431">
        <v>3038901</v>
      </c>
      <c r="R143" s="431">
        <v>1081408</v>
      </c>
      <c r="S143" s="431">
        <v>53500</v>
      </c>
      <c r="T143" s="431">
        <v>0</v>
      </c>
      <c r="U143" s="431">
        <v>130000</v>
      </c>
      <c r="V143" s="431">
        <v>0</v>
      </c>
      <c r="W143" s="431">
        <v>2282537</v>
      </c>
      <c r="X143" s="431">
        <v>452504</v>
      </c>
      <c r="Y143" s="431">
        <v>14662</v>
      </c>
      <c r="Z143" s="431">
        <v>1265086</v>
      </c>
      <c r="AA143" s="431">
        <v>211500</v>
      </c>
      <c r="AB143" s="431">
        <v>-17988</v>
      </c>
      <c r="AC143" s="431">
        <v>1757458</v>
      </c>
      <c r="AD143" s="431">
        <v>88822</v>
      </c>
      <c r="AE143" s="431">
        <v>3085387</v>
      </c>
      <c r="AF143" s="431">
        <v>16813</v>
      </c>
      <c r="AG143" s="431">
        <v>808703</v>
      </c>
      <c r="AH143" s="431">
        <v>785578</v>
      </c>
      <c r="AI143" s="431">
        <v>257842</v>
      </c>
      <c r="AJ143" s="431">
        <v>0</v>
      </c>
      <c r="AK143" s="431">
        <v>0</v>
      </c>
      <c r="AL143" s="431">
        <v>1300305</v>
      </c>
      <c r="AM143" s="431">
        <v>411202</v>
      </c>
    </row>
    <row r="144" spans="1:39" s="155" customFormat="1" ht="12" thickBot="1" x14ac:dyDescent="0.25">
      <c r="A144" s="168">
        <v>90</v>
      </c>
      <c r="B144" s="217">
        <v>136198</v>
      </c>
      <c r="C144" s="218" t="s">
        <v>1895</v>
      </c>
      <c r="D144" s="272">
        <f t="shared" si="13"/>
        <v>5084575</v>
      </c>
      <c r="E144" s="274">
        <v>2316429</v>
      </c>
      <c r="F144" s="274">
        <v>174702</v>
      </c>
      <c r="G144" s="274">
        <v>1475673</v>
      </c>
      <c r="H144" s="274"/>
      <c r="I144" s="274">
        <v>1801929</v>
      </c>
      <c r="J144" s="274">
        <v>0</v>
      </c>
      <c r="K144" s="274">
        <v>190000</v>
      </c>
      <c r="L144" s="274"/>
      <c r="M144" s="274">
        <v>160254</v>
      </c>
      <c r="N144" s="274">
        <v>611661</v>
      </c>
      <c r="O144" s="274">
        <v>4302</v>
      </c>
      <c r="P144" s="275">
        <f t="shared" si="14"/>
        <v>5187545</v>
      </c>
      <c r="Q144" s="274">
        <v>2026400</v>
      </c>
      <c r="R144" s="274">
        <v>849789</v>
      </c>
      <c r="S144" s="274">
        <v>0</v>
      </c>
      <c r="T144" s="274">
        <v>0</v>
      </c>
      <c r="U144" s="274">
        <v>45000</v>
      </c>
      <c r="V144" s="274">
        <v>0</v>
      </c>
      <c r="W144" s="274">
        <v>1034867</v>
      </c>
      <c r="X144" s="274">
        <v>407578</v>
      </c>
      <c r="Y144" s="274">
        <v>15976</v>
      </c>
      <c r="Z144" s="274">
        <v>835071</v>
      </c>
      <c r="AA144" s="274">
        <v>0</v>
      </c>
      <c r="AB144" s="274">
        <v>-27136</v>
      </c>
      <c r="AC144" s="274">
        <v>1108337</v>
      </c>
      <c r="AD144" s="274">
        <v>89543</v>
      </c>
      <c r="AE144" s="274">
        <v>1499854</v>
      </c>
      <c r="AF144" s="274">
        <v>0</v>
      </c>
      <c r="AG144" s="274">
        <v>293318</v>
      </c>
      <c r="AH144" s="274">
        <v>599515</v>
      </c>
      <c r="AI144" s="274">
        <v>53690</v>
      </c>
      <c r="AJ144" s="274">
        <v>994396</v>
      </c>
      <c r="AK144" s="274">
        <v>0</v>
      </c>
      <c r="AL144" s="274">
        <v>548892</v>
      </c>
      <c r="AM144" s="274">
        <v>0</v>
      </c>
    </row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972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1016360803</v>
      </c>
      <c r="E14" s="432">
        <f>SUM(E15,E16,E33,E54)</f>
        <v>343847258</v>
      </c>
      <c r="F14" s="432">
        <f t="shared" ref="F14:O14" si="0">SUM(F15,F16,F33,F54)</f>
        <v>156338279</v>
      </c>
      <c r="G14" s="432">
        <f t="shared" si="0"/>
        <v>54570915</v>
      </c>
      <c r="H14" s="432">
        <f t="shared" si="0"/>
        <v>42735491</v>
      </c>
      <c r="I14" s="432">
        <f t="shared" si="0"/>
        <v>266418336</v>
      </c>
      <c r="J14" s="432">
        <f t="shared" si="0"/>
        <v>19095000</v>
      </c>
      <c r="K14" s="432">
        <f t="shared" si="0"/>
        <v>92953120</v>
      </c>
      <c r="L14" s="432">
        <f t="shared" si="0"/>
        <v>0</v>
      </c>
      <c r="M14" s="432">
        <f t="shared" si="0"/>
        <v>139785754</v>
      </c>
      <c r="N14" s="432">
        <f t="shared" si="0"/>
        <v>103768596</v>
      </c>
      <c r="O14" s="432">
        <f t="shared" si="0"/>
        <v>7757248</v>
      </c>
      <c r="P14" s="432">
        <f>IF(SUM(Q14:AB14)=SUM(AC14:AM14),SUM(Q14:AB14),"  EROARE ART/CAP")</f>
        <v>971866159</v>
      </c>
      <c r="Q14" s="432">
        <f t="shared" ref="Q14:AM14" si="1">Q15+Q16+Q33+Q54</f>
        <v>349550385</v>
      </c>
      <c r="R14" s="432">
        <f t="shared" si="1"/>
        <v>190648968</v>
      </c>
      <c r="S14" s="432">
        <f t="shared" si="1"/>
        <v>8305542</v>
      </c>
      <c r="T14" s="432">
        <f t="shared" si="1"/>
        <v>12610000</v>
      </c>
      <c r="U14" s="432">
        <f t="shared" si="1"/>
        <v>46620868</v>
      </c>
      <c r="V14" s="432">
        <f t="shared" si="1"/>
        <v>1888701</v>
      </c>
      <c r="W14" s="432">
        <f t="shared" si="1"/>
        <v>98161389</v>
      </c>
      <c r="X14" s="432">
        <f t="shared" si="1"/>
        <v>75738253</v>
      </c>
      <c r="Y14" s="432">
        <f t="shared" si="1"/>
        <v>18107041</v>
      </c>
      <c r="Z14" s="432">
        <f t="shared" si="1"/>
        <v>110501704</v>
      </c>
      <c r="AA14" s="432">
        <f t="shared" si="1"/>
        <v>62162929</v>
      </c>
      <c r="AB14" s="432">
        <f t="shared" si="1"/>
        <v>-2429621</v>
      </c>
      <c r="AC14" s="432">
        <f t="shared" si="1"/>
        <v>126373019</v>
      </c>
      <c r="AD14" s="432">
        <f t="shared" si="1"/>
        <v>11849733</v>
      </c>
      <c r="AE14" s="432">
        <f t="shared" si="1"/>
        <v>275741336</v>
      </c>
      <c r="AF14" s="432">
        <f t="shared" si="1"/>
        <v>31186875</v>
      </c>
      <c r="AG14" s="432">
        <f t="shared" si="1"/>
        <v>87228851</v>
      </c>
      <c r="AH14" s="432">
        <f t="shared" si="1"/>
        <v>134705473</v>
      </c>
      <c r="AI14" s="432">
        <f t="shared" si="1"/>
        <v>70214514</v>
      </c>
      <c r="AJ14" s="432">
        <f t="shared" si="1"/>
        <v>44154050</v>
      </c>
      <c r="AK14" s="432">
        <f t="shared" si="1"/>
        <v>0</v>
      </c>
      <c r="AL14" s="432">
        <f t="shared" si="1"/>
        <v>173602414</v>
      </c>
      <c r="AM14" s="432">
        <f t="shared" si="1"/>
        <v>16809894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253622635</v>
      </c>
      <c r="E15" s="437">
        <v>62924050</v>
      </c>
      <c r="F15" s="437">
        <v>33185016</v>
      </c>
      <c r="G15" s="437">
        <v>25748119</v>
      </c>
      <c r="H15" s="437">
        <v>42735491</v>
      </c>
      <c r="I15" s="437"/>
      <c r="J15" s="437">
        <v>19095000</v>
      </c>
      <c r="K15" s="437">
        <v>37948370</v>
      </c>
      <c r="L15" s="437"/>
      <c r="M15" s="437">
        <v>64808965</v>
      </c>
      <c r="N15" s="437">
        <v>24609118</v>
      </c>
      <c r="O15" s="437">
        <v>1501641</v>
      </c>
      <c r="P15" s="438">
        <f t="shared" ref="P15" si="2">IF(SUM(Q15:AB15)=SUM(AC15:AM15),SUM(Q15:AB15),"  EROARE ART/CAP")</f>
        <v>237855844</v>
      </c>
      <c r="Q15" s="431">
        <v>40528840</v>
      </c>
      <c r="R15" s="437">
        <v>44977580</v>
      </c>
      <c r="S15" s="437">
        <v>1763000</v>
      </c>
      <c r="T15" s="437">
        <v>8010000</v>
      </c>
      <c r="U15" s="437">
        <v>36194785</v>
      </c>
      <c r="V15" s="437">
        <v>1027387</v>
      </c>
      <c r="W15" s="437">
        <v>9309902</v>
      </c>
      <c r="X15" s="472">
        <v>54164644</v>
      </c>
      <c r="Y15" s="437">
        <v>9503636</v>
      </c>
      <c r="Z15" s="431">
        <v>10487991</v>
      </c>
      <c r="AA15" s="431">
        <v>23558076</v>
      </c>
      <c r="AB15" s="431">
        <v>-1669997</v>
      </c>
      <c r="AC15" s="473">
        <v>31754239</v>
      </c>
      <c r="AD15" s="431">
        <v>1157479</v>
      </c>
      <c r="AE15" s="437">
        <v>15706869</v>
      </c>
      <c r="AF15" s="437">
        <v>26845047</v>
      </c>
      <c r="AG15" s="437">
        <v>18427676</v>
      </c>
      <c r="AH15" s="437">
        <v>78156553</v>
      </c>
      <c r="AI15" s="437">
        <v>765204</v>
      </c>
      <c r="AJ15" s="437">
        <v>4935196</v>
      </c>
      <c r="AK15" s="437"/>
      <c r="AL15" s="437">
        <v>57737150</v>
      </c>
      <c r="AM15" s="437">
        <v>2370431</v>
      </c>
    </row>
    <row r="16" spans="1:39" s="155" customFormat="1" ht="12" x14ac:dyDescent="0.2">
      <c r="A16" s="156" t="s">
        <v>72</v>
      </c>
      <c r="B16" s="157"/>
      <c r="C16" s="159"/>
      <c r="D16" s="432">
        <f>E16+SUM(H16:O16)</f>
        <v>323236899</v>
      </c>
      <c r="E16" s="433">
        <f>SUM(E18:E32)</f>
        <v>153044707</v>
      </c>
      <c r="F16" s="433">
        <f t="shared" ref="F16:O16" si="3">SUM(F18:F32)</f>
        <v>87473814</v>
      </c>
      <c r="G16" s="433">
        <f t="shared" si="3"/>
        <v>0</v>
      </c>
      <c r="H16" s="433">
        <f t="shared" si="3"/>
        <v>0</v>
      </c>
      <c r="I16" s="433">
        <f t="shared" si="3"/>
        <v>124835534</v>
      </c>
      <c r="J16" s="433">
        <f t="shared" si="3"/>
        <v>0</v>
      </c>
      <c r="K16" s="433">
        <f t="shared" si="3"/>
        <v>3516130</v>
      </c>
      <c r="L16" s="433">
        <f t="shared" si="3"/>
        <v>0</v>
      </c>
      <c r="M16" s="433">
        <f t="shared" si="3"/>
        <v>14689187</v>
      </c>
      <c r="N16" s="433">
        <f t="shared" si="3"/>
        <v>25550516</v>
      </c>
      <c r="O16" s="433">
        <f t="shared" si="3"/>
        <v>1600825</v>
      </c>
      <c r="P16" s="432">
        <f t="shared" ref="P16:P54" si="4">IF(SUM(Q16:AB16)=SUM(AC16:AM16),SUM(Q16:AB16),"  EROARE ART/CAP")</f>
        <v>313163301</v>
      </c>
      <c r="Q16" s="432">
        <f>SUM(Q18:Q32)</f>
        <v>140347033</v>
      </c>
      <c r="R16" s="432">
        <f t="shared" ref="R16:AM16" si="5">SUM(R18:R32)</f>
        <v>66352486</v>
      </c>
      <c r="S16" s="432">
        <f t="shared" si="5"/>
        <v>5434861</v>
      </c>
      <c r="T16" s="432">
        <f t="shared" si="5"/>
        <v>4600000</v>
      </c>
      <c r="U16" s="432">
        <f t="shared" si="5"/>
        <v>6902057</v>
      </c>
      <c r="V16" s="432">
        <f t="shared" si="5"/>
        <v>0</v>
      </c>
      <c r="W16" s="432">
        <f t="shared" si="5"/>
        <v>47032160</v>
      </c>
      <c r="X16" s="432">
        <f t="shared" si="5"/>
        <v>8226510</v>
      </c>
      <c r="Y16" s="432">
        <f t="shared" si="5"/>
        <v>3023507</v>
      </c>
      <c r="Z16" s="432">
        <f t="shared" si="5"/>
        <v>12260547</v>
      </c>
      <c r="AA16" s="432">
        <f t="shared" si="5"/>
        <v>19181811</v>
      </c>
      <c r="AB16" s="432">
        <f t="shared" si="5"/>
        <v>-197671</v>
      </c>
      <c r="AC16" s="432">
        <f t="shared" si="5"/>
        <v>27131513</v>
      </c>
      <c r="AD16" s="432">
        <f t="shared" si="5"/>
        <v>5295992</v>
      </c>
      <c r="AE16" s="432">
        <f t="shared" si="5"/>
        <v>131572000</v>
      </c>
      <c r="AF16" s="432">
        <f t="shared" si="5"/>
        <v>3644040</v>
      </c>
      <c r="AG16" s="432">
        <f t="shared" si="5"/>
        <v>42920354</v>
      </c>
      <c r="AH16" s="432">
        <f t="shared" si="5"/>
        <v>19856453</v>
      </c>
      <c r="AI16" s="432">
        <f t="shared" si="5"/>
        <v>34127091</v>
      </c>
      <c r="AJ16" s="432">
        <f t="shared" si="5"/>
        <v>15367810</v>
      </c>
      <c r="AK16" s="432">
        <f t="shared" si="5"/>
        <v>0</v>
      </c>
      <c r="AL16" s="432">
        <f t="shared" si="5"/>
        <v>33194661</v>
      </c>
      <c r="AM16" s="432">
        <f t="shared" si="5"/>
        <v>53387</v>
      </c>
    </row>
    <row r="17" spans="1:39" s="155" customFormat="1" ht="22.5" x14ac:dyDescent="0.2">
      <c r="A17" s="277" t="s">
        <v>2306</v>
      </c>
      <c r="B17" s="279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234">
        <v>1</v>
      </c>
      <c r="B18" s="144">
        <v>136483</v>
      </c>
      <c r="C18" s="290" t="s">
        <v>81</v>
      </c>
      <c r="D18" s="438">
        <f t="shared" ref="D18:D19" si="6">E18+SUM(H18:O18)</f>
        <v>267399844</v>
      </c>
      <c r="E18" s="437">
        <v>128876824</v>
      </c>
      <c r="F18" s="437">
        <v>73935763</v>
      </c>
      <c r="G18" s="437"/>
      <c r="H18" s="437"/>
      <c r="I18" s="437">
        <v>102372917</v>
      </c>
      <c r="J18" s="437"/>
      <c r="K18" s="437">
        <v>2708770</v>
      </c>
      <c r="L18" s="437"/>
      <c r="M18" s="437">
        <v>12910584</v>
      </c>
      <c r="N18" s="437">
        <v>19692149</v>
      </c>
      <c r="O18" s="437">
        <v>838600</v>
      </c>
      <c r="P18" s="438">
        <f t="shared" ref="P18:P19" si="7">IF(SUM(Q18:AB18)=SUM(AC18:AM18),SUM(Q18:AB18),"  EROARE ART/CAP")</f>
        <v>257308637</v>
      </c>
      <c r="Q18" s="439">
        <v>112489312</v>
      </c>
      <c r="R18" s="439">
        <v>56280323</v>
      </c>
      <c r="S18" s="439">
        <v>4766770</v>
      </c>
      <c r="T18" s="439">
        <v>4600000</v>
      </c>
      <c r="U18" s="439">
        <v>6163949</v>
      </c>
      <c r="V18" s="431"/>
      <c r="W18" s="431">
        <v>42949532</v>
      </c>
      <c r="X18" s="431">
        <v>7109486</v>
      </c>
      <c r="Y18" s="431">
        <v>2559145</v>
      </c>
      <c r="Z18" s="431">
        <v>9403303</v>
      </c>
      <c r="AA18" s="431">
        <v>11112155</v>
      </c>
      <c r="AB18" s="431">
        <v>-125338</v>
      </c>
      <c r="AC18" s="437">
        <v>20577913</v>
      </c>
      <c r="AD18" s="437">
        <v>4482283</v>
      </c>
      <c r="AE18" s="437">
        <v>108856125</v>
      </c>
      <c r="AF18" s="437">
        <v>1579289</v>
      </c>
      <c r="AG18" s="437">
        <v>33978309</v>
      </c>
      <c r="AH18" s="437">
        <v>14984318</v>
      </c>
      <c r="AI18" s="437">
        <v>28882712</v>
      </c>
      <c r="AJ18" s="437">
        <v>14156245</v>
      </c>
      <c r="AK18" s="437"/>
      <c r="AL18" s="437">
        <v>29758056</v>
      </c>
      <c r="AM18" s="437">
        <v>53387</v>
      </c>
    </row>
    <row r="19" spans="1:39" s="155" customFormat="1" ht="12" x14ac:dyDescent="0.2">
      <c r="A19" s="234">
        <v>2</v>
      </c>
      <c r="B19" s="144">
        <v>136526</v>
      </c>
      <c r="C19" s="290" t="s">
        <v>82</v>
      </c>
      <c r="D19" s="438">
        <f t="shared" si="6"/>
        <v>55837055</v>
      </c>
      <c r="E19" s="437">
        <v>24167883</v>
      </c>
      <c r="F19" s="437">
        <v>13538051</v>
      </c>
      <c r="G19" s="437"/>
      <c r="H19" s="437"/>
      <c r="I19" s="437">
        <v>22462617</v>
      </c>
      <c r="J19" s="437"/>
      <c r="K19" s="437">
        <v>807360</v>
      </c>
      <c r="L19" s="437"/>
      <c r="M19" s="437">
        <v>1778603</v>
      </c>
      <c r="N19" s="437">
        <v>5858367</v>
      </c>
      <c r="O19" s="437">
        <v>762225</v>
      </c>
      <c r="P19" s="438">
        <f t="shared" si="7"/>
        <v>55854664</v>
      </c>
      <c r="Q19" s="439">
        <v>27857721</v>
      </c>
      <c r="R19" s="439">
        <v>10072163</v>
      </c>
      <c r="S19" s="439">
        <v>668091</v>
      </c>
      <c r="T19" s="439"/>
      <c r="U19" s="439">
        <v>738108</v>
      </c>
      <c r="V19" s="431"/>
      <c r="W19" s="431">
        <v>4082628</v>
      </c>
      <c r="X19" s="431">
        <v>1117024</v>
      </c>
      <c r="Y19" s="431">
        <v>464362</v>
      </c>
      <c r="Z19" s="431">
        <v>2857244</v>
      </c>
      <c r="AA19" s="431">
        <v>8069656</v>
      </c>
      <c r="AB19" s="431">
        <v>-72333</v>
      </c>
      <c r="AC19" s="437">
        <v>6553600</v>
      </c>
      <c r="AD19" s="437">
        <v>813709</v>
      </c>
      <c r="AE19" s="437">
        <v>22715875</v>
      </c>
      <c r="AF19" s="437">
        <v>2064751</v>
      </c>
      <c r="AG19" s="437">
        <v>8942045</v>
      </c>
      <c r="AH19" s="437">
        <v>4872135</v>
      </c>
      <c r="AI19" s="437">
        <v>5244379</v>
      </c>
      <c r="AJ19" s="437">
        <v>1211565</v>
      </c>
      <c r="AK19" s="437"/>
      <c r="AL19" s="437">
        <v>3436605</v>
      </c>
      <c r="AM19" s="437"/>
    </row>
    <row r="20" spans="1:39" s="155" customFormat="1" ht="12" hidden="1" x14ac:dyDescent="0.2">
      <c r="A20" s="234">
        <v>3</v>
      </c>
      <c r="B20" s="234"/>
      <c r="C20" s="259"/>
      <c r="D20" s="432">
        <f t="shared" ref="D20:D41" si="8">E20+SUM(H20:O20)</f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2">
        <f t="shared" si="4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</row>
    <row r="21" spans="1:39" s="155" customFormat="1" ht="12" hidden="1" x14ac:dyDescent="0.2">
      <c r="A21" s="234">
        <v>4</v>
      </c>
      <c r="B21" s="234"/>
      <c r="C21" s="259"/>
      <c r="D21" s="432">
        <f t="shared" si="8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4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234">
        <v>5</v>
      </c>
      <c r="B22" s="234"/>
      <c r="C22" s="259"/>
      <c r="D22" s="432">
        <f t="shared" si="8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4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234">
        <v>6</v>
      </c>
      <c r="B23" s="234"/>
      <c r="C23" s="259"/>
      <c r="D23" s="432">
        <f t="shared" si="8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4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234">
        <v>7</v>
      </c>
      <c r="B24" s="234"/>
      <c r="C24" s="259"/>
      <c r="D24" s="432">
        <f t="shared" si="8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4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234">
        <v>8</v>
      </c>
      <c r="B25" s="234"/>
      <c r="C25" s="259"/>
      <c r="D25" s="432">
        <f t="shared" si="8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4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234">
        <v>9</v>
      </c>
      <c r="B26" s="234"/>
      <c r="C26" s="259"/>
      <c r="D26" s="432">
        <f t="shared" si="8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4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234">
        <v>10</v>
      </c>
      <c r="B27" s="234"/>
      <c r="C27" s="259"/>
      <c r="D27" s="432">
        <f t="shared" si="8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4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234">
        <v>11</v>
      </c>
      <c r="B28" s="234"/>
      <c r="C28" s="259"/>
      <c r="D28" s="432">
        <f t="shared" si="8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4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234">
        <v>12</v>
      </c>
      <c r="B29" s="234"/>
      <c r="C29" s="259"/>
      <c r="D29" s="432">
        <f t="shared" si="8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4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234">
        <v>13</v>
      </c>
      <c r="B30" s="234"/>
      <c r="C30" s="259"/>
      <c r="D30" s="432">
        <f t="shared" si="8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4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234">
        <v>14</v>
      </c>
      <c r="B31" s="234"/>
      <c r="C31" s="259"/>
      <c r="D31" s="432">
        <f t="shared" si="8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4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234">
        <v>15</v>
      </c>
      <c r="B32" s="234"/>
      <c r="C32" s="207"/>
      <c r="D32" s="432">
        <f t="shared" si="8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4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4"/>
      <c r="C33" s="208"/>
      <c r="D33" s="432">
        <f t="shared" si="8"/>
        <v>79699811</v>
      </c>
      <c r="E33" s="432">
        <f>SUM(E34:E53)</f>
        <v>29192691</v>
      </c>
      <c r="F33" s="432">
        <f t="shared" ref="F33:O33" si="9">SUM(F34:F53)</f>
        <v>11088831</v>
      </c>
      <c r="G33" s="432">
        <f t="shared" si="9"/>
        <v>4250743</v>
      </c>
      <c r="H33" s="432">
        <f t="shared" si="9"/>
        <v>0</v>
      </c>
      <c r="I33" s="432">
        <f t="shared" si="9"/>
        <v>30525404</v>
      </c>
      <c r="J33" s="432">
        <f t="shared" si="9"/>
        <v>0</v>
      </c>
      <c r="K33" s="432">
        <f t="shared" si="9"/>
        <v>7220240</v>
      </c>
      <c r="L33" s="432">
        <f t="shared" si="9"/>
        <v>0</v>
      </c>
      <c r="M33" s="432">
        <f t="shared" si="9"/>
        <v>9088359</v>
      </c>
      <c r="N33" s="432">
        <f t="shared" si="9"/>
        <v>3634886</v>
      </c>
      <c r="O33" s="432">
        <f t="shared" si="9"/>
        <v>38231</v>
      </c>
      <c r="P33" s="432">
        <f t="shared" si="4"/>
        <v>78725642</v>
      </c>
      <c r="Q33" s="432">
        <f>SUM(Q34:Q53)</f>
        <v>34048399</v>
      </c>
      <c r="R33" s="432">
        <f t="shared" ref="R33:AM33" si="10">SUM(R34:R53)</f>
        <v>16575409</v>
      </c>
      <c r="S33" s="432">
        <f t="shared" si="10"/>
        <v>463998</v>
      </c>
      <c r="T33" s="432">
        <f t="shared" si="10"/>
        <v>0</v>
      </c>
      <c r="U33" s="432">
        <f t="shared" si="10"/>
        <v>1454008</v>
      </c>
      <c r="V33" s="432">
        <f t="shared" si="10"/>
        <v>742500</v>
      </c>
      <c r="W33" s="432">
        <f t="shared" si="10"/>
        <v>6654804</v>
      </c>
      <c r="X33" s="432">
        <f t="shared" si="10"/>
        <v>1710879</v>
      </c>
      <c r="Y33" s="432">
        <f t="shared" si="10"/>
        <v>1566862</v>
      </c>
      <c r="Z33" s="432">
        <f t="shared" si="10"/>
        <v>14540929</v>
      </c>
      <c r="AA33" s="432">
        <f t="shared" si="10"/>
        <v>1130457</v>
      </c>
      <c r="AB33" s="432">
        <f t="shared" si="10"/>
        <v>-162603</v>
      </c>
      <c r="AC33" s="432">
        <f t="shared" si="10"/>
        <v>11861224</v>
      </c>
      <c r="AD33" s="432">
        <f t="shared" si="10"/>
        <v>926667</v>
      </c>
      <c r="AE33" s="432">
        <f t="shared" si="10"/>
        <v>29462929</v>
      </c>
      <c r="AF33" s="432">
        <f t="shared" si="10"/>
        <v>293968</v>
      </c>
      <c r="AG33" s="432">
        <f t="shared" si="10"/>
        <v>4709819</v>
      </c>
      <c r="AH33" s="432">
        <f t="shared" si="10"/>
        <v>5533224</v>
      </c>
      <c r="AI33" s="432">
        <f t="shared" si="10"/>
        <v>6385602</v>
      </c>
      <c r="AJ33" s="432">
        <f t="shared" si="10"/>
        <v>1116548</v>
      </c>
      <c r="AK33" s="432">
        <f t="shared" si="10"/>
        <v>0</v>
      </c>
      <c r="AL33" s="432">
        <f t="shared" si="10"/>
        <v>17488253</v>
      </c>
      <c r="AM33" s="432">
        <f t="shared" si="10"/>
        <v>947408</v>
      </c>
    </row>
    <row r="34" spans="1:39" s="155" customFormat="1" ht="12" x14ac:dyDescent="0.2">
      <c r="A34" s="234">
        <v>1</v>
      </c>
      <c r="B34" s="144">
        <v>138039</v>
      </c>
      <c r="C34" s="283" t="s">
        <v>83</v>
      </c>
      <c r="D34" s="438">
        <f t="shared" ref="D34:D37" si="11">E34+SUM(H34:O34)</f>
        <v>13049588</v>
      </c>
      <c r="E34" s="439">
        <v>4347063</v>
      </c>
      <c r="F34" s="439">
        <v>1261376</v>
      </c>
      <c r="G34" s="439">
        <v>1009965</v>
      </c>
      <c r="H34" s="439"/>
      <c r="I34" s="439">
        <v>6609801</v>
      </c>
      <c r="J34" s="439"/>
      <c r="K34" s="439">
        <v>2006230</v>
      </c>
      <c r="L34" s="439"/>
      <c r="M34" s="439">
        <v>72244</v>
      </c>
      <c r="N34" s="439"/>
      <c r="O34" s="439">
        <v>14250</v>
      </c>
      <c r="P34" s="438">
        <f t="shared" ref="P34:P37" si="12">IF(SUM(Q34:AB34)=SUM(AC34:AM34),SUM(Q34:AB34),"  EROARE ART/CAP")</f>
        <v>12589357</v>
      </c>
      <c r="Q34" s="439">
        <v>7190105</v>
      </c>
      <c r="R34" s="439">
        <v>2771579</v>
      </c>
      <c r="S34" s="439"/>
      <c r="T34" s="439"/>
      <c r="U34" s="439">
        <v>81958</v>
      </c>
      <c r="V34" s="431">
        <v>195000</v>
      </c>
      <c r="W34" s="431"/>
      <c r="X34" s="431">
        <v>244515</v>
      </c>
      <c r="Y34" s="431">
        <v>74000</v>
      </c>
      <c r="Z34" s="431">
        <v>2032200</v>
      </c>
      <c r="AA34" s="431"/>
      <c r="AB34" s="431"/>
      <c r="AC34" s="473">
        <v>1339472</v>
      </c>
      <c r="AD34" s="431">
        <v>118435</v>
      </c>
      <c r="AE34" s="439">
        <v>6384115</v>
      </c>
      <c r="AF34" s="439">
        <v>77960</v>
      </c>
      <c r="AG34" s="439">
        <v>668219</v>
      </c>
      <c r="AH34" s="439">
        <v>926861</v>
      </c>
      <c r="AI34" s="439">
        <v>1250556</v>
      </c>
      <c r="AJ34" s="439">
        <v>299260</v>
      </c>
      <c r="AK34" s="439"/>
      <c r="AL34" s="439">
        <v>1488479</v>
      </c>
      <c r="AM34" s="439">
        <v>36000</v>
      </c>
    </row>
    <row r="35" spans="1:39" s="155" customFormat="1" ht="12" x14ac:dyDescent="0.2">
      <c r="A35" s="234">
        <v>2</v>
      </c>
      <c r="B35" s="144">
        <v>136642</v>
      </c>
      <c r="C35" s="283" t="s">
        <v>84</v>
      </c>
      <c r="D35" s="438">
        <f t="shared" si="11"/>
        <v>18263942</v>
      </c>
      <c r="E35" s="439">
        <v>6825512</v>
      </c>
      <c r="F35" s="439">
        <v>2573571</v>
      </c>
      <c r="G35" s="439">
        <v>646978</v>
      </c>
      <c r="H35" s="439"/>
      <c r="I35" s="439">
        <v>7590146</v>
      </c>
      <c r="J35" s="439"/>
      <c r="K35" s="439">
        <v>1536900</v>
      </c>
      <c r="L35" s="439"/>
      <c r="M35" s="439">
        <v>2297372</v>
      </c>
      <c r="N35" s="439">
        <v>14012</v>
      </c>
      <c r="O35" s="439"/>
      <c r="P35" s="438">
        <f t="shared" si="12"/>
        <v>17388684</v>
      </c>
      <c r="Q35" s="439">
        <v>8683986</v>
      </c>
      <c r="R35" s="439">
        <v>3793240</v>
      </c>
      <c r="S35" s="439">
        <v>36998</v>
      </c>
      <c r="T35" s="439"/>
      <c r="U35" s="439">
        <v>199115</v>
      </c>
      <c r="V35" s="431">
        <v>257500</v>
      </c>
      <c r="W35" s="431">
        <v>477938</v>
      </c>
      <c r="X35" s="431">
        <v>555085</v>
      </c>
      <c r="Y35" s="431">
        <v>333734</v>
      </c>
      <c r="Z35" s="431">
        <v>2879314</v>
      </c>
      <c r="AA35" s="431">
        <v>193057</v>
      </c>
      <c r="AB35" s="431">
        <v>-21283</v>
      </c>
      <c r="AC35" s="473">
        <v>3875218</v>
      </c>
      <c r="AD35" s="439">
        <v>257546</v>
      </c>
      <c r="AE35" s="439">
        <v>7076637</v>
      </c>
      <c r="AF35" s="439">
        <v>103396</v>
      </c>
      <c r="AG35" s="439">
        <v>879882</v>
      </c>
      <c r="AH35" s="439">
        <v>1457673</v>
      </c>
      <c r="AI35" s="439">
        <v>630792</v>
      </c>
      <c r="AJ35" s="439">
        <v>421741</v>
      </c>
      <c r="AK35" s="439"/>
      <c r="AL35" s="439">
        <v>2041600</v>
      </c>
      <c r="AM35" s="439">
        <v>644199</v>
      </c>
    </row>
    <row r="36" spans="1:39" s="155" customFormat="1" ht="12" x14ac:dyDescent="0.2">
      <c r="A36" s="234">
        <v>3</v>
      </c>
      <c r="B36" s="144">
        <v>136848</v>
      </c>
      <c r="C36" s="283" t="s">
        <v>85</v>
      </c>
      <c r="D36" s="438">
        <f t="shared" si="11"/>
        <v>12137318</v>
      </c>
      <c r="E36" s="439">
        <v>4129131</v>
      </c>
      <c r="F36" s="439">
        <v>977858</v>
      </c>
      <c r="G36" s="439">
        <v>1274956</v>
      </c>
      <c r="H36" s="439"/>
      <c r="I36" s="439">
        <v>4442154</v>
      </c>
      <c r="J36" s="439"/>
      <c r="K36" s="439">
        <v>2535580</v>
      </c>
      <c r="L36" s="439"/>
      <c r="M36" s="439">
        <v>1006472</v>
      </c>
      <c r="N36" s="439"/>
      <c r="O36" s="439">
        <v>23981</v>
      </c>
      <c r="P36" s="438">
        <f t="shared" si="12"/>
        <v>12536412</v>
      </c>
      <c r="Q36" s="439">
        <v>4949342</v>
      </c>
      <c r="R36" s="439">
        <v>3214100</v>
      </c>
      <c r="S36" s="439"/>
      <c r="T36" s="439"/>
      <c r="U36" s="439">
        <v>325000</v>
      </c>
      <c r="V36" s="431">
        <v>290000</v>
      </c>
      <c r="W36" s="431"/>
      <c r="X36" s="431">
        <v>272159</v>
      </c>
      <c r="Y36" s="431">
        <v>501500</v>
      </c>
      <c r="Z36" s="431">
        <v>3121173</v>
      </c>
      <c r="AA36" s="431"/>
      <c r="AB36" s="431">
        <v>-136862</v>
      </c>
      <c r="AC36" s="473">
        <v>2220430</v>
      </c>
      <c r="AD36" s="439">
        <v>181596</v>
      </c>
      <c r="AE36" s="439">
        <v>3841434</v>
      </c>
      <c r="AF36" s="439">
        <v>30436</v>
      </c>
      <c r="AG36" s="439">
        <v>1413144</v>
      </c>
      <c r="AH36" s="439">
        <v>1321361</v>
      </c>
      <c r="AI36" s="439">
        <v>583493</v>
      </c>
      <c r="AJ36" s="439">
        <v>-136862</v>
      </c>
      <c r="AK36" s="439"/>
      <c r="AL36" s="439">
        <v>2831380</v>
      </c>
      <c r="AM36" s="439">
        <v>250000</v>
      </c>
    </row>
    <row r="37" spans="1:39" s="155" customFormat="1" ht="12" x14ac:dyDescent="0.2">
      <c r="A37" s="234">
        <v>4</v>
      </c>
      <c r="B37" s="144">
        <v>136599</v>
      </c>
      <c r="C37" s="283" t="s">
        <v>86</v>
      </c>
      <c r="D37" s="438">
        <f t="shared" si="11"/>
        <v>36248963</v>
      </c>
      <c r="E37" s="439">
        <v>13890985</v>
      </c>
      <c r="F37" s="439">
        <v>6276026</v>
      </c>
      <c r="G37" s="439">
        <v>1318844</v>
      </c>
      <c r="H37" s="439"/>
      <c r="I37" s="439">
        <v>11883303</v>
      </c>
      <c r="J37" s="439"/>
      <c r="K37" s="439">
        <v>1141530</v>
      </c>
      <c r="L37" s="439"/>
      <c r="M37" s="439">
        <v>5712271</v>
      </c>
      <c r="N37" s="439">
        <v>3620874</v>
      </c>
      <c r="O37" s="439"/>
      <c r="P37" s="438">
        <f t="shared" si="12"/>
        <v>36211189</v>
      </c>
      <c r="Q37" s="439">
        <v>13224966</v>
      </c>
      <c r="R37" s="439">
        <v>6796490</v>
      </c>
      <c r="S37" s="439">
        <v>427000</v>
      </c>
      <c r="T37" s="439"/>
      <c r="U37" s="439">
        <v>847935</v>
      </c>
      <c r="V37" s="431"/>
      <c r="W37" s="431">
        <v>6176866</v>
      </c>
      <c r="X37" s="431">
        <v>639120</v>
      </c>
      <c r="Y37" s="431">
        <v>657628</v>
      </c>
      <c r="Z37" s="431">
        <v>6508242</v>
      </c>
      <c r="AA37" s="431">
        <v>937400</v>
      </c>
      <c r="AB37" s="431">
        <v>-4458</v>
      </c>
      <c r="AC37" s="473">
        <v>4426104</v>
      </c>
      <c r="AD37" s="439">
        <v>369090</v>
      </c>
      <c r="AE37" s="439">
        <v>12160743</v>
      </c>
      <c r="AF37" s="439">
        <v>82176</v>
      </c>
      <c r="AG37" s="439">
        <v>1748574</v>
      </c>
      <c r="AH37" s="439">
        <v>1827329</v>
      </c>
      <c r="AI37" s="439">
        <v>3920761</v>
      </c>
      <c r="AJ37" s="439">
        <v>532409</v>
      </c>
      <c r="AK37" s="439"/>
      <c r="AL37" s="439">
        <v>11126794</v>
      </c>
      <c r="AM37" s="439">
        <v>17209</v>
      </c>
    </row>
    <row r="38" spans="1:39" s="155" customFormat="1" ht="12" hidden="1" x14ac:dyDescent="0.2">
      <c r="A38" s="234">
        <v>5</v>
      </c>
      <c r="B38" s="234"/>
      <c r="C38" s="261"/>
      <c r="D38" s="432">
        <f t="shared" si="8"/>
        <v>0</v>
      </c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2">
        <f t="shared" si="4"/>
        <v>0</v>
      </c>
      <c r="Q38" s="435"/>
      <c r="R38" s="435"/>
      <c r="S38" s="435"/>
      <c r="T38" s="435"/>
      <c r="U38" s="435"/>
      <c r="V38" s="431"/>
      <c r="W38" s="431"/>
      <c r="X38" s="431"/>
      <c r="Y38" s="431"/>
      <c r="Z38" s="435"/>
      <c r="AA38" s="431"/>
      <c r="AB38" s="431"/>
      <c r="AC38" s="445"/>
      <c r="AD38" s="435"/>
      <c r="AE38" s="435"/>
      <c r="AF38" s="435"/>
      <c r="AG38" s="435"/>
      <c r="AH38" s="435"/>
      <c r="AI38" s="435"/>
      <c r="AJ38" s="435"/>
      <c r="AK38" s="435"/>
      <c r="AL38" s="435"/>
      <c r="AM38" s="435"/>
    </row>
    <row r="39" spans="1:39" s="155" customFormat="1" ht="12" hidden="1" x14ac:dyDescent="0.2">
      <c r="A39" s="234">
        <v>6</v>
      </c>
      <c r="B39" s="234"/>
      <c r="C39" s="261"/>
      <c r="D39" s="432">
        <f t="shared" si="8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4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</row>
    <row r="40" spans="1:39" s="155" customFormat="1" ht="12" hidden="1" x14ac:dyDescent="0.2">
      <c r="A40" s="234">
        <v>7</v>
      </c>
      <c r="B40" s="234"/>
      <c r="C40" s="262"/>
      <c r="D40" s="432">
        <f t="shared" si="8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4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155" customFormat="1" ht="12" hidden="1" x14ac:dyDescent="0.2">
      <c r="A41" s="234">
        <v>8</v>
      </c>
      <c r="B41" s="234"/>
      <c r="C41" s="263"/>
      <c r="D41" s="432">
        <f t="shared" si="8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4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234">
        <v>9</v>
      </c>
      <c r="B42" s="234"/>
      <c r="C42" s="259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4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234">
        <v>10</v>
      </c>
      <c r="B43" s="234"/>
      <c r="C43" s="259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4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234">
        <v>11</v>
      </c>
      <c r="B44" s="234"/>
      <c r="C44" s="259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4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234">
        <v>12</v>
      </c>
      <c r="B45" s="234"/>
      <c r="C45" s="259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4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234">
        <v>13</v>
      </c>
      <c r="B46" s="234"/>
      <c r="C46" s="259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4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234">
        <v>14</v>
      </c>
      <c r="B47" s="234"/>
      <c r="C47" s="259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4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234">
        <v>15</v>
      </c>
      <c r="B48" s="234"/>
      <c r="C48" s="259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4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234">
        <v>16</v>
      </c>
      <c r="B49" s="234"/>
      <c r="C49" s="259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4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234">
        <v>17</v>
      </c>
      <c r="B50" s="234"/>
      <c r="C50" s="259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4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234">
        <v>18</v>
      </c>
      <c r="B51" s="234"/>
      <c r="C51" s="259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4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234">
        <v>19</v>
      </c>
      <c r="B52" s="234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4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234">
        <v>20</v>
      </c>
      <c r="B53" s="234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4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4"/>
      <c r="C54" s="208"/>
      <c r="D54" s="432">
        <f t="shared" ref="D54:D117" si="13">E54+SUM(H54:O54)</f>
        <v>359801458</v>
      </c>
      <c r="E54" s="432">
        <f>SUM(E55:E143)</f>
        <v>98685810</v>
      </c>
      <c r="F54" s="432">
        <f t="shared" ref="F54:O54" si="14">SUM(F55:F143)</f>
        <v>24590618</v>
      </c>
      <c r="G54" s="432">
        <f t="shared" si="14"/>
        <v>24572053</v>
      </c>
      <c r="H54" s="432">
        <f t="shared" si="14"/>
        <v>0</v>
      </c>
      <c r="I54" s="432">
        <f t="shared" si="14"/>
        <v>111057398</v>
      </c>
      <c r="J54" s="432">
        <f t="shared" si="14"/>
        <v>0</v>
      </c>
      <c r="K54" s="432">
        <f t="shared" si="14"/>
        <v>44268380</v>
      </c>
      <c r="L54" s="432">
        <f t="shared" si="14"/>
        <v>0</v>
      </c>
      <c r="M54" s="432">
        <f t="shared" si="14"/>
        <v>51199243</v>
      </c>
      <c r="N54" s="432">
        <f t="shared" si="14"/>
        <v>49974076</v>
      </c>
      <c r="O54" s="432">
        <f t="shared" si="14"/>
        <v>4616551</v>
      </c>
      <c r="P54" s="432">
        <f t="shared" si="4"/>
        <v>342121372</v>
      </c>
      <c r="Q54" s="432">
        <f>SUM(Q55:Q143)</f>
        <v>134626113</v>
      </c>
      <c r="R54" s="432">
        <f t="shared" ref="R54:AM54" si="15">SUM(R55:R143)</f>
        <v>62743493</v>
      </c>
      <c r="S54" s="432">
        <f t="shared" si="15"/>
        <v>643683</v>
      </c>
      <c r="T54" s="432">
        <f t="shared" si="15"/>
        <v>0</v>
      </c>
      <c r="U54" s="432">
        <f t="shared" si="15"/>
        <v>2070018</v>
      </c>
      <c r="V54" s="432">
        <f t="shared" si="15"/>
        <v>118814</v>
      </c>
      <c r="W54" s="432">
        <f t="shared" si="15"/>
        <v>35164523</v>
      </c>
      <c r="X54" s="432">
        <f t="shared" si="15"/>
        <v>11636220</v>
      </c>
      <c r="Y54" s="432">
        <f t="shared" si="15"/>
        <v>4013036</v>
      </c>
      <c r="Z54" s="432">
        <f t="shared" si="15"/>
        <v>73212237</v>
      </c>
      <c r="AA54" s="432">
        <f t="shared" si="15"/>
        <v>18292585</v>
      </c>
      <c r="AB54" s="432">
        <f t="shared" si="15"/>
        <v>-399350</v>
      </c>
      <c r="AC54" s="432">
        <f t="shared" si="15"/>
        <v>55626043</v>
      </c>
      <c r="AD54" s="432">
        <f t="shared" si="15"/>
        <v>4469595</v>
      </c>
      <c r="AE54" s="432">
        <f t="shared" si="15"/>
        <v>98999538</v>
      </c>
      <c r="AF54" s="432">
        <f t="shared" si="15"/>
        <v>403820</v>
      </c>
      <c r="AG54" s="432">
        <f t="shared" si="15"/>
        <v>21171002</v>
      </c>
      <c r="AH54" s="432">
        <f t="shared" si="15"/>
        <v>31159243</v>
      </c>
      <c r="AI54" s="432">
        <f t="shared" si="15"/>
        <v>28936617</v>
      </c>
      <c r="AJ54" s="432">
        <f t="shared" si="15"/>
        <v>22734496</v>
      </c>
      <c r="AK54" s="432">
        <f t="shared" si="15"/>
        <v>0</v>
      </c>
      <c r="AL54" s="432">
        <f>SUM(AL55:AL143)</f>
        <v>65182350</v>
      </c>
      <c r="AM54" s="432">
        <f t="shared" si="15"/>
        <v>13438668</v>
      </c>
    </row>
    <row r="55" spans="1:39" s="155" customFormat="1" ht="12" x14ac:dyDescent="0.2">
      <c r="A55" s="168">
        <v>1</v>
      </c>
      <c r="B55" s="143">
        <v>179677</v>
      </c>
      <c r="C55" s="291" t="s">
        <v>87</v>
      </c>
      <c r="D55" s="438">
        <f t="shared" ref="D55:D113" si="16">E55+SUM(H55:O55)</f>
        <v>2980497</v>
      </c>
      <c r="E55" s="437">
        <v>889700</v>
      </c>
      <c r="F55" s="437">
        <v>142043</v>
      </c>
      <c r="G55" s="437">
        <v>409986</v>
      </c>
      <c r="H55" s="437"/>
      <c r="I55" s="437">
        <v>942281</v>
      </c>
      <c r="J55" s="437"/>
      <c r="K55" s="437">
        <v>799950</v>
      </c>
      <c r="L55" s="437"/>
      <c r="M55" s="437">
        <v>37185</v>
      </c>
      <c r="N55" s="437">
        <v>103457</v>
      </c>
      <c r="O55" s="437">
        <v>207924</v>
      </c>
      <c r="P55" s="438">
        <f t="shared" ref="P55:P113" si="17">IF(SUM(Q55:AB55)=SUM(AC55:AM55),SUM(Q55:AB55),"  EROARE ART/CAP")</f>
        <v>2912495</v>
      </c>
      <c r="Q55" s="431">
        <v>1256939</v>
      </c>
      <c r="R55" s="431">
        <v>837608</v>
      </c>
      <c r="S55" s="431"/>
      <c r="T55" s="431"/>
      <c r="U55" s="431"/>
      <c r="V55" s="431"/>
      <c r="W55" s="431">
        <v>142676</v>
      </c>
      <c r="X55" s="431">
        <v>64206</v>
      </c>
      <c r="Y55" s="431">
        <v>110000</v>
      </c>
      <c r="Z55" s="431">
        <v>517710</v>
      </c>
      <c r="AA55" s="431"/>
      <c r="AB55" s="431">
        <v>-16644</v>
      </c>
      <c r="AC55" s="472">
        <v>453727</v>
      </c>
      <c r="AD55" s="437">
        <v>47422</v>
      </c>
      <c r="AE55" s="437">
        <v>781122</v>
      </c>
      <c r="AF55" s="437"/>
      <c r="AG55" s="437">
        <v>315627</v>
      </c>
      <c r="AH55" s="437">
        <v>278448</v>
      </c>
      <c r="AI55" s="472">
        <v>160924</v>
      </c>
      <c r="AJ55" s="472">
        <v>524774</v>
      </c>
      <c r="AK55" s="437"/>
      <c r="AL55" s="437">
        <v>350451</v>
      </c>
      <c r="AM55" s="437"/>
    </row>
    <row r="56" spans="1:39" s="155" customFormat="1" ht="12" x14ac:dyDescent="0.2">
      <c r="A56" s="168">
        <v>2</v>
      </c>
      <c r="B56" s="143">
        <v>179882</v>
      </c>
      <c r="C56" s="291" t="s">
        <v>88</v>
      </c>
      <c r="D56" s="438">
        <f t="shared" si="16"/>
        <v>6004487</v>
      </c>
      <c r="E56" s="437">
        <v>931625</v>
      </c>
      <c r="F56" s="437">
        <v>139026</v>
      </c>
      <c r="G56" s="437">
        <v>423985</v>
      </c>
      <c r="H56" s="437"/>
      <c r="I56" s="437">
        <v>872149</v>
      </c>
      <c r="J56" s="437"/>
      <c r="K56" s="437">
        <v>799080</v>
      </c>
      <c r="L56" s="437"/>
      <c r="M56" s="437">
        <v>131949</v>
      </c>
      <c r="N56" s="437">
        <v>1766330</v>
      </c>
      <c r="O56" s="437">
        <v>1503354</v>
      </c>
      <c r="P56" s="438">
        <f t="shared" si="17"/>
        <v>3572725</v>
      </c>
      <c r="Q56" s="431">
        <v>1036738</v>
      </c>
      <c r="R56" s="431">
        <v>346775</v>
      </c>
      <c r="S56" s="431"/>
      <c r="T56" s="431"/>
      <c r="U56" s="431"/>
      <c r="V56" s="431"/>
      <c r="W56" s="431">
        <v>77963</v>
      </c>
      <c r="X56" s="431">
        <v>110464</v>
      </c>
      <c r="Y56" s="431">
        <v>69000</v>
      </c>
      <c r="Z56" s="468">
        <v>1943623</v>
      </c>
      <c r="AA56" s="431"/>
      <c r="AB56" s="431">
        <v>-11838</v>
      </c>
      <c r="AC56" s="472">
        <v>349349</v>
      </c>
      <c r="AD56" s="437">
        <v>7085</v>
      </c>
      <c r="AE56" s="437">
        <v>742536</v>
      </c>
      <c r="AF56" s="437"/>
      <c r="AG56" s="437">
        <v>75956</v>
      </c>
      <c r="AH56" s="437">
        <v>199217</v>
      </c>
      <c r="AI56" s="472">
        <v>103254</v>
      </c>
      <c r="AJ56" s="472">
        <v>1870574</v>
      </c>
      <c r="AK56" s="437"/>
      <c r="AL56" s="437">
        <v>224754</v>
      </c>
      <c r="AM56" s="437"/>
    </row>
    <row r="57" spans="1:39" s="155" customFormat="1" ht="12" x14ac:dyDescent="0.2">
      <c r="A57" s="168">
        <v>3</v>
      </c>
      <c r="B57" s="143">
        <v>179873</v>
      </c>
      <c r="C57" s="291" t="s">
        <v>89</v>
      </c>
      <c r="D57" s="438">
        <f t="shared" si="16"/>
        <v>2642877</v>
      </c>
      <c r="E57" s="437">
        <v>909315</v>
      </c>
      <c r="F57" s="437">
        <v>168098</v>
      </c>
      <c r="G57" s="437">
        <v>336988</v>
      </c>
      <c r="H57" s="437"/>
      <c r="I57" s="437">
        <v>1058917</v>
      </c>
      <c r="J57" s="437"/>
      <c r="K57" s="437">
        <v>670740</v>
      </c>
      <c r="L57" s="437"/>
      <c r="M57" s="437">
        <v>3905</v>
      </c>
      <c r="N57" s="437"/>
      <c r="O57" s="437"/>
      <c r="P57" s="438">
        <f t="shared" si="17"/>
        <v>2768558</v>
      </c>
      <c r="Q57" s="431">
        <v>1446408</v>
      </c>
      <c r="R57" s="431">
        <v>559285</v>
      </c>
      <c r="S57" s="431"/>
      <c r="T57" s="431"/>
      <c r="U57" s="431">
        <v>11975</v>
      </c>
      <c r="V57" s="431"/>
      <c r="W57" s="431"/>
      <c r="X57" s="431">
        <v>35408</v>
      </c>
      <c r="Y57" s="431">
        <v>41250</v>
      </c>
      <c r="Z57" s="431">
        <v>674232</v>
      </c>
      <c r="AA57" s="431"/>
      <c r="AB57" s="431"/>
      <c r="AC57" s="468">
        <v>639451</v>
      </c>
      <c r="AD57" s="431">
        <v>22744</v>
      </c>
      <c r="AE57" s="431">
        <v>1101197</v>
      </c>
      <c r="AF57" s="431"/>
      <c r="AG57" s="431">
        <v>48556</v>
      </c>
      <c r="AH57" s="431">
        <v>217915</v>
      </c>
      <c r="AI57" s="468">
        <v>191223</v>
      </c>
      <c r="AJ57" s="468">
        <v>57746</v>
      </c>
      <c r="AK57" s="431"/>
      <c r="AL57" s="431">
        <v>489726</v>
      </c>
      <c r="AM57" s="431"/>
    </row>
    <row r="58" spans="1:39" s="155" customFormat="1" ht="12" x14ac:dyDescent="0.2">
      <c r="A58" s="168">
        <v>4</v>
      </c>
      <c r="B58" s="143">
        <v>180028</v>
      </c>
      <c r="C58" s="291" t="s">
        <v>90</v>
      </c>
      <c r="D58" s="438">
        <f t="shared" si="16"/>
        <v>4087391</v>
      </c>
      <c r="E58" s="437">
        <v>1095841</v>
      </c>
      <c r="F58" s="437">
        <v>301222</v>
      </c>
      <c r="G58" s="437">
        <v>349988</v>
      </c>
      <c r="H58" s="437"/>
      <c r="I58" s="437">
        <v>1653598</v>
      </c>
      <c r="J58" s="437"/>
      <c r="K58" s="437">
        <v>688700</v>
      </c>
      <c r="L58" s="437"/>
      <c r="M58" s="437">
        <v>111489</v>
      </c>
      <c r="N58" s="437">
        <v>537763</v>
      </c>
      <c r="O58" s="437"/>
      <c r="P58" s="438">
        <f t="shared" si="17"/>
        <v>3565596</v>
      </c>
      <c r="Q58" s="431">
        <v>2023458</v>
      </c>
      <c r="R58" s="431">
        <v>502105</v>
      </c>
      <c r="S58" s="431"/>
      <c r="T58" s="431"/>
      <c r="U58" s="431">
        <v>72828</v>
      </c>
      <c r="V58" s="431"/>
      <c r="W58" s="431">
        <v>349693</v>
      </c>
      <c r="X58" s="431">
        <v>101737</v>
      </c>
      <c r="Y58" s="431">
        <v>68000</v>
      </c>
      <c r="Z58" s="468">
        <v>449135</v>
      </c>
      <c r="AA58" s="431"/>
      <c r="AB58" s="431">
        <v>-1360</v>
      </c>
      <c r="AC58" s="472">
        <v>792947</v>
      </c>
      <c r="AD58" s="437">
        <v>1766</v>
      </c>
      <c r="AE58" s="437">
        <v>1342936</v>
      </c>
      <c r="AF58" s="437"/>
      <c r="AG58" s="437">
        <v>218438</v>
      </c>
      <c r="AH58" s="437">
        <v>510872</v>
      </c>
      <c r="AI58" s="472">
        <v>173774</v>
      </c>
      <c r="AJ58" s="472">
        <v>65955</v>
      </c>
      <c r="AK58" s="437"/>
      <c r="AL58" s="437">
        <v>109983</v>
      </c>
      <c r="AM58" s="437">
        <v>348925</v>
      </c>
    </row>
    <row r="59" spans="1:39" s="155" customFormat="1" ht="12" x14ac:dyDescent="0.2">
      <c r="A59" s="168">
        <v>5</v>
      </c>
      <c r="B59" s="143">
        <v>136964</v>
      </c>
      <c r="C59" s="291" t="s">
        <v>91</v>
      </c>
      <c r="D59" s="438">
        <f t="shared" si="16"/>
        <v>5850271</v>
      </c>
      <c r="E59" s="437">
        <v>2466840</v>
      </c>
      <c r="F59" s="437">
        <v>267574</v>
      </c>
      <c r="G59" s="437">
        <v>1039619</v>
      </c>
      <c r="H59" s="437"/>
      <c r="I59" s="437">
        <v>2289410</v>
      </c>
      <c r="J59" s="437"/>
      <c r="K59" s="437">
        <v>1035210</v>
      </c>
      <c r="L59" s="437"/>
      <c r="M59" s="437">
        <v>18461</v>
      </c>
      <c r="N59" s="437"/>
      <c r="O59" s="437">
        <v>40350</v>
      </c>
      <c r="P59" s="438">
        <f t="shared" si="17"/>
        <v>5871274</v>
      </c>
      <c r="Q59" s="431">
        <v>2787421</v>
      </c>
      <c r="R59" s="431">
        <v>2330192</v>
      </c>
      <c r="S59" s="431"/>
      <c r="T59" s="431"/>
      <c r="U59" s="431">
        <v>50741</v>
      </c>
      <c r="V59" s="431"/>
      <c r="W59" s="431"/>
      <c r="X59" s="431">
        <v>168115</v>
      </c>
      <c r="Y59" s="431">
        <v>264319</v>
      </c>
      <c r="Z59" s="468">
        <v>256486</v>
      </c>
      <c r="AA59" s="431">
        <v>14000</v>
      </c>
      <c r="AB59" s="431"/>
      <c r="AC59" s="472">
        <v>1009083</v>
      </c>
      <c r="AD59" s="437"/>
      <c r="AE59" s="437">
        <v>1992351</v>
      </c>
      <c r="AF59" s="437"/>
      <c r="AG59" s="437">
        <v>479650</v>
      </c>
      <c r="AH59" s="437">
        <v>671972</v>
      </c>
      <c r="AI59" s="472">
        <v>492666</v>
      </c>
      <c r="AJ59" s="472">
        <v>59973</v>
      </c>
      <c r="AK59" s="437"/>
      <c r="AL59" s="437">
        <v>1060639</v>
      </c>
      <c r="AM59" s="437">
        <v>104940</v>
      </c>
    </row>
    <row r="60" spans="1:39" s="155" customFormat="1" ht="12" x14ac:dyDescent="0.2">
      <c r="A60" s="168">
        <v>6</v>
      </c>
      <c r="B60" s="143">
        <v>139214</v>
      </c>
      <c r="C60" s="291" t="s">
        <v>92</v>
      </c>
      <c r="D60" s="438">
        <f t="shared" si="16"/>
        <v>5335265</v>
      </c>
      <c r="E60" s="437">
        <v>1576050</v>
      </c>
      <c r="F60" s="437">
        <v>271062</v>
      </c>
      <c r="G60" s="437">
        <v>496346</v>
      </c>
      <c r="H60" s="437"/>
      <c r="I60" s="437">
        <v>2458598</v>
      </c>
      <c r="J60" s="437"/>
      <c r="K60" s="437">
        <v>819770</v>
      </c>
      <c r="L60" s="437"/>
      <c r="M60" s="472">
        <v>480847</v>
      </c>
      <c r="N60" s="472"/>
      <c r="O60" s="437"/>
      <c r="P60" s="438">
        <f t="shared" si="17"/>
        <v>5463879</v>
      </c>
      <c r="Q60" s="431">
        <v>2662699</v>
      </c>
      <c r="R60" s="431">
        <v>1047222</v>
      </c>
      <c r="S60" s="431"/>
      <c r="T60" s="431"/>
      <c r="U60" s="431">
        <v>68000</v>
      </c>
      <c r="V60" s="431"/>
      <c r="W60" s="431"/>
      <c r="X60" s="431">
        <v>302360</v>
      </c>
      <c r="Y60" s="431">
        <v>262723</v>
      </c>
      <c r="Z60" s="468">
        <v>1120875</v>
      </c>
      <c r="AA60" s="431"/>
      <c r="AB60" s="431"/>
      <c r="AC60" s="472">
        <v>599319</v>
      </c>
      <c r="AD60" s="437">
        <v>75921</v>
      </c>
      <c r="AE60" s="437">
        <v>2340284</v>
      </c>
      <c r="AF60" s="437"/>
      <c r="AG60" s="437">
        <v>292116</v>
      </c>
      <c r="AH60" s="437">
        <v>676590</v>
      </c>
      <c r="AI60" s="472">
        <v>531588</v>
      </c>
      <c r="AJ60" s="472">
        <v>137012</v>
      </c>
      <c r="AK60" s="437"/>
      <c r="AL60" s="437">
        <v>811049</v>
      </c>
      <c r="AM60" s="437"/>
    </row>
    <row r="61" spans="1:39" s="155" customFormat="1" ht="12" x14ac:dyDescent="0.2">
      <c r="A61" s="168">
        <v>7</v>
      </c>
      <c r="B61" s="143">
        <v>139358</v>
      </c>
      <c r="C61" s="291" t="s">
        <v>93</v>
      </c>
      <c r="D61" s="438">
        <f t="shared" si="16"/>
        <v>9567814</v>
      </c>
      <c r="E61" s="437">
        <v>5993242</v>
      </c>
      <c r="F61" s="437">
        <v>3964512</v>
      </c>
      <c r="G61" s="437">
        <v>97537</v>
      </c>
      <c r="H61" s="437"/>
      <c r="I61" s="437">
        <v>2907198</v>
      </c>
      <c r="J61" s="437"/>
      <c r="K61" s="437">
        <v>129990</v>
      </c>
      <c r="L61" s="437"/>
      <c r="M61" s="437">
        <v>167945</v>
      </c>
      <c r="N61" s="437">
        <v>369439</v>
      </c>
      <c r="O61" s="437"/>
      <c r="P61" s="438">
        <f t="shared" si="17"/>
        <v>9781185</v>
      </c>
      <c r="Q61" s="431">
        <v>3039912</v>
      </c>
      <c r="R61" s="431">
        <v>1790096</v>
      </c>
      <c r="S61" s="431"/>
      <c r="T61" s="431"/>
      <c r="U61" s="431">
        <v>33758</v>
      </c>
      <c r="V61" s="431">
        <v>12877</v>
      </c>
      <c r="W61" s="431"/>
      <c r="X61" s="431">
        <v>352501</v>
      </c>
      <c r="Y61" s="431">
        <v>463472</v>
      </c>
      <c r="Z61" s="468">
        <v>4104329</v>
      </c>
      <c r="AA61" s="431"/>
      <c r="AB61" s="431">
        <v>-15760</v>
      </c>
      <c r="AC61" s="472">
        <v>2255090</v>
      </c>
      <c r="AD61" s="437">
        <v>153788</v>
      </c>
      <c r="AE61" s="437">
        <v>3023241</v>
      </c>
      <c r="AF61" s="437">
        <v>29899</v>
      </c>
      <c r="AG61" s="437">
        <v>1109062</v>
      </c>
      <c r="AH61" s="437">
        <v>614652</v>
      </c>
      <c r="AI61" s="472">
        <v>451894</v>
      </c>
      <c r="AJ61" s="472">
        <v>1435104</v>
      </c>
      <c r="AK61" s="437"/>
      <c r="AL61" s="437">
        <v>708455</v>
      </c>
      <c r="AM61" s="437"/>
    </row>
    <row r="62" spans="1:39" s="155" customFormat="1" ht="12" x14ac:dyDescent="0.2">
      <c r="A62" s="168">
        <v>8</v>
      </c>
      <c r="B62" s="143">
        <v>137185</v>
      </c>
      <c r="C62" s="291" t="s">
        <v>94</v>
      </c>
      <c r="D62" s="438">
        <f t="shared" si="16"/>
        <v>5399794</v>
      </c>
      <c r="E62" s="437">
        <v>3174200</v>
      </c>
      <c r="F62" s="437">
        <v>1269390</v>
      </c>
      <c r="G62" s="437">
        <v>126973</v>
      </c>
      <c r="H62" s="437"/>
      <c r="I62" s="437">
        <v>1714961</v>
      </c>
      <c r="J62" s="437"/>
      <c r="K62" s="437">
        <v>155460</v>
      </c>
      <c r="L62" s="437"/>
      <c r="M62" s="437">
        <v>81032</v>
      </c>
      <c r="N62" s="437">
        <v>248841</v>
      </c>
      <c r="O62" s="437">
        <v>25300</v>
      </c>
      <c r="P62" s="438">
        <f t="shared" si="17"/>
        <v>5293903</v>
      </c>
      <c r="Q62" s="431">
        <v>2139761</v>
      </c>
      <c r="R62" s="431">
        <v>1117791</v>
      </c>
      <c r="S62" s="431">
        <v>114000</v>
      </c>
      <c r="T62" s="431"/>
      <c r="U62" s="431">
        <v>47572</v>
      </c>
      <c r="V62" s="431"/>
      <c r="W62" s="431">
        <v>331823</v>
      </c>
      <c r="X62" s="431">
        <v>183289</v>
      </c>
      <c r="Y62" s="431">
        <v>110000</v>
      </c>
      <c r="Z62" s="468">
        <v>1008227</v>
      </c>
      <c r="AA62" s="431">
        <v>241440</v>
      </c>
      <c r="AB62" s="431"/>
      <c r="AC62" s="472">
        <v>1024160</v>
      </c>
      <c r="AD62" s="437">
        <v>9863</v>
      </c>
      <c r="AE62" s="437">
        <v>1530708</v>
      </c>
      <c r="AF62" s="437"/>
      <c r="AG62" s="437">
        <v>991983</v>
      </c>
      <c r="AH62" s="437">
        <v>477543</v>
      </c>
      <c r="AI62" s="472">
        <v>317922</v>
      </c>
      <c r="AJ62" s="472">
        <v>226776</v>
      </c>
      <c r="AK62" s="437"/>
      <c r="AL62" s="437">
        <v>714948</v>
      </c>
      <c r="AM62" s="437"/>
    </row>
    <row r="63" spans="1:39" s="155" customFormat="1" ht="12" x14ac:dyDescent="0.2">
      <c r="A63" s="168">
        <v>9</v>
      </c>
      <c r="B63" s="143">
        <v>137130</v>
      </c>
      <c r="C63" s="291" t="s">
        <v>95</v>
      </c>
      <c r="D63" s="438">
        <f t="shared" si="16"/>
        <v>8910410</v>
      </c>
      <c r="E63" s="437">
        <v>1012465</v>
      </c>
      <c r="F63" s="437">
        <v>149795</v>
      </c>
      <c r="G63" s="437">
        <v>301029</v>
      </c>
      <c r="H63" s="437"/>
      <c r="I63" s="437">
        <v>1895368</v>
      </c>
      <c r="J63" s="437"/>
      <c r="K63" s="437">
        <v>656030</v>
      </c>
      <c r="L63" s="437"/>
      <c r="M63" s="437">
        <v>2009078</v>
      </c>
      <c r="N63" s="437">
        <v>3284469</v>
      </c>
      <c r="O63" s="437">
        <v>53000</v>
      </c>
      <c r="P63" s="438">
        <f t="shared" si="17"/>
        <v>9193762</v>
      </c>
      <c r="Q63" s="431">
        <v>2374309</v>
      </c>
      <c r="R63" s="431">
        <v>766505</v>
      </c>
      <c r="S63" s="431"/>
      <c r="T63" s="431"/>
      <c r="U63" s="431"/>
      <c r="V63" s="431"/>
      <c r="W63" s="431">
        <v>4662648</v>
      </c>
      <c r="X63" s="431">
        <v>168643</v>
      </c>
      <c r="Y63" s="431">
        <v>64723</v>
      </c>
      <c r="Z63" s="468">
        <v>1156934</v>
      </c>
      <c r="AA63" s="431"/>
      <c r="AB63" s="431"/>
      <c r="AC63" s="472">
        <v>957915</v>
      </c>
      <c r="AD63" s="437"/>
      <c r="AE63" s="437">
        <v>1598129</v>
      </c>
      <c r="AF63" s="437"/>
      <c r="AG63" s="437">
        <v>301897</v>
      </c>
      <c r="AH63" s="437">
        <v>409631</v>
      </c>
      <c r="AI63" s="472">
        <v>4663994</v>
      </c>
      <c r="AJ63" s="472">
        <v>142376</v>
      </c>
      <c r="AK63" s="437"/>
      <c r="AL63" s="437">
        <v>1046790</v>
      </c>
      <c r="AM63" s="437">
        <v>73030</v>
      </c>
    </row>
    <row r="64" spans="1:39" s="155" customFormat="1" ht="12" x14ac:dyDescent="0.2">
      <c r="A64" s="168">
        <v>10</v>
      </c>
      <c r="B64" s="143">
        <v>139394</v>
      </c>
      <c r="C64" s="291" t="s">
        <v>96</v>
      </c>
      <c r="D64" s="438">
        <f t="shared" si="16"/>
        <v>5819643</v>
      </c>
      <c r="E64" s="437">
        <v>2359637</v>
      </c>
      <c r="F64" s="437">
        <v>603352</v>
      </c>
      <c r="G64" s="437">
        <v>376945</v>
      </c>
      <c r="H64" s="437"/>
      <c r="I64" s="437">
        <v>2096042</v>
      </c>
      <c r="J64" s="437"/>
      <c r="K64" s="437">
        <v>1010320</v>
      </c>
      <c r="L64" s="437"/>
      <c r="M64" s="437">
        <v>353644</v>
      </c>
      <c r="N64" s="437"/>
      <c r="O64" s="437"/>
      <c r="P64" s="438">
        <f t="shared" si="17"/>
        <v>5814451</v>
      </c>
      <c r="Q64" s="431">
        <v>2320913</v>
      </c>
      <c r="R64" s="431">
        <v>1234416</v>
      </c>
      <c r="S64" s="431"/>
      <c r="T64" s="431"/>
      <c r="U64" s="431">
        <v>46968</v>
      </c>
      <c r="V64" s="431"/>
      <c r="W64" s="431"/>
      <c r="X64" s="431">
        <v>261649</v>
      </c>
      <c r="Y64" s="431">
        <v>49138</v>
      </c>
      <c r="Z64" s="468">
        <v>1901367</v>
      </c>
      <c r="AA64" s="431"/>
      <c r="AB64" s="431"/>
      <c r="AC64" s="472">
        <v>1194575</v>
      </c>
      <c r="AD64" s="437"/>
      <c r="AE64" s="437">
        <v>1571802</v>
      </c>
      <c r="AF64" s="437"/>
      <c r="AG64" s="437">
        <v>81173</v>
      </c>
      <c r="AH64" s="437">
        <v>679659</v>
      </c>
      <c r="AI64" s="472">
        <v>113800</v>
      </c>
      <c r="AJ64" s="472">
        <v>218712</v>
      </c>
      <c r="AK64" s="437"/>
      <c r="AL64" s="437">
        <v>1954730</v>
      </c>
      <c r="AM64" s="437"/>
    </row>
    <row r="65" spans="1:39" s="155" customFormat="1" ht="12" x14ac:dyDescent="0.2">
      <c r="A65" s="168">
        <v>11</v>
      </c>
      <c r="B65" s="143">
        <v>138574</v>
      </c>
      <c r="C65" s="291" t="s">
        <v>97</v>
      </c>
      <c r="D65" s="438">
        <f t="shared" si="16"/>
        <v>6363138</v>
      </c>
      <c r="E65" s="437">
        <v>1599979</v>
      </c>
      <c r="F65" s="437">
        <v>357757</v>
      </c>
      <c r="G65" s="437">
        <v>351955</v>
      </c>
      <c r="H65" s="437"/>
      <c r="I65" s="437">
        <v>2091593</v>
      </c>
      <c r="J65" s="437"/>
      <c r="K65" s="437">
        <v>544020</v>
      </c>
      <c r="L65" s="437"/>
      <c r="M65" s="437">
        <v>1551605</v>
      </c>
      <c r="N65" s="437">
        <v>375941</v>
      </c>
      <c r="O65" s="437">
        <v>200000</v>
      </c>
      <c r="P65" s="438">
        <f t="shared" si="17"/>
        <v>6124898</v>
      </c>
      <c r="Q65" s="431">
        <v>2390585</v>
      </c>
      <c r="R65" s="431">
        <v>1003385</v>
      </c>
      <c r="S65" s="431">
        <v>23852</v>
      </c>
      <c r="T65" s="431"/>
      <c r="U65" s="431">
        <v>23999</v>
      </c>
      <c r="V65" s="431"/>
      <c r="W65" s="431">
        <v>317982</v>
      </c>
      <c r="X65" s="431">
        <v>163510</v>
      </c>
      <c r="Y65" s="431">
        <v>38250</v>
      </c>
      <c r="Z65" s="468">
        <v>1639876</v>
      </c>
      <c r="AA65" s="431">
        <v>523459</v>
      </c>
      <c r="AB65" s="431"/>
      <c r="AC65" s="472">
        <v>685857</v>
      </c>
      <c r="AD65" s="437">
        <v>101316</v>
      </c>
      <c r="AE65" s="437">
        <v>1863192</v>
      </c>
      <c r="AF65" s="437"/>
      <c r="AG65" s="437">
        <v>714529</v>
      </c>
      <c r="AH65" s="437">
        <v>361453</v>
      </c>
      <c r="AI65" s="472">
        <v>212242</v>
      </c>
      <c r="AJ65" s="472">
        <v>92796</v>
      </c>
      <c r="AK65" s="437"/>
      <c r="AL65" s="437">
        <v>1684011</v>
      </c>
      <c r="AM65" s="437">
        <v>409502</v>
      </c>
    </row>
    <row r="66" spans="1:39" s="155" customFormat="1" ht="12" x14ac:dyDescent="0.2">
      <c r="A66" s="168">
        <v>12</v>
      </c>
      <c r="B66" s="143">
        <v>138770</v>
      </c>
      <c r="C66" s="291" t="s">
        <v>98</v>
      </c>
      <c r="D66" s="438">
        <f t="shared" si="16"/>
        <v>2738843</v>
      </c>
      <c r="E66" s="437">
        <v>1016473</v>
      </c>
      <c r="F66" s="437">
        <v>103666</v>
      </c>
      <c r="G66" s="437">
        <v>393987</v>
      </c>
      <c r="H66" s="437"/>
      <c r="I66" s="437">
        <v>812041</v>
      </c>
      <c r="J66" s="437"/>
      <c r="K66" s="437">
        <v>759040</v>
      </c>
      <c r="L66" s="437"/>
      <c r="M66" s="437">
        <v>42530</v>
      </c>
      <c r="N66" s="437">
        <v>106859</v>
      </c>
      <c r="O66" s="437">
        <v>1900</v>
      </c>
      <c r="P66" s="438">
        <f t="shared" si="17"/>
        <v>2086291</v>
      </c>
      <c r="Q66" s="431">
        <v>1177169</v>
      </c>
      <c r="R66" s="431">
        <v>408850</v>
      </c>
      <c r="S66" s="431">
        <v>20506</v>
      </c>
      <c r="T66" s="431"/>
      <c r="U66" s="431">
        <v>17030</v>
      </c>
      <c r="V66" s="431">
        <v>7178</v>
      </c>
      <c r="W66" s="431">
        <v>128681</v>
      </c>
      <c r="X66" s="431">
        <v>78845</v>
      </c>
      <c r="Y66" s="431"/>
      <c r="Z66" s="468">
        <v>200419</v>
      </c>
      <c r="AA66" s="431">
        <v>47613</v>
      </c>
      <c r="AB66" s="431"/>
      <c r="AC66" s="472">
        <v>666634</v>
      </c>
      <c r="AD66" s="437">
        <v>110319</v>
      </c>
      <c r="AE66" s="437">
        <v>697120</v>
      </c>
      <c r="AF66" s="437"/>
      <c r="AG66" s="437">
        <v>32730</v>
      </c>
      <c r="AH66" s="437">
        <v>222933</v>
      </c>
      <c r="AI66" s="472">
        <v>50175</v>
      </c>
      <c r="AJ66" s="472"/>
      <c r="AK66" s="437"/>
      <c r="AL66" s="437">
        <v>182398</v>
      </c>
      <c r="AM66" s="437">
        <v>123982</v>
      </c>
    </row>
    <row r="67" spans="1:39" s="155" customFormat="1" ht="12" x14ac:dyDescent="0.2">
      <c r="A67" s="168">
        <v>13</v>
      </c>
      <c r="B67" s="143">
        <v>137363</v>
      </c>
      <c r="C67" s="291" t="s">
        <v>99</v>
      </c>
      <c r="D67" s="438">
        <f t="shared" si="16"/>
        <v>5611818</v>
      </c>
      <c r="E67" s="437">
        <v>837885</v>
      </c>
      <c r="F67" s="437">
        <v>80301</v>
      </c>
      <c r="G67" s="437">
        <v>449984</v>
      </c>
      <c r="H67" s="437"/>
      <c r="I67" s="437">
        <v>1252826</v>
      </c>
      <c r="J67" s="437"/>
      <c r="K67" s="437">
        <v>935360</v>
      </c>
      <c r="L67" s="437"/>
      <c r="M67" s="437">
        <v>2477044</v>
      </c>
      <c r="N67" s="437">
        <v>108703</v>
      </c>
      <c r="O67" s="437"/>
      <c r="P67" s="438">
        <f t="shared" si="17"/>
        <v>5721580</v>
      </c>
      <c r="Q67" s="431">
        <v>1585050</v>
      </c>
      <c r="R67" s="468">
        <v>754070</v>
      </c>
      <c r="S67" s="431">
        <v>39318</v>
      </c>
      <c r="T67" s="431"/>
      <c r="U67" s="431"/>
      <c r="V67" s="431">
        <v>13000</v>
      </c>
      <c r="W67" s="431">
        <v>141675</v>
      </c>
      <c r="X67" s="431">
        <v>123949</v>
      </c>
      <c r="Y67" s="431">
        <v>500</v>
      </c>
      <c r="Z67" s="468">
        <v>1828369</v>
      </c>
      <c r="AA67" s="431">
        <v>1243649</v>
      </c>
      <c r="AB67" s="431">
        <v>-8000</v>
      </c>
      <c r="AC67" s="472">
        <v>946929</v>
      </c>
      <c r="AD67" s="437">
        <v>5000</v>
      </c>
      <c r="AE67" s="437">
        <v>892161</v>
      </c>
      <c r="AF67" s="437">
        <v>5000</v>
      </c>
      <c r="AG67" s="437">
        <v>121230</v>
      </c>
      <c r="AH67" s="437">
        <v>427215</v>
      </c>
      <c r="AI67" s="472">
        <v>284468</v>
      </c>
      <c r="AJ67" s="472"/>
      <c r="AK67" s="437"/>
      <c r="AL67" s="437">
        <v>3039577</v>
      </c>
      <c r="AM67" s="437"/>
    </row>
    <row r="68" spans="1:39" s="155" customFormat="1" ht="12" x14ac:dyDescent="0.2">
      <c r="A68" s="168">
        <v>14</v>
      </c>
      <c r="B68" s="143">
        <v>137728</v>
      </c>
      <c r="C68" s="291" t="s">
        <v>100</v>
      </c>
      <c r="D68" s="438">
        <f t="shared" si="16"/>
        <v>3563206</v>
      </c>
      <c r="E68" s="437">
        <v>2309164</v>
      </c>
      <c r="F68" s="437">
        <v>1443405</v>
      </c>
      <c r="G68" s="437">
        <v>92628</v>
      </c>
      <c r="H68" s="437"/>
      <c r="I68" s="437">
        <v>1107190</v>
      </c>
      <c r="J68" s="437"/>
      <c r="K68" s="437">
        <v>119120</v>
      </c>
      <c r="L68" s="437"/>
      <c r="M68" s="437">
        <v>5593</v>
      </c>
      <c r="N68" s="437"/>
      <c r="O68" s="437">
        <v>22139</v>
      </c>
      <c r="P68" s="438">
        <f t="shared" si="17"/>
        <v>4061354</v>
      </c>
      <c r="Q68" s="431">
        <v>1327079</v>
      </c>
      <c r="R68" s="468">
        <v>793443</v>
      </c>
      <c r="S68" s="431"/>
      <c r="T68" s="431"/>
      <c r="U68" s="431"/>
      <c r="V68" s="431"/>
      <c r="W68" s="431"/>
      <c r="X68" s="431">
        <v>153048</v>
      </c>
      <c r="Y68" s="431">
        <v>43000</v>
      </c>
      <c r="Z68" s="468">
        <v>1744816</v>
      </c>
      <c r="AA68" s="431"/>
      <c r="AB68" s="431">
        <v>-32</v>
      </c>
      <c r="AC68" s="472">
        <v>509342</v>
      </c>
      <c r="AD68" s="437">
        <v>11989</v>
      </c>
      <c r="AE68" s="437">
        <v>1013616</v>
      </c>
      <c r="AF68" s="437"/>
      <c r="AG68" s="437">
        <v>193465</v>
      </c>
      <c r="AH68" s="437">
        <v>295389</v>
      </c>
      <c r="AI68" s="472">
        <v>332475</v>
      </c>
      <c r="AJ68" s="472">
        <v>69515</v>
      </c>
      <c r="AK68" s="437"/>
      <c r="AL68" s="437">
        <v>1635563</v>
      </c>
      <c r="AM68" s="437"/>
    </row>
    <row r="69" spans="1:39" s="155" customFormat="1" ht="12" x14ac:dyDescent="0.2">
      <c r="A69" s="168">
        <v>15</v>
      </c>
      <c r="B69" s="143">
        <v>137292</v>
      </c>
      <c r="C69" s="291" t="s">
        <v>101</v>
      </c>
      <c r="D69" s="438">
        <f t="shared" si="16"/>
        <v>5757849</v>
      </c>
      <c r="E69" s="437">
        <v>1448668</v>
      </c>
      <c r="F69" s="437">
        <v>142829</v>
      </c>
      <c r="G69" s="437">
        <v>299956</v>
      </c>
      <c r="H69" s="437"/>
      <c r="I69" s="437">
        <v>1640875</v>
      </c>
      <c r="J69" s="437"/>
      <c r="K69" s="437">
        <v>626000</v>
      </c>
      <c r="L69" s="437"/>
      <c r="M69" s="437">
        <v>1928933</v>
      </c>
      <c r="N69" s="437">
        <v>110873</v>
      </c>
      <c r="O69" s="437">
        <v>2500</v>
      </c>
      <c r="P69" s="438">
        <f t="shared" si="17"/>
        <v>6148535</v>
      </c>
      <c r="Q69" s="431">
        <v>2119332</v>
      </c>
      <c r="R69" s="431">
        <v>1308016</v>
      </c>
      <c r="S69" s="431"/>
      <c r="T69" s="431"/>
      <c r="U69" s="431">
        <v>20000</v>
      </c>
      <c r="V69" s="431"/>
      <c r="W69" s="431">
        <v>144719</v>
      </c>
      <c r="X69" s="431">
        <v>157606</v>
      </c>
      <c r="Y69" s="431">
        <v>89447</v>
      </c>
      <c r="Z69" s="468">
        <v>2322839</v>
      </c>
      <c r="AA69" s="431"/>
      <c r="AB69" s="431">
        <v>-13424</v>
      </c>
      <c r="AC69" s="472">
        <v>1260127</v>
      </c>
      <c r="AD69" s="437">
        <v>127924</v>
      </c>
      <c r="AE69" s="437">
        <v>1402646</v>
      </c>
      <c r="AF69" s="437"/>
      <c r="AG69" s="437">
        <v>304763</v>
      </c>
      <c r="AH69" s="437">
        <v>440326</v>
      </c>
      <c r="AI69" s="472">
        <v>114652</v>
      </c>
      <c r="AJ69" s="472">
        <v>63390</v>
      </c>
      <c r="AK69" s="437"/>
      <c r="AL69" s="437">
        <v>2434707</v>
      </c>
      <c r="AM69" s="437"/>
    </row>
    <row r="70" spans="1:39" s="155" customFormat="1" ht="12" x14ac:dyDescent="0.2">
      <c r="A70" s="168">
        <v>16</v>
      </c>
      <c r="B70" s="143">
        <v>138351</v>
      </c>
      <c r="C70" s="291" t="s">
        <v>102</v>
      </c>
      <c r="D70" s="438">
        <f t="shared" si="16"/>
        <v>7174532</v>
      </c>
      <c r="E70" s="437">
        <v>1762902</v>
      </c>
      <c r="F70" s="437">
        <v>527791</v>
      </c>
      <c r="G70" s="437">
        <v>306021</v>
      </c>
      <c r="H70" s="437"/>
      <c r="I70" s="437">
        <v>1729584</v>
      </c>
      <c r="J70" s="437"/>
      <c r="K70" s="437">
        <v>635710</v>
      </c>
      <c r="L70" s="437"/>
      <c r="M70" s="437">
        <v>339063</v>
      </c>
      <c r="N70" s="437">
        <v>2707273</v>
      </c>
      <c r="O70" s="437"/>
      <c r="P70" s="438">
        <f t="shared" si="17"/>
        <v>5454156</v>
      </c>
      <c r="Q70" s="431">
        <v>2132910</v>
      </c>
      <c r="R70" s="431">
        <v>1276121</v>
      </c>
      <c r="S70" s="431">
        <v>950</v>
      </c>
      <c r="T70" s="431"/>
      <c r="U70" s="431">
        <v>61030</v>
      </c>
      <c r="V70" s="431"/>
      <c r="W70" s="431">
        <v>1217158</v>
      </c>
      <c r="X70" s="431">
        <v>139692</v>
      </c>
      <c r="Y70" s="431">
        <v>258350</v>
      </c>
      <c r="Z70" s="468">
        <v>367945</v>
      </c>
      <c r="AA70" s="431"/>
      <c r="AB70" s="431"/>
      <c r="AC70" s="472">
        <v>817724</v>
      </c>
      <c r="AD70" s="437">
        <v>93797</v>
      </c>
      <c r="AE70" s="437">
        <v>2195667</v>
      </c>
      <c r="AF70" s="437">
        <v>6446</v>
      </c>
      <c r="AG70" s="437">
        <v>466675</v>
      </c>
      <c r="AH70" s="437">
        <v>496692</v>
      </c>
      <c r="AI70" s="472">
        <v>125750</v>
      </c>
      <c r="AJ70" s="472">
        <v>337000</v>
      </c>
      <c r="AK70" s="437"/>
      <c r="AL70" s="437">
        <v>360312</v>
      </c>
      <c r="AM70" s="437">
        <v>554093</v>
      </c>
    </row>
    <row r="71" spans="1:39" s="155" customFormat="1" ht="12" x14ac:dyDescent="0.2">
      <c r="A71" s="168">
        <v>17</v>
      </c>
      <c r="B71" s="143">
        <v>137229</v>
      </c>
      <c r="C71" s="291" t="s">
        <v>103</v>
      </c>
      <c r="D71" s="438">
        <f t="shared" si="16"/>
        <v>5449200</v>
      </c>
      <c r="E71" s="437">
        <v>2039266</v>
      </c>
      <c r="F71" s="437">
        <v>210830</v>
      </c>
      <c r="G71" s="437">
        <v>733272</v>
      </c>
      <c r="H71" s="437"/>
      <c r="I71" s="437">
        <v>2156880</v>
      </c>
      <c r="J71" s="437"/>
      <c r="K71" s="437">
        <v>1120070</v>
      </c>
      <c r="L71" s="437"/>
      <c r="M71" s="437">
        <v>132984</v>
      </c>
      <c r="N71" s="437"/>
      <c r="O71" s="437"/>
      <c r="P71" s="438">
        <f t="shared" si="17"/>
        <v>4042557</v>
      </c>
      <c r="Q71" s="431">
        <v>2552143</v>
      </c>
      <c r="R71" s="431">
        <v>846189</v>
      </c>
      <c r="S71" s="431"/>
      <c r="T71" s="431"/>
      <c r="U71" s="431"/>
      <c r="V71" s="431"/>
      <c r="W71" s="431"/>
      <c r="X71" s="431">
        <v>163782</v>
      </c>
      <c r="Y71" s="431"/>
      <c r="Z71" s="468">
        <v>480443</v>
      </c>
      <c r="AA71" s="431"/>
      <c r="AB71" s="431"/>
      <c r="AC71" s="472">
        <v>630787</v>
      </c>
      <c r="AD71" s="437"/>
      <c r="AE71" s="437">
        <v>1769592</v>
      </c>
      <c r="AF71" s="437"/>
      <c r="AG71" s="437">
        <v>79302</v>
      </c>
      <c r="AH71" s="437">
        <v>580879</v>
      </c>
      <c r="AI71" s="472">
        <v>298903</v>
      </c>
      <c r="AJ71" s="472">
        <v>146428</v>
      </c>
      <c r="AK71" s="437"/>
      <c r="AL71" s="437">
        <v>214381</v>
      </c>
      <c r="AM71" s="437">
        <v>322285</v>
      </c>
    </row>
    <row r="72" spans="1:39" s="155" customFormat="1" ht="12" x14ac:dyDescent="0.2">
      <c r="A72" s="168">
        <v>18</v>
      </c>
      <c r="B72" s="143">
        <v>137274</v>
      </c>
      <c r="C72" s="291" t="s">
        <v>104</v>
      </c>
      <c r="D72" s="438">
        <f t="shared" si="16"/>
        <v>3206080</v>
      </c>
      <c r="E72" s="437">
        <v>878932</v>
      </c>
      <c r="F72" s="437">
        <v>93404</v>
      </c>
      <c r="G72" s="437">
        <v>341988</v>
      </c>
      <c r="H72" s="437"/>
      <c r="I72" s="437">
        <v>1158106</v>
      </c>
      <c r="J72" s="437"/>
      <c r="K72" s="437">
        <v>740840</v>
      </c>
      <c r="L72" s="437"/>
      <c r="M72" s="437">
        <v>219546</v>
      </c>
      <c r="N72" s="437">
        <v>208656</v>
      </c>
      <c r="O72" s="437"/>
      <c r="P72" s="438">
        <f t="shared" si="17"/>
        <v>2892993</v>
      </c>
      <c r="Q72" s="431">
        <v>1542862</v>
      </c>
      <c r="R72" s="431">
        <v>481577</v>
      </c>
      <c r="S72" s="431"/>
      <c r="T72" s="431"/>
      <c r="U72" s="431">
        <v>13652</v>
      </c>
      <c r="V72" s="431"/>
      <c r="W72" s="431">
        <v>159543</v>
      </c>
      <c r="X72" s="431">
        <v>84971</v>
      </c>
      <c r="Y72" s="431">
        <v>2050</v>
      </c>
      <c r="Z72" s="468">
        <v>608338</v>
      </c>
      <c r="AA72" s="431"/>
      <c r="AB72" s="431"/>
      <c r="AC72" s="472">
        <v>832057</v>
      </c>
      <c r="AD72" s="437"/>
      <c r="AE72" s="437">
        <v>711102</v>
      </c>
      <c r="AF72" s="437"/>
      <c r="AG72" s="437"/>
      <c r="AH72" s="437">
        <v>537082</v>
      </c>
      <c r="AI72" s="472">
        <v>205081</v>
      </c>
      <c r="AJ72" s="472">
        <v>24473</v>
      </c>
      <c r="AK72" s="437"/>
      <c r="AL72" s="437">
        <v>583198</v>
      </c>
      <c r="AM72" s="437"/>
    </row>
    <row r="73" spans="1:39" s="155" customFormat="1" ht="12" x14ac:dyDescent="0.2">
      <c r="A73" s="168">
        <v>19</v>
      </c>
      <c r="B73" s="143">
        <v>139170</v>
      </c>
      <c r="C73" s="291" t="s">
        <v>105</v>
      </c>
      <c r="D73" s="438">
        <f t="shared" si="16"/>
        <v>12594128</v>
      </c>
      <c r="E73" s="437">
        <v>3486041</v>
      </c>
      <c r="F73" s="437">
        <v>442047</v>
      </c>
      <c r="G73" s="437">
        <v>1234245</v>
      </c>
      <c r="H73" s="437"/>
      <c r="I73" s="437">
        <v>4724663</v>
      </c>
      <c r="J73" s="437"/>
      <c r="K73" s="437">
        <v>1190110</v>
      </c>
      <c r="L73" s="437"/>
      <c r="M73" s="437">
        <v>1093939</v>
      </c>
      <c r="N73" s="437">
        <v>2099026</v>
      </c>
      <c r="O73" s="437">
        <v>349</v>
      </c>
      <c r="P73" s="438">
        <f t="shared" si="17"/>
        <v>11388497</v>
      </c>
      <c r="Q73" s="431">
        <v>5488301</v>
      </c>
      <c r="R73" s="431">
        <v>3001227</v>
      </c>
      <c r="S73" s="431">
        <v>4000</v>
      </c>
      <c r="T73" s="431"/>
      <c r="U73" s="431">
        <v>21672</v>
      </c>
      <c r="V73" s="431"/>
      <c r="W73" s="431">
        <v>555091</v>
      </c>
      <c r="X73" s="431">
        <v>219856</v>
      </c>
      <c r="Y73" s="431">
        <v>100000</v>
      </c>
      <c r="Z73" s="468">
        <v>1906346</v>
      </c>
      <c r="AA73" s="431">
        <v>92900</v>
      </c>
      <c r="AB73" s="431">
        <v>-896</v>
      </c>
      <c r="AC73" s="472">
        <v>1649858</v>
      </c>
      <c r="AD73" s="437">
        <v>71113</v>
      </c>
      <c r="AE73" s="437">
        <v>4156669</v>
      </c>
      <c r="AF73" s="437">
        <v>170661</v>
      </c>
      <c r="AG73" s="437">
        <v>161208</v>
      </c>
      <c r="AH73" s="437">
        <v>848854</v>
      </c>
      <c r="AI73" s="472">
        <v>336222</v>
      </c>
      <c r="AJ73" s="472">
        <v>422448</v>
      </c>
      <c r="AK73" s="437"/>
      <c r="AL73" s="437">
        <v>2852136</v>
      </c>
      <c r="AM73" s="437">
        <v>719328</v>
      </c>
    </row>
    <row r="74" spans="1:39" s="155" customFormat="1" ht="12" x14ac:dyDescent="0.2">
      <c r="A74" s="168">
        <v>20</v>
      </c>
      <c r="B74" s="143">
        <v>139330</v>
      </c>
      <c r="C74" s="291" t="s">
        <v>106</v>
      </c>
      <c r="D74" s="438">
        <f t="shared" si="16"/>
        <v>5709881</v>
      </c>
      <c r="E74" s="437">
        <v>1596613</v>
      </c>
      <c r="F74" s="437">
        <v>329849</v>
      </c>
      <c r="G74" s="437">
        <v>327749</v>
      </c>
      <c r="H74" s="437"/>
      <c r="I74" s="437">
        <v>1866181</v>
      </c>
      <c r="J74" s="437"/>
      <c r="K74" s="437">
        <v>610060</v>
      </c>
      <c r="L74" s="437"/>
      <c r="M74" s="437">
        <v>1284082</v>
      </c>
      <c r="N74" s="437">
        <v>352945</v>
      </c>
      <c r="O74" s="437"/>
      <c r="P74" s="438">
        <f t="shared" si="17"/>
        <v>5470778</v>
      </c>
      <c r="Q74" s="431">
        <v>2515415</v>
      </c>
      <c r="R74" s="431">
        <v>1027461</v>
      </c>
      <c r="S74" s="431">
        <v>20539</v>
      </c>
      <c r="T74" s="431"/>
      <c r="U74" s="431">
        <v>15000</v>
      </c>
      <c r="V74" s="431"/>
      <c r="W74" s="431">
        <v>444414</v>
      </c>
      <c r="X74" s="431">
        <v>113254</v>
      </c>
      <c r="Y74" s="431">
        <v>20802</v>
      </c>
      <c r="Z74" s="468">
        <v>313893</v>
      </c>
      <c r="AA74" s="431">
        <v>1000000</v>
      </c>
      <c r="AB74" s="431"/>
      <c r="AC74" s="472">
        <v>894126</v>
      </c>
      <c r="AD74" s="437">
        <v>87593</v>
      </c>
      <c r="AE74" s="437">
        <v>1484160</v>
      </c>
      <c r="AF74" s="437"/>
      <c r="AG74" s="437">
        <v>50385</v>
      </c>
      <c r="AH74" s="437">
        <v>517915</v>
      </c>
      <c r="AI74" s="472">
        <v>744619</v>
      </c>
      <c r="AJ74" s="472">
        <v>136768</v>
      </c>
      <c r="AK74" s="437"/>
      <c r="AL74" s="437">
        <v>1330332</v>
      </c>
      <c r="AM74" s="437">
        <v>224880</v>
      </c>
    </row>
    <row r="75" spans="1:39" s="155" customFormat="1" ht="12" x14ac:dyDescent="0.2">
      <c r="A75" s="168">
        <v>21</v>
      </c>
      <c r="B75" s="143">
        <v>139143</v>
      </c>
      <c r="C75" s="291" t="s">
        <v>107</v>
      </c>
      <c r="D75" s="438">
        <f t="shared" si="16"/>
        <v>5391460</v>
      </c>
      <c r="E75" s="437">
        <v>1101451</v>
      </c>
      <c r="F75" s="437">
        <v>210457</v>
      </c>
      <c r="G75" s="437">
        <v>339989</v>
      </c>
      <c r="H75" s="437"/>
      <c r="I75" s="437">
        <v>969846</v>
      </c>
      <c r="J75" s="437"/>
      <c r="K75" s="437">
        <v>697360</v>
      </c>
      <c r="L75" s="437"/>
      <c r="M75" s="437">
        <v>1505956</v>
      </c>
      <c r="N75" s="437">
        <v>1084847</v>
      </c>
      <c r="O75" s="437">
        <v>32000</v>
      </c>
      <c r="P75" s="438">
        <f t="shared" si="17"/>
        <v>6684584</v>
      </c>
      <c r="Q75" s="431">
        <v>1384185</v>
      </c>
      <c r="R75" s="431">
        <v>1039342</v>
      </c>
      <c r="S75" s="431"/>
      <c r="T75" s="431"/>
      <c r="U75" s="431">
        <v>23744</v>
      </c>
      <c r="V75" s="431"/>
      <c r="W75" s="431"/>
      <c r="X75" s="431">
        <v>107515</v>
      </c>
      <c r="Y75" s="431">
        <v>12000</v>
      </c>
      <c r="Z75" s="468">
        <v>4118715</v>
      </c>
      <c r="AA75" s="431"/>
      <c r="AB75" s="431">
        <v>-917</v>
      </c>
      <c r="AC75" s="472">
        <v>712889</v>
      </c>
      <c r="AD75" s="437">
        <v>33668</v>
      </c>
      <c r="AE75" s="437">
        <v>676692</v>
      </c>
      <c r="AF75" s="437"/>
      <c r="AG75" s="437">
        <v>1380896</v>
      </c>
      <c r="AH75" s="437">
        <v>394082</v>
      </c>
      <c r="AI75" s="472">
        <v>2397578</v>
      </c>
      <c r="AJ75" s="472">
        <v>45766</v>
      </c>
      <c r="AK75" s="437"/>
      <c r="AL75" s="437">
        <v>1040436</v>
      </c>
      <c r="AM75" s="437">
        <v>2577</v>
      </c>
    </row>
    <row r="76" spans="1:39" s="155" customFormat="1" ht="12" x14ac:dyDescent="0.2">
      <c r="A76" s="168">
        <v>22</v>
      </c>
      <c r="B76" s="143">
        <v>137746</v>
      </c>
      <c r="C76" s="291" t="s">
        <v>108</v>
      </c>
      <c r="D76" s="438">
        <f t="shared" si="16"/>
        <v>4721551</v>
      </c>
      <c r="E76" s="437">
        <v>1281938</v>
      </c>
      <c r="F76" s="437">
        <v>227846</v>
      </c>
      <c r="G76" s="437">
        <v>379331</v>
      </c>
      <c r="H76" s="437"/>
      <c r="I76" s="437">
        <v>1717050</v>
      </c>
      <c r="J76" s="437"/>
      <c r="K76" s="437">
        <v>874150</v>
      </c>
      <c r="L76" s="437"/>
      <c r="M76" s="437">
        <v>465986</v>
      </c>
      <c r="N76" s="437">
        <v>382427</v>
      </c>
      <c r="O76" s="437"/>
      <c r="P76" s="438">
        <f t="shared" si="17"/>
        <v>4721551</v>
      </c>
      <c r="Q76" s="431">
        <v>2282734</v>
      </c>
      <c r="R76" s="431">
        <v>1457400</v>
      </c>
      <c r="S76" s="431"/>
      <c r="T76" s="431"/>
      <c r="U76" s="431">
        <v>23485</v>
      </c>
      <c r="V76" s="431"/>
      <c r="W76" s="431">
        <v>450366</v>
      </c>
      <c r="X76" s="431">
        <v>27697</v>
      </c>
      <c r="Y76" s="431">
        <v>1800</v>
      </c>
      <c r="Z76" s="468">
        <v>478069</v>
      </c>
      <c r="AA76" s="431"/>
      <c r="AB76" s="431"/>
      <c r="AC76" s="472">
        <v>1349430</v>
      </c>
      <c r="AD76" s="437">
        <v>11820</v>
      </c>
      <c r="AE76" s="437">
        <v>1689389</v>
      </c>
      <c r="AF76" s="437"/>
      <c r="AG76" s="437">
        <v>33869</v>
      </c>
      <c r="AH76" s="437">
        <v>557604</v>
      </c>
      <c r="AI76" s="472">
        <v>483933</v>
      </c>
      <c r="AJ76" s="472">
        <v>84811</v>
      </c>
      <c r="AK76" s="437"/>
      <c r="AL76" s="437">
        <v>510695</v>
      </c>
      <c r="AM76" s="437"/>
    </row>
    <row r="77" spans="1:39" s="155" customFormat="1" ht="12" x14ac:dyDescent="0.2">
      <c r="A77" s="168">
        <v>23</v>
      </c>
      <c r="B77" s="143">
        <v>139287</v>
      </c>
      <c r="C77" s="291" t="s">
        <v>109</v>
      </c>
      <c r="D77" s="438">
        <f t="shared" si="16"/>
        <v>5360677</v>
      </c>
      <c r="E77" s="437">
        <v>1104700</v>
      </c>
      <c r="F77" s="437">
        <v>310633</v>
      </c>
      <c r="G77" s="437">
        <v>336988</v>
      </c>
      <c r="H77" s="437"/>
      <c r="I77" s="437">
        <v>1171080</v>
      </c>
      <c r="J77" s="437"/>
      <c r="K77" s="437">
        <v>750250</v>
      </c>
      <c r="L77" s="437"/>
      <c r="M77" s="437">
        <v>1328267</v>
      </c>
      <c r="N77" s="437">
        <v>1006380</v>
      </c>
      <c r="O77" s="437"/>
      <c r="P77" s="438">
        <f t="shared" si="17"/>
        <v>5237294</v>
      </c>
      <c r="Q77" s="431">
        <v>1611404</v>
      </c>
      <c r="R77" s="431">
        <v>463889</v>
      </c>
      <c r="S77" s="431"/>
      <c r="T77" s="431"/>
      <c r="U77" s="431">
        <v>63543</v>
      </c>
      <c r="V77" s="431"/>
      <c r="W77" s="431">
        <v>1196053</v>
      </c>
      <c r="X77" s="431">
        <v>161355</v>
      </c>
      <c r="Y77" s="431">
        <v>2500</v>
      </c>
      <c r="Z77" s="468">
        <v>1739126</v>
      </c>
      <c r="AA77" s="431"/>
      <c r="AB77" s="431">
        <v>-576</v>
      </c>
      <c r="AC77" s="472">
        <v>781838</v>
      </c>
      <c r="AD77" s="437"/>
      <c r="AE77" s="437">
        <v>913729</v>
      </c>
      <c r="AF77" s="437">
        <v>20593</v>
      </c>
      <c r="AG77" s="437">
        <v>42366</v>
      </c>
      <c r="AH77" s="437">
        <v>437828</v>
      </c>
      <c r="AI77" s="472">
        <v>708610</v>
      </c>
      <c r="AJ77" s="472">
        <v>31197</v>
      </c>
      <c r="AK77" s="437"/>
      <c r="AL77" s="437">
        <v>1610680</v>
      </c>
      <c r="AM77" s="437">
        <v>690453</v>
      </c>
    </row>
    <row r="78" spans="1:39" s="155" customFormat="1" ht="12" x14ac:dyDescent="0.2">
      <c r="A78" s="168">
        <v>24</v>
      </c>
      <c r="B78" s="143">
        <v>138084</v>
      </c>
      <c r="C78" s="291" t="s">
        <v>110</v>
      </c>
      <c r="D78" s="438">
        <f t="shared" si="16"/>
        <v>10390313</v>
      </c>
      <c r="E78" s="437">
        <v>3586132</v>
      </c>
      <c r="F78" s="437">
        <v>1075545</v>
      </c>
      <c r="G78" s="437">
        <v>863074</v>
      </c>
      <c r="H78" s="437"/>
      <c r="I78" s="437">
        <v>4059663</v>
      </c>
      <c r="J78" s="437"/>
      <c r="K78" s="437">
        <v>975890</v>
      </c>
      <c r="L78" s="437"/>
      <c r="M78" s="437">
        <v>228506</v>
      </c>
      <c r="N78" s="437">
        <v>898506</v>
      </c>
      <c r="O78" s="437">
        <v>641616</v>
      </c>
      <c r="P78" s="438">
        <f t="shared" si="17"/>
        <v>9400925</v>
      </c>
      <c r="Q78" s="431">
        <v>4565182</v>
      </c>
      <c r="R78" s="431">
        <v>2019261</v>
      </c>
      <c r="S78" s="431">
        <v>40000</v>
      </c>
      <c r="T78" s="431"/>
      <c r="U78" s="431">
        <v>64329</v>
      </c>
      <c r="V78" s="431">
        <v>12500</v>
      </c>
      <c r="W78" s="431">
        <v>945788</v>
      </c>
      <c r="X78" s="431">
        <v>486452</v>
      </c>
      <c r="Y78" s="431">
        <v>146890</v>
      </c>
      <c r="Z78" s="468">
        <v>903845</v>
      </c>
      <c r="AA78" s="431">
        <v>217000</v>
      </c>
      <c r="AB78" s="431">
        <v>-322</v>
      </c>
      <c r="AC78" s="472">
        <v>1126563</v>
      </c>
      <c r="AD78" s="437">
        <v>97345</v>
      </c>
      <c r="AE78" s="437">
        <v>3076663</v>
      </c>
      <c r="AF78" s="437"/>
      <c r="AG78" s="437">
        <v>999556</v>
      </c>
      <c r="AH78" s="437">
        <v>1262247</v>
      </c>
      <c r="AI78" s="472">
        <v>1547083</v>
      </c>
      <c r="AJ78" s="472">
        <v>560626</v>
      </c>
      <c r="AK78" s="437"/>
      <c r="AL78" s="437">
        <v>301827</v>
      </c>
      <c r="AM78" s="437">
        <v>429015</v>
      </c>
    </row>
    <row r="79" spans="1:39" s="155" customFormat="1" ht="12" x14ac:dyDescent="0.2">
      <c r="A79" s="168">
        <v>25</v>
      </c>
      <c r="B79" s="143">
        <v>138431</v>
      </c>
      <c r="C79" s="291" t="s">
        <v>111</v>
      </c>
      <c r="D79" s="438">
        <f t="shared" si="16"/>
        <v>7945834</v>
      </c>
      <c r="E79" s="437">
        <v>2485437</v>
      </c>
      <c r="F79" s="437">
        <v>598276</v>
      </c>
      <c r="G79" s="437">
        <v>690708</v>
      </c>
      <c r="H79" s="437"/>
      <c r="I79" s="437">
        <v>2694183</v>
      </c>
      <c r="J79" s="437"/>
      <c r="K79" s="437">
        <v>749460</v>
      </c>
      <c r="L79" s="437"/>
      <c r="M79" s="437">
        <v>195775</v>
      </c>
      <c r="N79" s="437">
        <v>1820979</v>
      </c>
      <c r="O79" s="437"/>
      <c r="P79" s="438">
        <f t="shared" si="17"/>
        <v>5950050</v>
      </c>
      <c r="Q79" s="431">
        <v>3239665</v>
      </c>
      <c r="R79" s="431">
        <v>1278108</v>
      </c>
      <c r="S79" s="431"/>
      <c r="T79" s="431"/>
      <c r="U79" s="431">
        <v>89561</v>
      </c>
      <c r="V79" s="431"/>
      <c r="W79" s="431">
        <v>482183</v>
      </c>
      <c r="X79" s="431">
        <v>536085</v>
      </c>
      <c r="Y79" s="431">
        <v>60500</v>
      </c>
      <c r="Z79" s="468">
        <v>266714</v>
      </c>
      <c r="AA79" s="431"/>
      <c r="AB79" s="431">
        <v>-2766</v>
      </c>
      <c r="AC79" s="472">
        <v>1834417</v>
      </c>
      <c r="AD79" s="437">
        <v>201459</v>
      </c>
      <c r="AE79" s="437">
        <v>2230576</v>
      </c>
      <c r="AF79" s="437"/>
      <c r="AG79" s="437">
        <v>222043</v>
      </c>
      <c r="AH79" s="437">
        <v>855152</v>
      </c>
      <c r="AI79" s="472">
        <v>300281</v>
      </c>
      <c r="AJ79" s="472">
        <v>9754</v>
      </c>
      <c r="AK79" s="437"/>
      <c r="AL79" s="437">
        <v>296368</v>
      </c>
      <c r="AM79" s="437"/>
    </row>
    <row r="80" spans="1:39" s="155" customFormat="1" ht="12" x14ac:dyDescent="0.2">
      <c r="A80" s="168">
        <v>26</v>
      </c>
      <c r="B80" s="143">
        <v>137540</v>
      </c>
      <c r="C80" s="291" t="s">
        <v>112</v>
      </c>
      <c r="D80" s="438">
        <f t="shared" si="16"/>
        <v>5942380</v>
      </c>
      <c r="E80" s="437">
        <v>1904443</v>
      </c>
      <c r="F80" s="437">
        <v>649592</v>
      </c>
      <c r="G80" s="437">
        <v>385359</v>
      </c>
      <c r="H80" s="437"/>
      <c r="I80" s="437">
        <v>2520670</v>
      </c>
      <c r="J80" s="437"/>
      <c r="K80" s="437">
        <v>703020</v>
      </c>
      <c r="L80" s="437"/>
      <c r="M80" s="437">
        <v>471425</v>
      </c>
      <c r="N80" s="437">
        <v>342822</v>
      </c>
      <c r="O80" s="437"/>
      <c r="P80" s="438">
        <f t="shared" si="17"/>
        <v>5777957</v>
      </c>
      <c r="Q80" s="431">
        <v>2793314</v>
      </c>
      <c r="R80" s="431">
        <v>1367371</v>
      </c>
      <c r="S80" s="431">
        <v>4210</v>
      </c>
      <c r="T80" s="431"/>
      <c r="U80" s="431">
        <v>109915</v>
      </c>
      <c r="V80" s="431">
        <v>5000</v>
      </c>
      <c r="W80" s="431">
        <v>159785</v>
      </c>
      <c r="X80" s="431">
        <v>347994</v>
      </c>
      <c r="Y80" s="431">
        <v>120500</v>
      </c>
      <c r="Z80" s="468">
        <v>781219</v>
      </c>
      <c r="AA80" s="431">
        <v>95324</v>
      </c>
      <c r="AB80" s="431">
        <v>-6675</v>
      </c>
      <c r="AC80" s="472">
        <v>913741</v>
      </c>
      <c r="AD80" s="437">
        <v>38959</v>
      </c>
      <c r="AE80" s="437">
        <v>2178661</v>
      </c>
      <c r="AF80" s="437">
        <v>31201</v>
      </c>
      <c r="AG80" s="437">
        <v>251596</v>
      </c>
      <c r="AH80" s="437">
        <v>698744</v>
      </c>
      <c r="AI80" s="472">
        <v>817988</v>
      </c>
      <c r="AJ80" s="472">
        <v>44708</v>
      </c>
      <c r="AK80" s="437"/>
      <c r="AL80" s="437">
        <v>793270</v>
      </c>
      <c r="AM80" s="437">
        <v>9089</v>
      </c>
    </row>
    <row r="81" spans="1:39" s="155" customFormat="1" ht="12" x14ac:dyDescent="0.2">
      <c r="A81" s="168">
        <v>27</v>
      </c>
      <c r="B81" s="143">
        <v>136768</v>
      </c>
      <c r="C81" s="291" t="s">
        <v>113</v>
      </c>
      <c r="D81" s="438">
        <f t="shared" si="16"/>
        <v>3787484</v>
      </c>
      <c r="E81" s="437">
        <v>1315106</v>
      </c>
      <c r="F81" s="437">
        <v>252912</v>
      </c>
      <c r="G81" s="437">
        <v>264529</v>
      </c>
      <c r="H81" s="437"/>
      <c r="I81" s="437">
        <v>1746050</v>
      </c>
      <c r="J81" s="437"/>
      <c r="K81" s="437">
        <v>627640</v>
      </c>
      <c r="L81" s="437"/>
      <c r="M81" s="437">
        <v>96688</v>
      </c>
      <c r="N81" s="437"/>
      <c r="O81" s="437">
        <v>2000</v>
      </c>
      <c r="P81" s="438">
        <f t="shared" si="17"/>
        <v>3708034</v>
      </c>
      <c r="Q81" s="431">
        <v>2025265</v>
      </c>
      <c r="R81" s="431">
        <v>985782</v>
      </c>
      <c r="S81" s="431"/>
      <c r="T81" s="431"/>
      <c r="U81" s="431">
        <v>39994</v>
      </c>
      <c r="V81" s="431"/>
      <c r="W81" s="431"/>
      <c r="X81" s="431">
        <v>202216</v>
      </c>
      <c r="Y81" s="431">
        <v>44000</v>
      </c>
      <c r="Z81" s="468">
        <v>410777</v>
      </c>
      <c r="AA81" s="431"/>
      <c r="AB81" s="431"/>
      <c r="AC81" s="472">
        <v>641748</v>
      </c>
      <c r="AD81" s="437">
        <v>107259</v>
      </c>
      <c r="AE81" s="437">
        <v>1527580</v>
      </c>
      <c r="AF81" s="437">
        <v>7612</v>
      </c>
      <c r="AG81" s="437">
        <v>449504</v>
      </c>
      <c r="AH81" s="437">
        <v>521955</v>
      </c>
      <c r="AI81" s="472">
        <v>156177</v>
      </c>
      <c r="AJ81" s="472">
        <v>157787</v>
      </c>
      <c r="AK81" s="437"/>
      <c r="AL81" s="437">
        <v>80185</v>
      </c>
      <c r="AM81" s="437">
        <v>58227</v>
      </c>
    </row>
    <row r="82" spans="1:39" s="155" customFormat="1" ht="12" x14ac:dyDescent="0.2">
      <c r="A82" s="168">
        <v>28</v>
      </c>
      <c r="B82" s="143">
        <v>137032</v>
      </c>
      <c r="C82" s="291" t="s">
        <v>114</v>
      </c>
      <c r="D82" s="438">
        <f t="shared" si="16"/>
        <v>6794991</v>
      </c>
      <c r="E82" s="437">
        <v>1417111</v>
      </c>
      <c r="F82" s="437">
        <v>326985</v>
      </c>
      <c r="G82" s="437">
        <v>371174</v>
      </c>
      <c r="H82" s="437"/>
      <c r="I82" s="437">
        <v>2096747</v>
      </c>
      <c r="J82" s="437"/>
      <c r="K82" s="437">
        <v>705380</v>
      </c>
      <c r="L82" s="437"/>
      <c r="M82" s="437">
        <v>878744</v>
      </c>
      <c r="N82" s="437">
        <v>1648009</v>
      </c>
      <c r="O82" s="437">
        <v>49000</v>
      </c>
      <c r="P82" s="438">
        <f t="shared" si="17"/>
        <v>9978486</v>
      </c>
      <c r="Q82" s="431">
        <v>2446150</v>
      </c>
      <c r="R82" s="431">
        <v>1164670</v>
      </c>
      <c r="S82" s="431"/>
      <c r="T82" s="431"/>
      <c r="U82" s="431">
        <v>19140</v>
      </c>
      <c r="V82" s="431"/>
      <c r="W82" s="431">
        <v>6031193</v>
      </c>
      <c r="X82" s="431">
        <v>180366</v>
      </c>
      <c r="Y82" s="431">
        <v>137800</v>
      </c>
      <c r="Z82" s="468"/>
      <c r="AA82" s="431"/>
      <c r="AB82" s="431">
        <v>-833</v>
      </c>
      <c r="AC82" s="472">
        <v>1302915</v>
      </c>
      <c r="AD82" s="437">
        <v>20855</v>
      </c>
      <c r="AE82" s="437">
        <v>1946072</v>
      </c>
      <c r="AF82" s="437"/>
      <c r="AG82" s="437">
        <v>747997</v>
      </c>
      <c r="AH82" s="437">
        <v>460495</v>
      </c>
      <c r="AI82" s="472">
        <v>341683</v>
      </c>
      <c r="AJ82" s="472">
        <v>110657</v>
      </c>
      <c r="AK82" s="437"/>
      <c r="AL82" s="437">
        <v>5047812</v>
      </c>
      <c r="AM82" s="437"/>
    </row>
    <row r="83" spans="1:39" s="155" customFormat="1" ht="12" x14ac:dyDescent="0.2">
      <c r="A83" s="168">
        <v>29</v>
      </c>
      <c r="B83" s="143">
        <v>138208</v>
      </c>
      <c r="C83" s="291" t="s">
        <v>115</v>
      </c>
      <c r="D83" s="438">
        <f t="shared" si="16"/>
        <v>7739314</v>
      </c>
      <c r="E83" s="437">
        <v>2086877</v>
      </c>
      <c r="F83" s="437">
        <v>376286</v>
      </c>
      <c r="G83" s="437">
        <v>574266</v>
      </c>
      <c r="H83" s="437"/>
      <c r="I83" s="437">
        <v>2733666</v>
      </c>
      <c r="J83" s="437"/>
      <c r="K83" s="437">
        <v>768610</v>
      </c>
      <c r="L83" s="437"/>
      <c r="M83" s="437">
        <v>96156</v>
      </c>
      <c r="N83" s="437">
        <v>2048005</v>
      </c>
      <c r="O83" s="437">
        <v>6000</v>
      </c>
      <c r="P83" s="438">
        <f t="shared" si="17"/>
        <v>6560515</v>
      </c>
      <c r="Q83" s="431">
        <v>3049638</v>
      </c>
      <c r="R83" s="431">
        <v>1792473</v>
      </c>
      <c r="S83" s="431">
        <v>59755</v>
      </c>
      <c r="T83" s="431"/>
      <c r="U83" s="431">
        <v>45885</v>
      </c>
      <c r="V83" s="431"/>
      <c r="W83" s="431">
        <v>629150</v>
      </c>
      <c r="X83" s="431">
        <v>295619</v>
      </c>
      <c r="Y83" s="431">
        <v>153700</v>
      </c>
      <c r="Z83" s="468">
        <v>65085</v>
      </c>
      <c r="AA83" s="431">
        <v>470000</v>
      </c>
      <c r="AB83" s="431">
        <v>-790</v>
      </c>
      <c r="AC83" s="472">
        <v>1263042</v>
      </c>
      <c r="AD83" s="437">
        <v>-160</v>
      </c>
      <c r="AE83" s="437">
        <v>2414454</v>
      </c>
      <c r="AF83" s="437"/>
      <c r="AG83" s="437">
        <v>317505</v>
      </c>
      <c r="AH83" s="437">
        <v>700537</v>
      </c>
      <c r="AI83" s="472">
        <v>348543</v>
      </c>
      <c r="AJ83" s="472">
        <v>1226677</v>
      </c>
      <c r="AK83" s="437"/>
      <c r="AL83" s="437">
        <v>241909</v>
      </c>
      <c r="AM83" s="437">
        <v>48008</v>
      </c>
    </row>
    <row r="84" spans="1:39" s="155" customFormat="1" ht="12" x14ac:dyDescent="0.2">
      <c r="A84" s="168">
        <v>30</v>
      </c>
      <c r="B84" s="143">
        <v>137443</v>
      </c>
      <c r="C84" s="291" t="s">
        <v>116</v>
      </c>
      <c r="D84" s="438">
        <f t="shared" si="16"/>
        <v>6213886</v>
      </c>
      <c r="E84" s="437">
        <v>1117258</v>
      </c>
      <c r="F84" s="437">
        <v>252887</v>
      </c>
      <c r="G84" s="437">
        <v>222992</v>
      </c>
      <c r="H84" s="437"/>
      <c r="I84" s="437">
        <v>1628703</v>
      </c>
      <c r="J84" s="437"/>
      <c r="K84" s="437">
        <v>551450</v>
      </c>
      <c r="L84" s="437"/>
      <c r="M84" s="437">
        <v>2916475</v>
      </c>
      <c r="N84" s="437"/>
      <c r="O84" s="437"/>
      <c r="P84" s="438">
        <f t="shared" si="17"/>
        <v>6180616</v>
      </c>
      <c r="Q84" s="431">
        <v>1863785</v>
      </c>
      <c r="R84" s="431">
        <v>970339</v>
      </c>
      <c r="S84" s="431"/>
      <c r="T84" s="431"/>
      <c r="U84" s="431">
        <v>65000</v>
      </c>
      <c r="V84" s="431"/>
      <c r="W84" s="431"/>
      <c r="X84" s="431">
        <v>278098</v>
      </c>
      <c r="Y84" s="431">
        <v>5000</v>
      </c>
      <c r="Z84" s="468">
        <v>2998394</v>
      </c>
      <c r="AA84" s="431"/>
      <c r="AB84" s="431"/>
      <c r="AC84" s="472">
        <v>719995</v>
      </c>
      <c r="AD84" s="437">
        <v>33291</v>
      </c>
      <c r="AE84" s="437">
        <v>1177318</v>
      </c>
      <c r="AF84" s="437"/>
      <c r="AG84" s="437">
        <v>376082</v>
      </c>
      <c r="AH84" s="437">
        <v>660690</v>
      </c>
      <c r="AI84" s="472">
        <v>107958</v>
      </c>
      <c r="AJ84" s="472">
        <v>22450</v>
      </c>
      <c r="AK84" s="437"/>
      <c r="AL84" s="437">
        <v>3082832</v>
      </c>
      <c r="AM84" s="437"/>
    </row>
    <row r="85" spans="1:39" s="155" customFormat="1" ht="12" x14ac:dyDescent="0.2">
      <c r="A85" s="168">
        <v>31</v>
      </c>
      <c r="B85" s="143">
        <v>138921</v>
      </c>
      <c r="C85" s="291" t="s">
        <v>117</v>
      </c>
      <c r="D85" s="438">
        <f t="shared" si="16"/>
        <v>8363091</v>
      </c>
      <c r="E85" s="437">
        <v>1861901</v>
      </c>
      <c r="F85" s="437">
        <v>284846</v>
      </c>
      <c r="G85" s="437">
        <v>503648</v>
      </c>
      <c r="H85" s="437"/>
      <c r="I85" s="437">
        <v>3547334</v>
      </c>
      <c r="J85" s="437"/>
      <c r="K85" s="437">
        <v>1059130</v>
      </c>
      <c r="L85" s="437"/>
      <c r="M85" s="437">
        <v>1755978</v>
      </c>
      <c r="N85" s="437">
        <v>138748</v>
      </c>
      <c r="O85" s="437"/>
      <c r="P85" s="438">
        <f t="shared" si="17"/>
        <v>8068497</v>
      </c>
      <c r="Q85" s="431">
        <v>4141185</v>
      </c>
      <c r="R85" s="431">
        <v>1285167</v>
      </c>
      <c r="S85" s="431"/>
      <c r="T85" s="431"/>
      <c r="U85" s="431">
        <v>62320</v>
      </c>
      <c r="V85" s="431"/>
      <c r="W85" s="431">
        <v>182157</v>
      </c>
      <c r="X85" s="431">
        <v>291213</v>
      </c>
      <c r="Y85" s="431">
        <v>25180</v>
      </c>
      <c r="Z85" s="468">
        <v>2081275</v>
      </c>
      <c r="AA85" s="431"/>
      <c r="AB85" s="431"/>
      <c r="AC85" s="472">
        <v>1341330</v>
      </c>
      <c r="AD85" s="437">
        <v>46915</v>
      </c>
      <c r="AE85" s="437">
        <v>3222703</v>
      </c>
      <c r="AF85" s="437"/>
      <c r="AG85" s="437">
        <v>456093</v>
      </c>
      <c r="AH85" s="437">
        <v>566306</v>
      </c>
      <c r="AI85" s="472">
        <v>281675</v>
      </c>
      <c r="AJ85" s="472">
        <v>247629</v>
      </c>
      <c r="AK85" s="437"/>
      <c r="AL85" s="437">
        <v>1822103</v>
      </c>
      <c r="AM85" s="437">
        <v>83743</v>
      </c>
    </row>
    <row r="86" spans="1:39" s="155" customFormat="1" ht="12" x14ac:dyDescent="0.2">
      <c r="A86" s="168">
        <v>32</v>
      </c>
      <c r="B86" s="143">
        <v>138734</v>
      </c>
      <c r="C86" s="291" t="s">
        <v>118</v>
      </c>
      <c r="D86" s="438">
        <f t="shared" si="16"/>
        <v>4622951</v>
      </c>
      <c r="E86" s="437">
        <v>1144775</v>
      </c>
      <c r="F86" s="437">
        <v>301337</v>
      </c>
      <c r="G86" s="437">
        <v>297990</v>
      </c>
      <c r="H86" s="437"/>
      <c r="I86" s="437">
        <v>1566915</v>
      </c>
      <c r="J86" s="437"/>
      <c r="K86" s="437">
        <v>670920</v>
      </c>
      <c r="L86" s="437"/>
      <c r="M86" s="437">
        <v>1131047</v>
      </c>
      <c r="N86" s="437">
        <v>109294</v>
      </c>
      <c r="O86" s="437"/>
      <c r="P86" s="438">
        <f t="shared" si="17"/>
        <v>4355105</v>
      </c>
      <c r="Q86" s="431">
        <v>1921571</v>
      </c>
      <c r="R86" s="431">
        <v>635878</v>
      </c>
      <c r="S86" s="431"/>
      <c r="T86" s="431"/>
      <c r="U86" s="431">
        <v>6047</v>
      </c>
      <c r="V86" s="431"/>
      <c r="W86" s="431"/>
      <c r="X86" s="431">
        <v>200864</v>
      </c>
      <c r="Y86" s="431">
        <v>3283</v>
      </c>
      <c r="Z86" s="468">
        <v>1587462</v>
      </c>
      <c r="AA86" s="431"/>
      <c r="AB86" s="431"/>
      <c r="AC86" s="472">
        <v>713169</v>
      </c>
      <c r="AD86" s="437">
        <v>26384</v>
      </c>
      <c r="AE86" s="437">
        <v>1231061</v>
      </c>
      <c r="AF86" s="437"/>
      <c r="AG86" s="437">
        <v>115104</v>
      </c>
      <c r="AH86" s="437">
        <v>425870</v>
      </c>
      <c r="AI86" s="472">
        <v>177380</v>
      </c>
      <c r="AJ86" s="472">
        <v>73591</v>
      </c>
      <c r="AK86" s="437"/>
      <c r="AL86" s="437">
        <v>1592546</v>
      </c>
      <c r="AM86" s="437"/>
    </row>
    <row r="87" spans="1:39" s="155" customFormat="1" ht="12" x14ac:dyDescent="0.2">
      <c r="A87" s="168">
        <v>33</v>
      </c>
      <c r="B87" s="143">
        <v>138538</v>
      </c>
      <c r="C87" s="291" t="s">
        <v>119</v>
      </c>
      <c r="D87" s="438">
        <f t="shared" si="16"/>
        <v>4073321</v>
      </c>
      <c r="E87" s="437">
        <v>874403</v>
      </c>
      <c r="F87" s="437">
        <v>157439</v>
      </c>
      <c r="G87" s="437">
        <v>428985</v>
      </c>
      <c r="H87" s="437"/>
      <c r="I87" s="437">
        <v>1198547</v>
      </c>
      <c r="J87" s="437"/>
      <c r="K87" s="437">
        <v>850320</v>
      </c>
      <c r="L87" s="437"/>
      <c r="M87" s="437">
        <v>956715</v>
      </c>
      <c r="N87" s="437">
        <v>184036</v>
      </c>
      <c r="O87" s="437">
        <v>9300</v>
      </c>
      <c r="P87" s="438">
        <f t="shared" si="17"/>
        <v>4491364</v>
      </c>
      <c r="Q87" s="431">
        <v>1498422</v>
      </c>
      <c r="R87" s="431">
        <v>792633</v>
      </c>
      <c r="S87" s="431">
        <v>19855</v>
      </c>
      <c r="T87" s="431"/>
      <c r="U87" s="431">
        <v>4703</v>
      </c>
      <c r="V87" s="431">
        <v>3202</v>
      </c>
      <c r="W87" s="431">
        <v>557513</v>
      </c>
      <c r="X87" s="431">
        <v>82463</v>
      </c>
      <c r="Y87" s="431">
        <v>679</v>
      </c>
      <c r="Z87" s="468">
        <v>390845</v>
      </c>
      <c r="AA87" s="431">
        <v>1152000</v>
      </c>
      <c r="AB87" s="431">
        <v>-10951</v>
      </c>
      <c r="AC87" s="472">
        <v>631511</v>
      </c>
      <c r="AD87" s="437">
        <v>87184</v>
      </c>
      <c r="AE87" s="437">
        <v>984695</v>
      </c>
      <c r="AF87" s="437"/>
      <c r="AG87" s="437">
        <v>171562</v>
      </c>
      <c r="AH87" s="437">
        <v>308766</v>
      </c>
      <c r="AI87" s="472">
        <v>240393</v>
      </c>
      <c r="AJ87" s="472">
        <v>2839</v>
      </c>
      <c r="AK87" s="437"/>
      <c r="AL87" s="437">
        <v>338285</v>
      </c>
      <c r="AM87" s="437">
        <v>1726129</v>
      </c>
    </row>
    <row r="88" spans="1:39" s="155" customFormat="1" ht="12" x14ac:dyDescent="0.2">
      <c r="A88" s="168">
        <v>34</v>
      </c>
      <c r="B88" s="143">
        <v>137764</v>
      </c>
      <c r="C88" s="291" t="s">
        <v>120</v>
      </c>
      <c r="D88" s="438">
        <f t="shared" si="16"/>
        <v>9192137</v>
      </c>
      <c r="E88" s="437">
        <v>3025164</v>
      </c>
      <c r="F88" s="437">
        <v>1052832</v>
      </c>
      <c r="G88" s="437">
        <v>226960</v>
      </c>
      <c r="H88" s="437"/>
      <c r="I88" s="437">
        <v>2591539</v>
      </c>
      <c r="J88" s="437"/>
      <c r="K88" s="437">
        <v>410720</v>
      </c>
      <c r="L88" s="437"/>
      <c r="M88" s="437">
        <v>472722</v>
      </c>
      <c r="N88" s="437">
        <v>2682492</v>
      </c>
      <c r="O88" s="437">
        <v>9500</v>
      </c>
      <c r="P88" s="438">
        <f t="shared" si="17"/>
        <v>6623452</v>
      </c>
      <c r="Q88" s="431">
        <v>3201018</v>
      </c>
      <c r="R88" s="431">
        <v>1312892</v>
      </c>
      <c r="S88" s="431"/>
      <c r="T88" s="431"/>
      <c r="U88" s="431">
        <v>64265</v>
      </c>
      <c r="V88" s="431"/>
      <c r="W88" s="431">
        <v>99413</v>
      </c>
      <c r="X88" s="431">
        <v>126615</v>
      </c>
      <c r="Y88" s="431">
        <v>72000</v>
      </c>
      <c r="Z88" s="468">
        <v>969146</v>
      </c>
      <c r="AA88" s="431">
        <v>778815</v>
      </c>
      <c r="AB88" s="431">
        <v>-712</v>
      </c>
      <c r="AC88" s="472">
        <v>986843</v>
      </c>
      <c r="AD88" s="437">
        <v>109062</v>
      </c>
      <c r="AE88" s="437">
        <v>2689055</v>
      </c>
      <c r="AF88" s="437"/>
      <c r="AG88" s="437">
        <v>212238</v>
      </c>
      <c r="AH88" s="437">
        <v>553861</v>
      </c>
      <c r="AI88" s="472">
        <v>826176</v>
      </c>
      <c r="AJ88" s="472">
        <v>245454</v>
      </c>
      <c r="AK88" s="437"/>
      <c r="AL88" s="437">
        <v>904768</v>
      </c>
      <c r="AM88" s="437">
        <v>95995</v>
      </c>
    </row>
    <row r="89" spans="1:39" s="155" customFormat="1" ht="12" x14ac:dyDescent="0.2">
      <c r="A89" s="168">
        <v>35</v>
      </c>
      <c r="B89" s="143">
        <v>136919</v>
      </c>
      <c r="C89" s="291" t="s">
        <v>121</v>
      </c>
      <c r="D89" s="438">
        <f t="shared" si="16"/>
        <v>4282957</v>
      </c>
      <c r="E89" s="437">
        <v>1273029</v>
      </c>
      <c r="F89" s="437">
        <v>124181</v>
      </c>
      <c r="G89" s="437">
        <v>528605</v>
      </c>
      <c r="H89" s="437"/>
      <c r="I89" s="437">
        <v>1662364</v>
      </c>
      <c r="J89" s="437"/>
      <c r="K89" s="437">
        <v>985670</v>
      </c>
      <c r="L89" s="437"/>
      <c r="M89" s="437">
        <v>89954</v>
      </c>
      <c r="N89" s="437">
        <v>271940</v>
      </c>
      <c r="O89" s="437"/>
      <c r="P89" s="438">
        <f t="shared" si="17"/>
        <v>4217857</v>
      </c>
      <c r="Q89" s="431">
        <v>1973865</v>
      </c>
      <c r="R89" s="431">
        <v>930703</v>
      </c>
      <c r="S89" s="431"/>
      <c r="T89" s="431"/>
      <c r="U89" s="431">
        <v>18410</v>
      </c>
      <c r="V89" s="431">
        <v>14500</v>
      </c>
      <c r="W89" s="431">
        <v>300949</v>
      </c>
      <c r="X89" s="431">
        <v>293174</v>
      </c>
      <c r="Y89" s="431">
        <v>121192</v>
      </c>
      <c r="Z89" s="468">
        <v>567064</v>
      </c>
      <c r="AA89" s="431"/>
      <c r="AB89" s="431">
        <v>-2000</v>
      </c>
      <c r="AC89" s="472">
        <v>669648</v>
      </c>
      <c r="AD89" s="437">
        <v>50670</v>
      </c>
      <c r="AE89" s="437">
        <v>1168285</v>
      </c>
      <c r="AF89" s="437"/>
      <c r="AG89" s="437">
        <v>434387</v>
      </c>
      <c r="AH89" s="437">
        <v>686762</v>
      </c>
      <c r="AI89" s="472">
        <v>466758</v>
      </c>
      <c r="AJ89" s="472">
        <v>138963</v>
      </c>
      <c r="AK89" s="437"/>
      <c r="AL89" s="437">
        <v>602384</v>
      </c>
      <c r="AM89" s="437"/>
    </row>
    <row r="90" spans="1:39" s="155" customFormat="1" ht="12" x14ac:dyDescent="0.2">
      <c r="A90" s="168">
        <v>36</v>
      </c>
      <c r="B90" s="143">
        <v>139009</v>
      </c>
      <c r="C90" s="291" t="s">
        <v>122</v>
      </c>
      <c r="D90" s="438">
        <f t="shared" si="16"/>
        <v>7113071</v>
      </c>
      <c r="E90" s="437">
        <v>1315897</v>
      </c>
      <c r="F90" s="437">
        <v>354156</v>
      </c>
      <c r="G90" s="437">
        <v>322296</v>
      </c>
      <c r="H90" s="437"/>
      <c r="I90" s="437">
        <v>2365902</v>
      </c>
      <c r="J90" s="437"/>
      <c r="K90" s="437">
        <v>861970</v>
      </c>
      <c r="L90" s="437"/>
      <c r="M90" s="437">
        <v>2037615</v>
      </c>
      <c r="N90" s="437">
        <v>531687</v>
      </c>
      <c r="O90" s="437"/>
      <c r="P90" s="438">
        <f t="shared" si="17"/>
        <v>7102006</v>
      </c>
      <c r="Q90" s="431">
        <v>2748818</v>
      </c>
      <c r="R90" s="431">
        <v>912152</v>
      </c>
      <c r="S90" s="431">
        <v>67379</v>
      </c>
      <c r="T90" s="431"/>
      <c r="U90" s="431">
        <v>30007</v>
      </c>
      <c r="V90" s="431"/>
      <c r="W90" s="431">
        <v>284113</v>
      </c>
      <c r="X90" s="431">
        <v>240242</v>
      </c>
      <c r="Y90" s="431">
        <v>22500</v>
      </c>
      <c r="Z90" s="468">
        <v>1197478</v>
      </c>
      <c r="AA90" s="431">
        <v>1602456</v>
      </c>
      <c r="AB90" s="431">
        <v>-3139</v>
      </c>
      <c r="AC90" s="472">
        <v>815333</v>
      </c>
      <c r="AD90" s="437">
        <v>220629</v>
      </c>
      <c r="AE90" s="437">
        <v>2589085</v>
      </c>
      <c r="AF90" s="437">
        <v>15510</v>
      </c>
      <c r="AG90" s="437">
        <v>236408</v>
      </c>
      <c r="AH90" s="437">
        <v>525249</v>
      </c>
      <c r="AI90" s="472">
        <v>460849</v>
      </c>
      <c r="AJ90" s="472">
        <v>374097</v>
      </c>
      <c r="AK90" s="437"/>
      <c r="AL90" s="437">
        <v>1864846</v>
      </c>
      <c r="AM90" s="437"/>
    </row>
    <row r="91" spans="1:39" s="155" customFormat="1" ht="12" x14ac:dyDescent="0.2">
      <c r="A91" s="168">
        <v>37</v>
      </c>
      <c r="B91" s="143">
        <v>137103</v>
      </c>
      <c r="C91" s="291" t="s">
        <v>123</v>
      </c>
      <c r="D91" s="438">
        <f t="shared" si="16"/>
        <v>8000703</v>
      </c>
      <c r="E91" s="437">
        <v>894559</v>
      </c>
      <c r="F91" s="437">
        <v>108454</v>
      </c>
      <c r="G91" s="437">
        <v>436985</v>
      </c>
      <c r="H91" s="437"/>
      <c r="I91" s="437">
        <v>1439661</v>
      </c>
      <c r="J91" s="437"/>
      <c r="K91" s="437">
        <v>908910</v>
      </c>
      <c r="L91" s="437"/>
      <c r="M91" s="437">
        <v>2937175</v>
      </c>
      <c r="N91" s="437">
        <v>1820398</v>
      </c>
      <c r="O91" s="437"/>
      <c r="P91" s="438">
        <f t="shared" si="17"/>
        <v>6538027</v>
      </c>
      <c r="Q91" s="431">
        <v>1825660</v>
      </c>
      <c r="R91" s="431">
        <v>484215</v>
      </c>
      <c r="S91" s="431">
        <v>41909</v>
      </c>
      <c r="T91" s="431"/>
      <c r="U91" s="431"/>
      <c r="V91" s="431"/>
      <c r="W91" s="431">
        <v>1290035</v>
      </c>
      <c r="X91" s="431">
        <v>84510</v>
      </c>
      <c r="Y91" s="431"/>
      <c r="Z91" s="468">
        <v>2223621</v>
      </c>
      <c r="AA91" s="431">
        <v>632753</v>
      </c>
      <c r="AB91" s="431">
        <v>-44676</v>
      </c>
      <c r="AC91" s="472">
        <v>787140</v>
      </c>
      <c r="AD91" s="437"/>
      <c r="AE91" s="437">
        <v>1145605</v>
      </c>
      <c r="AF91" s="437">
        <v>19409</v>
      </c>
      <c r="AG91" s="437">
        <v>569439</v>
      </c>
      <c r="AH91" s="437">
        <v>355144</v>
      </c>
      <c r="AI91" s="472">
        <v>551707</v>
      </c>
      <c r="AJ91" s="472">
        <v>3586</v>
      </c>
      <c r="AK91" s="437"/>
      <c r="AL91" s="437">
        <v>3105997</v>
      </c>
      <c r="AM91" s="437"/>
    </row>
    <row r="92" spans="1:39" s="155" customFormat="1" ht="12" x14ac:dyDescent="0.2">
      <c r="A92" s="168">
        <v>38</v>
      </c>
      <c r="B92" s="143">
        <v>138164</v>
      </c>
      <c r="C92" s="291" t="s">
        <v>124</v>
      </c>
      <c r="D92" s="438">
        <f t="shared" si="16"/>
        <v>5603564</v>
      </c>
      <c r="E92" s="437">
        <v>1158258</v>
      </c>
      <c r="F92" s="437">
        <v>212417</v>
      </c>
      <c r="G92" s="437">
        <v>381204</v>
      </c>
      <c r="H92" s="437"/>
      <c r="I92" s="437">
        <v>2235000</v>
      </c>
      <c r="J92" s="437"/>
      <c r="K92" s="437">
        <v>781640</v>
      </c>
      <c r="L92" s="437"/>
      <c r="M92" s="437">
        <v>590592</v>
      </c>
      <c r="N92" s="437">
        <v>813074</v>
      </c>
      <c r="O92" s="437">
        <v>25000</v>
      </c>
      <c r="P92" s="438">
        <f t="shared" si="17"/>
        <v>5048861</v>
      </c>
      <c r="Q92" s="431">
        <v>2361213</v>
      </c>
      <c r="R92" s="431">
        <v>816794</v>
      </c>
      <c r="S92" s="431">
        <v>11000</v>
      </c>
      <c r="T92" s="431"/>
      <c r="U92" s="431">
        <v>33500</v>
      </c>
      <c r="V92" s="431">
        <v>21272</v>
      </c>
      <c r="W92" s="431">
        <v>816326</v>
      </c>
      <c r="X92" s="431">
        <v>260859</v>
      </c>
      <c r="Y92" s="431">
        <v>52000</v>
      </c>
      <c r="Z92" s="468">
        <v>641887</v>
      </c>
      <c r="AA92" s="431">
        <v>38000</v>
      </c>
      <c r="AB92" s="431">
        <v>-3990</v>
      </c>
      <c r="AC92" s="472">
        <v>632076</v>
      </c>
      <c r="AD92" s="437">
        <v>4136</v>
      </c>
      <c r="AE92" s="437">
        <v>2338137</v>
      </c>
      <c r="AF92" s="437"/>
      <c r="AG92" s="437">
        <v>118997</v>
      </c>
      <c r="AH92" s="437">
        <v>506777</v>
      </c>
      <c r="AI92" s="472">
        <v>117119</v>
      </c>
      <c r="AJ92" s="472">
        <v>141071</v>
      </c>
      <c r="AK92" s="437"/>
      <c r="AL92" s="437">
        <v>311670</v>
      </c>
      <c r="AM92" s="437">
        <v>878878</v>
      </c>
    </row>
    <row r="93" spans="1:39" s="155" customFormat="1" ht="12" x14ac:dyDescent="0.2">
      <c r="A93" s="168">
        <v>39</v>
      </c>
      <c r="B93" s="143">
        <v>136713</v>
      </c>
      <c r="C93" s="291" t="s">
        <v>125</v>
      </c>
      <c r="D93" s="438">
        <f t="shared" si="16"/>
        <v>6752007</v>
      </c>
      <c r="E93" s="437">
        <v>1413357</v>
      </c>
      <c r="F93" s="437">
        <v>351265</v>
      </c>
      <c r="G93" s="437">
        <v>316422</v>
      </c>
      <c r="H93" s="437"/>
      <c r="I93" s="437">
        <v>2050663</v>
      </c>
      <c r="J93" s="437"/>
      <c r="K93" s="437">
        <v>524360</v>
      </c>
      <c r="L93" s="437"/>
      <c r="M93" s="437">
        <v>79524</v>
      </c>
      <c r="N93" s="437">
        <v>1184103</v>
      </c>
      <c r="O93" s="437">
        <v>1500000</v>
      </c>
      <c r="P93" s="438">
        <f t="shared" si="17"/>
        <v>5511359</v>
      </c>
      <c r="Q93" s="431">
        <v>2546167</v>
      </c>
      <c r="R93" s="431">
        <v>752513</v>
      </c>
      <c r="S93" s="431"/>
      <c r="T93" s="431"/>
      <c r="U93" s="431"/>
      <c r="V93" s="431"/>
      <c r="W93" s="431"/>
      <c r="X93" s="431">
        <v>279878</v>
      </c>
      <c r="Y93" s="431">
        <v>2880</v>
      </c>
      <c r="Z93" s="468">
        <v>1929921</v>
      </c>
      <c r="AA93" s="431"/>
      <c r="AB93" s="431"/>
      <c r="AC93" s="472">
        <v>1011754</v>
      </c>
      <c r="AD93" s="437">
        <v>49122</v>
      </c>
      <c r="AE93" s="437">
        <v>1574662</v>
      </c>
      <c r="AF93" s="437"/>
      <c r="AG93" s="437">
        <v>63318</v>
      </c>
      <c r="AH93" s="437">
        <v>591976</v>
      </c>
      <c r="AI93" s="472">
        <v>421849</v>
      </c>
      <c r="AJ93" s="472">
        <v>1611552</v>
      </c>
      <c r="AK93" s="437"/>
      <c r="AL93" s="437">
        <v>160842</v>
      </c>
      <c r="AM93" s="437">
        <v>26284</v>
      </c>
    </row>
    <row r="94" spans="1:39" s="155" customFormat="1" ht="12" x14ac:dyDescent="0.2">
      <c r="A94" s="168">
        <v>40</v>
      </c>
      <c r="B94" s="143">
        <v>136802</v>
      </c>
      <c r="C94" s="291" t="s">
        <v>126</v>
      </c>
      <c r="D94" s="438">
        <f t="shared" si="16"/>
        <v>5096458</v>
      </c>
      <c r="E94" s="437">
        <v>968096</v>
      </c>
      <c r="F94" s="437">
        <v>155592</v>
      </c>
      <c r="G94" s="437">
        <v>329989</v>
      </c>
      <c r="H94" s="437"/>
      <c r="I94" s="437">
        <v>1619770</v>
      </c>
      <c r="J94" s="437"/>
      <c r="K94" s="437">
        <v>916380</v>
      </c>
      <c r="L94" s="437"/>
      <c r="M94" s="437">
        <v>1245883</v>
      </c>
      <c r="N94" s="437">
        <v>286329</v>
      </c>
      <c r="O94" s="437">
        <v>60000</v>
      </c>
      <c r="P94" s="438">
        <f t="shared" si="17"/>
        <v>5986097</v>
      </c>
      <c r="Q94" s="431">
        <v>1987602</v>
      </c>
      <c r="R94" s="431">
        <v>618392</v>
      </c>
      <c r="S94" s="431"/>
      <c r="T94" s="431"/>
      <c r="U94" s="431">
        <v>20401</v>
      </c>
      <c r="V94" s="431">
        <v>5362</v>
      </c>
      <c r="W94" s="431">
        <v>1276370</v>
      </c>
      <c r="X94" s="431">
        <v>139897</v>
      </c>
      <c r="Y94" s="431">
        <v>88923</v>
      </c>
      <c r="Z94" s="468">
        <v>1849150</v>
      </c>
      <c r="AA94" s="431"/>
      <c r="AB94" s="431"/>
      <c r="AC94" s="472">
        <v>796819</v>
      </c>
      <c r="AD94" s="437"/>
      <c r="AE94" s="437">
        <v>1457222</v>
      </c>
      <c r="AF94" s="437"/>
      <c r="AG94" s="437">
        <v>124781</v>
      </c>
      <c r="AH94" s="437">
        <v>378519</v>
      </c>
      <c r="AI94" s="472">
        <v>595384</v>
      </c>
      <c r="AJ94" s="472">
        <v>704036</v>
      </c>
      <c r="AK94" s="437"/>
      <c r="AL94" s="437">
        <v>1895179</v>
      </c>
      <c r="AM94" s="437">
        <v>34157</v>
      </c>
    </row>
    <row r="95" spans="1:39" s="155" customFormat="1" ht="12" x14ac:dyDescent="0.2">
      <c r="A95" s="168">
        <v>41</v>
      </c>
      <c r="B95" s="143">
        <v>138280</v>
      </c>
      <c r="C95" s="291" t="s">
        <v>127</v>
      </c>
      <c r="D95" s="438">
        <f t="shared" si="16"/>
        <v>8654923</v>
      </c>
      <c r="E95" s="431">
        <v>3071484</v>
      </c>
      <c r="F95" s="431">
        <v>775523</v>
      </c>
      <c r="G95" s="431">
        <v>715854</v>
      </c>
      <c r="H95" s="431"/>
      <c r="I95" s="431">
        <v>2935368</v>
      </c>
      <c r="J95" s="431"/>
      <c r="K95" s="431">
        <v>752630</v>
      </c>
      <c r="L95" s="431"/>
      <c r="M95" s="431">
        <v>1528653</v>
      </c>
      <c r="N95" s="431">
        <v>366788</v>
      </c>
      <c r="O95" s="431"/>
      <c r="P95" s="438">
        <f t="shared" si="17"/>
        <v>8030640</v>
      </c>
      <c r="Q95" s="431">
        <v>3805660</v>
      </c>
      <c r="R95" s="431">
        <v>1614142</v>
      </c>
      <c r="S95" s="431"/>
      <c r="T95" s="431"/>
      <c r="U95" s="431">
        <v>55322</v>
      </c>
      <c r="V95" s="431">
        <v>11652</v>
      </c>
      <c r="W95" s="431">
        <v>657681</v>
      </c>
      <c r="X95" s="431">
        <v>310269</v>
      </c>
      <c r="Y95" s="431">
        <v>48000</v>
      </c>
      <c r="Z95" s="468">
        <v>1543120</v>
      </c>
      <c r="AA95" s="431"/>
      <c r="AB95" s="431">
        <v>-15206</v>
      </c>
      <c r="AC95" s="468">
        <v>1342784</v>
      </c>
      <c r="AD95" s="431">
        <v>363351</v>
      </c>
      <c r="AE95" s="431">
        <v>3391900</v>
      </c>
      <c r="AF95" s="431">
        <v>55447</v>
      </c>
      <c r="AG95" s="431">
        <v>762916</v>
      </c>
      <c r="AH95" s="431">
        <v>798229</v>
      </c>
      <c r="AI95" s="468">
        <v>175817</v>
      </c>
      <c r="AJ95" s="468">
        <v>1045665</v>
      </c>
      <c r="AK95" s="431"/>
      <c r="AL95" s="431">
        <v>94531</v>
      </c>
      <c r="AM95" s="431"/>
    </row>
    <row r="96" spans="1:39" s="155" customFormat="1" ht="12" x14ac:dyDescent="0.2">
      <c r="A96" s="168">
        <v>42</v>
      </c>
      <c r="B96" s="143">
        <v>138869</v>
      </c>
      <c r="C96" s="291" t="s">
        <v>128</v>
      </c>
      <c r="D96" s="438">
        <f t="shared" si="16"/>
        <v>5948566</v>
      </c>
      <c r="E96" s="431">
        <v>870055</v>
      </c>
      <c r="F96" s="431">
        <v>120473</v>
      </c>
      <c r="G96" s="431">
        <v>461984</v>
      </c>
      <c r="H96" s="431"/>
      <c r="I96" s="431">
        <v>1960539</v>
      </c>
      <c r="J96" s="431"/>
      <c r="K96" s="431">
        <v>925500</v>
      </c>
      <c r="L96" s="431"/>
      <c r="M96" s="431">
        <v>1683436</v>
      </c>
      <c r="N96" s="431">
        <v>434036</v>
      </c>
      <c r="O96" s="431">
        <v>75000</v>
      </c>
      <c r="P96" s="438">
        <f t="shared" si="17"/>
        <v>8108240</v>
      </c>
      <c r="Q96" s="431">
        <v>2102766</v>
      </c>
      <c r="R96" s="431">
        <v>768230</v>
      </c>
      <c r="S96" s="431"/>
      <c r="T96" s="431"/>
      <c r="U96" s="431">
        <v>81000</v>
      </c>
      <c r="V96" s="431">
        <v>12271</v>
      </c>
      <c r="W96" s="431">
        <v>2277815</v>
      </c>
      <c r="X96" s="431">
        <v>439923</v>
      </c>
      <c r="Y96" s="431">
        <v>17500</v>
      </c>
      <c r="Z96" s="468">
        <v>2227771</v>
      </c>
      <c r="AA96" s="431">
        <v>259339</v>
      </c>
      <c r="AB96" s="431">
        <v>-78375</v>
      </c>
      <c r="AC96" s="468">
        <v>1273158</v>
      </c>
      <c r="AD96" s="431"/>
      <c r="AE96" s="431">
        <v>1373382</v>
      </c>
      <c r="AF96" s="431"/>
      <c r="AG96" s="431">
        <v>17500</v>
      </c>
      <c r="AH96" s="431">
        <v>769701</v>
      </c>
      <c r="AI96" s="468">
        <v>297791</v>
      </c>
      <c r="AJ96" s="468"/>
      <c r="AK96" s="431"/>
      <c r="AL96" s="431">
        <v>1819633</v>
      </c>
      <c r="AM96" s="431">
        <v>2557075</v>
      </c>
    </row>
    <row r="97" spans="1:39" s="155" customFormat="1" ht="12" x14ac:dyDescent="0.2">
      <c r="A97" s="168">
        <v>43</v>
      </c>
      <c r="B97" s="143">
        <v>137504</v>
      </c>
      <c r="C97" s="291" t="s">
        <v>129</v>
      </c>
      <c r="D97" s="438">
        <f t="shared" si="16"/>
        <v>4520690</v>
      </c>
      <c r="E97" s="431">
        <v>1103095</v>
      </c>
      <c r="F97" s="431">
        <v>150809</v>
      </c>
      <c r="G97" s="431">
        <v>367988</v>
      </c>
      <c r="H97" s="431"/>
      <c r="I97" s="431">
        <v>1603854</v>
      </c>
      <c r="J97" s="431"/>
      <c r="K97" s="431">
        <v>828540</v>
      </c>
      <c r="L97" s="431"/>
      <c r="M97" s="431">
        <v>594549</v>
      </c>
      <c r="N97" s="431">
        <v>390652</v>
      </c>
      <c r="O97" s="431"/>
      <c r="P97" s="438">
        <f t="shared" si="17"/>
        <v>4050485</v>
      </c>
      <c r="Q97" s="431">
        <v>2033088</v>
      </c>
      <c r="R97" s="431">
        <v>572786</v>
      </c>
      <c r="S97" s="431"/>
      <c r="T97" s="431"/>
      <c r="U97" s="431">
        <v>9263</v>
      </c>
      <c r="V97" s="431"/>
      <c r="W97" s="431">
        <v>501267</v>
      </c>
      <c r="X97" s="431">
        <v>118276</v>
      </c>
      <c r="Y97" s="431">
        <v>105000</v>
      </c>
      <c r="Z97" s="468">
        <v>710805</v>
      </c>
      <c r="AA97" s="431"/>
      <c r="AB97" s="431"/>
      <c r="AC97" s="468">
        <v>677419</v>
      </c>
      <c r="AD97" s="431">
        <v>38743</v>
      </c>
      <c r="AE97" s="431">
        <v>1349198</v>
      </c>
      <c r="AF97" s="431"/>
      <c r="AG97" s="431">
        <v>406978</v>
      </c>
      <c r="AH97" s="431">
        <v>428899</v>
      </c>
      <c r="AI97" s="468">
        <v>547698</v>
      </c>
      <c r="AJ97" s="468">
        <v>532591</v>
      </c>
      <c r="AK97" s="431"/>
      <c r="AL97" s="431">
        <v>51436</v>
      </c>
      <c r="AM97" s="431">
        <v>17523</v>
      </c>
    </row>
    <row r="98" spans="1:39" s="155" customFormat="1" ht="12" x14ac:dyDescent="0.2">
      <c r="A98" s="168">
        <v>44</v>
      </c>
      <c r="B98" s="143">
        <v>136553</v>
      </c>
      <c r="C98" s="291" t="s">
        <v>130</v>
      </c>
      <c r="D98" s="438">
        <f t="shared" si="16"/>
        <v>4410145</v>
      </c>
      <c r="E98" s="431">
        <v>1139968</v>
      </c>
      <c r="F98" s="431">
        <v>234398</v>
      </c>
      <c r="G98" s="431">
        <v>296388</v>
      </c>
      <c r="H98" s="431"/>
      <c r="I98" s="431">
        <v>1674465</v>
      </c>
      <c r="J98" s="431"/>
      <c r="K98" s="431">
        <v>678990</v>
      </c>
      <c r="L98" s="431"/>
      <c r="M98" s="431">
        <v>893651</v>
      </c>
      <c r="N98" s="431">
        <v>23071</v>
      </c>
      <c r="O98" s="431"/>
      <c r="P98" s="438">
        <f t="shared" si="17"/>
        <v>3937009</v>
      </c>
      <c r="Q98" s="431">
        <v>2067282</v>
      </c>
      <c r="R98" s="431">
        <v>787159</v>
      </c>
      <c r="S98" s="431"/>
      <c r="T98" s="431"/>
      <c r="U98" s="431">
        <v>8210</v>
      </c>
      <c r="V98" s="431"/>
      <c r="W98" s="431"/>
      <c r="X98" s="431">
        <v>84872</v>
      </c>
      <c r="Y98" s="431">
        <v>62000</v>
      </c>
      <c r="Z98" s="468">
        <v>927486</v>
      </c>
      <c r="AA98" s="431"/>
      <c r="AB98" s="431"/>
      <c r="AC98" s="468">
        <v>544251</v>
      </c>
      <c r="AD98" s="431">
        <v>66478</v>
      </c>
      <c r="AE98" s="431">
        <v>1414194</v>
      </c>
      <c r="AF98" s="431">
        <v>25147</v>
      </c>
      <c r="AG98" s="431">
        <v>235514</v>
      </c>
      <c r="AH98" s="431">
        <v>380790</v>
      </c>
      <c r="AI98" s="468">
        <v>274116</v>
      </c>
      <c r="AJ98" s="468">
        <v>104180</v>
      </c>
      <c r="AK98" s="431"/>
      <c r="AL98" s="431">
        <v>892339</v>
      </c>
      <c r="AM98" s="431"/>
    </row>
    <row r="99" spans="1:39" s="155" customFormat="1" ht="12" x14ac:dyDescent="0.2">
      <c r="A99" s="168">
        <v>45</v>
      </c>
      <c r="B99" s="143">
        <v>139107</v>
      </c>
      <c r="C99" s="291" t="s">
        <v>131</v>
      </c>
      <c r="D99" s="438">
        <f t="shared" si="16"/>
        <v>4059097</v>
      </c>
      <c r="E99" s="431">
        <v>1054276</v>
      </c>
      <c r="F99" s="431">
        <v>210820</v>
      </c>
      <c r="G99" s="431">
        <v>300990</v>
      </c>
      <c r="H99" s="431"/>
      <c r="I99" s="431">
        <v>1582129</v>
      </c>
      <c r="J99" s="431"/>
      <c r="K99" s="431">
        <v>686860</v>
      </c>
      <c r="L99" s="431"/>
      <c r="M99" s="431">
        <v>213119</v>
      </c>
      <c r="N99" s="431">
        <v>521713</v>
      </c>
      <c r="O99" s="431">
        <v>1000</v>
      </c>
      <c r="P99" s="438">
        <f t="shared" si="17"/>
        <v>3894319</v>
      </c>
      <c r="Q99" s="431">
        <v>1902909</v>
      </c>
      <c r="R99" s="431">
        <v>788434</v>
      </c>
      <c r="S99" s="431"/>
      <c r="T99" s="431"/>
      <c r="U99" s="431">
        <v>7901</v>
      </c>
      <c r="V99" s="431"/>
      <c r="W99" s="431">
        <v>718885</v>
      </c>
      <c r="X99" s="431">
        <v>129939</v>
      </c>
      <c r="Y99" s="431">
        <v>32000</v>
      </c>
      <c r="Z99" s="468">
        <v>314309</v>
      </c>
      <c r="AA99" s="431"/>
      <c r="AB99" s="431">
        <v>-58</v>
      </c>
      <c r="AC99" s="468">
        <v>761151</v>
      </c>
      <c r="AD99" s="431">
        <v>62658</v>
      </c>
      <c r="AE99" s="431">
        <v>1336287</v>
      </c>
      <c r="AF99" s="431"/>
      <c r="AG99" s="431">
        <v>234408</v>
      </c>
      <c r="AH99" s="431">
        <v>412268</v>
      </c>
      <c r="AI99" s="468">
        <v>128468</v>
      </c>
      <c r="AJ99" s="468">
        <v>731103</v>
      </c>
      <c r="AK99" s="431"/>
      <c r="AL99" s="431">
        <v>227976</v>
      </c>
      <c r="AM99" s="431"/>
    </row>
    <row r="100" spans="1:39" s="155" customFormat="1" ht="12" x14ac:dyDescent="0.2">
      <c r="A100" s="168">
        <v>46</v>
      </c>
      <c r="B100" s="143">
        <v>138501</v>
      </c>
      <c r="C100" s="291" t="s">
        <v>132</v>
      </c>
      <c r="D100" s="438">
        <f t="shared" si="16"/>
        <v>6992770</v>
      </c>
      <c r="E100" s="431">
        <v>1170065</v>
      </c>
      <c r="F100" s="431">
        <v>310585</v>
      </c>
      <c r="G100" s="431">
        <v>129996</v>
      </c>
      <c r="H100" s="431"/>
      <c r="I100" s="431">
        <v>1031496</v>
      </c>
      <c r="J100" s="431"/>
      <c r="K100" s="431">
        <v>386860</v>
      </c>
      <c r="L100" s="431"/>
      <c r="M100" s="431">
        <v>122536</v>
      </c>
      <c r="N100" s="431">
        <v>4230936</v>
      </c>
      <c r="O100" s="431">
        <v>50877</v>
      </c>
      <c r="P100" s="438">
        <f t="shared" si="17"/>
        <v>5185717</v>
      </c>
      <c r="Q100" s="431">
        <v>1430315</v>
      </c>
      <c r="R100" s="431">
        <v>678207</v>
      </c>
      <c r="S100" s="431">
        <v>11023</v>
      </c>
      <c r="T100" s="431"/>
      <c r="U100" s="431">
        <v>60334</v>
      </c>
      <c r="V100" s="431"/>
      <c r="W100" s="431">
        <v>69866</v>
      </c>
      <c r="X100" s="431">
        <v>62276</v>
      </c>
      <c r="Y100" s="431">
        <v>33785</v>
      </c>
      <c r="Z100" s="468">
        <v>220291</v>
      </c>
      <c r="AA100" s="431">
        <v>2621000</v>
      </c>
      <c r="AB100" s="431">
        <v>-1380</v>
      </c>
      <c r="AC100" s="468">
        <v>376534</v>
      </c>
      <c r="AD100" s="431">
        <v>54051</v>
      </c>
      <c r="AE100" s="431">
        <v>865512</v>
      </c>
      <c r="AF100" s="431"/>
      <c r="AG100" s="431">
        <v>186819</v>
      </c>
      <c r="AH100" s="431">
        <v>626667</v>
      </c>
      <c r="AI100" s="468">
        <v>194110</v>
      </c>
      <c r="AJ100" s="468">
        <v>104199</v>
      </c>
      <c r="AK100" s="431"/>
      <c r="AL100" s="431">
        <v>141905</v>
      </c>
      <c r="AM100" s="431">
        <v>2635920</v>
      </c>
    </row>
    <row r="101" spans="1:39" s="155" customFormat="1" ht="12" x14ac:dyDescent="0.2">
      <c r="A101" s="168">
        <v>47</v>
      </c>
      <c r="B101" s="143">
        <v>139250</v>
      </c>
      <c r="C101" s="291" t="s">
        <v>133</v>
      </c>
      <c r="D101" s="438">
        <f t="shared" si="16"/>
        <v>2522460</v>
      </c>
      <c r="E101" s="431">
        <v>1060057</v>
      </c>
      <c r="F101" s="431">
        <v>298441</v>
      </c>
      <c r="G101" s="431">
        <v>310989</v>
      </c>
      <c r="H101" s="431"/>
      <c r="I101" s="431">
        <v>663422</v>
      </c>
      <c r="J101" s="431"/>
      <c r="K101" s="431">
        <v>638650</v>
      </c>
      <c r="L101" s="431"/>
      <c r="M101" s="431">
        <v>50956</v>
      </c>
      <c r="N101" s="431">
        <v>109375</v>
      </c>
      <c r="O101" s="431"/>
      <c r="P101" s="438">
        <f t="shared" si="17"/>
        <v>2502438</v>
      </c>
      <c r="Q101" s="431">
        <v>1032776</v>
      </c>
      <c r="R101" s="468">
        <v>822032</v>
      </c>
      <c r="S101" s="431"/>
      <c r="T101" s="431"/>
      <c r="U101" s="431">
        <v>23478</v>
      </c>
      <c r="V101" s="431"/>
      <c r="W101" s="431">
        <v>178200</v>
      </c>
      <c r="X101" s="431">
        <v>61810</v>
      </c>
      <c r="Y101" s="431">
        <v>10000</v>
      </c>
      <c r="Z101" s="468">
        <v>375292</v>
      </c>
      <c r="AA101" s="431"/>
      <c r="AB101" s="431">
        <v>-1150</v>
      </c>
      <c r="AC101" s="468">
        <v>782030</v>
      </c>
      <c r="AD101" s="431">
        <v>68130</v>
      </c>
      <c r="AE101" s="431">
        <v>571320</v>
      </c>
      <c r="AF101" s="431"/>
      <c r="AG101" s="431">
        <v>123217</v>
      </c>
      <c r="AH101" s="431">
        <v>229332</v>
      </c>
      <c r="AI101" s="468">
        <v>218858</v>
      </c>
      <c r="AJ101" s="468">
        <v>205465</v>
      </c>
      <c r="AK101" s="431"/>
      <c r="AL101" s="431">
        <v>304086</v>
      </c>
      <c r="AM101" s="431"/>
    </row>
    <row r="102" spans="1:39" s="155" customFormat="1" ht="12" x14ac:dyDescent="0.2">
      <c r="A102" s="168">
        <v>48</v>
      </c>
      <c r="B102" s="143">
        <v>137844</v>
      </c>
      <c r="C102" s="291" t="s">
        <v>134</v>
      </c>
      <c r="D102" s="438">
        <f t="shared" si="16"/>
        <v>6234189</v>
      </c>
      <c r="E102" s="431">
        <v>1492697</v>
      </c>
      <c r="F102" s="431">
        <v>199867</v>
      </c>
      <c r="G102" s="431">
        <v>353407</v>
      </c>
      <c r="H102" s="431"/>
      <c r="I102" s="431">
        <v>2539023</v>
      </c>
      <c r="J102" s="431"/>
      <c r="K102" s="468">
        <v>703510</v>
      </c>
      <c r="L102" s="431"/>
      <c r="M102" s="431">
        <v>452540</v>
      </c>
      <c r="N102" s="431">
        <v>978977</v>
      </c>
      <c r="O102" s="431">
        <v>67442</v>
      </c>
      <c r="P102" s="438">
        <f t="shared" si="17"/>
        <v>6605615</v>
      </c>
      <c r="Q102" s="431">
        <v>2946101</v>
      </c>
      <c r="R102" s="431">
        <v>1178503</v>
      </c>
      <c r="S102" s="431">
        <v>28000</v>
      </c>
      <c r="T102" s="431"/>
      <c r="U102" s="431">
        <v>61649</v>
      </c>
      <c r="V102" s="431"/>
      <c r="W102" s="431">
        <v>1583514</v>
      </c>
      <c r="X102" s="431">
        <v>175995</v>
      </c>
      <c r="Y102" s="431">
        <v>71100</v>
      </c>
      <c r="Z102" s="468">
        <v>540753</v>
      </c>
      <c r="AA102" s="431">
        <v>20000</v>
      </c>
      <c r="AB102" s="431"/>
      <c r="AC102" s="468">
        <v>836004</v>
      </c>
      <c r="AD102" s="431"/>
      <c r="AE102" s="431">
        <v>2998003</v>
      </c>
      <c r="AF102" s="431"/>
      <c r="AG102" s="431">
        <v>923111</v>
      </c>
      <c r="AH102" s="431">
        <v>669109</v>
      </c>
      <c r="AI102" s="468">
        <v>831832</v>
      </c>
      <c r="AJ102" s="468"/>
      <c r="AK102" s="431"/>
      <c r="AL102" s="431">
        <v>282209</v>
      </c>
      <c r="AM102" s="431">
        <v>65347</v>
      </c>
    </row>
    <row r="103" spans="1:39" s="155" customFormat="1" ht="12" x14ac:dyDescent="0.2">
      <c r="A103" s="168">
        <v>49</v>
      </c>
      <c r="B103" s="143">
        <v>137899</v>
      </c>
      <c r="C103" s="291" t="s">
        <v>135</v>
      </c>
      <c r="D103" s="438">
        <f t="shared" si="16"/>
        <v>4411354</v>
      </c>
      <c r="E103" s="431">
        <v>937838</v>
      </c>
      <c r="F103" s="431">
        <v>101964</v>
      </c>
      <c r="G103" s="431">
        <v>393987</v>
      </c>
      <c r="H103" s="431"/>
      <c r="I103" s="431">
        <v>1111798</v>
      </c>
      <c r="J103" s="431"/>
      <c r="K103" s="431">
        <v>787490</v>
      </c>
      <c r="L103" s="431"/>
      <c r="M103" s="431">
        <v>1348877</v>
      </c>
      <c r="N103" s="431">
        <v>225351</v>
      </c>
      <c r="O103" s="431"/>
      <c r="P103" s="438">
        <f t="shared" si="17"/>
        <v>4224644</v>
      </c>
      <c r="Q103" s="431">
        <v>1572412</v>
      </c>
      <c r="R103" s="431">
        <v>765484</v>
      </c>
      <c r="S103" s="431">
        <v>30679</v>
      </c>
      <c r="T103" s="431"/>
      <c r="U103" s="431"/>
      <c r="V103" s="431"/>
      <c r="W103" s="431">
        <v>13006</v>
      </c>
      <c r="X103" s="431">
        <v>208679</v>
      </c>
      <c r="Y103" s="431">
        <v>65000</v>
      </c>
      <c r="Z103" s="468">
        <v>163188</v>
      </c>
      <c r="AA103" s="431">
        <v>1406196</v>
      </c>
      <c r="AB103" s="431"/>
      <c r="AC103" s="468">
        <v>1021425</v>
      </c>
      <c r="AD103" s="431"/>
      <c r="AE103" s="431">
        <v>1002303</v>
      </c>
      <c r="AF103" s="431"/>
      <c r="AG103" s="431">
        <v>239779</v>
      </c>
      <c r="AH103" s="431">
        <v>380921</v>
      </c>
      <c r="AI103" s="468">
        <v>156545</v>
      </c>
      <c r="AJ103" s="468"/>
      <c r="AK103" s="431"/>
      <c r="AL103" s="431">
        <v>1423671</v>
      </c>
      <c r="AM103" s="431"/>
    </row>
    <row r="104" spans="1:39" s="155" customFormat="1" ht="12" x14ac:dyDescent="0.2">
      <c r="A104" s="168">
        <v>50</v>
      </c>
      <c r="B104" s="143">
        <v>139054</v>
      </c>
      <c r="C104" s="291" t="s">
        <v>136</v>
      </c>
      <c r="D104" s="438">
        <f t="shared" si="16"/>
        <v>4729364</v>
      </c>
      <c r="E104" s="431">
        <v>919785</v>
      </c>
      <c r="F104" s="431">
        <v>115351</v>
      </c>
      <c r="G104" s="431">
        <v>431985</v>
      </c>
      <c r="H104" s="431"/>
      <c r="I104" s="431">
        <v>1057009</v>
      </c>
      <c r="J104" s="431"/>
      <c r="K104" s="431">
        <v>1298960</v>
      </c>
      <c r="L104" s="431"/>
      <c r="M104" s="431">
        <v>727653</v>
      </c>
      <c r="N104" s="431">
        <v>694957</v>
      </c>
      <c r="O104" s="431">
        <v>31000</v>
      </c>
      <c r="P104" s="438">
        <f t="shared" si="17"/>
        <v>5382265</v>
      </c>
      <c r="Q104" s="431">
        <v>1402303</v>
      </c>
      <c r="R104" s="431">
        <v>471192</v>
      </c>
      <c r="S104" s="431">
        <v>1155</v>
      </c>
      <c r="T104" s="431"/>
      <c r="U104" s="431">
        <v>36831</v>
      </c>
      <c r="V104" s="431"/>
      <c r="W104" s="431">
        <v>1917527</v>
      </c>
      <c r="X104" s="431">
        <v>196536</v>
      </c>
      <c r="Y104" s="431">
        <v>34000</v>
      </c>
      <c r="Z104" s="468">
        <v>1060856</v>
      </c>
      <c r="AA104" s="431">
        <v>261865</v>
      </c>
      <c r="AB104" s="431"/>
      <c r="AC104" s="468">
        <v>592048</v>
      </c>
      <c r="AD104" s="431">
        <v>24976</v>
      </c>
      <c r="AE104" s="431">
        <v>2251264</v>
      </c>
      <c r="AF104" s="431">
        <v>16895</v>
      </c>
      <c r="AG104" s="431">
        <v>243035</v>
      </c>
      <c r="AH104" s="431">
        <v>414853</v>
      </c>
      <c r="AI104" s="468">
        <v>640153</v>
      </c>
      <c r="AJ104" s="468">
        <v>626556</v>
      </c>
      <c r="AK104" s="431"/>
      <c r="AL104" s="431">
        <v>572485</v>
      </c>
      <c r="AM104" s="431"/>
    </row>
    <row r="105" spans="1:39" s="155" customFormat="1" ht="12" x14ac:dyDescent="0.2">
      <c r="A105" s="168">
        <v>51</v>
      </c>
      <c r="B105" s="143">
        <v>138618</v>
      </c>
      <c r="C105" s="291" t="s">
        <v>137</v>
      </c>
      <c r="D105" s="438">
        <f t="shared" si="16"/>
        <v>5306246</v>
      </c>
      <c r="E105" s="431">
        <v>1152088</v>
      </c>
      <c r="F105" s="431">
        <v>244391</v>
      </c>
      <c r="G105" s="431">
        <v>346988</v>
      </c>
      <c r="H105" s="431"/>
      <c r="I105" s="431">
        <v>1732135</v>
      </c>
      <c r="J105" s="431"/>
      <c r="K105" s="431">
        <v>701450</v>
      </c>
      <c r="L105" s="431"/>
      <c r="M105" s="431">
        <v>1458240</v>
      </c>
      <c r="N105" s="431">
        <v>262333</v>
      </c>
      <c r="O105" s="431"/>
      <c r="P105" s="438">
        <f t="shared" si="17"/>
        <v>5155426</v>
      </c>
      <c r="Q105" s="431">
        <v>1937697</v>
      </c>
      <c r="R105" s="431">
        <v>734164</v>
      </c>
      <c r="S105" s="431"/>
      <c r="T105" s="431"/>
      <c r="U105" s="431">
        <v>35875</v>
      </c>
      <c r="V105" s="431"/>
      <c r="W105" s="431">
        <v>338837</v>
      </c>
      <c r="X105" s="431">
        <v>203523</v>
      </c>
      <c r="Y105" s="431">
        <v>9500</v>
      </c>
      <c r="Z105" s="468">
        <v>1911139</v>
      </c>
      <c r="AA105" s="431"/>
      <c r="AB105" s="431">
        <v>-15309</v>
      </c>
      <c r="AC105" s="468">
        <v>793817</v>
      </c>
      <c r="AD105" s="431">
        <v>67130</v>
      </c>
      <c r="AE105" s="431">
        <v>1325435</v>
      </c>
      <c r="AF105" s="431"/>
      <c r="AG105" s="431">
        <v>155983</v>
      </c>
      <c r="AH105" s="431">
        <v>560200</v>
      </c>
      <c r="AI105" s="468">
        <v>1142128</v>
      </c>
      <c r="AJ105" s="468">
        <v>17567</v>
      </c>
      <c r="AK105" s="431"/>
      <c r="AL105" s="431">
        <v>1015068</v>
      </c>
      <c r="AM105" s="431">
        <v>78098</v>
      </c>
    </row>
    <row r="106" spans="1:39" s="155" customFormat="1" ht="12" x14ac:dyDescent="0.2">
      <c r="A106" s="168">
        <v>52</v>
      </c>
      <c r="B106" s="143">
        <v>137811</v>
      </c>
      <c r="C106" s="291" t="s">
        <v>138</v>
      </c>
      <c r="D106" s="438">
        <f t="shared" si="16"/>
        <v>9616400</v>
      </c>
      <c r="E106" s="431">
        <v>1272227</v>
      </c>
      <c r="F106" s="431">
        <v>153438</v>
      </c>
      <c r="G106" s="431">
        <v>479233</v>
      </c>
      <c r="H106" s="431"/>
      <c r="I106" s="431">
        <v>1589529</v>
      </c>
      <c r="J106" s="431"/>
      <c r="K106" s="431">
        <v>779710</v>
      </c>
      <c r="L106" s="431"/>
      <c r="M106" s="431">
        <v>935815</v>
      </c>
      <c r="N106" s="431">
        <v>5039119</v>
      </c>
      <c r="O106" s="431"/>
      <c r="P106" s="438">
        <f t="shared" si="17"/>
        <v>5134226</v>
      </c>
      <c r="Q106" s="431">
        <v>1870132</v>
      </c>
      <c r="R106" s="431">
        <v>1263221</v>
      </c>
      <c r="S106" s="431"/>
      <c r="T106" s="431"/>
      <c r="U106" s="431">
        <v>70000</v>
      </c>
      <c r="V106" s="431"/>
      <c r="W106" s="431">
        <v>647816</v>
      </c>
      <c r="X106" s="431">
        <v>199227</v>
      </c>
      <c r="Y106" s="431">
        <v>121230</v>
      </c>
      <c r="Z106" s="468">
        <v>966191</v>
      </c>
      <c r="AA106" s="431"/>
      <c r="AB106" s="431">
        <v>-3591</v>
      </c>
      <c r="AC106" s="468">
        <v>855828</v>
      </c>
      <c r="AD106" s="431">
        <v>45044</v>
      </c>
      <c r="AE106" s="431">
        <v>1542325</v>
      </c>
      <c r="AF106" s="431"/>
      <c r="AG106" s="431">
        <v>989737</v>
      </c>
      <c r="AH106" s="431">
        <v>417503</v>
      </c>
      <c r="AI106" s="468">
        <v>204832</v>
      </c>
      <c r="AJ106" s="468">
        <v>194104</v>
      </c>
      <c r="AK106" s="431"/>
      <c r="AL106" s="431">
        <v>818710</v>
      </c>
      <c r="AM106" s="431">
        <v>66143</v>
      </c>
    </row>
    <row r="107" spans="1:39" s="155" customFormat="1" ht="12" x14ac:dyDescent="0.2">
      <c r="A107" s="168">
        <v>53</v>
      </c>
      <c r="B107" s="143">
        <v>137675</v>
      </c>
      <c r="C107" s="291" t="s">
        <v>139</v>
      </c>
      <c r="D107" s="438">
        <f t="shared" si="16"/>
        <v>4983954</v>
      </c>
      <c r="E107" s="431">
        <v>2110277</v>
      </c>
      <c r="F107" s="431">
        <v>737832</v>
      </c>
      <c r="G107" s="431">
        <v>270059</v>
      </c>
      <c r="H107" s="431"/>
      <c r="I107" s="431">
        <v>1948804</v>
      </c>
      <c r="J107" s="431"/>
      <c r="K107" s="431">
        <v>472500</v>
      </c>
      <c r="L107" s="431"/>
      <c r="M107" s="431">
        <v>113810</v>
      </c>
      <c r="N107" s="431">
        <v>338563</v>
      </c>
      <c r="O107" s="431"/>
      <c r="P107" s="438">
        <f t="shared" si="17"/>
        <v>4488157</v>
      </c>
      <c r="Q107" s="431">
        <v>2488156</v>
      </c>
      <c r="R107" s="431">
        <v>825726</v>
      </c>
      <c r="S107" s="431"/>
      <c r="T107" s="431"/>
      <c r="U107" s="431">
        <v>68187</v>
      </c>
      <c r="V107" s="431"/>
      <c r="W107" s="431">
        <v>448360</v>
      </c>
      <c r="X107" s="431">
        <v>82499</v>
      </c>
      <c r="Y107" s="431">
        <v>45480</v>
      </c>
      <c r="Z107" s="468">
        <v>581214</v>
      </c>
      <c r="AA107" s="431"/>
      <c r="AB107" s="431">
        <v>-51465</v>
      </c>
      <c r="AC107" s="468">
        <v>823519</v>
      </c>
      <c r="AD107" s="431"/>
      <c r="AE107" s="431">
        <v>1529868</v>
      </c>
      <c r="AF107" s="431"/>
      <c r="AG107" s="431">
        <v>122591</v>
      </c>
      <c r="AH107" s="431">
        <v>601029</v>
      </c>
      <c r="AI107" s="468">
        <v>287738</v>
      </c>
      <c r="AJ107" s="468">
        <v>192667</v>
      </c>
      <c r="AK107" s="431"/>
      <c r="AL107" s="431">
        <v>482385</v>
      </c>
      <c r="AM107" s="431">
        <v>448360</v>
      </c>
    </row>
    <row r="108" spans="1:39" s="155" customFormat="1" ht="12" x14ac:dyDescent="0.2">
      <c r="A108" s="168">
        <v>54</v>
      </c>
      <c r="B108" s="143">
        <v>138805</v>
      </c>
      <c r="C108" s="291" t="s">
        <v>140</v>
      </c>
      <c r="D108" s="438">
        <f t="shared" si="16"/>
        <v>2963940</v>
      </c>
      <c r="E108" s="431">
        <v>788635</v>
      </c>
      <c r="F108" s="431">
        <v>104333</v>
      </c>
      <c r="G108" s="431">
        <v>447985</v>
      </c>
      <c r="H108" s="431"/>
      <c r="I108" s="431">
        <v>1150817</v>
      </c>
      <c r="J108" s="431"/>
      <c r="K108" s="431">
        <v>880800</v>
      </c>
      <c r="L108" s="431"/>
      <c r="M108" s="431">
        <v>35294</v>
      </c>
      <c r="N108" s="431">
        <v>108394</v>
      </c>
      <c r="O108" s="431"/>
      <c r="P108" s="438">
        <f t="shared" si="17"/>
        <v>2963451</v>
      </c>
      <c r="Q108" s="431">
        <v>1641333</v>
      </c>
      <c r="R108" s="431">
        <v>593946</v>
      </c>
      <c r="S108" s="431"/>
      <c r="T108" s="431"/>
      <c r="U108" s="431">
        <v>25000</v>
      </c>
      <c r="V108" s="431"/>
      <c r="W108" s="431">
        <v>231825</v>
      </c>
      <c r="X108" s="431">
        <v>118091</v>
      </c>
      <c r="Y108" s="431"/>
      <c r="Z108" s="468">
        <v>374403</v>
      </c>
      <c r="AA108" s="431"/>
      <c r="AB108" s="431">
        <v>-21147</v>
      </c>
      <c r="AC108" s="468">
        <v>1052173</v>
      </c>
      <c r="AD108" s="431">
        <v>86606</v>
      </c>
      <c r="AE108" s="431">
        <v>940741</v>
      </c>
      <c r="AF108" s="431"/>
      <c r="AG108" s="431">
        <v>152309</v>
      </c>
      <c r="AH108" s="431">
        <v>264803</v>
      </c>
      <c r="AI108" s="468">
        <v>141813</v>
      </c>
      <c r="AJ108" s="468"/>
      <c r="AK108" s="431"/>
      <c r="AL108" s="431">
        <v>325006</v>
      </c>
      <c r="AM108" s="431"/>
    </row>
    <row r="109" spans="1:39" s="155" customFormat="1" ht="12" x14ac:dyDescent="0.2">
      <c r="A109" s="168">
        <v>55</v>
      </c>
      <c r="B109" s="143">
        <v>137407</v>
      </c>
      <c r="C109" s="291" t="s">
        <v>141</v>
      </c>
      <c r="D109" s="438">
        <f t="shared" si="16"/>
        <v>6785266</v>
      </c>
      <c r="E109" s="431">
        <v>2903266</v>
      </c>
      <c r="F109" s="431">
        <v>909317</v>
      </c>
      <c r="G109" s="431">
        <v>385838</v>
      </c>
      <c r="H109" s="431"/>
      <c r="I109" s="431">
        <v>1565495</v>
      </c>
      <c r="J109" s="431"/>
      <c r="K109" s="431">
        <v>1003690</v>
      </c>
      <c r="L109" s="431"/>
      <c r="M109" s="431">
        <v>759859</v>
      </c>
      <c r="N109" s="431">
        <v>552956</v>
      </c>
      <c r="O109" s="431"/>
      <c r="P109" s="438">
        <f t="shared" si="17"/>
        <v>7151885</v>
      </c>
      <c r="Q109" s="431">
        <v>2343861</v>
      </c>
      <c r="R109" s="431">
        <v>1777532</v>
      </c>
      <c r="S109" s="431"/>
      <c r="T109" s="431"/>
      <c r="U109" s="431"/>
      <c r="V109" s="431"/>
      <c r="W109" s="431">
        <v>701911</v>
      </c>
      <c r="X109" s="431">
        <v>348403</v>
      </c>
      <c r="Y109" s="431">
        <v>34000</v>
      </c>
      <c r="Z109" s="468">
        <v>1946178</v>
      </c>
      <c r="AA109" s="431"/>
      <c r="AB109" s="431"/>
      <c r="AC109" s="468">
        <v>2156395</v>
      </c>
      <c r="AD109" s="431">
        <v>127582</v>
      </c>
      <c r="AE109" s="431">
        <v>1225828</v>
      </c>
      <c r="AF109" s="431"/>
      <c r="AG109" s="431">
        <v>176739</v>
      </c>
      <c r="AH109" s="431">
        <v>626687</v>
      </c>
      <c r="AI109" s="468">
        <v>437452</v>
      </c>
      <c r="AJ109" s="468">
        <v>713084</v>
      </c>
      <c r="AK109" s="431"/>
      <c r="AL109" s="431">
        <v>1258635</v>
      </c>
      <c r="AM109" s="431">
        <v>429483</v>
      </c>
    </row>
    <row r="110" spans="1:39" s="155" customFormat="1" ht="12" x14ac:dyDescent="0.2">
      <c r="A110" s="168">
        <v>56</v>
      </c>
      <c r="B110" s="143">
        <v>137069</v>
      </c>
      <c r="C110" s="291" t="s">
        <v>142</v>
      </c>
      <c r="D110" s="438">
        <f t="shared" si="16"/>
        <v>6979534</v>
      </c>
      <c r="E110" s="431">
        <v>3207668</v>
      </c>
      <c r="F110" s="431">
        <v>605770</v>
      </c>
      <c r="G110" s="431">
        <v>656352</v>
      </c>
      <c r="H110" s="431"/>
      <c r="I110" s="431">
        <v>2271127</v>
      </c>
      <c r="J110" s="431"/>
      <c r="K110" s="431">
        <v>988460</v>
      </c>
      <c r="L110" s="431"/>
      <c r="M110" s="431">
        <v>330297</v>
      </c>
      <c r="N110" s="431">
        <v>181982</v>
      </c>
      <c r="O110" s="431"/>
      <c r="P110" s="438">
        <f t="shared" si="17"/>
        <v>6907347</v>
      </c>
      <c r="Q110" s="431">
        <v>2523388</v>
      </c>
      <c r="R110" s="431">
        <v>3120986</v>
      </c>
      <c r="S110" s="431"/>
      <c r="T110" s="431"/>
      <c r="U110" s="431"/>
      <c r="V110" s="431"/>
      <c r="W110" s="431">
        <v>250527</v>
      </c>
      <c r="X110" s="431">
        <v>435904</v>
      </c>
      <c r="Y110" s="431"/>
      <c r="Z110" s="468">
        <v>576542</v>
      </c>
      <c r="AA110" s="431"/>
      <c r="AB110" s="431"/>
      <c r="AC110" s="468">
        <v>864304</v>
      </c>
      <c r="AD110" s="431"/>
      <c r="AE110" s="431">
        <v>1815351</v>
      </c>
      <c r="AF110" s="431"/>
      <c r="AG110" s="431">
        <v>163536</v>
      </c>
      <c r="AH110" s="431">
        <v>733567</v>
      </c>
      <c r="AI110" s="468">
        <v>1124315</v>
      </c>
      <c r="AJ110" s="468">
        <v>302083</v>
      </c>
      <c r="AK110" s="431"/>
      <c r="AL110" s="431">
        <v>1750770</v>
      </c>
      <c r="AM110" s="431">
        <v>153421</v>
      </c>
    </row>
    <row r="111" spans="1:39" s="155" customFormat="1" ht="12" x14ac:dyDescent="0.2">
      <c r="A111" s="168">
        <v>57</v>
      </c>
      <c r="B111" s="143">
        <v>137960</v>
      </c>
      <c r="C111" s="291" t="s">
        <v>143</v>
      </c>
      <c r="D111" s="438">
        <f t="shared" si="16"/>
        <v>12190618</v>
      </c>
      <c r="E111" s="431">
        <v>2361771</v>
      </c>
      <c r="F111" s="431">
        <v>342826</v>
      </c>
      <c r="G111" s="431">
        <v>835328</v>
      </c>
      <c r="H111" s="431"/>
      <c r="I111" s="431">
        <v>2991323</v>
      </c>
      <c r="J111" s="431"/>
      <c r="K111" s="431">
        <v>1049430</v>
      </c>
      <c r="L111" s="431"/>
      <c r="M111" s="431">
        <v>122606</v>
      </c>
      <c r="N111" s="431">
        <v>5665488</v>
      </c>
      <c r="O111" s="431"/>
      <c r="P111" s="438">
        <f t="shared" si="17"/>
        <v>12356801</v>
      </c>
      <c r="Q111" s="431">
        <v>3298170</v>
      </c>
      <c r="R111" s="431">
        <v>1434911</v>
      </c>
      <c r="S111" s="431">
        <v>105553</v>
      </c>
      <c r="T111" s="431"/>
      <c r="U111" s="431">
        <v>154382</v>
      </c>
      <c r="V111" s="431"/>
      <c r="W111" s="431">
        <v>946787</v>
      </c>
      <c r="X111" s="431">
        <v>399800</v>
      </c>
      <c r="Y111" s="431">
        <v>87000</v>
      </c>
      <c r="Z111" s="468">
        <v>355813</v>
      </c>
      <c r="AA111" s="431">
        <v>5574776</v>
      </c>
      <c r="AB111" s="431">
        <v>-391</v>
      </c>
      <c r="AC111" s="468">
        <v>1334462</v>
      </c>
      <c r="AD111" s="431">
        <v>1140520</v>
      </c>
      <c r="AE111" s="431">
        <v>2724422</v>
      </c>
      <c r="AF111" s="431"/>
      <c r="AG111" s="431">
        <v>305810</v>
      </c>
      <c r="AH111" s="431">
        <v>788828</v>
      </c>
      <c r="AI111" s="468">
        <v>344177</v>
      </c>
      <c r="AJ111" s="468">
        <v>158176</v>
      </c>
      <c r="AK111" s="431"/>
      <c r="AL111" s="431">
        <v>5560406</v>
      </c>
      <c r="AM111" s="431"/>
    </row>
    <row r="112" spans="1:39" s="155" customFormat="1" ht="12" x14ac:dyDescent="0.2">
      <c r="A112" s="168">
        <v>58</v>
      </c>
      <c r="B112" s="143">
        <v>138663</v>
      </c>
      <c r="C112" s="291" t="s">
        <v>144</v>
      </c>
      <c r="D112" s="438">
        <f t="shared" si="16"/>
        <v>4970612</v>
      </c>
      <c r="E112" s="431">
        <v>1974883</v>
      </c>
      <c r="F112" s="431">
        <v>434712</v>
      </c>
      <c r="G112" s="431">
        <v>325884</v>
      </c>
      <c r="H112" s="431"/>
      <c r="I112" s="431">
        <v>2222362</v>
      </c>
      <c r="J112" s="431"/>
      <c r="K112" s="431">
        <v>498560</v>
      </c>
      <c r="L112" s="431"/>
      <c r="M112" s="431">
        <v>274807</v>
      </c>
      <c r="N112" s="431"/>
      <c r="O112" s="431"/>
      <c r="P112" s="438">
        <f t="shared" si="17"/>
        <v>4782547</v>
      </c>
      <c r="Q112" s="431">
        <v>2840118</v>
      </c>
      <c r="R112" s="468">
        <v>1091090</v>
      </c>
      <c r="S112" s="431"/>
      <c r="T112" s="431"/>
      <c r="U112" s="431">
        <v>74983</v>
      </c>
      <c r="V112" s="431"/>
      <c r="W112" s="431">
        <v>4331</v>
      </c>
      <c r="X112" s="431">
        <v>185489</v>
      </c>
      <c r="Y112" s="431">
        <v>71750</v>
      </c>
      <c r="Z112" s="468">
        <v>579763</v>
      </c>
      <c r="AA112" s="431"/>
      <c r="AB112" s="431">
        <v>-64977</v>
      </c>
      <c r="AC112" s="468">
        <v>1091510</v>
      </c>
      <c r="AD112" s="431">
        <v>95900</v>
      </c>
      <c r="AE112" s="431">
        <v>1780091</v>
      </c>
      <c r="AF112" s="431"/>
      <c r="AG112" s="431">
        <v>277693</v>
      </c>
      <c r="AH112" s="431">
        <v>718027</v>
      </c>
      <c r="AI112" s="468">
        <v>371961</v>
      </c>
      <c r="AJ112" s="468">
        <v>74256</v>
      </c>
      <c r="AK112" s="431"/>
      <c r="AL112" s="431">
        <v>349331</v>
      </c>
      <c r="AM112" s="431">
        <v>23778</v>
      </c>
    </row>
    <row r="113" spans="1:39" s="155" customFormat="1" ht="12" x14ac:dyDescent="0.2">
      <c r="A113" s="168">
        <v>59</v>
      </c>
      <c r="B113" s="143">
        <v>138404</v>
      </c>
      <c r="C113" s="291" t="s">
        <v>145</v>
      </c>
      <c r="D113" s="438">
        <f t="shared" si="16"/>
        <v>11366056</v>
      </c>
      <c r="E113" s="431">
        <v>1380945</v>
      </c>
      <c r="F113" s="431">
        <v>147877</v>
      </c>
      <c r="G113" s="431">
        <v>368143</v>
      </c>
      <c r="H113" s="431"/>
      <c r="I113" s="431">
        <v>1382889</v>
      </c>
      <c r="J113" s="431"/>
      <c r="K113" s="431">
        <v>786980</v>
      </c>
      <c r="L113" s="431"/>
      <c r="M113" s="431">
        <v>7600508</v>
      </c>
      <c r="N113" s="431">
        <v>214734</v>
      </c>
      <c r="O113" s="431"/>
      <c r="P113" s="438">
        <f t="shared" si="17"/>
        <v>11488056</v>
      </c>
      <c r="Q113" s="431">
        <v>2001399</v>
      </c>
      <c r="R113" s="431">
        <v>943440</v>
      </c>
      <c r="S113" s="431"/>
      <c r="T113" s="431"/>
      <c r="U113" s="431">
        <v>9129</v>
      </c>
      <c r="V113" s="431"/>
      <c r="W113" s="431">
        <v>300908</v>
      </c>
      <c r="X113" s="431">
        <v>104712</v>
      </c>
      <c r="Y113" s="431">
        <v>37340</v>
      </c>
      <c r="Z113" s="468">
        <v>8091128</v>
      </c>
      <c r="AA113" s="431"/>
      <c r="AB113" s="431"/>
      <c r="AC113" s="468">
        <v>1245973</v>
      </c>
      <c r="AD113" s="431">
        <v>162188</v>
      </c>
      <c r="AE113" s="431">
        <v>1120239</v>
      </c>
      <c r="AF113" s="431"/>
      <c r="AG113" s="431">
        <v>2090841</v>
      </c>
      <c r="AH113" s="431">
        <v>424029</v>
      </c>
      <c r="AI113" s="468">
        <v>162063</v>
      </c>
      <c r="AJ113" s="468">
        <v>5863729</v>
      </c>
      <c r="AK113" s="431"/>
      <c r="AL113" s="431">
        <v>418994</v>
      </c>
      <c r="AM113" s="431"/>
    </row>
    <row r="114" spans="1:39" s="155" customFormat="1" ht="12" hidden="1" x14ac:dyDescent="0.2">
      <c r="A114" s="168">
        <v>60</v>
      </c>
      <c r="B114" s="168"/>
      <c r="C114" s="292"/>
      <c r="D114" s="432">
        <f t="shared" si="13"/>
        <v>0</v>
      </c>
      <c r="E114" s="431"/>
      <c r="F114" s="431"/>
      <c r="G114" s="431"/>
      <c r="H114" s="431"/>
      <c r="I114" s="431"/>
      <c r="J114" s="431"/>
      <c r="K114" s="431"/>
      <c r="L114" s="431"/>
      <c r="M114" s="431"/>
      <c r="N114" s="431"/>
      <c r="O114" s="431"/>
      <c r="P114" s="432">
        <f t="shared" ref="P114:P142" si="18">IF(SUM(Q114:AB114)=SUM(AC114:AM114),SUM(Q114:AB114),"  EROARE ART/CAP")</f>
        <v>0</v>
      </c>
      <c r="Q114" s="431"/>
      <c r="R114" s="431"/>
      <c r="S114" s="431"/>
      <c r="T114" s="431"/>
      <c r="U114" s="431"/>
      <c r="V114" s="431"/>
      <c r="W114" s="431"/>
      <c r="X114" s="431"/>
      <c r="Y114" s="431"/>
      <c r="Z114" s="468"/>
      <c r="AA114" s="431"/>
      <c r="AB114" s="431"/>
      <c r="AC114" s="468"/>
      <c r="AD114" s="431"/>
      <c r="AE114" s="431"/>
      <c r="AF114" s="431"/>
      <c r="AG114" s="431"/>
      <c r="AH114" s="431"/>
      <c r="AI114" s="468"/>
      <c r="AJ114" s="468"/>
      <c r="AK114" s="431"/>
      <c r="AL114" s="431"/>
      <c r="AM114" s="431"/>
    </row>
    <row r="115" spans="1:39" s="155" customFormat="1" ht="12" hidden="1" x14ac:dyDescent="0.2">
      <c r="A115" s="168">
        <v>61</v>
      </c>
      <c r="B115" s="168"/>
      <c r="C115" s="293"/>
      <c r="D115" s="432">
        <f t="shared" si="13"/>
        <v>0</v>
      </c>
      <c r="E115" s="431"/>
      <c r="F115" s="431"/>
      <c r="G115" s="431"/>
      <c r="H115" s="431"/>
      <c r="I115" s="431"/>
      <c r="J115" s="431"/>
      <c r="K115" s="431"/>
      <c r="L115" s="431"/>
      <c r="M115" s="431"/>
      <c r="N115" s="431"/>
      <c r="O115" s="431"/>
      <c r="P115" s="432">
        <f t="shared" si="18"/>
        <v>0</v>
      </c>
      <c r="Q115" s="431"/>
      <c r="R115" s="431"/>
      <c r="S115" s="431"/>
      <c r="T115" s="431"/>
      <c r="U115" s="431"/>
      <c r="V115" s="431"/>
      <c r="W115" s="431"/>
      <c r="X115" s="431"/>
      <c r="Y115" s="431"/>
      <c r="Z115" s="468"/>
      <c r="AA115" s="431"/>
      <c r="AB115" s="431"/>
      <c r="AC115" s="468"/>
      <c r="AD115" s="431"/>
      <c r="AE115" s="431"/>
      <c r="AF115" s="431"/>
      <c r="AG115" s="431"/>
      <c r="AH115" s="431"/>
      <c r="AI115" s="468"/>
      <c r="AJ115" s="468"/>
      <c r="AK115" s="431"/>
      <c r="AL115" s="431"/>
      <c r="AM115" s="431"/>
    </row>
    <row r="116" spans="1:39" s="155" customFormat="1" ht="12" hidden="1" x14ac:dyDescent="0.2">
      <c r="A116" s="168">
        <v>62</v>
      </c>
      <c r="B116" s="168"/>
      <c r="C116" s="293"/>
      <c r="D116" s="432">
        <f t="shared" si="13"/>
        <v>0</v>
      </c>
      <c r="E116" s="431"/>
      <c r="F116" s="431"/>
      <c r="G116" s="431"/>
      <c r="H116" s="431"/>
      <c r="I116" s="431"/>
      <c r="J116" s="431"/>
      <c r="K116" s="431"/>
      <c r="L116" s="431"/>
      <c r="M116" s="431"/>
      <c r="N116" s="431"/>
      <c r="O116" s="431"/>
      <c r="P116" s="432">
        <f t="shared" si="18"/>
        <v>0</v>
      </c>
      <c r="Q116" s="431"/>
      <c r="R116" s="431"/>
      <c r="S116" s="431"/>
      <c r="T116" s="431"/>
      <c r="U116" s="431"/>
      <c r="V116" s="431"/>
      <c r="W116" s="431"/>
      <c r="X116" s="431"/>
      <c r="Y116" s="431"/>
      <c r="Z116" s="468"/>
      <c r="AA116" s="431"/>
      <c r="AB116" s="431"/>
      <c r="AC116" s="468"/>
      <c r="AD116" s="431"/>
      <c r="AE116" s="431"/>
      <c r="AF116" s="431"/>
      <c r="AG116" s="431"/>
      <c r="AH116" s="431"/>
      <c r="AI116" s="468"/>
      <c r="AJ116" s="468"/>
      <c r="AK116" s="431"/>
      <c r="AL116" s="431"/>
      <c r="AM116" s="431"/>
    </row>
    <row r="117" spans="1:39" s="155" customFormat="1" ht="12" hidden="1" x14ac:dyDescent="0.2">
      <c r="A117" s="168">
        <v>63</v>
      </c>
      <c r="B117" s="168"/>
      <c r="C117" s="292"/>
      <c r="D117" s="432">
        <f t="shared" si="13"/>
        <v>0</v>
      </c>
      <c r="E117" s="431"/>
      <c r="F117" s="431"/>
      <c r="G117" s="431"/>
      <c r="H117" s="431"/>
      <c r="I117" s="431"/>
      <c r="J117" s="431"/>
      <c r="K117" s="431"/>
      <c r="L117" s="431"/>
      <c r="M117" s="431"/>
      <c r="N117" s="431"/>
      <c r="O117" s="431"/>
      <c r="P117" s="432">
        <f t="shared" si="18"/>
        <v>0</v>
      </c>
      <c r="Q117" s="431"/>
      <c r="R117" s="431"/>
      <c r="S117" s="431"/>
      <c r="T117" s="431"/>
      <c r="U117" s="431"/>
      <c r="V117" s="431"/>
      <c r="W117" s="431"/>
      <c r="X117" s="431"/>
      <c r="Y117" s="431"/>
      <c r="Z117" s="468"/>
      <c r="AA117" s="431"/>
      <c r="AB117" s="431"/>
      <c r="AC117" s="468"/>
      <c r="AD117" s="431"/>
      <c r="AE117" s="431"/>
      <c r="AF117" s="431"/>
      <c r="AG117" s="431"/>
      <c r="AH117" s="431"/>
      <c r="AI117" s="468"/>
      <c r="AJ117" s="468"/>
      <c r="AK117" s="431"/>
      <c r="AL117" s="431"/>
      <c r="AM117" s="431"/>
    </row>
    <row r="118" spans="1:39" s="155" customFormat="1" ht="12" hidden="1" x14ac:dyDescent="0.2">
      <c r="A118" s="168">
        <v>64</v>
      </c>
      <c r="B118" s="168"/>
      <c r="C118" s="293"/>
      <c r="D118" s="432">
        <f t="shared" ref="D118:D143" si="19">E118+SUM(H118:O118)</f>
        <v>0</v>
      </c>
      <c r="E118" s="431"/>
      <c r="F118" s="431"/>
      <c r="G118" s="431"/>
      <c r="H118" s="431"/>
      <c r="I118" s="431"/>
      <c r="J118" s="431"/>
      <c r="K118" s="431"/>
      <c r="L118" s="431"/>
      <c r="M118" s="431"/>
      <c r="N118" s="431"/>
      <c r="O118" s="431"/>
      <c r="P118" s="432">
        <f t="shared" si="18"/>
        <v>0</v>
      </c>
      <c r="Q118" s="431"/>
      <c r="R118" s="431"/>
      <c r="S118" s="431"/>
      <c r="T118" s="431"/>
      <c r="U118" s="431"/>
      <c r="V118" s="431"/>
      <c r="W118" s="431"/>
      <c r="X118" s="431"/>
      <c r="Y118" s="431"/>
      <c r="Z118" s="468"/>
      <c r="AA118" s="431"/>
      <c r="AB118" s="431"/>
      <c r="AC118" s="468"/>
      <c r="AD118" s="431"/>
      <c r="AE118" s="431"/>
      <c r="AF118" s="431"/>
      <c r="AG118" s="431"/>
      <c r="AH118" s="431"/>
      <c r="AI118" s="468"/>
      <c r="AJ118" s="468"/>
      <c r="AK118" s="431"/>
      <c r="AL118" s="431"/>
      <c r="AM118" s="431"/>
    </row>
    <row r="119" spans="1:39" s="155" customFormat="1" ht="12" hidden="1" x14ac:dyDescent="0.2">
      <c r="A119" s="168">
        <v>65</v>
      </c>
      <c r="B119" s="168"/>
      <c r="C119" s="293"/>
      <c r="D119" s="432">
        <f t="shared" si="19"/>
        <v>0</v>
      </c>
      <c r="E119" s="431"/>
      <c r="F119" s="431"/>
      <c r="G119" s="431"/>
      <c r="H119" s="431"/>
      <c r="I119" s="431"/>
      <c r="J119" s="431"/>
      <c r="K119" s="431"/>
      <c r="L119" s="431"/>
      <c r="M119" s="431"/>
      <c r="N119" s="431"/>
      <c r="O119" s="431"/>
      <c r="P119" s="432">
        <f t="shared" si="18"/>
        <v>0</v>
      </c>
      <c r="Q119" s="431"/>
      <c r="R119" s="431"/>
      <c r="S119" s="431"/>
      <c r="T119" s="431"/>
      <c r="U119" s="431"/>
      <c r="V119" s="431"/>
      <c r="W119" s="431"/>
      <c r="X119" s="431"/>
      <c r="Y119" s="431"/>
      <c r="Z119" s="468"/>
      <c r="AA119" s="431"/>
      <c r="AB119" s="431"/>
      <c r="AC119" s="468"/>
      <c r="AD119" s="431"/>
      <c r="AE119" s="431"/>
      <c r="AF119" s="431"/>
      <c r="AG119" s="431"/>
      <c r="AH119" s="431"/>
      <c r="AI119" s="468"/>
      <c r="AJ119" s="468"/>
      <c r="AK119" s="431"/>
      <c r="AL119" s="431"/>
      <c r="AM119" s="431"/>
    </row>
    <row r="120" spans="1:39" s="155" customFormat="1" ht="12" hidden="1" x14ac:dyDescent="0.2">
      <c r="A120" s="168">
        <v>66</v>
      </c>
      <c r="B120" s="168"/>
      <c r="C120" s="293"/>
      <c r="D120" s="432">
        <f t="shared" si="19"/>
        <v>0</v>
      </c>
      <c r="E120" s="431"/>
      <c r="F120" s="431"/>
      <c r="G120" s="431"/>
      <c r="H120" s="431"/>
      <c r="I120" s="431"/>
      <c r="J120" s="431"/>
      <c r="K120" s="431"/>
      <c r="L120" s="431"/>
      <c r="M120" s="431"/>
      <c r="N120" s="431"/>
      <c r="O120" s="431"/>
      <c r="P120" s="432">
        <f t="shared" si="18"/>
        <v>0</v>
      </c>
      <c r="Q120" s="431"/>
      <c r="R120" s="431"/>
      <c r="S120" s="431"/>
      <c r="T120" s="431"/>
      <c r="U120" s="431"/>
      <c r="V120" s="431"/>
      <c r="W120" s="431"/>
      <c r="X120" s="431"/>
      <c r="Y120" s="431"/>
      <c r="Z120" s="468"/>
      <c r="AA120" s="431"/>
      <c r="AB120" s="431"/>
      <c r="AC120" s="468"/>
      <c r="AD120" s="431"/>
      <c r="AE120" s="431"/>
      <c r="AF120" s="431"/>
      <c r="AG120" s="431"/>
      <c r="AH120" s="431"/>
      <c r="AI120" s="468"/>
      <c r="AJ120" s="468"/>
      <c r="AK120" s="431"/>
      <c r="AL120" s="431"/>
      <c r="AM120" s="431"/>
    </row>
    <row r="121" spans="1:39" s="155" customFormat="1" ht="12" hidden="1" x14ac:dyDescent="0.2">
      <c r="A121" s="168">
        <v>67</v>
      </c>
      <c r="B121" s="168"/>
      <c r="C121" s="293"/>
      <c r="D121" s="432">
        <f t="shared" si="19"/>
        <v>0</v>
      </c>
      <c r="E121" s="431"/>
      <c r="F121" s="431"/>
      <c r="G121" s="431"/>
      <c r="H121" s="431"/>
      <c r="I121" s="431"/>
      <c r="J121" s="431"/>
      <c r="K121" s="431"/>
      <c r="L121" s="431"/>
      <c r="M121" s="431"/>
      <c r="N121" s="431"/>
      <c r="O121" s="431"/>
      <c r="P121" s="432">
        <f t="shared" si="18"/>
        <v>0</v>
      </c>
      <c r="Q121" s="431"/>
      <c r="R121" s="431"/>
      <c r="S121" s="431"/>
      <c r="T121" s="431"/>
      <c r="U121" s="431"/>
      <c r="V121" s="431"/>
      <c r="W121" s="431"/>
      <c r="X121" s="431"/>
      <c r="Y121" s="431"/>
      <c r="Z121" s="468"/>
      <c r="AA121" s="431"/>
      <c r="AB121" s="431"/>
      <c r="AC121" s="468"/>
      <c r="AD121" s="431"/>
      <c r="AE121" s="431"/>
      <c r="AF121" s="431"/>
      <c r="AG121" s="431"/>
      <c r="AH121" s="431"/>
      <c r="AI121" s="468"/>
      <c r="AJ121" s="468"/>
      <c r="AK121" s="431"/>
      <c r="AL121" s="431"/>
      <c r="AM121" s="431"/>
    </row>
    <row r="122" spans="1:39" s="155" customFormat="1" ht="12" hidden="1" x14ac:dyDescent="0.2">
      <c r="A122" s="168">
        <v>68</v>
      </c>
      <c r="B122" s="168"/>
      <c r="C122" s="293"/>
      <c r="D122" s="432">
        <f t="shared" si="19"/>
        <v>0</v>
      </c>
      <c r="E122" s="431"/>
      <c r="F122" s="431"/>
      <c r="G122" s="431"/>
      <c r="H122" s="431"/>
      <c r="I122" s="431"/>
      <c r="J122" s="431"/>
      <c r="K122" s="431"/>
      <c r="L122" s="431"/>
      <c r="M122" s="431"/>
      <c r="N122" s="431"/>
      <c r="O122" s="431"/>
      <c r="P122" s="432">
        <f t="shared" si="18"/>
        <v>0</v>
      </c>
      <c r="Q122" s="431"/>
      <c r="R122" s="431"/>
      <c r="S122" s="431"/>
      <c r="T122" s="431"/>
      <c r="U122" s="431"/>
      <c r="V122" s="431"/>
      <c r="W122" s="431"/>
      <c r="X122" s="431"/>
      <c r="Y122" s="431"/>
      <c r="Z122" s="468"/>
      <c r="AA122" s="431"/>
      <c r="AB122" s="431"/>
      <c r="AC122" s="468"/>
      <c r="AD122" s="431"/>
      <c r="AE122" s="431"/>
      <c r="AF122" s="431"/>
      <c r="AG122" s="431"/>
      <c r="AH122" s="431"/>
      <c r="AI122" s="468"/>
      <c r="AJ122" s="468"/>
      <c r="AK122" s="431"/>
      <c r="AL122" s="431"/>
      <c r="AM122" s="431"/>
    </row>
    <row r="123" spans="1:39" s="155" customFormat="1" ht="12" hidden="1" x14ac:dyDescent="0.2">
      <c r="A123" s="168">
        <v>69</v>
      </c>
      <c r="B123" s="168"/>
      <c r="C123" s="172"/>
      <c r="D123" s="432">
        <f t="shared" si="19"/>
        <v>0</v>
      </c>
      <c r="E123" s="431"/>
      <c r="F123" s="431"/>
      <c r="G123" s="431"/>
      <c r="H123" s="431"/>
      <c r="I123" s="431"/>
      <c r="J123" s="431"/>
      <c r="K123" s="431"/>
      <c r="L123" s="431"/>
      <c r="M123" s="431"/>
      <c r="N123" s="431"/>
      <c r="O123" s="431"/>
      <c r="P123" s="432">
        <f t="shared" si="18"/>
        <v>0</v>
      </c>
      <c r="Q123" s="431"/>
      <c r="R123" s="431"/>
      <c r="S123" s="431"/>
      <c r="T123" s="431"/>
      <c r="U123" s="431"/>
      <c r="V123" s="431"/>
      <c r="W123" s="431"/>
      <c r="X123" s="431"/>
      <c r="Y123" s="431"/>
      <c r="Z123" s="468"/>
      <c r="AA123" s="431"/>
      <c r="AB123" s="431"/>
      <c r="AC123" s="468"/>
      <c r="AD123" s="431"/>
      <c r="AE123" s="431"/>
      <c r="AF123" s="431"/>
      <c r="AG123" s="431"/>
      <c r="AH123" s="431"/>
      <c r="AI123" s="468"/>
      <c r="AJ123" s="468"/>
      <c r="AK123" s="431"/>
      <c r="AL123" s="431"/>
      <c r="AM123" s="431"/>
    </row>
    <row r="124" spans="1:39" s="155" customFormat="1" ht="12" hidden="1" x14ac:dyDescent="0.2">
      <c r="A124" s="168">
        <v>70</v>
      </c>
      <c r="B124" s="168"/>
      <c r="C124" s="172"/>
      <c r="D124" s="432">
        <f t="shared" si="19"/>
        <v>0</v>
      </c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32">
        <f t="shared" si="18"/>
        <v>0</v>
      </c>
      <c r="Q124" s="431"/>
      <c r="R124" s="431"/>
      <c r="S124" s="431"/>
      <c r="T124" s="431"/>
      <c r="U124" s="431"/>
      <c r="V124" s="431"/>
      <c r="W124" s="431"/>
      <c r="X124" s="431"/>
      <c r="Y124" s="431"/>
      <c r="Z124" s="468"/>
      <c r="AA124" s="431"/>
      <c r="AB124" s="431"/>
      <c r="AC124" s="468"/>
      <c r="AD124" s="431"/>
      <c r="AE124" s="431"/>
      <c r="AF124" s="431"/>
      <c r="AG124" s="431"/>
      <c r="AH124" s="431"/>
      <c r="AI124" s="468"/>
      <c r="AJ124" s="468"/>
      <c r="AK124" s="431"/>
      <c r="AL124" s="431"/>
      <c r="AM124" s="431"/>
    </row>
    <row r="125" spans="1:39" s="155" customFormat="1" ht="12" hidden="1" x14ac:dyDescent="0.2">
      <c r="A125" s="168">
        <v>71</v>
      </c>
      <c r="B125" s="168"/>
      <c r="C125" s="172"/>
      <c r="D125" s="432">
        <f t="shared" si="19"/>
        <v>0</v>
      </c>
      <c r="E125" s="431"/>
      <c r="F125" s="431"/>
      <c r="G125" s="431"/>
      <c r="H125" s="431"/>
      <c r="I125" s="431"/>
      <c r="J125" s="431"/>
      <c r="K125" s="431"/>
      <c r="L125" s="431"/>
      <c r="M125" s="431"/>
      <c r="N125" s="431"/>
      <c r="O125" s="431"/>
      <c r="P125" s="432">
        <f t="shared" si="18"/>
        <v>0</v>
      </c>
      <c r="Q125" s="431"/>
      <c r="R125" s="431"/>
      <c r="S125" s="431"/>
      <c r="T125" s="431"/>
      <c r="U125" s="431"/>
      <c r="V125" s="431"/>
      <c r="W125" s="431"/>
      <c r="X125" s="431"/>
      <c r="Y125" s="431"/>
      <c r="Z125" s="468"/>
      <c r="AA125" s="431"/>
      <c r="AB125" s="431"/>
      <c r="AC125" s="468"/>
      <c r="AD125" s="431"/>
      <c r="AE125" s="431"/>
      <c r="AF125" s="431"/>
      <c r="AG125" s="431"/>
      <c r="AH125" s="431"/>
      <c r="AI125" s="468"/>
      <c r="AJ125" s="468"/>
      <c r="AK125" s="431"/>
      <c r="AL125" s="431"/>
      <c r="AM125" s="431"/>
    </row>
    <row r="126" spans="1:39" s="155" customFormat="1" ht="12" hidden="1" x14ac:dyDescent="0.2">
      <c r="A126" s="168">
        <v>72</v>
      </c>
      <c r="B126" s="168"/>
      <c r="C126" s="172"/>
      <c r="D126" s="432">
        <f t="shared" si="19"/>
        <v>0</v>
      </c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32">
        <f t="shared" si="18"/>
        <v>0</v>
      </c>
      <c r="Q126" s="431"/>
      <c r="R126" s="431"/>
      <c r="S126" s="431"/>
      <c r="T126" s="431"/>
      <c r="U126" s="431"/>
      <c r="V126" s="431"/>
      <c r="W126" s="431"/>
      <c r="X126" s="431"/>
      <c r="Y126" s="431"/>
      <c r="Z126" s="468"/>
      <c r="AA126" s="431"/>
      <c r="AB126" s="431"/>
      <c r="AC126" s="468"/>
      <c r="AD126" s="431"/>
      <c r="AE126" s="431"/>
      <c r="AF126" s="431"/>
      <c r="AG126" s="431"/>
      <c r="AH126" s="431"/>
      <c r="AI126" s="468"/>
      <c r="AJ126" s="468"/>
      <c r="AK126" s="431"/>
      <c r="AL126" s="431"/>
      <c r="AM126" s="431"/>
    </row>
    <row r="127" spans="1:39" s="155" customFormat="1" ht="12" hidden="1" x14ac:dyDescent="0.2">
      <c r="A127" s="168">
        <v>73</v>
      </c>
      <c r="B127" s="168"/>
      <c r="C127" s="172"/>
      <c r="D127" s="432">
        <f t="shared" si="19"/>
        <v>0</v>
      </c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32">
        <f t="shared" si="18"/>
        <v>0</v>
      </c>
      <c r="Q127" s="431"/>
      <c r="R127" s="431"/>
      <c r="S127" s="431"/>
      <c r="T127" s="431"/>
      <c r="U127" s="431"/>
      <c r="V127" s="431"/>
      <c r="W127" s="431"/>
      <c r="X127" s="431"/>
      <c r="Y127" s="431"/>
      <c r="Z127" s="468"/>
      <c r="AA127" s="431"/>
      <c r="AB127" s="431"/>
      <c r="AC127" s="468"/>
      <c r="AD127" s="431"/>
      <c r="AE127" s="431"/>
      <c r="AF127" s="431"/>
      <c r="AG127" s="431"/>
      <c r="AH127" s="431"/>
      <c r="AI127" s="468"/>
      <c r="AJ127" s="468"/>
      <c r="AK127" s="431"/>
      <c r="AL127" s="431"/>
      <c r="AM127" s="431"/>
    </row>
    <row r="128" spans="1:39" s="155" customFormat="1" ht="12" hidden="1" x14ac:dyDescent="0.2">
      <c r="A128" s="168">
        <v>74</v>
      </c>
      <c r="B128" s="168"/>
      <c r="C128" s="172"/>
      <c r="D128" s="432">
        <f t="shared" si="19"/>
        <v>0</v>
      </c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32">
        <f t="shared" si="18"/>
        <v>0</v>
      </c>
      <c r="Q128" s="431"/>
      <c r="R128" s="431"/>
      <c r="S128" s="431"/>
      <c r="T128" s="431"/>
      <c r="U128" s="431"/>
      <c r="V128" s="431"/>
      <c r="W128" s="431"/>
      <c r="X128" s="431"/>
      <c r="Y128" s="431"/>
      <c r="Z128" s="468"/>
      <c r="AA128" s="431"/>
      <c r="AB128" s="431"/>
      <c r="AC128" s="468"/>
      <c r="AD128" s="431"/>
      <c r="AE128" s="431"/>
      <c r="AF128" s="431"/>
      <c r="AG128" s="431"/>
      <c r="AH128" s="431"/>
      <c r="AI128" s="468"/>
      <c r="AJ128" s="468"/>
      <c r="AK128" s="431"/>
      <c r="AL128" s="431"/>
      <c r="AM128" s="431"/>
    </row>
    <row r="129" spans="1:39" s="155" customFormat="1" ht="12" hidden="1" x14ac:dyDescent="0.2">
      <c r="A129" s="168">
        <v>75</v>
      </c>
      <c r="B129" s="168"/>
      <c r="C129" s="172"/>
      <c r="D129" s="432">
        <f t="shared" si="19"/>
        <v>0</v>
      </c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32">
        <f t="shared" si="18"/>
        <v>0</v>
      </c>
      <c r="Q129" s="431"/>
      <c r="R129" s="431"/>
      <c r="S129" s="431"/>
      <c r="T129" s="431"/>
      <c r="U129" s="431"/>
      <c r="V129" s="431"/>
      <c r="W129" s="431"/>
      <c r="X129" s="431"/>
      <c r="Y129" s="431"/>
      <c r="Z129" s="468"/>
      <c r="AA129" s="431"/>
      <c r="AB129" s="431"/>
      <c r="AC129" s="468"/>
      <c r="AD129" s="431"/>
      <c r="AE129" s="431"/>
      <c r="AF129" s="431"/>
      <c r="AG129" s="431"/>
      <c r="AH129" s="431"/>
      <c r="AI129" s="468"/>
      <c r="AJ129" s="468"/>
      <c r="AK129" s="431"/>
      <c r="AL129" s="431"/>
      <c r="AM129" s="431"/>
    </row>
    <row r="130" spans="1:39" s="155" customFormat="1" ht="12" hidden="1" x14ac:dyDescent="0.2">
      <c r="A130" s="168">
        <v>76</v>
      </c>
      <c r="B130" s="168"/>
      <c r="C130" s="172"/>
      <c r="D130" s="432">
        <f t="shared" si="19"/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32">
        <f t="shared" si="18"/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</row>
    <row r="131" spans="1:39" s="155" customFormat="1" ht="12" hidden="1" x14ac:dyDescent="0.2">
      <c r="A131" s="168">
        <v>77</v>
      </c>
      <c r="B131" s="168"/>
      <c r="C131" s="172"/>
      <c r="D131" s="432">
        <f t="shared" si="19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2">
        <f t="shared" si="18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</row>
    <row r="132" spans="1:39" s="155" customFormat="1" ht="12" hidden="1" x14ac:dyDescent="0.2">
      <c r="A132" s="168">
        <v>78</v>
      </c>
      <c r="B132" s="168"/>
      <c r="C132" s="172"/>
      <c r="D132" s="432">
        <f t="shared" si="19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2">
        <f t="shared" si="18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</row>
    <row r="133" spans="1:39" s="155" customFormat="1" ht="12" hidden="1" x14ac:dyDescent="0.2">
      <c r="A133" s="168">
        <v>79</v>
      </c>
      <c r="B133" s="168"/>
      <c r="C133" s="172"/>
      <c r="D133" s="432">
        <f t="shared" si="19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si="18"/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155" customFormat="1" ht="12" hidden="1" x14ac:dyDescent="0.2">
      <c r="A134" s="168">
        <v>80</v>
      </c>
      <c r="B134" s="168"/>
      <c r="C134" s="172"/>
      <c r="D134" s="432">
        <f t="shared" si="19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si="18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155" customFormat="1" ht="12" hidden="1" x14ac:dyDescent="0.2">
      <c r="A135" s="168">
        <v>81</v>
      </c>
      <c r="B135" s="168"/>
      <c r="C135" s="172"/>
      <c r="D135" s="432">
        <f t="shared" si="19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18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155" customFormat="1" ht="12" hidden="1" x14ac:dyDescent="0.2">
      <c r="A136" s="168">
        <v>82</v>
      </c>
      <c r="B136" s="168"/>
      <c r="C136" s="172"/>
      <c r="D136" s="432">
        <f t="shared" si="19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18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155" customFormat="1" ht="12" hidden="1" x14ac:dyDescent="0.2">
      <c r="A137" s="168">
        <v>83</v>
      </c>
      <c r="B137" s="168"/>
      <c r="C137" s="172"/>
      <c r="D137" s="432">
        <f t="shared" si="19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18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68"/>
      <c r="C138" s="172"/>
      <c r="D138" s="432">
        <f t="shared" si="19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8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68"/>
      <c r="C139" s="172"/>
      <c r="D139" s="432">
        <f t="shared" si="19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8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68"/>
      <c r="C140" s="172"/>
      <c r="D140" s="432">
        <f t="shared" si="19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8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173"/>
      <c r="D141" s="432">
        <f t="shared" si="19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8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9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8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9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O315"/>
  <sheetViews>
    <sheetView zoomScaleNormal="100" workbookViewId="0">
      <selection activeCell="C18" sqref="C18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41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41" s="55" customFormat="1" ht="15.75" x14ac:dyDescent="0.25">
      <c r="A2" s="53"/>
      <c r="B2" s="54" t="s">
        <v>3301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41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41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41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41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41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41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41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41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41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41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41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41" s="155" customFormat="1" ht="13.5" customHeight="1" x14ac:dyDescent="0.2">
      <c r="A14" s="153" t="s">
        <v>70</v>
      </c>
      <c r="B14" s="154"/>
      <c r="C14" s="202"/>
      <c r="D14" s="432">
        <f>E14+SUM(H14:O14)</f>
        <v>848644062</v>
      </c>
      <c r="E14" s="432">
        <f>SUM(E15,E16,E33,E54)</f>
        <v>200427261</v>
      </c>
      <c r="F14" s="432">
        <f t="shared" ref="F14:O14" si="0">SUM(F15,F16,F33,F54)</f>
        <v>85336167</v>
      </c>
      <c r="G14" s="432">
        <f t="shared" si="0"/>
        <v>29787159</v>
      </c>
      <c r="H14" s="432">
        <f t="shared" si="0"/>
        <v>38883994</v>
      </c>
      <c r="I14" s="432">
        <f t="shared" si="0"/>
        <v>198085409</v>
      </c>
      <c r="J14" s="432">
        <f t="shared" si="0"/>
        <v>18728447</v>
      </c>
      <c r="K14" s="432">
        <f t="shared" si="0"/>
        <v>105988332</v>
      </c>
      <c r="L14" s="432">
        <f t="shared" si="0"/>
        <v>0</v>
      </c>
      <c r="M14" s="432">
        <f t="shared" si="0"/>
        <v>141837349</v>
      </c>
      <c r="N14" s="432">
        <f t="shared" si="0"/>
        <v>136078644</v>
      </c>
      <c r="O14" s="432">
        <f t="shared" si="0"/>
        <v>8614626</v>
      </c>
      <c r="P14" s="432">
        <f>IF(SUM(Q14:AB14)=SUM(AC14:AM14),SUM(Q14:AB14),"  EROARE ART/CAP")</f>
        <v>767862487</v>
      </c>
      <c r="Q14" s="432">
        <f t="shared" ref="Q14:AM14" si="1">Q15+Q16+Q33+Q54</f>
        <v>242123578</v>
      </c>
      <c r="R14" s="432">
        <f t="shared" si="1"/>
        <v>114670930</v>
      </c>
      <c r="S14" s="432">
        <f t="shared" si="1"/>
        <v>2314496</v>
      </c>
      <c r="T14" s="432">
        <f t="shared" si="1"/>
        <v>4518277</v>
      </c>
      <c r="U14" s="432">
        <f t="shared" si="1"/>
        <v>14570522</v>
      </c>
      <c r="V14" s="432">
        <f t="shared" si="1"/>
        <v>1580372</v>
      </c>
      <c r="W14" s="432">
        <f t="shared" si="1"/>
        <v>172368086</v>
      </c>
      <c r="X14" s="432">
        <f t="shared" si="1"/>
        <v>69220603</v>
      </c>
      <c r="Y14" s="432">
        <f t="shared" si="1"/>
        <v>16152348</v>
      </c>
      <c r="Z14" s="432">
        <f t="shared" si="1"/>
        <v>113559082</v>
      </c>
      <c r="AA14" s="432">
        <f t="shared" si="1"/>
        <v>19083847</v>
      </c>
      <c r="AB14" s="432">
        <f t="shared" si="1"/>
        <v>-2299654</v>
      </c>
      <c r="AC14" s="432">
        <f t="shared" si="1"/>
        <v>73623844</v>
      </c>
      <c r="AD14" s="432">
        <f t="shared" si="1"/>
        <v>6927626</v>
      </c>
      <c r="AE14" s="432">
        <f t="shared" si="1"/>
        <v>212002377</v>
      </c>
      <c r="AF14" s="432">
        <f t="shared" si="1"/>
        <v>10278197</v>
      </c>
      <c r="AG14" s="432">
        <f t="shared" si="1"/>
        <v>68187979</v>
      </c>
      <c r="AH14" s="432">
        <f t="shared" si="1"/>
        <v>114624699</v>
      </c>
      <c r="AI14" s="432">
        <f t="shared" si="1"/>
        <v>46676980</v>
      </c>
      <c r="AJ14" s="432">
        <f t="shared" si="1"/>
        <v>48886069</v>
      </c>
      <c r="AK14" s="432">
        <f t="shared" si="1"/>
        <v>0</v>
      </c>
      <c r="AL14" s="432">
        <f t="shared" si="1"/>
        <v>125053785</v>
      </c>
      <c r="AM14" s="432">
        <f t="shared" si="1"/>
        <v>61600931</v>
      </c>
      <c r="AN14" s="203"/>
      <c r="AO14" s="203"/>
    </row>
    <row r="15" spans="1:41" s="155" customFormat="1" ht="12.75" customHeight="1" x14ac:dyDescent="0.2">
      <c r="A15" s="156" t="s">
        <v>71</v>
      </c>
      <c r="B15" s="157"/>
      <c r="C15" s="158"/>
      <c r="D15" s="582">
        <f>E15+SUM(H15:O15)</f>
        <v>246197297</v>
      </c>
      <c r="E15" s="580">
        <v>37932798</v>
      </c>
      <c r="F15" s="580">
        <v>18113812</v>
      </c>
      <c r="G15" s="580">
        <v>15807000</v>
      </c>
      <c r="H15" s="580">
        <v>38883994</v>
      </c>
      <c r="I15" s="580"/>
      <c r="J15" s="580">
        <v>7183350</v>
      </c>
      <c r="K15" s="580">
        <v>51633000</v>
      </c>
      <c r="L15" s="580"/>
      <c r="M15" s="580">
        <v>72788884</v>
      </c>
      <c r="N15" s="581">
        <v>37278082</v>
      </c>
      <c r="O15" s="581">
        <v>497189</v>
      </c>
      <c r="P15" s="582">
        <f>IF(SUM(Q15:AB15)=SUM(AC15:AM15),SUM(Q15:AB15),"  EROARE ART/CAP")</f>
        <v>214676772</v>
      </c>
      <c r="Q15" s="583">
        <v>24305703</v>
      </c>
      <c r="R15" s="584">
        <v>27072510</v>
      </c>
      <c r="S15" s="584"/>
      <c r="T15" s="584"/>
      <c r="U15" s="584">
        <v>11098776</v>
      </c>
      <c r="V15" s="585">
        <v>295178</v>
      </c>
      <c r="W15" s="585">
        <v>63479980</v>
      </c>
      <c r="X15" s="585">
        <v>53794068</v>
      </c>
      <c r="Y15" s="585">
        <v>10198026</v>
      </c>
      <c r="Z15" s="585">
        <v>24980661</v>
      </c>
      <c r="AA15" s="585"/>
      <c r="AB15" s="585">
        <v>-548130</v>
      </c>
      <c r="AC15" s="586">
        <v>9491148</v>
      </c>
      <c r="AD15" s="587">
        <v>1181786</v>
      </c>
      <c r="AE15" s="588">
        <v>11596423</v>
      </c>
      <c r="AF15" s="588">
        <v>6002584</v>
      </c>
      <c r="AG15" s="588">
        <v>43546812</v>
      </c>
      <c r="AH15" s="588">
        <v>73731190</v>
      </c>
      <c r="AI15" s="588">
        <v>185130</v>
      </c>
      <c r="AJ15" s="588">
        <v>32808938</v>
      </c>
      <c r="AK15" s="588"/>
      <c r="AL15" s="588">
        <v>32018776</v>
      </c>
      <c r="AM15" s="589">
        <v>4113985</v>
      </c>
      <c r="AN15" s="203"/>
      <c r="AO15" s="203"/>
    </row>
    <row r="16" spans="1:41" s="155" customFormat="1" ht="12" x14ac:dyDescent="0.2">
      <c r="A16" s="185" t="s">
        <v>72</v>
      </c>
      <c r="B16" s="159"/>
      <c r="C16" s="159"/>
      <c r="D16" s="551">
        <f>E16+SUM(H16:O16)</f>
        <v>147320631</v>
      </c>
      <c r="E16" s="590">
        <f>SUM(E18:E32)</f>
        <v>73512711</v>
      </c>
      <c r="F16" s="590">
        <f t="shared" ref="F16:O16" si="2">SUM(F18:F32)</f>
        <v>38996153</v>
      </c>
      <c r="G16" s="590">
        <f t="shared" si="2"/>
        <v>83753</v>
      </c>
      <c r="H16" s="590">
        <f t="shared" si="2"/>
        <v>0</v>
      </c>
      <c r="I16" s="590">
        <f t="shared" si="2"/>
        <v>65336853</v>
      </c>
      <c r="J16" s="590">
        <f t="shared" si="2"/>
        <v>482000</v>
      </c>
      <c r="K16" s="590">
        <f t="shared" si="2"/>
        <v>615990</v>
      </c>
      <c r="L16" s="590">
        <f t="shared" si="2"/>
        <v>0</v>
      </c>
      <c r="M16" s="590">
        <f t="shared" si="2"/>
        <v>1954847</v>
      </c>
      <c r="N16" s="590">
        <f t="shared" si="2"/>
        <v>5275303</v>
      </c>
      <c r="O16" s="590">
        <f t="shared" si="2"/>
        <v>142927</v>
      </c>
      <c r="P16" s="551">
        <f t="shared" ref="P16:P54" si="3">IF(SUM(Q16:AB16)=SUM(AC16:AM16),SUM(Q16:AB16),"  EROARE ART/CAP")</f>
        <v>138610088</v>
      </c>
      <c r="Q16" s="551">
        <f>SUM(Q18:Q19)</f>
        <v>69927643</v>
      </c>
      <c r="R16" s="551">
        <f t="shared" ref="R16:AM16" si="4">SUM(R18:R19)</f>
        <v>27692549</v>
      </c>
      <c r="S16" s="551">
        <f t="shared" si="4"/>
        <v>1865572</v>
      </c>
      <c r="T16" s="551">
        <f t="shared" si="4"/>
        <v>4518277</v>
      </c>
      <c r="U16" s="551">
        <f t="shared" si="4"/>
        <v>2499173</v>
      </c>
      <c r="V16" s="551">
        <f t="shared" si="4"/>
        <v>0</v>
      </c>
      <c r="W16" s="551">
        <f t="shared" si="4"/>
        <v>7237806</v>
      </c>
      <c r="X16" s="551">
        <f t="shared" si="4"/>
        <v>3250444</v>
      </c>
      <c r="Y16" s="551">
        <f t="shared" si="4"/>
        <v>3447881</v>
      </c>
      <c r="Z16" s="551">
        <f t="shared" si="4"/>
        <v>9470723</v>
      </c>
      <c r="AA16" s="551">
        <f t="shared" si="4"/>
        <v>9098027</v>
      </c>
      <c r="AB16" s="551">
        <f t="shared" si="4"/>
        <v>-398007</v>
      </c>
      <c r="AC16" s="551">
        <f t="shared" si="4"/>
        <v>14169675</v>
      </c>
      <c r="AD16" s="551">
        <f t="shared" si="4"/>
        <v>2690858</v>
      </c>
      <c r="AE16" s="551">
        <f t="shared" si="4"/>
        <v>67465424</v>
      </c>
      <c r="AF16" s="551">
        <f t="shared" si="4"/>
        <v>890721</v>
      </c>
      <c r="AG16" s="551">
        <f t="shared" si="4"/>
        <v>9175207</v>
      </c>
      <c r="AH16" s="551">
        <f t="shared" si="4"/>
        <v>10054137</v>
      </c>
      <c r="AI16" s="551">
        <f t="shared" si="4"/>
        <v>18614995</v>
      </c>
      <c r="AJ16" s="551">
        <f t="shared" si="4"/>
        <v>4338905</v>
      </c>
      <c r="AK16" s="551">
        <f t="shared" si="4"/>
        <v>0</v>
      </c>
      <c r="AL16" s="551">
        <f t="shared" si="4"/>
        <v>10468670</v>
      </c>
      <c r="AM16" s="551">
        <f t="shared" si="4"/>
        <v>741496</v>
      </c>
      <c r="AN16" s="203"/>
      <c r="AO16" s="203"/>
    </row>
    <row r="17" spans="1:41" s="155" customFormat="1" ht="22.5" x14ac:dyDescent="0.2">
      <c r="A17" s="234" t="s">
        <v>2306</v>
      </c>
      <c r="B17" s="281" t="s">
        <v>74</v>
      </c>
      <c r="C17" s="236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  <c r="AN17" s="203"/>
      <c r="AO17" s="203"/>
    </row>
    <row r="18" spans="1:41" s="203" customFormat="1" ht="12" x14ac:dyDescent="0.2">
      <c r="A18" s="231">
        <v>1</v>
      </c>
      <c r="B18" s="600">
        <v>139704</v>
      </c>
      <c r="C18" s="510" t="s">
        <v>3241</v>
      </c>
      <c r="D18" s="591">
        <f t="shared" ref="D18" si="5">E18+SUM(H18:O18)</f>
        <v>147320631</v>
      </c>
      <c r="E18" s="27">
        <v>73512711</v>
      </c>
      <c r="F18" s="27">
        <v>38996153</v>
      </c>
      <c r="G18" s="27">
        <v>83753</v>
      </c>
      <c r="H18" s="27"/>
      <c r="I18" s="27">
        <v>65336853</v>
      </c>
      <c r="J18" s="27">
        <v>482000</v>
      </c>
      <c r="K18" s="27">
        <v>615990</v>
      </c>
      <c r="L18" s="27"/>
      <c r="M18" s="27">
        <v>1954847</v>
      </c>
      <c r="N18" s="14">
        <v>5275303</v>
      </c>
      <c r="O18" s="14">
        <v>142927</v>
      </c>
      <c r="P18" s="591">
        <f>IF(SUM(Q18:AB18)=SUM(AC18:AM18),SUM(Q18:AB18),"  EROARE ART/CAP")</f>
        <v>138610088</v>
      </c>
      <c r="Q18" s="10">
        <v>69927643</v>
      </c>
      <c r="R18" s="10">
        <v>27692549</v>
      </c>
      <c r="S18" s="10">
        <v>1865572</v>
      </c>
      <c r="T18" s="10">
        <v>4518277</v>
      </c>
      <c r="U18" s="10">
        <v>2499173</v>
      </c>
      <c r="V18" s="603"/>
      <c r="W18" s="603">
        <v>7237806</v>
      </c>
      <c r="X18" s="603">
        <v>3250444</v>
      </c>
      <c r="Y18" s="603">
        <v>3447881</v>
      </c>
      <c r="Z18" s="603">
        <v>9470723</v>
      </c>
      <c r="AA18" s="603">
        <v>9098027</v>
      </c>
      <c r="AB18" s="603">
        <v>-398007</v>
      </c>
      <c r="AC18" s="14">
        <v>14169675</v>
      </c>
      <c r="AD18" s="14">
        <v>2690858</v>
      </c>
      <c r="AE18" s="14">
        <v>67465424</v>
      </c>
      <c r="AF18" s="14">
        <v>890721</v>
      </c>
      <c r="AG18" s="14">
        <v>9175207</v>
      </c>
      <c r="AH18" s="14">
        <v>10054137</v>
      </c>
      <c r="AI18" s="14">
        <v>18614995</v>
      </c>
      <c r="AJ18" s="14">
        <v>4338905</v>
      </c>
      <c r="AK18" s="14"/>
      <c r="AL18" s="14">
        <v>10468670</v>
      </c>
      <c r="AM18" s="37">
        <v>741496</v>
      </c>
    </row>
    <row r="19" spans="1:41" s="203" customFormat="1" ht="12" x14ac:dyDescent="0.2">
      <c r="A19" s="231"/>
      <c r="B19" s="231"/>
      <c r="C19" s="592"/>
      <c r="D19" s="432"/>
      <c r="E19" s="434"/>
      <c r="F19" s="434"/>
      <c r="G19" s="434"/>
      <c r="H19" s="434"/>
      <c r="I19" s="434"/>
      <c r="J19" s="434"/>
      <c r="K19" s="434"/>
      <c r="L19" s="434"/>
      <c r="M19" s="434"/>
      <c r="N19" s="434"/>
      <c r="O19" s="434"/>
      <c r="P19" s="432"/>
      <c r="Q19" s="435"/>
      <c r="R19" s="435"/>
      <c r="S19" s="435"/>
      <c r="T19" s="435"/>
      <c r="U19" s="435"/>
      <c r="V19" s="431"/>
      <c r="W19" s="431"/>
      <c r="X19" s="431"/>
      <c r="Y19" s="431"/>
      <c r="Z19" s="431"/>
      <c r="AA19" s="431"/>
      <c r="AB19" s="431"/>
      <c r="AC19" s="434"/>
      <c r="AD19" s="434"/>
      <c r="AE19" s="434"/>
      <c r="AF19" s="434"/>
      <c r="AG19" s="434"/>
      <c r="AH19" s="434"/>
      <c r="AI19" s="434"/>
      <c r="AJ19" s="434"/>
      <c r="AK19" s="434"/>
      <c r="AL19" s="434"/>
      <c r="AM19" s="434"/>
    </row>
    <row r="20" spans="1:41" s="203" customFormat="1" ht="12" hidden="1" x14ac:dyDescent="0.2">
      <c r="A20" s="181">
        <v>3</v>
      </c>
      <c r="B20" s="181"/>
      <c r="C20" s="593"/>
      <c r="D20" s="432">
        <f t="shared" ref="D20:D41" si="6">E20+SUM(H20:O20)</f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2">
        <f t="shared" si="3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</row>
    <row r="21" spans="1:41" s="203" customFormat="1" ht="12" hidden="1" x14ac:dyDescent="0.2">
      <c r="A21" s="181">
        <v>4</v>
      </c>
      <c r="B21" s="181"/>
      <c r="C21" s="593"/>
      <c r="D21" s="432">
        <f t="shared" si="6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3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41" s="203" customFormat="1" ht="12" hidden="1" x14ac:dyDescent="0.2">
      <c r="A22" s="181">
        <v>5</v>
      </c>
      <c r="B22" s="181"/>
      <c r="C22" s="593"/>
      <c r="D22" s="432">
        <f t="shared" si="6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3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41" s="203" customFormat="1" ht="12" hidden="1" x14ac:dyDescent="0.2">
      <c r="A23" s="181">
        <v>6</v>
      </c>
      <c r="B23" s="181"/>
      <c r="C23" s="593"/>
      <c r="D23" s="432">
        <f t="shared" si="6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3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41" s="203" customFormat="1" ht="12" hidden="1" x14ac:dyDescent="0.2">
      <c r="A24" s="181">
        <v>7</v>
      </c>
      <c r="B24" s="181"/>
      <c r="C24" s="593"/>
      <c r="D24" s="432">
        <f t="shared" si="6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3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41" s="203" customFormat="1" ht="12" hidden="1" x14ac:dyDescent="0.2">
      <c r="A25" s="181">
        <v>8</v>
      </c>
      <c r="B25" s="181"/>
      <c r="C25" s="593"/>
      <c r="D25" s="432">
        <f t="shared" si="6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3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41" s="203" customFormat="1" ht="12" hidden="1" x14ac:dyDescent="0.2">
      <c r="A26" s="181">
        <v>9</v>
      </c>
      <c r="B26" s="181"/>
      <c r="C26" s="593"/>
      <c r="D26" s="432">
        <f t="shared" si="6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3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41" s="203" customFormat="1" ht="12" hidden="1" x14ac:dyDescent="0.2">
      <c r="A27" s="181">
        <v>10</v>
      </c>
      <c r="B27" s="181"/>
      <c r="C27" s="593"/>
      <c r="D27" s="432">
        <f t="shared" si="6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3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41" s="203" customFormat="1" ht="12" hidden="1" x14ac:dyDescent="0.2">
      <c r="A28" s="181">
        <v>11</v>
      </c>
      <c r="B28" s="181"/>
      <c r="C28" s="593"/>
      <c r="D28" s="432">
        <f t="shared" si="6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3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41" s="203" customFormat="1" ht="12" hidden="1" x14ac:dyDescent="0.2">
      <c r="A29" s="181">
        <v>12</v>
      </c>
      <c r="B29" s="181"/>
      <c r="C29" s="593"/>
      <c r="D29" s="432">
        <f t="shared" si="6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3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41" s="203" customFormat="1" ht="12" hidden="1" x14ac:dyDescent="0.2">
      <c r="A30" s="181">
        <v>13</v>
      </c>
      <c r="B30" s="181"/>
      <c r="C30" s="593"/>
      <c r="D30" s="432">
        <f t="shared" si="6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3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41" s="203" customFormat="1" ht="12" hidden="1" x14ac:dyDescent="0.2">
      <c r="A31" s="181">
        <v>14</v>
      </c>
      <c r="B31" s="181"/>
      <c r="C31" s="593"/>
      <c r="D31" s="432">
        <f t="shared" si="6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3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41" s="203" customFormat="1" ht="12" hidden="1" x14ac:dyDescent="0.2">
      <c r="A32" s="181">
        <v>15</v>
      </c>
      <c r="B32" s="181"/>
      <c r="C32" s="594"/>
      <c r="D32" s="432">
        <f t="shared" si="6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3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203" customFormat="1" ht="12" x14ac:dyDescent="0.2">
      <c r="A33" s="164" t="s">
        <v>75</v>
      </c>
      <c r="B33" s="204"/>
      <c r="C33" s="204"/>
      <c r="D33" s="432">
        <f t="shared" si="6"/>
        <v>82093664</v>
      </c>
      <c r="E33" s="432">
        <f>SUM(E34:E42)</f>
        <v>23822970</v>
      </c>
      <c r="F33" s="432">
        <f t="shared" ref="F33:O33" si="7">SUM(F34:F42)</f>
        <v>12246126</v>
      </c>
      <c r="G33" s="432">
        <f t="shared" si="7"/>
        <v>635110</v>
      </c>
      <c r="H33" s="432">
        <f t="shared" si="7"/>
        <v>0</v>
      </c>
      <c r="I33" s="432">
        <f t="shared" si="7"/>
        <v>35867525</v>
      </c>
      <c r="J33" s="432">
        <f t="shared" si="7"/>
        <v>821192</v>
      </c>
      <c r="K33" s="432">
        <f t="shared" si="7"/>
        <v>2574180</v>
      </c>
      <c r="L33" s="432">
        <f t="shared" si="7"/>
        <v>0</v>
      </c>
      <c r="M33" s="432">
        <f t="shared" si="7"/>
        <v>6219174</v>
      </c>
      <c r="N33" s="432">
        <f t="shared" si="7"/>
        <v>12429500</v>
      </c>
      <c r="O33" s="432">
        <f t="shared" si="7"/>
        <v>359123</v>
      </c>
      <c r="P33" s="432">
        <f t="shared" si="3"/>
        <v>84699071</v>
      </c>
      <c r="Q33" s="432">
        <f>SUM(Q34:Q42)</f>
        <v>37218891</v>
      </c>
      <c r="R33" s="432">
        <f t="shared" ref="R33:AM33" si="8">SUM(R34:R42)</f>
        <v>10882722</v>
      </c>
      <c r="S33" s="432">
        <f t="shared" si="8"/>
        <v>0</v>
      </c>
      <c r="T33" s="432">
        <f t="shared" si="8"/>
        <v>0</v>
      </c>
      <c r="U33" s="432">
        <f t="shared" si="8"/>
        <v>960573</v>
      </c>
      <c r="V33" s="432">
        <f t="shared" si="8"/>
        <v>16020</v>
      </c>
      <c r="W33" s="432">
        <f t="shared" si="8"/>
        <v>24203167</v>
      </c>
      <c r="X33" s="432">
        <f t="shared" si="8"/>
        <v>1811237</v>
      </c>
      <c r="Y33" s="432">
        <f t="shared" si="8"/>
        <v>864812</v>
      </c>
      <c r="Z33" s="432">
        <f t="shared" si="8"/>
        <v>8908223</v>
      </c>
      <c r="AA33" s="432">
        <f t="shared" si="8"/>
        <v>0</v>
      </c>
      <c r="AB33" s="432">
        <f t="shared" si="8"/>
        <v>-166574</v>
      </c>
      <c r="AC33" s="432">
        <f t="shared" si="8"/>
        <v>5646958</v>
      </c>
      <c r="AD33" s="432">
        <f t="shared" si="8"/>
        <v>869803</v>
      </c>
      <c r="AE33" s="432">
        <f t="shared" si="8"/>
        <v>33228623</v>
      </c>
      <c r="AF33" s="432">
        <f t="shared" si="8"/>
        <v>742482</v>
      </c>
      <c r="AG33" s="432">
        <f t="shared" si="8"/>
        <v>2510217</v>
      </c>
      <c r="AH33" s="432">
        <f t="shared" si="8"/>
        <v>4319030</v>
      </c>
      <c r="AI33" s="432">
        <f t="shared" si="8"/>
        <v>2752372</v>
      </c>
      <c r="AJ33" s="432">
        <f t="shared" si="8"/>
        <v>1464443</v>
      </c>
      <c r="AK33" s="432">
        <f t="shared" si="8"/>
        <v>0</v>
      </c>
      <c r="AL33" s="432">
        <f t="shared" si="8"/>
        <v>12862099</v>
      </c>
      <c r="AM33" s="432">
        <f t="shared" si="8"/>
        <v>20303044</v>
      </c>
    </row>
    <row r="34" spans="1:39" s="203" customFormat="1" ht="12" x14ac:dyDescent="0.2">
      <c r="A34" s="231">
        <v>1</v>
      </c>
      <c r="B34" s="600">
        <v>139740</v>
      </c>
      <c r="C34" s="601" t="s">
        <v>3242</v>
      </c>
      <c r="D34" s="591">
        <f t="shared" si="6"/>
        <v>15681706</v>
      </c>
      <c r="E34" s="28">
        <v>4637875</v>
      </c>
      <c r="F34" s="28">
        <v>2262196</v>
      </c>
      <c r="G34" s="28">
        <v>375334</v>
      </c>
      <c r="H34" s="28"/>
      <c r="I34" s="28">
        <v>7911972</v>
      </c>
      <c r="J34" s="28">
        <v>143100</v>
      </c>
      <c r="K34" s="28">
        <v>2118290</v>
      </c>
      <c r="L34" s="28"/>
      <c r="M34" s="28">
        <v>694749</v>
      </c>
      <c r="N34" s="10"/>
      <c r="O34" s="10">
        <v>175720</v>
      </c>
      <c r="P34" s="591">
        <f>IF(SUM(Q34:AB34)=SUM(AC34:AM34),SUM(Q34:AB34),"  EROARE ART/CAP")</f>
        <v>13735857</v>
      </c>
      <c r="Q34" s="10">
        <v>8333595</v>
      </c>
      <c r="R34" s="10">
        <v>2332575</v>
      </c>
      <c r="S34" s="10"/>
      <c r="T34" s="10"/>
      <c r="U34" s="10">
        <v>687682</v>
      </c>
      <c r="V34" s="602">
        <v>16020</v>
      </c>
      <c r="W34" s="602"/>
      <c r="X34" s="603">
        <v>307737</v>
      </c>
      <c r="Y34" s="603">
        <v>57225</v>
      </c>
      <c r="Z34" s="603">
        <v>2024980</v>
      </c>
      <c r="AA34" s="603"/>
      <c r="AB34" s="603">
        <v>-23957</v>
      </c>
      <c r="AC34" s="604">
        <v>1191882</v>
      </c>
      <c r="AD34" s="32">
        <v>14834</v>
      </c>
      <c r="AE34" s="10">
        <v>7394850</v>
      </c>
      <c r="AF34" s="10">
        <v>135216</v>
      </c>
      <c r="AG34" s="10">
        <v>408959</v>
      </c>
      <c r="AH34" s="10">
        <v>1411917</v>
      </c>
      <c r="AI34" s="10">
        <v>241610</v>
      </c>
      <c r="AJ34" s="10">
        <v>438739</v>
      </c>
      <c r="AK34" s="10"/>
      <c r="AL34" s="10">
        <v>2493697</v>
      </c>
      <c r="AM34" s="605">
        <v>4153</v>
      </c>
    </row>
    <row r="35" spans="1:39" s="203" customFormat="1" ht="12" x14ac:dyDescent="0.2">
      <c r="A35" s="231">
        <v>2</v>
      </c>
      <c r="B35" s="600">
        <v>139811</v>
      </c>
      <c r="C35" s="601" t="s">
        <v>3243</v>
      </c>
      <c r="D35" s="591">
        <f t="shared" si="6"/>
        <v>35512209</v>
      </c>
      <c r="E35" s="28">
        <v>8240030</v>
      </c>
      <c r="F35" s="28">
        <v>4281123</v>
      </c>
      <c r="G35" s="28">
        <v>111714</v>
      </c>
      <c r="H35" s="28"/>
      <c r="I35" s="28">
        <v>10586850</v>
      </c>
      <c r="J35" s="28">
        <v>162700</v>
      </c>
      <c r="K35" s="28">
        <v>209850</v>
      </c>
      <c r="L35" s="28"/>
      <c r="M35" s="28">
        <v>4946881</v>
      </c>
      <c r="N35" s="10">
        <v>11355898</v>
      </c>
      <c r="O35" s="10">
        <v>10000</v>
      </c>
      <c r="P35" s="591">
        <f>IF(SUM(Q35:AB35)=SUM(AC35:AM35),SUM(Q35:AB35),"  EROARE ART/CAP")</f>
        <v>38215728</v>
      </c>
      <c r="Q35" s="10">
        <v>11030002</v>
      </c>
      <c r="R35" s="10">
        <v>2915027</v>
      </c>
      <c r="S35" s="10"/>
      <c r="T35" s="10"/>
      <c r="U35" s="10">
        <v>5891</v>
      </c>
      <c r="V35" s="602"/>
      <c r="W35" s="602">
        <v>19684957</v>
      </c>
      <c r="X35" s="603">
        <v>733756</v>
      </c>
      <c r="Y35" s="603">
        <v>22186</v>
      </c>
      <c r="Z35" s="603">
        <v>3886995</v>
      </c>
      <c r="AA35" s="603"/>
      <c r="AB35" s="603">
        <v>-63086</v>
      </c>
      <c r="AC35" s="604">
        <v>1712925</v>
      </c>
      <c r="AD35" s="10">
        <v>348827</v>
      </c>
      <c r="AE35" s="10">
        <v>9329685</v>
      </c>
      <c r="AF35" s="10">
        <v>118378</v>
      </c>
      <c r="AG35" s="10">
        <v>262114</v>
      </c>
      <c r="AH35" s="10">
        <v>1617223</v>
      </c>
      <c r="AI35" s="10">
        <v>633866</v>
      </c>
      <c r="AJ35" s="10">
        <v>271115</v>
      </c>
      <c r="AK35" s="10"/>
      <c r="AL35" s="10">
        <v>4236638</v>
      </c>
      <c r="AM35" s="605">
        <v>19684957</v>
      </c>
    </row>
    <row r="36" spans="1:39" s="203" customFormat="1" ht="12" x14ac:dyDescent="0.2">
      <c r="A36" s="231">
        <v>3</v>
      </c>
      <c r="B36" s="600">
        <v>139884</v>
      </c>
      <c r="C36" s="601" t="s">
        <v>3244</v>
      </c>
      <c r="D36" s="591">
        <f t="shared" si="6"/>
        <v>30899749</v>
      </c>
      <c r="E36" s="28">
        <v>10945065</v>
      </c>
      <c r="F36" s="28">
        <v>5702807</v>
      </c>
      <c r="G36" s="28">
        <v>148062</v>
      </c>
      <c r="H36" s="28"/>
      <c r="I36" s="28">
        <v>17368703</v>
      </c>
      <c r="J36" s="28">
        <v>515392</v>
      </c>
      <c r="K36" s="28">
        <v>246040</v>
      </c>
      <c r="L36" s="28"/>
      <c r="M36" s="28">
        <v>577544</v>
      </c>
      <c r="N36" s="10">
        <v>1073602</v>
      </c>
      <c r="O36" s="10">
        <v>173403</v>
      </c>
      <c r="P36" s="591">
        <f>IF(SUM(Q36:AB36)=SUM(AC36:AM36),SUM(Q36:AB36),"  EROARE ART/CAP")</f>
        <v>32747486</v>
      </c>
      <c r="Q36" s="10">
        <v>17855294</v>
      </c>
      <c r="R36" s="10">
        <v>5635120</v>
      </c>
      <c r="S36" s="10"/>
      <c r="T36" s="10"/>
      <c r="U36" s="10">
        <v>267000</v>
      </c>
      <c r="V36" s="602"/>
      <c r="W36" s="602">
        <v>4518210</v>
      </c>
      <c r="X36" s="603">
        <v>769744</v>
      </c>
      <c r="Y36" s="603">
        <v>785401</v>
      </c>
      <c r="Z36" s="603">
        <v>2996248</v>
      </c>
      <c r="AA36" s="603"/>
      <c r="AB36" s="603">
        <v>-79531</v>
      </c>
      <c r="AC36" s="604">
        <v>2742151</v>
      </c>
      <c r="AD36" s="10">
        <v>506142</v>
      </c>
      <c r="AE36" s="10">
        <v>16504088</v>
      </c>
      <c r="AF36" s="10">
        <v>488888</v>
      </c>
      <c r="AG36" s="10">
        <v>1839144</v>
      </c>
      <c r="AH36" s="10">
        <v>1289890</v>
      </c>
      <c r="AI36" s="10">
        <v>1876896</v>
      </c>
      <c r="AJ36" s="10">
        <v>754589</v>
      </c>
      <c r="AK36" s="10"/>
      <c r="AL36" s="10">
        <v>6131764</v>
      </c>
      <c r="AM36" s="605">
        <v>613934</v>
      </c>
    </row>
    <row r="37" spans="1:39" s="203" customFormat="1" ht="12" x14ac:dyDescent="0.2">
      <c r="A37" s="231"/>
      <c r="B37" s="231"/>
      <c r="C37" s="592"/>
      <c r="D37" s="432"/>
      <c r="E37" s="435"/>
      <c r="F37" s="435"/>
      <c r="G37" s="435"/>
      <c r="H37" s="435"/>
      <c r="I37" s="435"/>
      <c r="J37" s="435"/>
      <c r="K37" s="435"/>
      <c r="L37" s="435"/>
      <c r="M37" s="435"/>
      <c r="N37" s="435"/>
      <c r="O37" s="435"/>
      <c r="P37" s="432"/>
      <c r="Q37" s="435"/>
      <c r="R37" s="435"/>
      <c r="S37" s="435"/>
      <c r="T37" s="435"/>
      <c r="U37" s="435"/>
      <c r="V37" s="431"/>
      <c r="W37" s="431"/>
      <c r="X37" s="431"/>
      <c r="Y37" s="431"/>
      <c r="Z37" s="431"/>
      <c r="AA37" s="431"/>
      <c r="AB37" s="431"/>
      <c r="AC37" s="445"/>
      <c r="AD37" s="435"/>
      <c r="AE37" s="435"/>
      <c r="AF37" s="435"/>
      <c r="AG37" s="435"/>
      <c r="AH37" s="435"/>
      <c r="AI37" s="435"/>
      <c r="AJ37" s="435"/>
      <c r="AK37" s="435"/>
      <c r="AL37" s="435"/>
      <c r="AM37" s="435"/>
    </row>
    <row r="38" spans="1:39" s="203" customFormat="1" ht="12" hidden="1" x14ac:dyDescent="0.2">
      <c r="A38" s="181">
        <v>5</v>
      </c>
      <c r="B38" s="181"/>
      <c r="C38" s="595"/>
      <c r="D38" s="432">
        <f t="shared" si="6"/>
        <v>0</v>
      </c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2">
        <f t="shared" si="3"/>
        <v>0</v>
      </c>
      <c r="Q38" s="435"/>
      <c r="R38" s="435"/>
      <c r="S38" s="435"/>
      <c r="T38" s="435"/>
      <c r="U38" s="435"/>
      <c r="V38" s="431"/>
      <c r="W38" s="431"/>
      <c r="X38" s="431"/>
      <c r="Y38" s="431"/>
      <c r="Z38" s="435"/>
      <c r="AA38" s="431"/>
      <c r="AB38" s="431"/>
      <c r="AC38" s="445"/>
      <c r="AD38" s="435"/>
      <c r="AE38" s="435"/>
      <c r="AF38" s="435"/>
      <c r="AG38" s="435"/>
      <c r="AH38" s="435"/>
      <c r="AI38" s="435"/>
      <c r="AJ38" s="435"/>
      <c r="AK38" s="435"/>
      <c r="AL38" s="435"/>
      <c r="AM38" s="435"/>
    </row>
    <row r="39" spans="1:39" s="203" customFormat="1" ht="12" hidden="1" x14ac:dyDescent="0.2">
      <c r="A39" s="181">
        <v>6</v>
      </c>
      <c r="B39" s="181"/>
      <c r="C39" s="595"/>
      <c r="D39" s="432">
        <f t="shared" si="6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3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</row>
    <row r="40" spans="1:39" s="203" customFormat="1" ht="12" hidden="1" x14ac:dyDescent="0.2">
      <c r="A40" s="181">
        <v>7</v>
      </c>
      <c r="B40" s="181"/>
      <c r="C40" s="596"/>
      <c r="D40" s="432">
        <f t="shared" si="6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3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203" customFormat="1" ht="12" hidden="1" x14ac:dyDescent="0.2">
      <c r="A41" s="181">
        <v>8</v>
      </c>
      <c r="B41" s="181"/>
      <c r="C41" s="597"/>
      <c r="D41" s="432">
        <f t="shared" si="6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3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203" customFormat="1" ht="12" hidden="1" x14ac:dyDescent="0.2">
      <c r="A42" s="181">
        <v>9</v>
      </c>
      <c r="B42" s="181"/>
      <c r="C42" s="593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3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203" customFormat="1" ht="12" hidden="1" x14ac:dyDescent="0.2">
      <c r="A43" s="181">
        <v>10</v>
      </c>
      <c r="B43" s="181"/>
      <c r="C43" s="593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3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203" customFormat="1" ht="12" hidden="1" x14ac:dyDescent="0.2">
      <c r="A44" s="181">
        <v>11</v>
      </c>
      <c r="B44" s="181"/>
      <c r="C44" s="593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3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203" customFormat="1" ht="12" hidden="1" x14ac:dyDescent="0.2">
      <c r="A45" s="181">
        <v>12</v>
      </c>
      <c r="B45" s="181"/>
      <c r="C45" s="593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3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203" customFormat="1" ht="12" hidden="1" x14ac:dyDescent="0.2">
      <c r="A46" s="181">
        <v>13</v>
      </c>
      <c r="B46" s="181"/>
      <c r="C46" s="593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3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203" customFormat="1" ht="12" hidden="1" x14ac:dyDescent="0.2">
      <c r="A47" s="181">
        <v>14</v>
      </c>
      <c r="B47" s="181"/>
      <c r="C47" s="593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3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203" customFormat="1" ht="12" hidden="1" x14ac:dyDescent="0.2">
      <c r="A48" s="181">
        <v>15</v>
      </c>
      <c r="B48" s="181"/>
      <c r="C48" s="593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3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203" customFormat="1" ht="12" hidden="1" x14ac:dyDescent="0.2">
      <c r="A49" s="181">
        <v>16</v>
      </c>
      <c r="B49" s="181"/>
      <c r="C49" s="593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3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203" customFormat="1" ht="12" hidden="1" x14ac:dyDescent="0.2">
      <c r="A50" s="181">
        <v>17</v>
      </c>
      <c r="B50" s="181"/>
      <c r="C50" s="593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3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203" customFormat="1" ht="12" hidden="1" x14ac:dyDescent="0.2">
      <c r="A51" s="181">
        <v>18</v>
      </c>
      <c r="B51" s="181"/>
      <c r="C51" s="593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3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203" customFormat="1" ht="12" hidden="1" x14ac:dyDescent="0.2">
      <c r="A52" s="181">
        <v>19</v>
      </c>
      <c r="B52" s="181"/>
      <c r="C52" s="594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3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203" customFormat="1" ht="12" hidden="1" x14ac:dyDescent="0.2">
      <c r="A53" s="181">
        <v>20</v>
      </c>
      <c r="B53" s="181"/>
      <c r="C53" s="594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3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203" customFormat="1" ht="12.75" customHeight="1" x14ac:dyDescent="0.2">
      <c r="A54" s="164" t="s">
        <v>76</v>
      </c>
      <c r="B54" s="204"/>
      <c r="C54" s="204"/>
      <c r="D54" s="432">
        <f t="shared" ref="D54:D111" si="9">E54+SUM(H54:O54)</f>
        <v>373032470</v>
      </c>
      <c r="E54" s="432">
        <f>SUM(E55:E143)</f>
        <v>65158782</v>
      </c>
      <c r="F54" s="432">
        <f t="shared" ref="F54:O54" si="10">SUM(F55:F143)</f>
        <v>15980076</v>
      </c>
      <c r="G54" s="432">
        <f t="shared" si="10"/>
        <v>13261296</v>
      </c>
      <c r="H54" s="432">
        <f t="shared" si="10"/>
        <v>0</v>
      </c>
      <c r="I54" s="432">
        <f t="shared" si="10"/>
        <v>96881031</v>
      </c>
      <c r="J54" s="432">
        <f t="shared" si="10"/>
        <v>10241905</v>
      </c>
      <c r="K54" s="432">
        <f t="shared" si="10"/>
        <v>51165162</v>
      </c>
      <c r="L54" s="432">
        <f t="shared" si="10"/>
        <v>0</v>
      </c>
      <c r="M54" s="432">
        <f t="shared" si="10"/>
        <v>60874444</v>
      </c>
      <c r="N54" s="432">
        <f t="shared" si="10"/>
        <v>81095759</v>
      </c>
      <c r="O54" s="432">
        <f t="shared" si="10"/>
        <v>7615387</v>
      </c>
      <c r="P54" s="432">
        <f t="shared" si="3"/>
        <v>329876556</v>
      </c>
      <c r="Q54" s="432">
        <f>SUM(Q55:Q143)</f>
        <v>110671341</v>
      </c>
      <c r="R54" s="432">
        <f t="shared" ref="R54:AM54" si="11">SUM(R55:R143)</f>
        <v>49023149</v>
      </c>
      <c r="S54" s="432">
        <f t="shared" si="11"/>
        <v>448924</v>
      </c>
      <c r="T54" s="432">
        <f t="shared" si="11"/>
        <v>0</v>
      </c>
      <c r="U54" s="432">
        <f t="shared" si="11"/>
        <v>12000</v>
      </c>
      <c r="V54" s="432">
        <f t="shared" si="11"/>
        <v>1269174</v>
      </c>
      <c r="W54" s="432">
        <f t="shared" si="11"/>
        <v>77447133</v>
      </c>
      <c r="X54" s="432">
        <f t="shared" si="11"/>
        <v>10364854</v>
      </c>
      <c r="Y54" s="432">
        <f t="shared" si="11"/>
        <v>1641629</v>
      </c>
      <c r="Z54" s="432">
        <f t="shared" si="11"/>
        <v>70199475</v>
      </c>
      <c r="AA54" s="432">
        <f t="shared" si="11"/>
        <v>9985820</v>
      </c>
      <c r="AB54" s="432">
        <f t="shared" si="11"/>
        <v>-1186943</v>
      </c>
      <c r="AC54" s="432">
        <f t="shared" si="11"/>
        <v>44316063</v>
      </c>
      <c r="AD54" s="432">
        <f t="shared" si="11"/>
        <v>2185179</v>
      </c>
      <c r="AE54" s="432">
        <f t="shared" si="11"/>
        <v>99711907</v>
      </c>
      <c r="AF54" s="432">
        <f t="shared" si="11"/>
        <v>2642410</v>
      </c>
      <c r="AG54" s="432">
        <f t="shared" si="11"/>
        <v>12955743</v>
      </c>
      <c r="AH54" s="432">
        <f t="shared" si="11"/>
        <v>26520342</v>
      </c>
      <c r="AI54" s="432">
        <f t="shared" si="11"/>
        <v>25124483</v>
      </c>
      <c r="AJ54" s="432">
        <f t="shared" si="11"/>
        <v>10273783</v>
      </c>
      <c r="AK54" s="432">
        <f t="shared" si="11"/>
        <v>0</v>
      </c>
      <c r="AL54" s="432">
        <f t="shared" si="11"/>
        <v>69704240</v>
      </c>
      <c r="AM54" s="432">
        <f t="shared" si="11"/>
        <v>36442406</v>
      </c>
    </row>
    <row r="55" spans="1:39" s="203" customFormat="1" ht="12" x14ac:dyDescent="0.2">
      <c r="A55" s="205">
        <v>1</v>
      </c>
      <c r="B55" s="598">
        <v>139937</v>
      </c>
      <c r="C55" s="601" t="s">
        <v>3245</v>
      </c>
      <c r="D55" s="591">
        <f t="shared" si="9"/>
        <v>7182196</v>
      </c>
      <c r="E55" s="27">
        <v>545428</v>
      </c>
      <c r="F55" s="27">
        <v>75199</v>
      </c>
      <c r="G55" s="27">
        <v>216233</v>
      </c>
      <c r="H55" s="27"/>
      <c r="I55" s="27">
        <v>1050612</v>
      </c>
      <c r="J55" s="27">
        <v>94659</v>
      </c>
      <c r="K55" s="27">
        <v>1201710</v>
      </c>
      <c r="L55" s="27"/>
      <c r="M55" s="27">
        <v>1313028</v>
      </c>
      <c r="N55" s="14">
        <v>2923826</v>
      </c>
      <c r="O55" s="14">
        <v>52933</v>
      </c>
      <c r="P55" s="591">
        <f t="shared" ref="P55:P111" si="12">IF(SUM(Q55:AB55)=SUM(AC55:AM55),SUM(Q55:AB55),"  EROARE ART/CAP")</f>
        <v>7710815</v>
      </c>
      <c r="Q55" s="32">
        <v>1309332</v>
      </c>
      <c r="R55" s="32">
        <v>557989</v>
      </c>
      <c r="S55" s="32"/>
      <c r="T55" s="32"/>
      <c r="U55" s="32"/>
      <c r="V55" s="606">
        <v>46000</v>
      </c>
      <c r="W55" s="606">
        <v>3445722</v>
      </c>
      <c r="X55" s="32">
        <v>161381</v>
      </c>
      <c r="Y55" s="603"/>
      <c r="Z55" s="32">
        <v>1100083</v>
      </c>
      <c r="AA55" s="603">
        <v>1137990</v>
      </c>
      <c r="AB55" s="603">
        <v>-47682</v>
      </c>
      <c r="AC55" s="16">
        <v>575116</v>
      </c>
      <c r="AD55" s="14">
        <v>30841</v>
      </c>
      <c r="AE55" s="14">
        <v>1324071</v>
      </c>
      <c r="AF55" s="14">
        <v>15472</v>
      </c>
      <c r="AG55" s="14">
        <v>570932</v>
      </c>
      <c r="AH55" s="14">
        <v>342570</v>
      </c>
      <c r="AI55" s="16">
        <v>628354</v>
      </c>
      <c r="AJ55" s="14">
        <v>13195</v>
      </c>
      <c r="AK55" s="14"/>
      <c r="AL55" s="14">
        <v>564229</v>
      </c>
      <c r="AM55" s="37">
        <v>3646035</v>
      </c>
    </row>
    <row r="56" spans="1:39" s="203" customFormat="1" ht="12" x14ac:dyDescent="0.2">
      <c r="A56" s="205">
        <v>2</v>
      </c>
      <c r="B56" s="598">
        <v>139982</v>
      </c>
      <c r="C56" s="601" t="s">
        <v>3246</v>
      </c>
      <c r="D56" s="591">
        <f t="shared" si="9"/>
        <v>7911535</v>
      </c>
      <c r="E56" s="27">
        <v>954661</v>
      </c>
      <c r="F56" s="27">
        <v>231346</v>
      </c>
      <c r="G56" s="27">
        <v>142519</v>
      </c>
      <c r="H56" s="27"/>
      <c r="I56" s="27">
        <v>1627777</v>
      </c>
      <c r="J56" s="27">
        <v>284250</v>
      </c>
      <c r="K56" s="27">
        <v>832050</v>
      </c>
      <c r="L56" s="27"/>
      <c r="M56" s="27">
        <v>308760</v>
      </c>
      <c r="N56" s="14">
        <v>3853666</v>
      </c>
      <c r="O56" s="14">
        <v>50371</v>
      </c>
      <c r="P56" s="591">
        <f t="shared" si="12"/>
        <v>3618733</v>
      </c>
      <c r="Q56" s="32">
        <v>1825972</v>
      </c>
      <c r="R56" s="32">
        <v>818006</v>
      </c>
      <c r="S56" s="32"/>
      <c r="T56" s="32"/>
      <c r="U56" s="32"/>
      <c r="V56" s="606">
        <v>18647</v>
      </c>
      <c r="W56" s="606">
        <v>581741</v>
      </c>
      <c r="X56" s="32">
        <v>177463</v>
      </c>
      <c r="Y56" s="603"/>
      <c r="Z56" s="49">
        <v>211393</v>
      </c>
      <c r="AA56" s="603"/>
      <c r="AB56" s="603">
        <v>-14489</v>
      </c>
      <c r="AC56" s="16">
        <v>545127</v>
      </c>
      <c r="AD56" s="14">
        <v>6465</v>
      </c>
      <c r="AE56" s="14">
        <v>1284570</v>
      </c>
      <c r="AF56" s="14">
        <v>25146</v>
      </c>
      <c r="AG56" s="14">
        <v>486035</v>
      </c>
      <c r="AH56" s="14">
        <v>479713</v>
      </c>
      <c r="AI56" s="16">
        <v>146510</v>
      </c>
      <c r="AJ56" s="14">
        <v>63611</v>
      </c>
      <c r="AK56" s="14"/>
      <c r="AL56" s="14">
        <v>247347</v>
      </c>
      <c r="AM56" s="37">
        <v>334209</v>
      </c>
    </row>
    <row r="57" spans="1:39" s="203" customFormat="1" ht="12" x14ac:dyDescent="0.2">
      <c r="A57" s="205">
        <v>3</v>
      </c>
      <c r="B57" s="598">
        <v>140084</v>
      </c>
      <c r="C57" s="607" t="s">
        <v>3247</v>
      </c>
      <c r="D57" s="591">
        <f t="shared" si="9"/>
        <v>3497249</v>
      </c>
      <c r="E57" s="27">
        <v>676600</v>
      </c>
      <c r="F57" s="27">
        <v>153850</v>
      </c>
      <c r="G57" s="27">
        <v>179795</v>
      </c>
      <c r="H57" s="27"/>
      <c r="I57" s="27">
        <v>1297089</v>
      </c>
      <c r="J57" s="27">
        <v>100096</v>
      </c>
      <c r="K57" s="27">
        <v>1045680</v>
      </c>
      <c r="L57" s="27"/>
      <c r="M57" s="27">
        <v>80328</v>
      </c>
      <c r="N57" s="14">
        <v>230490</v>
      </c>
      <c r="O57" s="14">
        <v>66966</v>
      </c>
      <c r="P57" s="591">
        <f t="shared" si="12"/>
        <v>2643554</v>
      </c>
      <c r="Q57" s="32">
        <v>1225199</v>
      </c>
      <c r="R57" s="32">
        <v>631417</v>
      </c>
      <c r="S57" s="32"/>
      <c r="T57" s="32"/>
      <c r="U57" s="32"/>
      <c r="V57" s="606"/>
      <c r="W57" s="606"/>
      <c r="X57" s="32">
        <v>374738</v>
      </c>
      <c r="Y57" s="603"/>
      <c r="Z57" s="32">
        <v>412532</v>
      </c>
      <c r="AA57" s="603"/>
      <c r="AB57" s="603">
        <v>-332</v>
      </c>
      <c r="AC57" s="49">
        <v>424574</v>
      </c>
      <c r="AD57" s="32"/>
      <c r="AE57" s="32">
        <v>718275</v>
      </c>
      <c r="AF57" s="32">
        <v>560</v>
      </c>
      <c r="AG57" s="32">
        <v>65505</v>
      </c>
      <c r="AH57" s="32">
        <v>687362</v>
      </c>
      <c r="AI57" s="49">
        <v>520279</v>
      </c>
      <c r="AJ57" s="32">
        <v>101544</v>
      </c>
      <c r="AK57" s="32"/>
      <c r="AL57" s="32">
        <v>90234</v>
      </c>
      <c r="AM57" s="36">
        <v>35221</v>
      </c>
    </row>
    <row r="58" spans="1:39" s="203" customFormat="1" ht="12" x14ac:dyDescent="0.2">
      <c r="A58" s="205">
        <v>4</v>
      </c>
      <c r="B58" s="598">
        <v>140146</v>
      </c>
      <c r="C58" s="601" t="s">
        <v>3248</v>
      </c>
      <c r="D58" s="591">
        <f t="shared" si="9"/>
        <v>9005275</v>
      </c>
      <c r="E58" s="27">
        <v>1563791</v>
      </c>
      <c r="F58" s="27">
        <v>418970</v>
      </c>
      <c r="G58" s="27">
        <v>352080</v>
      </c>
      <c r="H58" s="27"/>
      <c r="I58" s="27">
        <v>2240161</v>
      </c>
      <c r="J58" s="27">
        <v>51900</v>
      </c>
      <c r="K58" s="27">
        <v>843650</v>
      </c>
      <c r="L58" s="27"/>
      <c r="M58" s="27">
        <v>1012170</v>
      </c>
      <c r="N58" s="14">
        <v>3253524</v>
      </c>
      <c r="O58" s="14">
        <v>40079</v>
      </c>
      <c r="P58" s="591">
        <f t="shared" si="12"/>
        <v>7115825</v>
      </c>
      <c r="Q58" s="32">
        <v>2609640</v>
      </c>
      <c r="R58" s="32">
        <v>686619</v>
      </c>
      <c r="S58" s="32">
        <v>62461</v>
      </c>
      <c r="T58" s="32"/>
      <c r="U58" s="32"/>
      <c r="V58" s="606"/>
      <c r="W58" s="606">
        <v>1908115</v>
      </c>
      <c r="X58" s="32">
        <v>202228</v>
      </c>
      <c r="Y58" s="603">
        <v>93323</v>
      </c>
      <c r="Z58" s="49">
        <v>241872</v>
      </c>
      <c r="AA58" s="603">
        <v>1414431</v>
      </c>
      <c r="AB58" s="603">
        <v>-102864</v>
      </c>
      <c r="AC58" s="16">
        <v>862768</v>
      </c>
      <c r="AD58" s="14">
        <v>28824</v>
      </c>
      <c r="AE58" s="14">
        <v>1703728</v>
      </c>
      <c r="AF58" s="14"/>
      <c r="AG58" s="14">
        <v>82080</v>
      </c>
      <c r="AH58" s="14">
        <v>677643</v>
      </c>
      <c r="AI58" s="16">
        <v>97841</v>
      </c>
      <c r="AJ58" s="14">
        <v>72510</v>
      </c>
      <c r="AK58" s="14"/>
      <c r="AL58" s="14">
        <v>2963561</v>
      </c>
      <c r="AM58" s="37">
        <v>626870</v>
      </c>
    </row>
    <row r="59" spans="1:39" s="203" customFormat="1" ht="12" x14ac:dyDescent="0.2">
      <c r="A59" s="205">
        <v>5</v>
      </c>
      <c r="B59" s="598">
        <v>140208</v>
      </c>
      <c r="C59" s="601" t="s">
        <v>3249</v>
      </c>
      <c r="D59" s="591">
        <f t="shared" si="9"/>
        <v>3933354</v>
      </c>
      <c r="E59" s="27">
        <v>717705</v>
      </c>
      <c r="F59" s="27">
        <v>91445</v>
      </c>
      <c r="G59" s="27">
        <v>172942</v>
      </c>
      <c r="H59" s="27"/>
      <c r="I59" s="27">
        <v>1219523</v>
      </c>
      <c r="J59" s="27">
        <v>113000</v>
      </c>
      <c r="K59" s="27">
        <v>1014460</v>
      </c>
      <c r="L59" s="27"/>
      <c r="M59" s="27">
        <v>817146</v>
      </c>
      <c r="N59" s="14"/>
      <c r="O59" s="14">
        <v>51520</v>
      </c>
      <c r="P59" s="591">
        <f t="shared" si="12"/>
        <v>4292033</v>
      </c>
      <c r="Q59" s="32">
        <v>1525002</v>
      </c>
      <c r="R59" s="32">
        <v>481117</v>
      </c>
      <c r="S59" s="32"/>
      <c r="T59" s="32"/>
      <c r="U59" s="32"/>
      <c r="V59" s="606"/>
      <c r="W59" s="606">
        <v>1096950</v>
      </c>
      <c r="X59" s="32">
        <v>124716</v>
      </c>
      <c r="Y59" s="603"/>
      <c r="Z59" s="49">
        <v>1064248</v>
      </c>
      <c r="AA59" s="603"/>
      <c r="AB59" s="603"/>
      <c r="AC59" s="16">
        <v>611251</v>
      </c>
      <c r="AD59" s="14">
        <v>67667</v>
      </c>
      <c r="AE59" s="14">
        <v>849764</v>
      </c>
      <c r="AF59" s="14"/>
      <c r="AG59" s="14">
        <v>92242</v>
      </c>
      <c r="AH59" s="14">
        <v>442291</v>
      </c>
      <c r="AI59" s="16">
        <v>261964</v>
      </c>
      <c r="AJ59" s="14">
        <v>54359</v>
      </c>
      <c r="AK59" s="14"/>
      <c r="AL59" s="14">
        <v>1869791</v>
      </c>
      <c r="AM59" s="37">
        <v>42704</v>
      </c>
    </row>
    <row r="60" spans="1:39" s="203" customFormat="1" ht="12" x14ac:dyDescent="0.2">
      <c r="A60" s="205">
        <v>6</v>
      </c>
      <c r="B60" s="598">
        <v>140244</v>
      </c>
      <c r="C60" s="601" t="s">
        <v>3250</v>
      </c>
      <c r="D60" s="591">
        <f t="shared" si="9"/>
        <v>3471068</v>
      </c>
      <c r="E60" s="27">
        <v>638688</v>
      </c>
      <c r="F60" s="27">
        <v>108002</v>
      </c>
      <c r="G60" s="27">
        <v>171816</v>
      </c>
      <c r="H60" s="27"/>
      <c r="I60" s="27">
        <v>922915</v>
      </c>
      <c r="J60" s="27">
        <v>83000</v>
      </c>
      <c r="K60" s="27">
        <v>985750</v>
      </c>
      <c r="L60" s="27"/>
      <c r="M60" s="27">
        <v>687382</v>
      </c>
      <c r="N60" s="16">
        <v>134903</v>
      </c>
      <c r="O60" s="14">
        <v>18430</v>
      </c>
      <c r="P60" s="591">
        <f t="shared" si="12"/>
        <v>3406495</v>
      </c>
      <c r="Q60" s="32">
        <v>1212840</v>
      </c>
      <c r="R60" s="32">
        <v>559847</v>
      </c>
      <c r="S60" s="32">
        <v>29560</v>
      </c>
      <c r="T60" s="32"/>
      <c r="U60" s="32"/>
      <c r="V60" s="606"/>
      <c r="W60" s="606">
        <v>317562</v>
      </c>
      <c r="X60" s="32">
        <v>93644</v>
      </c>
      <c r="Y60" s="603"/>
      <c r="Z60" s="49">
        <v>570387</v>
      </c>
      <c r="AA60" s="603">
        <v>628655</v>
      </c>
      <c r="AB60" s="603">
        <v>-6000</v>
      </c>
      <c r="AC60" s="16">
        <v>508459</v>
      </c>
      <c r="AD60" s="14">
        <v>32804</v>
      </c>
      <c r="AE60" s="14">
        <v>701043</v>
      </c>
      <c r="AF60" s="14">
        <v>25175</v>
      </c>
      <c r="AG60" s="14">
        <v>339127</v>
      </c>
      <c r="AH60" s="14">
        <v>334649</v>
      </c>
      <c r="AI60" s="16">
        <v>181842</v>
      </c>
      <c r="AJ60" s="14">
        <v>91855</v>
      </c>
      <c r="AK60" s="14"/>
      <c r="AL60" s="14">
        <v>846121</v>
      </c>
      <c r="AM60" s="37">
        <v>345420</v>
      </c>
    </row>
    <row r="61" spans="1:39" s="203" customFormat="1" ht="12" x14ac:dyDescent="0.2">
      <c r="A61" s="205">
        <v>7</v>
      </c>
      <c r="B61" s="598">
        <v>140280</v>
      </c>
      <c r="C61" s="601" t="s">
        <v>3251</v>
      </c>
      <c r="D61" s="591">
        <f t="shared" si="9"/>
        <v>6232698</v>
      </c>
      <c r="E61" s="27">
        <v>1268855</v>
      </c>
      <c r="F61" s="27">
        <v>367064</v>
      </c>
      <c r="G61" s="27">
        <v>308167</v>
      </c>
      <c r="H61" s="27"/>
      <c r="I61" s="27">
        <v>2364329</v>
      </c>
      <c r="J61" s="27">
        <v>49000</v>
      </c>
      <c r="K61" s="27">
        <v>880850</v>
      </c>
      <c r="L61" s="27"/>
      <c r="M61" s="27">
        <v>1440315</v>
      </c>
      <c r="N61" s="14"/>
      <c r="O61" s="14">
        <v>229349</v>
      </c>
      <c r="P61" s="591">
        <f t="shared" si="12"/>
        <v>5211380</v>
      </c>
      <c r="Q61" s="32">
        <v>2452600</v>
      </c>
      <c r="R61" s="32">
        <v>869379</v>
      </c>
      <c r="S61" s="32"/>
      <c r="T61" s="32"/>
      <c r="U61" s="32"/>
      <c r="V61" s="606"/>
      <c r="W61" s="606"/>
      <c r="X61" s="32">
        <v>360896</v>
      </c>
      <c r="Y61" s="603">
        <v>72100</v>
      </c>
      <c r="Z61" s="49">
        <v>1457459</v>
      </c>
      <c r="AA61" s="603"/>
      <c r="AB61" s="603">
        <v>-1054</v>
      </c>
      <c r="AC61" s="16">
        <v>585711</v>
      </c>
      <c r="AD61" s="14">
        <v>44964</v>
      </c>
      <c r="AE61" s="14">
        <v>1808202</v>
      </c>
      <c r="AF61" s="14">
        <v>2290</v>
      </c>
      <c r="AG61" s="14">
        <v>307977</v>
      </c>
      <c r="AH61" s="14">
        <v>743143</v>
      </c>
      <c r="AI61" s="16">
        <v>117369</v>
      </c>
      <c r="AJ61" s="14"/>
      <c r="AK61" s="14"/>
      <c r="AL61" s="14">
        <v>1516951</v>
      </c>
      <c r="AM61" s="37">
        <v>84773</v>
      </c>
    </row>
    <row r="62" spans="1:39" s="203" customFormat="1" ht="12" x14ac:dyDescent="0.2">
      <c r="A62" s="205">
        <v>8</v>
      </c>
      <c r="B62" s="598">
        <v>140324</v>
      </c>
      <c r="C62" s="601" t="s">
        <v>3252</v>
      </c>
      <c r="D62" s="591">
        <f t="shared" si="9"/>
        <v>6072302</v>
      </c>
      <c r="E62" s="27">
        <v>1018588</v>
      </c>
      <c r="F62" s="27">
        <v>272988</v>
      </c>
      <c r="G62" s="27">
        <v>174309</v>
      </c>
      <c r="H62" s="27"/>
      <c r="I62" s="27">
        <v>2089825</v>
      </c>
      <c r="J62" s="27">
        <v>86500</v>
      </c>
      <c r="K62" s="27">
        <v>920240</v>
      </c>
      <c r="L62" s="27"/>
      <c r="M62" s="27">
        <v>1379007</v>
      </c>
      <c r="N62" s="14">
        <v>578142</v>
      </c>
      <c r="O62" s="14"/>
      <c r="P62" s="591">
        <f t="shared" si="12"/>
        <v>5804543</v>
      </c>
      <c r="Q62" s="32">
        <v>2202737</v>
      </c>
      <c r="R62" s="32">
        <v>896747</v>
      </c>
      <c r="S62" s="32"/>
      <c r="T62" s="32"/>
      <c r="U62" s="32"/>
      <c r="V62" s="606"/>
      <c r="W62" s="606">
        <v>645427</v>
      </c>
      <c r="X62" s="32">
        <v>279632</v>
      </c>
      <c r="Y62" s="603">
        <v>15000</v>
      </c>
      <c r="Z62" s="49">
        <v>1765751</v>
      </c>
      <c r="AA62" s="603"/>
      <c r="AB62" s="603">
        <v>-751</v>
      </c>
      <c r="AC62" s="16">
        <v>746156</v>
      </c>
      <c r="AD62" s="14"/>
      <c r="AE62" s="14">
        <v>1654788</v>
      </c>
      <c r="AF62" s="14"/>
      <c r="AG62" s="14">
        <v>249922</v>
      </c>
      <c r="AH62" s="14">
        <v>535438</v>
      </c>
      <c r="AI62" s="16">
        <v>673407</v>
      </c>
      <c r="AJ62" s="14">
        <v>1351015</v>
      </c>
      <c r="AK62" s="14"/>
      <c r="AL62" s="14">
        <v>408380</v>
      </c>
      <c r="AM62" s="37">
        <v>185437</v>
      </c>
    </row>
    <row r="63" spans="1:39" s="203" customFormat="1" ht="12" x14ac:dyDescent="0.2">
      <c r="A63" s="205">
        <v>9</v>
      </c>
      <c r="B63" s="598">
        <v>180037</v>
      </c>
      <c r="C63" s="601" t="s">
        <v>3253</v>
      </c>
      <c r="D63" s="591">
        <f t="shared" si="9"/>
        <v>3645621</v>
      </c>
      <c r="E63" s="27">
        <v>881944</v>
      </c>
      <c r="F63" s="27">
        <v>145729</v>
      </c>
      <c r="G63" s="27">
        <v>171664</v>
      </c>
      <c r="H63" s="27"/>
      <c r="I63" s="27">
        <v>1305791</v>
      </c>
      <c r="J63" s="27">
        <v>130250</v>
      </c>
      <c r="K63" s="27">
        <v>1000590</v>
      </c>
      <c r="L63" s="27"/>
      <c r="M63" s="27">
        <v>80347</v>
      </c>
      <c r="N63" s="14">
        <v>135980</v>
      </c>
      <c r="O63" s="14">
        <v>110719</v>
      </c>
      <c r="P63" s="591">
        <f t="shared" si="12"/>
        <v>2962601</v>
      </c>
      <c r="Q63" s="32">
        <v>1519956</v>
      </c>
      <c r="R63" s="32">
        <v>517353</v>
      </c>
      <c r="S63" s="32"/>
      <c r="T63" s="32"/>
      <c r="U63" s="32"/>
      <c r="V63" s="606"/>
      <c r="W63" s="606"/>
      <c r="X63" s="32">
        <v>81369</v>
      </c>
      <c r="Y63" s="603">
        <v>45043</v>
      </c>
      <c r="Z63" s="49">
        <v>798880</v>
      </c>
      <c r="AA63" s="603"/>
      <c r="AB63" s="603"/>
      <c r="AC63" s="16">
        <v>392571</v>
      </c>
      <c r="AD63" s="14">
        <v>22102</v>
      </c>
      <c r="AE63" s="14">
        <v>1726874</v>
      </c>
      <c r="AF63" s="14"/>
      <c r="AG63" s="14">
        <v>132427</v>
      </c>
      <c r="AH63" s="14">
        <v>237117</v>
      </c>
      <c r="AI63" s="16">
        <v>43705</v>
      </c>
      <c r="AJ63" s="14">
        <v>59520</v>
      </c>
      <c r="AK63" s="14"/>
      <c r="AL63" s="14">
        <v>344881</v>
      </c>
      <c r="AM63" s="37">
        <v>3404</v>
      </c>
    </row>
    <row r="64" spans="1:39" s="203" customFormat="1" ht="12" x14ac:dyDescent="0.2">
      <c r="A64" s="205">
        <v>10</v>
      </c>
      <c r="B64" s="598">
        <v>140379</v>
      </c>
      <c r="C64" s="601" t="s">
        <v>3254</v>
      </c>
      <c r="D64" s="591">
        <f t="shared" si="9"/>
        <v>5485663</v>
      </c>
      <c r="E64" s="27">
        <v>1127641</v>
      </c>
      <c r="F64" s="27">
        <v>128146</v>
      </c>
      <c r="G64" s="27">
        <v>161569</v>
      </c>
      <c r="H64" s="27"/>
      <c r="I64" s="27">
        <v>1610993</v>
      </c>
      <c r="J64" s="27">
        <v>139250</v>
      </c>
      <c r="K64" s="27">
        <v>990030</v>
      </c>
      <c r="L64" s="27"/>
      <c r="M64" s="27">
        <v>779707</v>
      </c>
      <c r="N64" s="14">
        <v>771540</v>
      </c>
      <c r="O64" s="14">
        <v>66502</v>
      </c>
      <c r="P64" s="591">
        <f t="shared" si="12"/>
        <v>4947972</v>
      </c>
      <c r="Q64" s="32">
        <v>1888944</v>
      </c>
      <c r="R64" s="32">
        <v>866312</v>
      </c>
      <c r="S64" s="32"/>
      <c r="T64" s="32"/>
      <c r="U64" s="32"/>
      <c r="V64" s="606"/>
      <c r="W64" s="606">
        <v>539186</v>
      </c>
      <c r="X64" s="32">
        <v>304093</v>
      </c>
      <c r="Y64" s="603">
        <v>59920</v>
      </c>
      <c r="Z64" s="49">
        <v>1295480</v>
      </c>
      <c r="AA64" s="603"/>
      <c r="AB64" s="603">
        <v>-5963</v>
      </c>
      <c r="AC64" s="16">
        <v>842181</v>
      </c>
      <c r="AD64" s="14">
        <v>95147</v>
      </c>
      <c r="AE64" s="14">
        <v>1078027</v>
      </c>
      <c r="AF64" s="14"/>
      <c r="AG64" s="14">
        <v>271824</v>
      </c>
      <c r="AH64" s="14">
        <v>653653</v>
      </c>
      <c r="AI64" s="16">
        <v>114109</v>
      </c>
      <c r="AJ64" s="14">
        <v>112918</v>
      </c>
      <c r="AK64" s="14"/>
      <c r="AL64" s="14">
        <v>1364024</v>
      </c>
      <c r="AM64" s="37">
        <v>416089</v>
      </c>
    </row>
    <row r="65" spans="1:39" s="203" customFormat="1" ht="12" x14ac:dyDescent="0.2">
      <c r="A65" s="205">
        <v>11</v>
      </c>
      <c r="B65" s="598">
        <v>140440</v>
      </c>
      <c r="C65" s="601" t="s">
        <v>3255</v>
      </c>
      <c r="D65" s="591">
        <f t="shared" si="9"/>
        <v>4387603</v>
      </c>
      <c r="E65" s="27">
        <v>891091</v>
      </c>
      <c r="F65" s="27">
        <v>159057</v>
      </c>
      <c r="G65" s="27">
        <v>177612</v>
      </c>
      <c r="H65" s="27"/>
      <c r="I65" s="27">
        <v>1300503</v>
      </c>
      <c r="J65" s="27">
        <v>75600</v>
      </c>
      <c r="K65" s="27">
        <v>1009880</v>
      </c>
      <c r="L65" s="27"/>
      <c r="M65" s="27">
        <v>516120</v>
      </c>
      <c r="N65" s="14">
        <v>575233</v>
      </c>
      <c r="O65" s="14">
        <v>19176</v>
      </c>
      <c r="P65" s="591">
        <f t="shared" si="12"/>
        <v>4010572</v>
      </c>
      <c r="Q65" s="32">
        <v>1688968</v>
      </c>
      <c r="R65" s="32">
        <v>723294</v>
      </c>
      <c r="S65" s="32">
        <v>3754</v>
      </c>
      <c r="T65" s="32"/>
      <c r="U65" s="32"/>
      <c r="V65" s="606"/>
      <c r="W65" s="606">
        <v>73168</v>
      </c>
      <c r="X65" s="32">
        <v>58147</v>
      </c>
      <c r="Y65" s="603">
        <v>54000</v>
      </c>
      <c r="Z65" s="49">
        <v>1460435</v>
      </c>
      <c r="AA65" s="603">
        <v>82500</v>
      </c>
      <c r="AB65" s="603">
        <v>-133694</v>
      </c>
      <c r="AC65" s="16">
        <v>1389538</v>
      </c>
      <c r="AD65" s="14">
        <v>30512</v>
      </c>
      <c r="AE65" s="14">
        <v>1231500</v>
      </c>
      <c r="AF65" s="14"/>
      <c r="AG65" s="14">
        <v>115905</v>
      </c>
      <c r="AH65" s="14">
        <v>351512</v>
      </c>
      <c r="AI65" s="16">
        <v>275692</v>
      </c>
      <c r="AJ65" s="14">
        <v>-121914</v>
      </c>
      <c r="AK65" s="14"/>
      <c r="AL65" s="14">
        <v>199555</v>
      </c>
      <c r="AM65" s="37">
        <v>538272</v>
      </c>
    </row>
    <row r="66" spans="1:39" s="203" customFormat="1" ht="12" x14ac:dyDescent="0.2">
      <c r="A66" s="205">
        <v>12</v>
      </c>
      <c r="B66" s="598">
        <v>140477</v>
      </c>
      <c r="C66" s="601" t="s">
        <v>3256</v>
      </c>
      <c r="D66" s="591">
        <f t="shared" si="9"/>
        <v>7903373</v>
      </c>
      <c r="E66" s="27">
        <v>794973</v>
      </c>
      <c r="F66" s="27">
        <v>102494</v>
      </c>
      <c r="G66" s="27">
        <v>193749</v>
      </c>
      <c r="H66" s="27"/>
      <c r="I66" s="27">
        <v>709070</v>
      </c>
      <c r="J66" s="27">
        <v>223000</v>
      </c>
      <c r="K66" s="27">
        <v>1117720</v>
      </c>
      <c r="L66" s="27"/>
      <c r="M66" s="27">
        <v>561790</v>
      </c>
      <c r="N66" s="14">
        <v>3402008</v>
      </c>
      <c r="O66" s="14">
        <v>1094812</v>
      </c>
      <c r="P66" s="591">
        <f t="shared" si="12"/>
        <v>5690655</v>
      </c>
      <c r="Q66" s="32">
        <v>991902</v>
      </c>
      <c r="R66" s="32">
        <v>584966</v>
      </c>
      <c r="S66" s="32">
        <v>18304</v>
      </c>
      <c r="T66" s="32"/>
      <c r="U66" s="32"/>
      <c r="V66" s="606">
        <v>2122</v>
      </c>
      <c r="W66" s="606">
        <v>1888266</v>
      </c>
      <c r="X66" s="32">
        <v>70888</v>
      </c>
      <c r="Y66" s="603">
        <v>84941</v>
      </c>
      <c r="Z66" s="49">
        <v>1636842</v>
      </c>
      <c r="AA66" s="603">
        <v>453000</v>
      </c>
      <c r="AB66" s="603">
        <v>-40576</v>
      </c>
      <c r="AC66" s="16">
        <v>881223</v>
      </c>
      <c r="AD66" s="14"/>
      <c r="AE66" s="14">
        <v>579984</v>
      </c>
      <c r="AF66" s="14"/>
      <c r="AG66" s="14">
        <v>422686</v>
      </c>
      <c r="AH66" s="14">
        <v>185169</v>
      </c>
      <c r="AI66" s="16">
        <v>112537</v>
      </c>
      <c r="AJ66" s="14">
        <v>1370695</v>
      </c>
      <c r="AK66" s="14"/>
      <c r="AL66" s="14">
        <v>1659200</v>
      </c>
      <c r="AM66" s="37">
        <v>479161</v>
      </c>
    </row>
    <row r="67" spans="1:39" s="203" customFormat="1" ht="12" x14ac:dyDescent="0.2">
      <c r="A67" s="205">
        <v>13</v>
      </c>
      <c r="B67" s="598">
        <v>140501</v>
      </c>
      <c r="C67" s="601" t="s">
        <v>3257</v>
      </c>
      <c r="D67" s="591">
        <f t="shared" si="9"/>
        <v>7706458</v>
      </c>
      <c r="E67" s="27">
        <v>721595</v>
      </c>
      <c r="F67" s="27">
        <v>134516</v>
      </c>
      <c r="G67" s="27">
        <v>185883</v>
      </c>
      <c r="H67" s="27"/>
      <c r="I67" s="27">
        <v>1745393</v>
      </c>
      <c r="J67" s="27">
        <v>162000</v>
      </c>
      <c r="K67" s="27">
        <v>1085120</v>
      </c>
      <c r="L67" s="27"/>
      <c r="M67" s="27">
        <v>2394214</v>
      </c>
      <c r="N67" s="14">
        <v>1440516</v>
      </c>
      <c r="O67" s="14">
        <v>157620</v>
      </c>
      <c r="P67" s="591">
        <f t="shared" si="12"/>
        <v>6729523</v>
      </c>
      <c r="Q67" s="32">
        <v>2040338</v>
      </c>
      <c r="R67" s="49">
        <v>1223178</v>
      </c>
      <c r="S67" s="32"/>
      <c r="T67" s="32"/>
      <c r="U67" s="32"/>
      <c r="V67" s="606"/>
      <c r="W67" s="606">
        <v>494558</v>
      </c>
      <c r="X67" s="32">
        <v>173785</v>
      </c>
      <c r="Y67" s="603">
        <v>69800</v>
      </c>
      <c r="Z67" s="49">
        <v>2727864</v>
      </c>
      <c r="AA67" s="603"/>
      <c r="AB67" s="603"/>
      <c r="AC67" s="16">
        <v>725096</v>
      </c>
      <c r="AD67" s="14">
        <v>44481</v>
      </c>
      <c r="AE67" s="14">
        <v>1359893</v>
      </c>
      <c r="AF67" s="14">
        <v>27379</v>
      </c>
      <c r="AG67" s="14">
        <v>299606</v>
      </c>
      <c r="AH67" s="14">
        <v>493770</v>
      </c>
      <c r="AI67" s="16">
        <v>88115</v>
      </c>
      <c r="AJ67" s="14">
        <v>278973</v>
      </c>
      <c r="AK67" s="14"/>
      <c r="AL67" s="14">
        <v>3412210</v>
      </c>
      <c r="AM67" s="37"/>
    </row>
    <row r="68" spans="1:39" s="203" customFormat="1" ht="12" x14ac:dyDescent="0.2">
      <c r="A68" s="205">
        <v>14</v>
      </c>
      <c r="B68" s="598">
        <v>140547</v>
      </c>
      <c r="C68" s="607" t="s">
        <v>3258</v>
      </c>
      <c r="D68" s="591">
        <f t="shared" si="9"/>
        <v>4026952</v>
      </c>
      <c r="E68" s="27">
        <v>1057747</v>
      </c>
      <c r="F68" s="27">
        <v>93473</v>
      </c>
      <c r="G68" s="27">
        <v>151309</v>
      </c>
      <c r="H68" s="27"/>
      <c r="I68" s="27">
        <v>1126230</v>
      </c>
      <c r="J68" s="27">
        <v>212500</v>
      </c>
      <c r="K68" s="27">
        <v>920560</v>
      </c>
      <c r="L68" s="27"/>
      <c r="M68" s="27">
        <v>181711</v>
      </c>
      <c r="N68" s="14">
        <v>373284</v>
      </c>
      <c r="O68" s="14">
        <v>154920</v>
      </c>
      <c r="P68" s="591">
        <f t="shared" si="12"/>
        <v>4270301</v>
      </c>
      <c r="Q68" s="32">
        <v>1226405</v>
      </c>
      <c r="R68" s="49">
        <v>772734</v>
      </c>
      <c r="S68" s="32"/>
      <c r="T68" s="32"/>
      <c r="U68" s="32"/>
      <c r="V68" s="606"/>
      <c r="W68" s="606">
        <v>543938</v>
      </c>
      <c r="X68" s="32">
        <v>228680</v>
      </c>
      <c r="Y68" s="603"/>
      <c r="Z68" s="49">
        <v>1498544</v>
      </c>
      <c r="AA68" s="603"/>
      <c r="AB68" s="603"/>
      <c r="AC68" s="16">
        <v>449062</v>
      </c>
      <c r="AD68" s="14">
        <v>31273</v>
      </c>
      <c r="AE68" s="14">
        <v>827312</v>
      </c>
      <c r="AF68" s="14"/>
      <c r="AG68" s="14">
        <v>56453</v>
      </c>
      <c r="AH68" s="14">
        <v>334521</v>
      </c>
      <c r="AI68" s="16">
        <v>118246</v>
      </c>
      <c r="AJ68" s="14">
        <v>48210</v>
      </c>
      <c r="AK68" s="14"/>
      <c r="AL68" s="14">
        <v>2166640</v>
      </c>
      <c r="AM68" s="37">
        <v>238584</v>
      </c>
    </row>
    <row r="69" spans="1:39" s="203" customFormat="1" ht="12" x14ac:dyDescent="0.2">
      <c r="A69" s="205">
        <v>15</v>
      </c>
      <c r="B69" s="598">
        <v>140583</v>
      </c>
      <c r="C69" s="601" t="s">
        <v>3259</v>
      </c>
      <c r="D69" s="591">
        <f t="shared" si="9"/>
        <v>3385559</v>
      </c>
      <c r="E69" s="27">
        <v>592163</v>
      </c>
      <c r="F69" s="27">
        <v>96597</v>
      </c>
      <c r="G69" s="27">
        <v>200096</v>
      </c>
      <c r="H69" s="27"/>
      <c r="I69" s="27">
        <v>1032009</v>
      </c>
      <c r="J69" s="27">
        <v>291850</v>
      </c>
      <c r="K69" s="27">
        <v>1122930</v>
      </c>
      <c r="L69" s="27"/>
      <c r="M69" s="27">
        <v>22454</v>
      </c>
      <c r="N69" s="14">
        <v>288153</v>
      </c>
      <c r="O69" s="14">
        <v>36000</v>
      </c>
      <c r="P69" s="591">
        <f t="shared" si="12"/>
        <v>3046170</v>
      </c>
      <c r="Q69" s="32">
        <v>1240647</v>
      </c>
      <c r="R69" s="32">
        <v>240517</v>
      </c>
      <c r="S69" s="32">
        <v>2094</v>
      </c>
      <c r="T69" s="32"/>
      <c r="U69" s="32"/>
      <c r="V69" s="606"/>
      <c r="W69" s="606">
        <v>1117016</v>
      </c>
      <c r="X69" s="32">
        <v>172276</v>
      </c>
      <c r="Y69" s="603"/>
      <c r="Z69" s="49">
        <v>228089</v>
      </c>
      <c r="AA69" s="603">
        <v>45531</v>
      </c>
      <c r="AB69" s="603"/>
      <c r="AC69" s="16">
        <v>417855</v>
      </c>
      <c r="AD69" s="14"/>
      <c r="AE69" s="14">
        <v>793784</v>
      </c>
      <c r="AF69" s="14"/>
      <c r="AG69" s="14">
        <v>30821</v>
      </c>
      <c r="AH69" s="14">
        <v>345818</v>
      </c>
      <c r="AI69" s="16">
        <v>27768</v>
      </c>
      <c r="AJ69" s="14"/>
      <c r="AK69" s="14"/>
      <c r="AL69" s="14">
        <v>161314</v>
      </c>
      <c r="AM69" s="37">
        <v>1268810</v>
      </c>
    </row>
    <row r="70" spans="1:39" s="203" customFormat="1" ht="12" x14ac:dyDescent="0.2">
      <c r="A70" s="205">
        <v>16</v>
      </c>
      <c r="B70" s="598">
        <v>140627</v>
      </c>
      <c r="C70" s="601" t="s">
        <v>3260</v>
      </c>
      <c r="D70" s="591">
        <f t="shared" si="9"/>
        <v>20005241</v>
      </c>
      <c r="E70" s="27">
        <v>4225097</v>
      </c>
      <c r="F70" s="27">
        <v>1114439</v>
      </c>
      <c r="G70" s="27">
        <v>1455552</v>
      </c>
      <c r="H70" s="27"/>
      <c r="I70" s="27">
        <v>6089872</v>
      </c>
      <c r="J70" s="27">
        <v>1432200</v>
      </c>
      <c r="K70" s="27">
        <v>447050</v>
      </c>
      <c r="L70" s="27"/>
      <c r="M70" s="27">
        <v>2322552</v>
      </c>
      <c r="N70" s="14">
        <v>3976056</v>
      </c>
      <c r="O70" s="14">
        <v>1512414</v>
      </c>
      <c r="P70" s="591">
        <f t="shared" si="12"/>
        <v>21156111</v>
      </c>
      <c r="Q70" s="32">
        <v>6992722</v>
      </c>
      <c r="R70" s="32">
        <v>3573894</v>
      </c>
      <c r="S70" s="32">
        <v>57942</v>
      </c>
      <c r="T70" s="32"/>
      <c r="U70" s="32"/>
      <c r="V70" s="606"/>
      <c r="W70" s="606">
        <v>6622623</v>
      </c>
      <c r="X70" s="32">
        <v>405572</v>
      </c>
      <c r="Y70" s="603">
        <v>53888</v>
      </c>
      <c r="Z70" s="49">
        <v>3314165</v>
      </c>
      <c r="AA70" s="603">
        <v>232091</v>
      </c>
      <c r="AB70" s="603">
        <v>-96786</v>
      </c>
      <c r="AC70" s="16">
        <v>1812264</v>
      </c>
      <c r="AD70" s="14">
        <v>507493</v>
      </c>
      <c r="AE70" s="14">
        <v>5672704</v>
      </c>
      <c r="AF70" s="14">
        <v>1999374</v>
      </c>
      <c r="AG70" s="14">
        <v>995084</v>
      </c>
      <c r="AH70" s="14">
        <v>1928663</v>
      </c>
      <c r="AI70" s="16">
        <v>1025401</v>
      </c>
      <c r="AJ70" s="14">
        <v>130017</v>
      </c>
      <c r="AK70" s="14"/>
      <c r="AL70" s="14">
        <v>2362163</v>
      </c>
      <c r="AM70" s="37">
        <v>4722948</v>
      </c>
    </row>
    <row r="71" spans="1:39" s="203" customFormat="1" ht="12" x14ac:dyDescent="0.2">
      <c r="A71" s="205">
        <v>17</v>
      </c>
      <c r="B71" s="598">
        <v>140672</v>
      </c>
      <c r="C71" s="601" t="s">
        <v>3261</v>
      </c>
      <c r="D71" s="591">
        <f t="shared" si="9"/>
        <v>4701391</v>
      </c>
      <c r="E71" s="27">
        <v>840094</v>
      </c>
      <c r="F71" s="27">
        <v>168532</v>
      </c>
      <c r="G71" s="27">
        <v>167174</v>
      </c>
      <c r="H71" s="27"/>
      <c r="I71" s="27">
        <v>1708816</v>
      </c>
      <c r="J71" s="27">
        <v>169750</v>
      </c>
      <c r="K71" s="27">
        <v>1035480</v>
      </c>
      <c r="L71" s="27"/>
      <c r="M71" s="27">
        <v>332562</v>
      </c>
      <c r="N71" s="14">
        <v>537129</v>
      </c>
      <c r="O71" s="14">
        <v>77560</v>
      </c>
      <c r="P71" s="591">
        <f t="shared" si="12"/>
        <v>5176453</v>
      </c>
      <c r="Q71" s="32">
        <v>1907389</v>
      </c>
      <c r="R71" s="32">
        <v>1181787</v>
      </c>
      <c r="S71" s="32"/>
      <c r="T71" s="32"/>
      <c r="U71" s="32"/>
      <c r="V71" s="606"/>
      <c r="W71" s="606">
        <v>1514819</v>
      </c>
      <c r="X71" s="32">
        <v>205267</v>
      </c>
      <c r="Y71" s="603">
        <v>5000</v>
      </c>
      <c r="Z71" s="49">
        <v>362456</v>
      </c>
      <c r="AA71" s="603"/>
      <c r="AB71" s="603">
        <v>-265</v>
      </c>
      <c r="AC71" s="16">
        <v>768643</v>
      </c>
      <c r="AD71" s="14"/>
      <c r="AE71" s="14">
        <v>1227548</v>
      </c>
      <c r="AF71" s="14">
        <v>18978</v>
      </c>
      <c r="AG71" s="14">
        <v>440276</v>
      </c>
      <c r="AH71" s="14">
        <v>555777</v>
      </c>
      <c r="AI71" s="16">
        <v>206644</v>
      </c>
      <c r="AJ71" s="14">
        <v>49999</v>
      </c>
      <c r="AK71" s="14"/>
      <c r="AL71" s="14">
        <v>1087499</v>
      </c>
      <c r="AM71" s="37">
        <v>821089</v>
      </c>
    </row>
    <row r="72" spans="1:39" s="203" customFormat="1" ht="12" x14ac:dyDescent="0.2">
      <c r="A72" s="205">
        <v>18</v>
      </c>
      <c r="B72" s="598">
        <v>140770</v>
      </c>
      <c r="C72" s="601" t="s">
        <v>3262</v>
      </c>
      <c r="D72" s="591">
        <f t="shared" si="9"/>
        <v>4209574</v>
      </c>
      <c r="E72" s="27">
        <v>590295</v>
      </c>
      <c r="F72" s="27">
        <v>57688</v>
      </c>
      <c r="G72" s="27">
        <v>208490</v>
      </c>
      <c r="H72" s="27"/>
      <c r="I72" s="27">
        <v>827231</v>
      </c>
      <c r="J72" s="27">
        <v>138380</v>
      </c>
      <c r="K72" s="27">
        <v>1170890</v>
      </c>
      <c r="L72" s="27"/>
      <c r="M72" s="27">
        <v>1376635</v>
      </c>
      <c r="N72" s="14"/>
      <c r="O72" s="14">
        <v>106143</v>
      </c>
      <c r="P72" s="591">
        <f t="shared" si="12"/>
        <v>3548871</v>
      </c>
      <c r="Q72" s="32">
        <v>996702</v>
      </c>
      <c r="R72" s="32">
        <v>877136</v>
      </c>
      <c r="S72" s="32"/>
      <c r="T72" s="32"/>
      <c r="U72" s="32"/>
      <c r="V72" s="606"/>
      <c r="W72" s="606"/>
      <c r="X72" s="32">
        <v>149553</v>
      </c>
      <c r="Y72" s="603">
        <v>5600</v>
      </c>
      <c r="Z72" s="49">
        <v>1519880</v>
      </c>
      <c r="AA72" s="603"/>
      <c r="AB72" s="603"/>
      <c r="AC72" s="16">
        <v>670634</v>
      </c>
      <c r="AD72" s="14">
        <v>893</v>
      </c>
      <c r="AE72" s="14">
        <v>854469</v>
      </c>
      <c r="AF72" s="14">
        <v>14702</v>
      </c>
      <c r="AG72" s="14">
        <v>62339</v>
      </c>
      <c r="AH72" s="14">
        <v>149553</v>
      </c>
      <c r="AI72" s="16">
        <v>34038</v>
      </c>
      <c r="AJ72" s="14">
        <v>24025</v>
      </c>
      <c r="AK72" s="14"/>
      <c r="AL72" s="14">
        <v>1738218</v>
      </c>
      <c r="AM72" s="37"/>
    </row>
    <row r="73" spans="1:39" s="203" customFormat="1" ht="12" x14ac:dyDescent="0.2">
      <c r="A73" s="205">
        <v>19</v>
      </c>
      <c r="B73" s="598">
        <v>140823</v>
      </c>
      <c r="C73" s="601" t="s">
        <v>3263</v>
      </c>
      <c r="D73" s="591">
        <f t="shared" si="9"/>
        <v>6125739</v>
      </c>
      <c r="E73" s="27">
        <v>2629898</v>
      </c>
      <c r="F73" s="27">
        <v>860177</v>
      </c>
      <c r="G73" s="27">
        <v>45565</v>
      </c>
      <c r="H73" s="27"/>
      <c r="I73" s="27">
        <v>1186627</v>
      </c>
      <c r="J73" s="27">
        <v>39921</v>
      </c>
      <c r="K73" s="27">
        <v>176070</v>
      </c>
      <c r="L73" s="27"/>
      <c r="M73" s="27">
        <v>144340</v>
      </c>
      <c r="N73" s="14">
        <v>1929076</v>
      </c>
      <c r="O73" s="14">
        <v>19807</v>
      </c>
      <c r="P73" s="591">
        <f t="shared" si="12"/>
        <v>3076652</v>
      </c>
      <c r="Q73" s="32">
        <v>1213475</v>
      </c>
      <c r="R73" s="32">
        <v>748224</v>
      </c>
      <c r="S73" s="32"/>
      <c r="T73" s="32"/>
      <c r="U73" s="32"/>
      <c r="V73" s="606"/>
      <c r="W73" s="606">
        <v>223637</v>
      </c>
      <c r="X73" s="32">
        <v>326042</v>
      </c>
      <c r="Y73" s="603">
        <v>8000</v>
      </c>
      <c r="Z73" s="49">
        <v>670623</v>
      </c>
      <c r="AA73" s="603"/>
      <c r="AB73" s="603">
        <v>-113349</v>
      </c>
      <c r="AC73" s="16">
        <v>540046</v>
      </c>
      <c r="AD73" s="14">
        <v>77781</v>
      </c>
      <c r="AE73" s="14">
        <v>1008913</v>
      </c>
      <c r="AF73" s="14">
        <v>61200</v>
      </c>
      <c r="AG73" s="14">
        <v>542964</v>
      </c>
      <c r="AH73" s="14">
        <v>467916</v>
      </c>
      <c r="AI73" s="16">
        <v>189407</v>
      </c>
      <c r="AJ73" s="14">
        <v>102943</v>
      </c>
      <c r="AK73" s="14"/>
      <c r="AL73" s="14">
        <v>85482</v>
      </c>
      <c r="AM73" s="37"/>
    </row>
    <row r="74" spans="1:39" s="203" customFormat="1" ht="12" x14ac:dyDescent="0.2">
      <c r="A74" s="205">
        <v>20</v>
      </c>
      <c r="B74" s="598">
        <v>140869</v>
      </c>
      <c r="C74" s="601" t="s">
        <v>3264</v>
      </c>
      <c r="D74" s="591">
        <f t="shared" si="9"/>
        <v>11399626</v>
      </c>
      <c r="E74" s="27">
        <v>731103</v>
      </c>
      <c r="F74" s="27">
        <v>94504</v>
      </c>
      <c r="G74" s="27">
        <v>181771</v>
      </c>
      <c r="H74" s="27"/>
      <c r="I74" s="27">
        <v>1283456</v>
      </c>
      <c r="J74" s="27">
        <v>320500</v>
      </c>
      <c r="K74" s="27">
        <v>1030780</v>
      </c>
      <c r="L74" s="27"/>
      <c r="M74" s="27">
        <v>3970942</v>
      </c>
      <c r="N74" s="14">
        <v>3987625</v>
      </c>
      <c r="O74" s="14">
        <v>75220</v>
      </c>
      <c r="P74" s="591">
        <f t="shared" si="12"/>
        <v>7123571</v>
      </c>
      <c r="Q74" s="32">
        <v>1604199</v>
      </c>
      <c r="R74" s="32">
        <v>765536</v>
      </c>
      <c r="S74" s="32"/>
      <c r="T74" s="32"/>
      <c r="U74" s="32"/>
      <c r="V74" s="606"/>
      <c r="W74" s="606">
        <v>212259</v>
      </c>
      <c r="X74" s="32">
        <v>119856</v>
      </c>
      <c r="Y74" s="603">
        <v>12524</v>
      </c>
      <c r="Z74" s="49">
        <v>4417107</v>
      </c>
      <c r="AA74" s="603"/>
      <c r="AB74" s="603">
        <v>-7910</v>
      </c>
      <c r="AC74" s="16">
        <v>1074747</v>
      </c>
      <c r="AD74" s="14"/>
      <c r="AE74" s="14">
        <v>1010214</v>
      </c>
      <c r="AF74" s="14">
        <v>1287</v>
      </c>
      <c r="AG74" s="14">
        <v>146509</v>
      </c>
      <c r="AH74" s="14">
        <v>414471</v>
      </c>
      <c r="AI74" s="16">
        <v>290705</v>
      </c>
      <c r="AJ74" s="14">
        <v>56746</v>
      </c>
      <c r="AK74" s="14"/>
      <c r="AL74" s="14">
        <v>4073485</v>
      </c>
      <c r="AM74" s="37">
        <v>55407</v>
      </c>
    </row>
    <row r="75" spans="1:39" s="203" customFormat="1" ht="12" x14ac:dyDescent="0.2">
      <c r="A75" s="205">
        <v>21</v>
      </c>
      <c r="B75" s="598">
        <v>140958</v>
      </c>
      <c r="C75" s="601" t="s">
        <v>3265</v>
      </c>
      <c r="D75" s="591">
        <f t="shared" si="9"/>
        <v>5466761</v>
      </c>
      <c r="E75" s="27">
        <v>809331</v>
      </c>
      <c r="F75" s="27">
        <v>172168</v>
      </c>
      <c r="G75" s="27">
        <v>163130</v>
      </c>
      <c r="H75" s="27"/>
      <c r="I75" s="27">
        <v>1246209</v>
      </c>
      <c r="J75" s="27">
        <v>163400</v>
      </c>
      <c r="K75" s="27">
        <v>971590</v>
      </c>
      <c r="L75" s="27"/>
      <c r="M75" s="27">
        <v>260820</v>
      </c>
      <c r="N75" s="14">
        <v>2015411</v>
      </c>
      <c r="O75" s="14"/>
      <c r="P75" s="591">
        <f t="shared" si="12"/>
        <v>3570194</v>
      </c>
      <c r="Q75" s="32">
        <v>1547211</v>
      </c>
      <c r="R75" s="32">
        <v>408772</v>
      </c>
      <c r="S75" s="32"/>
      <c r="T75" s="32"/>
      <c r="U75" s="32"/>
      <c r="V75" s="606"/>
      <c r="W75" s="606">
        <v>1047863</v>
      </c>
      <c r="X75" s="32">
        <v>147626</v>
      </c>
      <c r="Y75" s="603">
        <v>50736</v>
      </c>
      <c r="Z75" s="49">
        <v>367986</v>
      </c>
      <c r="AA75" s="603"/>
      <c r="AB75" s="603"/>
      <c r="AC75" s="16">
        <v>535911</v>
      </c>
      <c r="AD75" s="14">
        <v>63590</v>
      </c>
      <c r="AE75" s="14">
        <v>1386109</v>
      </c>
      <c r="AF75" s="14"/>
      <c r="AG75" s="14">
        <v>98664</v>
      </c>
      <c r="AH75" s="14">
        <v>395751</v>
      </c>
      <c r="AI75" s="16">
        <v>216621</v>
      </c>
      <c r="AJ75" s="14">
        <v>64894</v>
      </c>
      <c r="AK75" s="14"/>
      <c r="AL75" s="14">
        <v>222085</v>
      </c>
      <c r="AM75" s="37">
        <v>586569</v>
      </c>
    </row>
    <row r="76" spans="1:39" s="203" customFormat="1" ht="12" x14ac:dyDescent="0.2">
      <c r="A76" s="205">
        <v>22</v>
      </c>
      <c r="B76" s="598">
        <v>141027</v>
      </c>
      <c r="C76" s="601" t="s">
        <v>3266</v>
      </c>
      <c r="D76" s="591">
        <f t="shared" si="9"/>
        <v>4016197</v>
      </c>
      <c r="E76" s="27">
        <v>516900</v>
      </c>
      <c r="F76" s="27">
        <v>59276</v>
      </c>
      <c r="G76" s="27">
        <v>201852</v>
      </c>
      <c r="H76" s="27"/>
      <c r="I76" s="27">
        <v>947835</v>
      </c>
      <c r="J76" s="27">
        <v>115700</v>
      </c>
      <c r="K76" s="27">
        <v>1137960</v>
      </c>
      <c r="L76" s="27"/>
      <c r="M76" s="27">
        <v>956061</v>
      </c>
      <c r="N76" s="14">
        <v>293801</v>
      </c>
      <c r="O76" s="14">
        <v>47940</v>
      </c>
      <c r="P76" s="591">
        <f t="shared" si="12"/>
        <v>3185304</v>
      </c>
      <c r="Q76" s="32">
        <v>1096978</v>
      </c>
      <c r="R76" s="32">
        <v>1016062</v>
      </c>
      <c r="S76" s="32"/>
      <c r="T76" s="32"/>
      <c r="U76" s="32"/>
      <c r="V76" s="606"/>
      <c r="W76" s="606">
        <v>769481</v>
      </c>
      <c r="X76" s="32">
        <v>93401</v>
      </c>
      <c r="Y76" s="603">
        <v>7400</v>
      </c>
      <c r="Z76" s="49">
        <v>201982</v>
      </c>
      <c r="AA76" s="603"/>
      <c r="AB76" s="603"/>
      <c r="AC76" s="16">
        <v>601260</v>
      </c>
      <c r="AD76" s="14"/>
      <c r="AE76" s="14">
        <v>830915</v>
      </c>
      <c r="AF76" s="14"/>
      <c r="AG76" s="14">
        <v>188194</v>
      </c>
      <c r="AH76" s="14">
        <v>222239</v>
      </c>
      <c r="AI76" s="16">
        <v>237359</v>
      </c>
      <c r="AJ76" s="14">
        <v>71717</v>
      </c>
      <c r="AK76" s="14"/>
      <c r="AL76" s="14">
        <v>264139</v>
      </c>
      <c r="AM76" s="37">
        <v>769481</v>
      </c>
    </row>
    <row r="77" spans="1:39" s="203" customFormat="1" ht="12" x14ac:dyDescent="0.2">
      <c r="A77" s="205">
        <v>23</v>
      </c>
      <c r="B77" s="598">
        <v>141081</v>
      </c>
      <c r="C77" s="601" t="s">
        <v>3267</v>
      </c>
      <c r="D77" s="591">
        <f t="shared" si="9"/>
        <v>5860994</v>
      </c>
      <c r="E77" s="27">
        <v>795012</v>
      </c>
      <c r="F77" s="27">
        <v>77373</v>
      </c>
      <c r="G77" s="27">
        <v>206034</v>
      </c>
      <c r="H77" s="27"/>
      <c r="I77" s="27">
        <v>1102989</v>
      </c>
      <c r="J77" s="27">
        <v>383000</v>
      </c>
      <c r="K77" s="27">
        <v>1152580</v>
      </c>
      <c r="L77" s="27"/>
      <c r="M77" s="27">
        <v>1819333</v>
      </c>
      <c r="N77" s="14">
        <v>608080</v>
      </c>
      <c r="O77" s="14"/>
      <c r="P77" s="591">
        <f t="shared" si="12"/>
        <v>5484242</v>
      </c>
      <c r="Q77" s="32">
        <v>1348102</v>
      </c>
      <c r="R77" s="32">
        <v>715682</v>
      </c>
      <c r="S77" s="32"/>
      <c r="T77" s="32"/>
      <c r="U77" s="32"/>
      <c r="V77" s="606">
        <v>10301</v>
      </c>
      <c r="W77" s="606">
        <v>910153</v>
      </c>
      <c r="X77" s="32">
        <v>115680</v>
      </c>
      <c r="Y77" s="603">
        <v>15000</v>
      </c>
      <c r="Z77" s="49">
        <v>2369324</v>
      </c>
      <c r="AA77" s="603"/>
      <c r="AB77" s="603"/>
      <c r="AC77" s="16">
        <v>850187</v>
      </c>
      <c r="AD77" s="14"/>
      <c r="AE77" s="14">
        <v>964989</v>
      </c>
      <c r="AF77" s="14">
        <v>21699</v>
      </c>
      <c r="AG77" s="14">
        <v>64120</v>
      </c>
      <c r="AH77" s="14">
        <v>210802</v>
      </c>
      <c r="AI77" s="16">
        <v>765322</v>
      </c>
      <c r="AJ77" s="14">
        <v>52135</v>
      </c>
      <c r="AK77" s="14"/>
      <c r="AL77" s="14">
        <v>2405988</v>
      </c>
      <c r="AM77" s="37">
        <v>149000</v>
      </c>
    </row>
    <row r="78" spans="1:39" s="203" customFormat="1" ht="12" x14ac:dyDescent="0.2">
      <c r="A78" s="205">
        <v>24</v>
      </c>
      <c r="B78" s="598">
        <v>141134</v>
      </c>
      <c r="C78" s="601" t="s">
        <v>3268</v>
      </c>
      <c r="D78" s="591">
        <f t="shared" si="9"/>
        <v>6309276</v>
      </c>
      <c r="E78" s="27">
        <v>854715</v>
      </c>
      <c r="F78" s="27">
        <v>226765</v>
      </c>
      <c r="G78" s="27">
        <v>147155</v>
      </c>
      <c r="H78" s="27"/>
      <c r="I78" s="27">
        <v>1757131</v>
      </c>
      <c r="J78" s="27">
        <v>147000</v>
      </c>
      <c r="K78" s="27">
        <v>901680</v>
      </c>
      <c r="L78" s="27"/>
      <c r="M78" s="27">
        <v>1859768</v>
      </c>
      <c r="N78" s="14">
        <v>629034</v>
      </c>
      <c r="O78" s="14">
        <v>159948</v>
      </c>
      <c r="P78" s="591">
        <f t="shared" si="12"/>
        <v>7249624</v>
      </c>
      <c r="Q78" s="32">
        <v>1955352</v>
      </c>
      <c r="R78" s="32">
        <v>830205</v>
      </c>
      <c r="S78" s="32"/>
      <c r="T78" s="32"/>
      <c r="U78" s="32"/>
      <c r="V78" s="606"/>
      <c r="W78" s="606">
        <v>3635608</v>
      </c>
      <c r="X78" s="32">
        <v>161996</v>
      </c>
      <c r="Y78" s="603">
        <v>11121</v>
      </c>
      <c r="Z78" s="49">
        <v>678985</v>
      </c>
      <c r="AA78" s="603"/>
      <c r="AB78" s="603">
        <v>-23643</v>
      </c>
      <c r="AC78" s="16">
        <v>447905</v>
      </c>
      <c r="AD78" s="14">
        <v>29237</v>
      </c>
      <c r="AE78" s="14">
        <v>1558654</v>
      </c>
      <c r="AF78" s="14"/>
      <c r="AG78" s="14">
        <v>108523</v>
      </c>
      <c r="AH78" s="14">
        <v>423847</v>
      </c>
      <c r="AI78" s="16">
        <v>3382225</v>
      </c>
      <c r="AJ78" s="14">
        <v>70270</v>
      </c>
      <c r="AK78" s="14"/>
      <c r="AL78" s="14">
        <v>678219</v>
      </c>
      <c r="AM78" s="37">
        <v>550744</v>
      </c>
    </row>
    <row r="79" spans="1:39" s="203" customFormat="1" ht="12" x14ac:dyDescent="0.2">
      <c r="A79" s="205">
        <v>25</v>
      </c>
      <c r="B79" s="598">
        <v>141232</v>
      </c>
      <c r="C79" s="601" t="s">
        <v>3269</v>
      </c>
      <c r="D79" s="591">
        <f t="shared" si="9"/>
        <v>8324055</v>
      </c>
      <c r="E79" s="27">
        <v>750144</v>
      </c>
      <c r="F79" s="27">
        <v>87014</v>
      </c>
      <c r="G79" s="27">
        <v>171405</v>
      </c>
      <c r="H79" s="27"/>
      <c r="I79" s="27">
        <v>1080315</v>
      </c>
      <c r="J79" s="27">
        <v>169300</v>
      </c>
      <c r="K79" s="27">
        <v>1026160</v>
      </c>
      <c r="L79" s="27"/>
      <c r="M79" s="27">
        <v>1027883</v>
      </c>
      <c r="N79" s="14">
        <v>4106968</v>
      </c>
      <c r="O79" s="14">
        <v>163285</v>
      </c>
      <c r="P79" s="591">
        <f t="shared" si="12"/>
        <v>3809057</v>
      </c>
      <c r="Q79" s="32">
        <v>1298613</v>
      </c>
      <c r="R79" s="32">
        <v>903219</v>
      </c>
      <c r="S79" s="32"/>
      <c r="T79" s="32"/>
      <c r="U79" s="32"/>
      <c r="V79" s="606"/>
      <c r="W79" s="606">
        <v>349311</v>
      </c>
      <c r="X79" s="32">
        <v>166422</v>
      </c>
      <c r="Y79" s="603">
        <v>27600</v>
      </c>
      <c r="Z79" s="49">
        <v>1093653</v>
      </c>
      <c r="AA79" s="603"/>
      <c r="AB79" s="603">
        <v>-29761</v>
      </c>
      <c r="AC79" s="16">
        <v>723857</v>
      </c>
      <c r="AD79" s="14"/>
      <c r="AE79" s="14">
        <v>877552</v>
      </c>
      <c r="AF79" s="14">
        <v>27500</v>
      </c>
      <c r="AG79" s="14">
        <v>195066</v>
      </c>
      <c r="AH79" s="14">
        <v>259339</v>
      </c>
      <c r="AI79" s="16">
        <v>209892</v>
      </c>
      <c r="AJ79" s="14">
        <v>71378</v>
      </c>
      <c r="AK79" s="14"/>
      <c r="AL79" s="14">
        <v>1444473</v>
      </c>
      <c r="AM79" s="37"/>
    </row>
    <row r="80" spans="1:39" s="203" customFormat="1" ht="12" x14ac:dyDescent="0.2">
      <c r="A80" s="205">
        <v>26</v>
      </c>
      <c r="B80" s="598">
        <v>141312</v>
      </c>
      <c r="C80" s="601" t="s">
        <v>3270</v>
      </c>
      <c r="D80" s="591">
        <f t="shared" si="9"/>
        <v>4880106</v>
      </c>
      <c r="E80" s="27">
        <v>661519</v>
      </c>
      <c r="F80" s="27">
        <v>106721</v>
      </c>
      <c r="G80" s="27">
        <v>188320</v>
      </c>
      <c r="H80" s="27"/>
      <c r="I80" s="27">
        <v>1667434</v>
      </c>
      <c r="J80" s="27">
        <v>185200</v>
      </c>
      <c r="K80" s="27">
        <v>1101610</v>
      </c>
      <c r="L80" s="27"/>
      <c r="M80" s="27">
        <v>979667</v>
      </c>
      <c r="N80" s="14">
        <v>245076</v>
      </c>
      <c r="O80" s="14">
        <v>39600</v>
      </c>
      <c r="P80" s="591">
        <f t="shared" si="12"/>
        <v>4434486</v>
      </c>
      <c r="Q80" s="32">
        <v>1822074</v>
      </c>
      <c r="R80" s="32">
        <v>630267</v>
      </c>
      <c r="S80" s="32"/>
      <c r="T80" s="32"/>
      <c r="U80" s="32"/>
      <c r="V80" s="606"/>
      <c r="W80" s="606">
        <v>294932</v>
      </c>
      <c r="X80" s="32">
        <v>130903</v>
      </c>
      <c r="Y80" s="603">
        <v>52449</v>
      </c>
      <c r="Z80" s="49">
        <v>1504363</v>
      </c>
      <c r="AA80" s="603"/>
      <c r="AB80" s="603">
        <v>-502</v>
      </c>
      <c r="AC80" s="16">
        <v>650380</v>
      </c>
      <c r="AD80" s="14"/>
      <c r="AE80" s="14">
        <v>1382015</v>
      </c>
      <c r="AF80" s="14"/>
      <c r="AG80" s="14">
        <v>58524</v>
      </c>
      <c r="AH80" s="14">
        <v>415793</v>
      </c>
      <c r="AI80" s="16">
        <v>538888</v>
      </c>
      <c r="AJ80" s="14"/>
      <c r="AK80" s="14"/>
      <c r="AL80" s="14">
        <v>1093954</v>
      </c>
      <c r="AM80" s="37">
        <v>294932</v>
      </c>
    </row>
    <row r="81" spans="1:39" s="203" customFormat="1" ht="12" x14ac:dyDescent="0.2">
      <c r="A81" s="205">
        <v>27</v>
      </c>
      <c r="B81" s="598">
        <v>141376</v>
      </c>
      <c r="C81" s="601" t="s">
        <v>3271</v>
      </c>
      <c r="D81" s="591">
        <f t="shared" si="9"/>
        <v>7107982</v>
      </c>
      <c r="E81" s="27">
        <v>2594409</v>
      </c>
      <c r="F81" s="27">
        <v>827502</v>
      </c>
      <c r="G81" s="27">
        <v>411849</v>
      </c>
      <c r="H81" s="27"/>
      <c r="I81" s="27">
        <v>2078980</v>
      </c>
      <c r="J81" s="27">
        <v>413600</v>
      </c>
      <c r="K81" s="27">
        <v>226030</v>
      </c>
      <c r="L81" s="27"/>
      <c r="M81" s="27">
        <v>175370</v>
      </c>
      <c r="N81" s="14">
        <v>1576673</v>
      </c>
      <c r="O81" s="14">
        <v>42920</v>
      </c>
      <c r="P81" s="591">
        <f t="shared" si="12"/>
        <v>5395869</v>
      </c>
      <c r="Q81" s="32">
        <v>2516487</v>
      </c>
      <c r="R81" s="32">
        <v>1045799</v>
      </c>
      <c r="S81" s="32"/>
      <c r="T81" s="32"/>
      <c r="U81" s="32"/>
      <c r="V81" s="606"/>
      <c r="W81" s="606">
        <v>1373056</v>
      </c>
      <c r="X81" s="32">
        <v>288559</v>
      </c>
      <c r="Y81" s="603">
        <v>15000</v>
      </c>
      <c r="Z81" s="49">
        <v>157317</v>
      </c>
      <c r="AA81" s="603"/>
      <c r="AB81" s="603">
        <v>-349</v>
      </c>
      <c r="AC81" s="16">
        <v>874285</v>
      </c>
      <c r="AD81" s="14">
        <v>66132</v>
      </c>
      <c r="AE81" s="14">
        <v>1705533</v>
      </c>
      <c r="AF81" s="14"/>
      <c r="AG81" s="14">
        <v>573895</v>
      </c>
      <c r="AH81" s="14">
        <v>538225</v>
      </c>
      <c r="AI81" s="16">
        <v>201072</v>
      </c>
      <c r="AJ81" s="14">
        <v>125160</v>
      </c>
      <c r="AK81" s="14"/>
      <c r="AL81" s="14">
        <v>524279</v>
      </c>
      <c r="AM81" s="37">
        <v>787288</v>
      </c>
    </row>
    <row r="82" spans="1:39" s="203" customFormat="1" ht="12" x14ac:dyDescent="0.2">
      <c r="A82" s="205">
        <v>28</v>
      </c>
      <c r="B82" s="598">
        <v>141447</v>
      </c>
      <c r="C82" s="601" t="s">
        <v>3272</v>
      </c>
      <c r="D82" s="591">
        <f t="shared" si="9"/>
        <v>8962929</v>
      </c>
      <c r="E82" s="27">
        <v>1667424</v>
      </c>
      <c r="F82" s="27">
        <v>836726</v>
      </c>
      <c r="G82" s="27">
        <v>76414</v>
      </c>
      <c r="H82" s="27"/>
      <c r="I82" s="27">
        <v>2397694</v>
      </c>
      <c r="J82" s="27">
        <v>280050</v>
      </c>
      <c r="K82" s="27">
        <v>354150</v>
      </c>
      <c r="L82" s="27"/>
      <c r="M82" s="27">
        <v>1506331</v>
      </c>
      <c r="N82" s="14">
        <v>2744780</v>
      </c>
      <c r="O82" s="14">
        <v>12500</v>
      </c>
      <c r="P82" s="591">
        <f t="shared" si="12"/>
        <v>8675304</v>
      </c>
      <c r="Q82" s="32">
        <v>2528896</v>
      </c>
      <c r="R82" s="32">
        <v>1013485</v>
      </c>
      <c r="S82" s="32">
        <v>81255</v>
      </c>
      <c r="T82" s="32"/>
      <c r="U82" s="32"/>
      <c r="V82" s="606"/>
      <c r="W82" s="606">
        <v>2976212</v>
      </c>
      <c r="X82" s="32">
        <v>244020</v>
      </c>
      <c r="Y82" s="603">
        <v>82200</v>
      </c>
      <c r="Z82" s="49">
        <v>183520</v>
      </c>
      <c r="AA82" s="603">
        <v>1570936</v>
      </c>
      <c r="AB82" s="603">
        <v>-5220</v>
      </c>
      <c r="AC82" s="16">
        <v>811725</v>
      </c>
      <c r="AD82" s="14"/>
      <c r="AE82" s="14">
        <v>4545181</v>
      </c>
      <c r="AF82" s="14">
        <v>58470</v>
      </c>
      <c r="AG82" s="14">
        <v>718500</v>
      </c>
      <c r="AH82" s="14">
        <v>530164</v>
      </c>
      <c r="AI82" s="16">
        <v>372689</v>
      </c>
      <c r="AJ82" s="14"/>
      <c r="AK82" s="14"/>
      <c r="AL82" s="14">
        <v>156527</v>
      </c>
      <c r="AM82" s="37">
        <v>1482048</v>
      </c>
    </row>
    <row r="83" spans="1:39" s="203" customFormat="1" ht="12" x14ac:dyDescent="0.2">
      <c r="A83" s="205">
        <v>29</v>
      </c>
      <c r="B83" s="598">
        <v>141535</v>
      </c>
      <c r="C83" s="601" t="s">
        <v>3273</v>
      </c>
      <c r="D83" s="591">
        <f t="shared" si="9"/>
        <v>4940808</v>
      </c>
      <c r="E83" s="27">
        <v>855167</v>
      </c>
      <c r="F83" s="27">
        <v>143721</v>
      </c>
      <c r="G83" s="27">
        <v>145982</v>
      </c>
      <c r="H83" s="27"/>
      <c r="I83" s="27">
        <v>1706003</v>
      </c>
      <c r="J83" s="27">
        <v>412400</v>
      </c>
      <c r="K83" s="27">
        <v>922100</v>
      </c>
      <c r="L83" s="27"/>
      <c r="M83" s="27">
        <v>1038138</v>
      </c>
      <c r="N83" s="14"/>
      <c r="O83" s="14">
        <v>7000</v>
      </c>
      <c r="P83" s="591">
        <f t="shared" si="12"/>
        <v>4658884</v>
      </c>
      <c r="Q83" s="32">
        <v>1839746</v>
      </c>
      <c r="R83" s="32">
        <v>868384</v>
      </c>
      <c r="S83" s="32"/>
      <c r="T83" s="32"/>
      <c r="U83" s="32"/>
      <c r="V83" s="606">
        <v>320000</v>
      </c>
      <c r="W83" s="606"/>
      <c r="X83" s="32">
        <v>328749</v>
      </c>
      <c r="Y83" s="603">
        <v>5000</v>
      </c>
      <c r="Z83" s="49">
        <v>1297005</v>
      </c>
      <c r="AA83" s="603"/>
      <c r="AB83" s="603"/>
      <c r="AC83" s="16">
        <v>1005110</v>
      </c>
      <c r="AD83" s="14">
        <v>73517</v>
      </c>
      <c r="AE83" s="14">
        <v>1389503</v>
      </c>
      <c r="AF83" s="14"/>
      <c r="AG83" s="14">
        <v>139179</v>
      </c>
      <c r="AH83" s="14">
        <v>479905</v>
      </c>
      <c r="AI83" s="16">
        <v>101887</v>
      </c>
      <c r="AJ83" s="14">
        <v>56420</v>
      </c>
      <c r="AK83" s="14"/>
      <c r="AL83" s="14">
        <v>1376651</v>
      </c>
      <c r="AM83" s="37">
        <v>36712</v>
      </c>
    </row>
    <row r="84" spans="1:39" s="203" customFormat="1" ht="12" x14ac:dyDescent="0.2">
      <c r="A84" s="205">
        <v>30</v>
      </c>
      <c r="B84" s="598">
        <v>141580</v>
      </c>
      <c r="C84" s="601" t="s">
        <v>3274</v>
      </c>
      <c r="D84" s="591">
        <f t="shared" si="9"/>
        <v>5144772</v>
      </c>
      <c r="E84" s="27">
        <v>1094986</v>
      </c>
      <c r="F84" s="27">
        <v>499873</v>
      </c>
      <c r="G84" s="27">
        <v>89897</v>
      </c>
      <c r="H84" s="27"/>
      <c r="I84" s="27">
        <v>2769000</v>
      </c>
      <c r="J84" s="27">
        <v>164700</v>
      </c>
      <c r="K84" s="27">
        <v>626960</v>
      </c>
      <c r="L84" s="27"/>
      <c r="M84" s="27">
        <v>108332</v>
      </c>
      <c r="N84" s="14">
        <v>342474</v>
      </c>
      <c r="O84" s="14">
        <v>38320</v>
      </c>
      <c r="P84" s="591">
        <f t="shared" si="12"/>
        <v>4970050</v>
      </c>
      <c r="Q84" s="32">
        <v>2874322</v>
      </c>
      <c r="R84" s="32">
        <v>850571</v>
      </c>
      <c r="S84" s="32"/>
      <c r="T84" s="32"/>
      <c r="U84" s="32"/>
      <c r="V84" s="606"/>
      <c r="W84" s="606">
        <v>519808</v>
      </c>
      <c r="X84" s="32">
        <v>160614</v>
      </c>
      <c r="Y84" s="603">
        <v>26334</v>
      </c>
      <c r="Z84" s="49">
        <v>538401</v>
      </c>
      <c r="AA84" s="603"/>
      <c r="AB84" s="603"/>
      <c r="AC84" s="16">
        <v>702561</v>
      </c>
      <c r="AD84" s="14">
        <v>4324</v>
      </c>
      <c r="AE84" s="14">
        <v>2448763</v>
      </c>
      <c r="AF84" s="14"/>
      <c r="AG84" s="14">
        <v>123907</v>
      </c>
      <c r="AH84" s="14">
        <v>332710</v>
      </c>
      <c r="AI84" s="16">
        <v>841613</v>
      </c>
      <c r="AJ84" s="14">
        <v>164811</v>
      </c>
      <c r="AK84" s="14"/>
      <c r="AL84" s="14">
        <v>309921</v>
      </c>
      <c r="AM84" s="37">
        <v>41440</v>
      </c>
    </row>
    <row r="85" spans="1:39" s="203" customFormat="1" ht="12" x14ac:dyDescent="0.2">
      <c r="A85" s="205">
        <v>31</v>
      </c>
      <c r="B85" s="598">
        <v>141722</v>
      </c>
      <c r="C85" s="601" t="s">
        <v>3275</v>
      </c>
      <c r="D85" s="591">
        <f t="shared" si="9"/>
        <v>7075609</v>
      </c>
      <c r="E85" s="27">
        <v>1424341</v>
      </c>
      <c r="F85" s="27">
        <v>286390</v>
      </c>
      <c r="G85" s="27">
        <v>456718</v>
      </c>
      <c r="H85" s="27"/>
      <c r="I85" s="27">
        <v>2791083</v>
      </c>
      <c r="J85" s="27">
        <v>47000</v>
      </c>
      <c r="K85" s="27">
        <v>558580</v>
      </c>
      <c r="L85" s="27"/>
      <c r="M85" s="27">
        <v>527597</v>
      </c>
      <c r="N85" s="14">
        <v>1710168</v>
      </c>
      <c r="O85" s="14">
        <v>16840</v>
      </c>
      <c r="P85" s="591">
        <f t="shared" si="12"/>
        <v>7666337</v>
      </c>
      <c r="Q85" s="32">
        <v>2932776</v>
      </c>
      <c r="R85" s="32">
        <v>896444</v>
      </c>
      <c r="S85" s="32">
        <v>26072</v>
      </c>
      <c r="T85" s="32"/>
      <c r="U85" s="32"/>
      <c r="V85" s="606"/>
      <c r="W85" s="606">
        <v>2567411</v>
      </c>
      <c r="X85" s="32">
        <v>265809</v>
      </c>
      <c r="Y85" s="603">
        <v>48205</v>
      </c>
      <c r="Z85" s="49">
        <v>339233</v>
      </c>
      <c r="AA85" s="603">
        <v>590387</v>
      </c>
      <c r="AB85" s="603"/>
      <c r="AC85" s="16">
        <v>854701</v>
      </c>
      <c r="AD85" s="14">
        <v>76013</v>
      </c>
      <c r="AE85" s="14">
        <v>2480827</v>
      </c>
      <c r="AF85" s="14"/>
      <c r="AG85" s="14">
        <v>153517</v>
      </c>
      <c r="AH85" s="14">
        <v>447104</v>
      </c>
      <c r="AI85" s="16">
        <v>258077</v>
      </c>
      <c r="AJ85" s="14">
        <v>98443</v>
      </c>
      <c r="AK85" s="14"/>
      <c r="AL85" s="14">
        <v>139857</v>
      </c>
      <c r="AM85" s="37">
        <v>3157798</v>
      </c>
    </row>
    <row r="86" spans="1:39" s="203" customFormat="1" ht="12" x14ac:dyDescent="0.2">
      <c r="A86" s="205">
        <v>32</v>
      </c>
      <c r="B86" s="598">
        <v>141786</v>
      </c>
      <c r="C86" s="601" t="s">
        <v>3276</v>
      </c>
      <c r="D86" s="591">
        <f t="shared" si="9"/>
        <v>9565832</v>
      </c>
      <c r="E86" s="27">
        <v>781756</v>
      </c>
      <c r="F86" s="27">
        <v>98589</v>
      </c>
      <c r="G86" s="27">
        <v>150897</v>
      </c>
      <c r="H86" s="27"/>
      <c r="I86" s="27">
        <v>1064771</v>
      </c>
      <c r="J86" s="27">
        <v>194800</v>
      </c>
      <c r="K86" s="27">
        <v>904280</v>
      </c>
      <c r="L86" s="27"/>
      <c r="M86" s="27">
        <v>4516186</v>
      </c>
      <c r="N86" s="14">
        <v>2074039</v>
      </c>
      <c r="O86" s="14">
        <v>30000</v>
      </c>
      <c r="P86" s="591">
        <f t="shared" si="12"/>
        <v>9290181</v>
      </c>
      <c r="Q86" s="32">
        <v>1226743</v>
      </c>
      <c r="R86" s="32">
        <v>866229</v>
      </c>
      <c r="S86" s="32"/>
      <c r="T86" s="32"/>
      <c r="U86" s="32"/>
      <c r="V86" s="606"/>
      <c r="W86" s="606">
        <v>2916163</v>
      </c>
      <c r="X86" s="32">
        <v>136598</v>
      </c>
      <c r="Y86" s="603"/>
      <c r="Z86" s="49">
        <v>4164895</v>
      </c>
      <c r="AA86" s="603"/>
      <c r="AB86" s="603">
        <v>-20447</v>
      </c>
      <c r="AC86" s="16">
        <v>497252</v>
      </c>
      <c r="AD86" s="14">
        <v>2975</v>
      </c>
      <c r="AE86" s="14">
        <v>730212</v>
      </c>
      <c r="AF86" s="14">
        <v>30102</v>
      </c>
      <c r="AG86" s="14">
        <v>213070</v>
      </c>
      <c r="AH86" s="14">
        <v>427323</v>
      </c>
      <c r="AI86" s="16">
        <v>794472</v>
      </c>
      <c r="AJ86" s="14">
        <v>95896</v>
      </c>
      <c r="AK86" s="14"/>
      <c r="AL86" s="14">
        <v>3553217</v>
      </c>
      <c r="AM86" s="37">
        <v>2945662</v>
      </c>
    </row>
    <row r="87" spans="1:39" s="203" customFormat="1" ht="12" x14ac:dyDescent="0.2">
      <c r="A87" s="205">
        <v>33</v>
      </c>
      <c r="B87" s="598">
        <v>141884</v>
      </c>
      <c r="C87" s="601" t="s">
        <v>3277</v>
      </c>
      <c r="D87" s="591">
        <f t="shared" si="9"/>
        <v>2790862</v>
      </c>
      <c r="E87" s="27">
        <v>531704</v>
      </c>
      <c r="F87" s="27">
        <v>42053</v>
      </c>
      <c r="G87" s="27">
        <v>222253</v>
      </c>
      <c r="H87" s="27"/>
      <c r="I87" s="27">
        <v>702986</v>
      </c>
      <c r="J87" s="27">
        <v>65133</v>
      </c>
      <c r="K87" s="27">
        <v>1271300</v>
      </c>
      <c r="L87" s="27"/>
      <c r="M87" s="27">
        <v>157697</v>
      </c>
      <c r="N87" s="14"/>
      <c r="O87" s="14">
        <v>62042</v>
      </c>
      <c r="P87" s="591">
        <f t="shared" si="12"/>
        <v>2561802</v>
      </c>
      <c r="Q87" s="32">
        <v>870569</v>
      </c>
      <c r="R87" s="32">
        <v>324630</v>
      </c>
      <c r="S87" s="32"/>
      <c r="T87" s="32"/>
      <c r="U87" s="32">
        <v>12000</v>
      </c>
      <c r="V87" s="606">
        <v>9998</v>
      </c>
      <c r="W87" s="606"/>
      <c r="X87" s="32">
        <v>78438</v>
      </c>
      <c r="Y87" s="603"/>
      <c r="Z87" s="49">
        <v>1283948</v>
      </c>
      <c r="AA87" s="603"/>
      <c r="AB87" s="603">
        <v>-17781</v>
      </c>
      <c r="AC87" s="16">
        <v>385822</v>
      </c>
      <c r="AD87" s="14"/>
      <c r="AE87" s="14">
        <v>582306</v>
      </c>
      <c r="AF87" s="14">
        <v>22685</v>
      </c>
      <c r="AG87" s="14">
        <v>74607</v>
      </c>
      <c r="AH87" s="14">
        <v>173675</v>
      </c>
      <c r="AI87" s="16">
        <v>33655</v>
      </c>
      <c r="AJ87" s="14">
        <v>28919</v>
      </c>
      <c r="AK87" s="14"/>
      <c r="AL87" s="14">
        <v>1216181</v>
      </c>
      <c r="AM87" s="37">
        <v>43952</v>
      </c>
    </row>
    <row r="88" spans="1:39" s="203" customFormat="1" ht="12" x14ac:dyDescent="0.2">
      <c r="A88" s="205">
        <v>34</v>
      </c>
      <c r="B88" s="598">
        <v>141946</v>
      </c>
      <c r="C88" s="601" t="s">
        <v>3278</v>
      </c>
      <c r="D88" s="591">
        <f t="shared" si="9"/>
        <v>6953811</v>
      </c>
      <c r="E88" s="27">
        <v>1877421</v>
      </c>
      <c r="F88" s="27">
        <v>533900</v>
      </c>
      <c r="G88" s="27">
        <v>140250</v>
      </c>
      <c r="H88" s="27"/>
      <c r="I88" s="27">
        <v>1464019</v>
      </c>
      <c r="J88" s="27">
        <v>331000</v>
      </c>
      <c r="K88" s="27">
        <v>155910</v>
      </c>
      <c r="L88" s="27"/>
      <c r="M88" s="27">
        <v>1346068</v>
      </c>
      <c r="N88" s="14">
        <v>1703573</v>
      </c>
      <c r="O88" s="14">
        <v>75820</v>
      </c>
      <c r="P88" s="591">
        <f t="shared" si="12"/>
        <v>6334492</v>
      </c>
      <c r="Q88" s="32">
        <v>1771507</v>
      </c>
      <c r="R88" s="32">
        <v>1015149</v>
      </c>
      <c r="S88" s="32"/>
      <c r="T88" s="32"/>
      <c r="U88" s="32"/>
      <c r="V88" s="606"/>
      <c r="W88" s="606">
        <v>2241300</v>
      </c>
      <c r="X88" s="32">
        <v>139031</v>
      </c>
      <c r="Y88" s="603"/>
      <c r="Z88" s="49">
        <v>1169887</v>
      </c>
      <c r="AA88" s="603"/>
      <c r="AB88" s="603">
        <v>-2382</v>
      </c>
      <c r="AC88" s="16">
        <v>941072</v>
      </c>
      <c r="AD88" s="14">
        <v>32788</v>
      </c>
      <c r="AE88" s="14">
        <v>1231342</v>
      </c>
      <c r="AF88" s="14">
        <v>18219</v>
      </c>
      <c r="AG88" s="14">
        <v>79328</v>
      </c>
      <c r="AH88" s="14">
        <v>433662</v>
      </c>
      <c r="AI88" s="16">
        <v>174311</v>
      </c>
      <c r="AJ88" s="14">
        <v>136415</v>
      </c>
      <c r="AK88" s="14"/>
      <c r="AL88" s="14">
        <v>3287355</v>
      </c>
      <c r="AM88" s="37"/>
    </row>
    <row r="89" spans="1:39" s="203" customFormat="1" ht="12" x14ac:dyDescent="0.2">
      <c r="A89" s="205">
        <v>35</v>
      </c>
      <c r="B89" s="598">
        <v>142006</v>
      </c>
      <c r="C89" s="601" t="s">
        <v>3279</v>
      </c>
      <c r="D89" s="591">
        <f t="shared" si="9"/>
        <v>5062055</v>
      </c>
      <c r="E89" s="27">
        <v>991394</v>
      </c>
      <c r="F89" s="27">
        <v>220478</v>
      </c>
      <c r="G89" s="27">
        <v>170850</v>
      </c>
      <c r="H89" s="27"/>
      <c r="I89" s="27">
        <v>1677909</v>
      </c>
      <c r="J89" s="27">
        <v>130300</v>
      </c>
      <c r="K89" s="27">
        <v>1049630</v>
      </c>
      <c r="L89" s="27"/>
      <c r="M89" s="27">
        <v>197922</v>
      </c>
      <c r="N89" s="14">
        <v>893980</v>
      </c>
      <c r="O89" s="14">
        <v>120920</v>
      </c>
      <c r="P89" s="591">
        <f t="shared" si="12"/>
        <v>4091378</v>
      </c>
      <c r="Q89" s="32">
        <v>1911915</v>
      </c>
      <c r="R89" s="32">
        <v>867435</v>
      </c>
      <c r="S89" s="32"/>
      <c r="T89" s="32"/>
      <c r="U89" s="32"/>
      <c r="V89" s="606">
        <v>1319</v>
      </c>
      <c r="W89" s="606">
        <v>724889</v>
      </c>
      <c r="X89" s="32">
        <v>144271</v>
      </c>
      <c r="Y89" s="603">
        <v>130000</v>
      </c>
      <c r="Z89" s="49">
        <v>324438</v>
      </c>
      <c r="AA89" s="603"/>
      <c r="AB89" s="603">
        <v>-12889</v>
      </c>
      <c r="AC89" s="16">
        <v>512977</v>
      </c>
      <c r="AD89" s="14"/>
      <c r="AE89" s="14">
        <v>1502833</v>
      </c>
      <c r="AF89" s="14"/>
      <c r="AG89" s="14">
        <v>377142</v>
      </c>
      <c r="AH89" s="14">
        <v>375673</v>
      </c>
      <c r="AI89" s="16">
        <v>570316</v>
      </c>
      <c r="AJ89" s="14"/>
      <c r="AK89" s="14"/>
      <c r="AL89" s="14">
        <v>274660</v>
      </c>
      <c r="AM89" s="37">
        <v>477777</v>
      </c>
    </row>
    <row r="90" spans="1:39" s="203" customFormat="1" ht="12" x14ac:dyDescent="0.2">
      <c r="A90" s="205">
        <v>36</v>
      </c>
      <c r="B90" s="598">
        <v>142079</v>
      </c>
      <c r="C90" s="601" t="s">
        <v>3280</v>
      </c>
      <c r="D90" s="591">
        <f t="shared" si="9"/>
        <v>6752671</v>
      </c>
      <c r="E90" s="27">
        <v>1030661</v>
      </c>
      <c r="F90" s="27">
        <v>265779</v>
      </c>
      <c r="G90" s="27">
        <v>172099</v>
      </c>
      <c r="H90" s="27"/>
      <c r="I90" s="27">
        <v>1663073</v>
      </c>
      <c r="J90" s="27">
        <v>169000</v>
      </c>
      <c r="K90" s="27">
        <v>797460</v>
      </c>
      <c r="L90" s="27"/>
      <c r="M90" s="27">
        <v>953658</v>
      </c>
      <c r="N90" s="14">
        <v>2137899</v>
      </c>
      <c r="O90" s="14">
        <v>920</v>
      </c>
      <c r="P90" s="591">
        <f t="shared" si="12"/>
        <v>6385899</v>
      </c>
      <c r="Q90" s="32">
        <v>1959397</v>
      </c>
      <c r="R90" s="32">
        <v>860126</v>
      </c>
      <c r="S90" s="32"/>
      <c r="T90" s="32"/>
      <c r="U90" s="32"/>
      <c r="V90" s="606"/>
      <c r="W90" s="606">
        <v>2759353</v>
      </c>
      <c r="X90" s="32">
        <v>214457</v>
      </c>
      <c r="Y90" s="603">
        <v>44109</v>
      </c>
      <c r="Z90" s="49">
        <v>548457</v>
      </c>
      <c r="AA90" s="603"/>
      <c r="AB90" s="603"/>
      <c r="AC90" s="16">
        <v>681930</v>
      </c>
      <c r="AD90" s="14"/>
      <c r="AE90" s="14">
        <v>1270990</v>
      </c>
      <c r="AF90" s="14">
        <v>23890</v>
      </c>
      <c r="AG90" s="14">
        <v>36997</v>
      </c>
      <c r="AH90" s="14">
        <v>497801</v>
      </c>
      <c r="AI90" s="16">
        <v>225071</v>
      </c>
      <c r="AJ90" s="14">
        <v>138851</v>
      </c>
      <c r="AK90" s="14"/>
      <c r="AL90" s="14">
        <v>633087</v>
      </c>
      <c r="AM90" s="37">
        <v>2877282</v>
      </c>
    </row>
    <row r="91" spans="1:39" s="203" customFormat="1" ht="12" x14ac:dyDescent="0.2">
      <c r="A91" s="205">
        <v>37</v>
      </c>
      <c r="B91" s="598">
        <v>142122</v>
      </c>
      <c r="C91" s="601" t="s">
        <v>3281</v>
      </c>
      <c r="D91" s="591">
        <f t="shared" si="9"/>
        <v>6470745</v>
      </c>
      <c r="E91" s="27">
        <v>1057435</v>
      </c>
      <c r="F91" s="27">
        <v>164820</v>
      </c>
      <c r="G91" s="27">
        <v>125624</v>
      </c>
      <c r="H91" s="27"/>
      <c r="I91" s="27">
        <v>1315171</v>
      </c>
      <c r="J91" s="27">
        <v>148900</v>
      </c>
      <c r="K91" s="27">
        <v>776640</v>
      </c>
      <c r="L91" s="27"/>
      <c r="M91" s="27">
        <v>811832</v>
      </c>
      <c r="N91" s="14">
        <v>2360767</v>
      </c>
      <c r="O91" s="14"/>
      <c r="P91" s="591">
        <f t="shared" si="12"/>
        <v>4690852</v>
      </c>
      <c r="Q91" s="32">
        <v>1621986</v>
      </c>
      <c r="R91" s="32">
        <v>635223</v>
      </c>
      <c r="S91" s="32"/>
      <c r="T91" s="32"/>
      <c r="U91" s="32"/>
      <c r="V91" s="606"/>
      <c r="W91" s="606">
        <f>985416+1860</f>
        <v>987276</v>
      </c>
      <c r="X91" s="32">
        <v>258002</v>
      </c>
      <c r="Y91" s="603">
        <v>45501</v>
      </c>
      <c r="Z91" s="49">
        <v>1142864</v>
      </c>
      <c r="AA91" s="603"/>
      <c r="AB91" s="603"/>
      <c r="AC91" s="16">
        <v>1259024</v>
      </c>
      <c r="AD91" s="14">
        <v>45494</v>
      </c>
      <c r="AE91" s="14">
        <v>840698</v>
      </c>
      <c r="AF91" s="14"/>
      <c r="AG91" s="14">
        <v>79464</v>
      </c>
      <c r="AH91" s="14">
        <v>555705</v>
      </c>
      <c r="AI91" s="16">
        <v>396945</v>
      </c>
      <c r="AJ91" s="14">
        <v>66020</v>
      </c>
      <c r="AK91" s="14"/>
      <c r="AL91" s="14">
        <v>1020377</v>
      </c>
      <c r="AM91" s="37">
        <v>427125</v>
      </c>
    </row>
    <row r="92" spans="1:39" s="203" customFormat="1" ht="12" x14ac:dyDescent="0.2">
      <c r="A92" s="205">
        <v>38</v>
      </c>
      <c r="B92" s="598">
        <v>142177</v>
      </c>
      <c r="C92" s="601" t="s">
        <v>3282</v>
      </c>
      <c r="D92" s="591">
        <f t="shared" si="9"/>
        <v>4646295</v>
      </c>
      <c r="E92" s="27">
        <v>821583</v>
      </c>
      <c r="F92" s="27">
        <v>145793</v>
      </c>
      <c r="G92" s="27">
        <v>148008</v>
      </c>
      <c r="H92" s="27"/>
      <c r="I92" s="27">
        <v>1944729</v>
      </c>
      <c r="J92" s="27"/>
      <c r="K92" s="27">
        <v>932240</v>
      </c>
      <c r="L92" s="27"/>
      <c r="M92" s="27">
        <v>148648</v>
      </c>
      <c r="N92" s="14">
        <v>702475</v>
      </c>
      <c r="O92" s="14">
        <v>96620</v>
      </c>
      <c r="P92" s="591">
        <f t="shared" si="12"/>
        <v>4095181</v>
      </c>
      <c r="Q92" s="32">
        <v>2090534</v>
      </c>
      <c r="R92" s="32">
        <v>852997</v>
      </c>
      <c r="S92" s="32"/>
      <c r="T92" s="32"/>
      <c r="U92" s="32"/>
      <c r="V92" s="606">
        <v>5000</v>
      </c>
      <c r="W92" s="606">
        <v>615190</v>
      </c>
      <c r="X92" s="32">
        <v>173038</v>
      </c>
      <c r="Y92" s="603">
        <v>5000</v>
      </c>
      <c r="Z92" s="49">
        <v>356846</v>
      </c>
      <c r="AA92" s="603"/>
      <c r="AB92" s="603">
        <v>-3424</v>
      </c>
      <c r="AC92" s="16">
        <v>1623778</v>
      </c>
      <c r="AD92" s="14">
        <v>33486</v>
      </c>
      <c r="AE92" s="14">
        <v>1629973</v>
      </c>
      <c r="AF92" s="14"/>
      <c r="AG92" s="14">
        <v>49239</v>
      </c>
      <c r="AH92" s="14">
        <v>372515</v>
      </c>
      <c r="AI92" s="16">
        <v>143366</v>
      </c>
      <c r="AJ92" s="14">
        <v>61493</v>
      </c>
      <c r="AK92" s="14"/>
      <c r="AL92" s="14">
        <v>144985</v>
      </c>
      <c r="AM92" s="37">
        <v>36346</v>
      </c>
    </row>
    <row r="93" spans="1:39" s="203" customFormat="1" ht="12" x14ac:dyDescent="0.2">
      <c r="A93" s="205">
        <v>39</v>
      </c>
      <c r="B93" s="598">
        <v>142239</v>
      </c>
      <c r="C93" s="601" t="s">
        <v>3283</v>
      </c>
      <c r="D93" s="591">
        <f t="shared" si="9"/>
        <v>8527189</v>
      </c>
      <c r="E93" s="27">
        <v>3094908</v>
      </c>
      <c r="F93" s="27">
        <v>1773025</v>
      </c>
      <c r="G93" s="27">
        <v>59636</v>
      </c>
      <c r="H93" s="27"/>
      <c r="I93" s="27">
        <v>3565280</v>
      </c>
      <c r="J93" s="27">
        <v>89350</v>
      </c>
      <c r="K93" s="27">
        <v>163820</v>
      </c>
      <c r="L93" s="27"/>
      <c r="M93" s="27">
        <v>813626</v>
      </c>
      <c r="N93" s="14">
        <v>697162</v>
      </c>
      <c r="O93" s="14">
        <v>103043</v>
      </c>
      <c r="P93" s="591">
        <f t="shared" si="12"/>
        <v>7796820</v>
      </c>
      <c r="Q93" s="32">
        <v>3861376</v>
      </c>
      <c r="R93" s="32">
        <v>1168598</v>
      </c>
      <c r="S93" s="32"/>
      <c r="T93" s="32"/>
      <c r="U93" s="32"/>
      <c r="V93" s="606"/>
      <c r="W93" s="606">
        <v>922227</v>
      </c>
      <c r="X93" s="32">
        <v>156625</v>
      </c>
      <c r="Y93" s="603">
        <v>116100</v>
      </c>
      <c r="Z93" s="49">
        <v>1684456</v>
      </c>
      <c r="AA93" s="603"/>
      <c r="AB93" s="603">
        <v>-112562</v>
      </c>
      <c r="AC93" s="16">
        <v>1107696</v>
      </c>
      <c r="AD93" s="14"/>
      <c r="AE93" s="14">
        <v>3332067</v>
      </c>
      <c r="AF93" s="14">
        <v>22187</v>
      </c>
      <c r="AG93" s="14">
        <v>280424</v>
      </c>
      <c r="AH93" s="14">
        <v>493873</v>
      </c>
      <c r="AI93" s="16">
        <v>321239</v>
      </c>
      <c r="AJ93" s="14">
        <v>927096</v>
      </c>
      <c r="AK93" s="14"/>
      <c r="AL93" s="14">
        <v>694183</v>
      </c>
      <c r="AM93" s="37">
        <v>618055</v>
      </c>
    </row>
    <row r="94" spans="1:39" s="203" customFormat="1" ht="12" x14ac:dyDescent="0.2">
      <c r="A94" s="205">
        <v>40</v>
      </c>
      <c r="B94" s="598">
        <v>142284</v>
      </c>
      <c r="C94" s="601" t="s">
        <v>3284</v>
      </c>
      <c r="D94" s="591">
        <f t="shared" si="9"/>
        <v>9516260</v>
      </c>
      <c r="E94" s="27">
        <v>2607123</v>
      </c>
      <c r="F94" s="27">
        <v>952690</v>
      </c>
      <c r="G94" s="27">
        <v>571821</v>
      </c>
      <c r="H94" s="27"/>
      <c r="I94" s="27">
        <v>2483930</v>
      </c>
      <c r="J94" s="27">
        <v>158950</v>
      </c>
      <c r="K94" s="27">
        <v>291920</v>
      </c>
      <c r="L94" s="27"/>
      <c r="M94" s="27">
        <v>1832110</v>
      </c>
      <c r="N94" s="14">
        <v>2125067</v>
      </c>
      <c r="O94" s="14">
        <v>17160</v>
      </c>
      <c r="P94" s="591">
        <f t="shared" si="12"/>
        <v>7774389</v>
      </c>
      <c r="Q94" s="32">
        <v>2978459</v>
      </c>
      <c r="R94" s="32">
        <v>1281114</v>
      </c>
      <c r="S94" s="32"/>
      <c r="T94" s="32"/>
      <c r="U94" s="32"/>
      <c r="V94" s="606"/>
      <c r="W94" s="606">
        <v>254228</v>
      </c>
      <c r="X94" s="32">
        <v>163131</v>
      </c>
      <c r="Y94" s="603">
        <v>20000</v>
      </c>
      <c r="Z94" s="49">
        <v>1216259</v>
      </c>
      <c r="AA94" s="603">
        <v>2034291</v>
      </c>
      <c r="AB94" s="603">
        <v>-173093</v>
      </c>
      <c r="AC94" s="16">
        <v>1154224</v>
      </c>
      <c r="AD94" s="14">
        <v>44092</v>
      </c>
      <c r="AE94" s="14">
        <v>2059022</v>
      </c>
      <c r="AF94" s="14"/>
      <c r="AG94" s="14">
        <v>175982</v>
      </c>
      <c r="AH94" s="14">
        <v>651071</v>
      </c>
      <c r="AI94" s="16">
        <v>570939</v>
      </c>
      <c r="AJ94" s="14">
        <v>269326</v>
      </c>
      <c r="AK94" s="14"/>
      <c r="AL94" s="14">
        <v>708761</v>
      </c>
      <c r="AM94" s="37">
        <v>2140972</v>
      </c>
    </row>
    <row r="95" spans="1:39" s="203" customFormat="1" ht="12" x14ac:dyDescent="0.2">
      <c r="A95" s="205">
        <v>41</v>
      </c>
      <c r="B95" s="598">
        <v>142337</v>
      </c>
      <c r="C95" s="601" t="s">
        <v>3285</v>
      </c>
      <c r="D95" s="591">
        <f t="shared" si="9"/>
        <v>5274790</v>
      </c>
      <c r="E95" s="602">
        <v>977528</v>
      </c>
      <c r="F95" s="602">
        <v>140420</v>
      </c>
      <c r="G95" s="602">
        <v>172278</v>
      </c>
      <c r="H95" s="602"/>
      <c r="I95" s="602">
        <v>2043066</v>
      </c>
      <c r="J95" s="602">
        <v>181860</v>
      </c>
      <c r="K95" s="602">
        <v>1714780</v>
      </c>
      <c r="L95" s="602"/>
      <c r="M95" s="602">
        <v>315436</v>
      </c>
      <c r="N95" s="32"/>
      <c r="O95" s="32">
        <v>42120</v>
      </c>
      <c r="P95" s="591">
        <f t="shared" si="12"/>
        <v>4309657</v>
      </c>
      <c r="Q95" s="32">
        <v>2377975</v>
      </c>
      <c r="R95" s="32">
        <v>840612</v>
      </c>
      <c r="S95" s="32"/>
      <c r="T95" s="32"/>
      <c r="U95" s="32"/>
      <c r="V95" s="606">
        <v>289073</v>
      </c>
      <c r="W95" s="606"/>
      <c r="X95" s="32">
        <v>100740</v>
      </c>
      <c r="Y95" s="603">
        <v>25000</v>
      </c>
      <c r="Z95" s="49">
        <v>676919</v>
      </c>
      <c r="AA95" s="603"/>
      <c r="AB95" s="603">
        <v>-662</v>
      </c>
      <c r="AC95" s="49">
        <v>785777</v>
      </c>
      <c r="AD95" s="32">
        <v>45950</v>
      </c>
      <c r="AE95" s="32">
        <v>1522637</v>
      </c>
      <c r="AF95" s="32">
        <v>23582</v>
      </c>
      <c r="AG95" s="32">
        <v>45736</v>
      </c>
      <c r="AH95" s="32">
        <v>1167163</v>
      </c>
      <c r="AI95" s="49">
        <v>249318</v>
      </c>
      <c r="AJ95" s="32">
        <v>1215</v>
      </c>
      <c r="AK95" s="32"/>
      <c r="AL95" s="32">
        <v>307846</v>
      </c>
      <c r="AM95" s="36">
        <v>160433</v>
      </c>
    </row>
    <row r="96" spans="1:39" s="203" customFormat="1" ht="12" x14ac:dyDescent="0.2">
      <c r="A96" s="205">
        <v>42</v>
      </c>
      <c r="B96" s="598">
        <v>142373</v>
      </c>
      <c r="C96" s="601" t="s">
        <v>3286</v>
      </c>
      <c r="D96" s="591">
        <f t="shared" si="9"/>
        <v>3057688</v>
      </c>
      <c r="E96" s="602">
        <v>494325</v>
      </c>
      <c r="F96" s="602">
        <v>72594</v>
      </c>
      <c r="G96" s="602">
        <v>213438</v>
      </c>
      <c r="H96" s="602"/>
      <c r="I96" s="602">
        <v>1135697</v>
      </c>
      <c r="J96" s="602">
        <v>137000</v>
      </c>
      <c r="K96" s="602">
        <v>1192600</v>
      </c>
      <c r="L96" s="602"/>
      <c r="M96" s="602">
        <v>67866</v>
      </c>
      <c r="N96" s="32">
        <v>24280</v>
      </c>
      <c r="O96" s="32">
        <v>5920</v>
      </c>
      <c r="P96" s="591">
        <f t="shared" si="12"/>
        <v>2642667</v>
      </c>
      <c r="Q96" s="32">
        <v>1410304</v>
      </c>
      <c r="R96" s="32">
        <v>781309</v>
      </c>
      <c r="S96" s="32"/>
      <c r="T96" s="32"/>
      <c r="U96" s="32"/>
      <c r="V96" s="606"/>
      <c r="W96" s="606">
        <v>88185</v>
      </c>
      <c r="X96" s="32">
        <v>34448</v>
      </c>
      <c r="Y96" s="603"/>
      <c r="Z96" s="49">
        <v>328421</v>
      </c>
      <c r="AA96" s="603"/>
      <c r="AB96" s="603"/>
      <c r="AC96" s="49">
        <v>392947</v>
      </c>
      <c r="AD96" s="32">
        <v>2057</v>
      </c>
      <c r="AE96" s="32">
        <v>903555</v>
      </c>
      <c r="AF96" s="32"/>
      <c r="AG96" s="32">
        <v>366646</v>
      </c>
      <c r="AH96" s="32">
        <v>275509</v>
      </c>
      <c r="AI96" s="49">
        <v>223908</v>
      </c>
      <c r="AJ96" s="32">
        <v>34150</v>
      </c>
      <c r="AK96" s="32"/>
      <c r="AL96" s="32">
        <v>243454</v>
      </c>
      <c r="AM96" s="36">
        <v>200441</v>
      </c>
    </row>
    <row r="97" spans="1:39" s="203" customFormat="1" ht="12" x14ac:dyDescent="0.2">
      <c r="A97" s="205">
        <v>43</v>
      </c>
      <c r="B97" s="598">
        <v>142426</v>
      </c>
      <c r="C97" s="601" t="s">
        <v>3287</v>
      </c>
      <c r="D97" s="591">
        <f t="shared" si="9"/>
        <v>4542255</v>
      </c>
      <c r="E97" s="602">
        <v>1122480</v>
      </c>
      <c r="F97" s="602">
        <v>207724</v>
      </c>
      <c r="G97" s="602">
        <v>218825</v>
      </c>
      <c r="H97" s="602"/>
      <c r="I97" s="602">
        <v>1765492</v>
      </c>
      <c r="J97" s="602">
        <v>121000</v>
      </c>
      <c r="K97" s="602">
        <v>915490</v>
      </c>
      <c r="L97" s="602"/>
      <c r="M97" s="602">
        <v>70582</v>
      </c>
      <c r="N97" s="32">
        <v>523211</v>
      </c>
      <c r="O97" s="32">
        <v>24000</v>
      </c>
      <c r="P97" s="591">
        <f t="shared" si="12"/>
        <v>4779766</v>
      </c>
      <c r="Q97" s="32">
        <v>1852673</v>
      </c>
      <c r="R97" s="32">
        <v>1217833</v>
      </c>
      <c r="S97" s="32"/>
      <c r="T97" s="32"/>
      <c r="U97" s="32"/>
      <c r="V97" s="606"/>
      <c r="W97" s="606">
        <v>885391</v>
      </c>
      <c r="X97" s="32">
        <v>237047</v>
      </c>
      <c r="Y97" s="603">
        <v>38000</v>
      </c>
      <c r="Z97" s="49">
        <v>566187</v>
      </c>
      <c r="AA97" s="603"/>
      <c r="AB97" s="603">
        <v>-17365</v>
      </c>
      <c r="AC97" s="49">
        <v>1150057</v>
      </c>
      <c r="AD97" s="32"/>
      <c r="AE97" s="32">
        <v>1405406</v>
      </c>
      <c r="AF97" s="32"/>
      <c r="AG97" s="32">
        <v>445378</v>
      </c>
      <c r="AH97" s="32">
        <v>441635</v>
      </c>
      <c r="AI97" s="49">
        <v>280854</v>
      </c>
      <c r="AJ97" s="32">
        <v>89992</v>
      </c>
      <c r="AK97" s="32"/>
      <c r="AL97" s="32">
        <v>503569</v>
      </c>
      <c r="AM97" s="36">
        <v>462875</v>
      </c>
    </row>
    <row r="98" spans="1:39" s="203" customFormat="1" ht="12" x14ac:dyDescent="0.2">
      <c r="A98" s="205">
        <v>44</v>
      </c>
      <c r="B98" s="598">
        <v>142499</v>
      </c>
      <c r="C98" s="601" t="s">
        <v>3288</v>
      </c>
      <c r="D98" s="591">
        <f t="shared" si="9"/>
        <v>3996418</v>
      </c>
      <c r="E98" s="602">
        <v>580392</v>
      </c>
      <c r="F98" s="602">
        <v>68666</v>
      </c>
      <c r="G98" s="602">
        <v>197780</v>
      </c>
      <c r="H98" s="602"/>
      <c r="I98" s="602">
        <v>912826</v>
      </c>
      <c r="J98" s="602">
        <v>75000</v>
      </c>
      <c r="K98" s="602">
        <v>1110130</v>
      </c>
      <c r="L98" s="602"/>
      <c r="M98" s="602">
        <v>966688</v>
      </c>
      <c r="N98" s="32">
        <v>224996</v>
      </c>
      <c r="O98" s="32">
        <v>126386</v>
      </c>
      <c r="P98" s="591">
        <f t="shared" si="12"/>
        <v>3079768</v>
      </c>
      <c r="Q98" s="32">
        <v>1202238</v>
      </c>
      <c r="R98" s="32">
        <v>459211</v>
      </c>
      <c r="S98" s="32"/>
      <c r="T98" s="32"/>
      <c r="U98" s="32"/>
      <c r="V98" s="606">
        <v>106528</v>
      </c>
      <c r="W98" s="606"/>
      <c r="X98" s="32">
        <v>93684</v>
      </c>
      <c r="Y98" s="603">
        <v>2000</v>
      </c>
      <c r="Z98" s="49">
        <v>1239855</v>
      </c>
      <c r="AA98" s="603"/>
      <c r="AB98" s="603">
        <v>-23748</v>
      </c>
      <c r="AC98" s="49">
        <v>582162</v>
      </c>
      <c r="AD98" s="32">
        <v>15374</v>
      </c>
      <c r="AE98" s="32">
        <v>670869</v>
      </c>
      <c r="AF98" s="32">
        <v>24714</v>
      </c>
      <c r="AG98" s="32">
        <v>176473</v>
      </c>
      <c r="AH98" s="32">
        <v>336287</v>
      </c>
      <c r="AI98" s="49">
        <v>247731</v>
      </c>
      <c r="AJ98" s="32">
        <v>26906</v>
      </c>
      <c r="AK98" s="32"/>
      <c r="AL98" s="32">
        <v>996986</v>
      </c>
      <c r="AM98" s="36">
        <v>2266</v>
      </c>
    </row>
    <row r="99" spans="1:39" s="203" customFormat="1" ht="12" x14ac:dyDescent="0.2">
      <c r="A99" s="205">
        <v>45</v>
      </c>
      <c r="B99" s="598">
        <v>142550</v>
      </c>
      <c r="C99" s="601" t="s">
        <v>3289</v>
      </c>
      <c r="D99" s="591">
        <f t="shared" si="9"/>
        <v>7840222</v>
      </c>
      <c r="E99" s="602">
        <v>1020426</v>
      </c>
      <c r="F99" s="602">
        <v>174304</v>
      </c>
      <c r="G99" s="602">
        <v>136304</v>
      </c>
      <c r="H99" s="602"/>
      <c r="I99" s="602">
        <v>1686825</v>
      </c>
      <c r="J99" s="602">
        <v>191940</v>
      </c>
      <c r="K99" s="602">
        <v>881280</v>
      </c>
      <c r="L99" s="602"/>
      <c r="M99" s="602">
        <v>3371871</v>
      </c>
      <c r="N99" s="32">
        <v>676960</v>
      </c>
      <c r="O99" s="32">
        <v>10920</v>
      </c>
      <c r="P99" s="591">
        <f t="shared" si="12"/>
        <v>7125908</v>
      </c>
      <c r="Q99" s="32">
        <v>2008207</v>
      </c>
      <c r="R99" s="32">
        <v>1038814</v>
      </c>
      <c r="S99" s="32"/>
      <c r="T99" s="32"/>
      <c r="U99" s="32"/>
      <c r="V99" s="606"/>
      <c r="W99" s="606">
        <v>502707</v>
      </c>
      <c r="X99" s="32">
        <v>121345</v>
      </c>
      <c r="Y99" s="603"/>
      <c r="Z99" s="49">
        <v>3454835</v>
      </c>
      <c r="AA99" s="603"/>
      <c r="AB99" s="603"/>
      <c r="AC99" s="49">
        <v>741540</v>
      </c>
      <c r="AD99" s="32">
        <v>86891</v>
      </c>
      <c r="AE99" s="32">
        <v>1300612</v>
      </c>
      <c r="AF99" s="32"/>
      <c r="AG99" s="32">
        <v>78042</v>
      </c>
      <c r="AH99" s="32">
        <v>503020</v>
      </c>
      <c r="AI99" s="49">
        <v>111955</v>
      </c>
      <c r="AJ99" s="32">
        <v>76553</v>
      </c>
      <c r="AK99" s="32"/>
      <c r="AL99" s="32">
        <v>3773897</v>
      </c>
      <c r="AM99" s="36">
        <v>453398</v>
      </c>
    </row>
    <row r="100" spans="1:39" s="203" customFormat="1" ht="12" x14ac:dyDescent="0.2">
      <c r="A100" s="205">
        <v>46</v>
      </c>
      <c r="B100" s="598">
        <v>179695</v>
      </c>
      <c r="C100" s="601" t="s">
        <v>3290</v>
      </c>
      <c r="D100" s="591">
        <f t="shared" si="9"/>
        <v>3804047</v>
      </c>
      <c r="E100" s="602">
        <v>528860</v>
      </c>
      <c r="F100" s="602">
        <v>68560</v>
      </c>
      <c r="G100" s="602">
        <v>195836</v>
      </c>
      <c r="H100" s="602"/>
      <c r="I100" s="602">
        <v>888051</v>
      </c>
      <c r="J100" s="602"/>
      <c r="K100" s="602">
        <v>1097450</v>
      </c>
      <c r="L100" s="602"/>
      <c r="M100" s="602">
        <v>701242</v>
      </c>
      <c r="N100" s="32">
        <v>523204</v>
      </c>
      <c r="O100" s="32">
        <v>65240</v>
      </c>
      <c r="P100" s="591">
        <f t="shared" si="12"/>
        <v>3254773</v>
      </c>
      <c r="Q100" s="32">
        <v>1142919</v>
      </c>
      <c r="R100" s="32">
        <v>459937</v>
      </c>
      <c r="S100" s="32"/>
      <c r="T100" s="32"/>
      <c r="U100" s="32"/>
      <c r="V100" s="606"/>
      <c r="W100" s="606">
        <v>1644119</v>
      </c>
      <c r="X100" s="32">
        <v>91834</v>
      </c>
      <c r="Y100" s="603"/>
      <c r="Z100" s="49"/>
      <c r="AA100" s="603"/>
      <c r="AB100" s="603">
        <v>-84036</v>
      </c>
      <c r="AC100" s="49">
        <v>410634</v>
      </c>
      <c r="AD100" s="32">
        <v>24151</v>
      </c>
      <c r="AE100" s="32">
        <v>701813</v>
      </c>
      <c r="AF100" s="32">
        <v>2292</v>
      </c>
      <c r="AG100" s="32">
        <v>100341</v>
      </c>
      <c r="AH100" s="32">
        <v>248949</v>
      </c>
      <c r="AI100" s="49">
        <v>30321</v>
      </c>
      <c r="AJ100" s="32">
        <v>22298</v>
      </c>
      <c r="AK100" s="32"/>
      <c r="AL100" s="32">
        <v>98380</v>
      </c>
      <c r="AM100" s="36">
        <v>1615594</v>
      </c>
    </row>
    <row r="101" spans="1:39" s="203" customFormat="1" ht="12" x14ac:dyDescent="0.2">
      <c r="A101" s="205">
        <v>47</v>
      </c>
      <c r="B101" s="598">
        <v>142612</v>
      </c>
      <c r="C101" s="601" t="s">
        <v>784</v>
      </c>
      <c r="D101" s="591">
        <f t="shared" si="9"/>
        <v>18920733</v>
      </c>
      <c r="E101" s="602">
        <v>1587238</v>
      </c>
      <c r="F101" s="602">
        <v>211271</v>
      </c>
      <c r="G101" s="602">
        <v>469200</v>
      </c>
      <c r="H101" s="602"/>
      <c r="I101" s="602">
        <v>2703444</v>
      </c>
      <c r="J101" s="602">
        <v>133858</v>
      </c>
      <c r="K101" s="602">
        <v>801020</v>
      </c>
      <c r="L101" s="602"/>
      <c r="M101" s="602">
        <v>1885429</v>
      </c>
      <c r="N101" s="32">
        <v>11768124</v>
      </c>
      <c r="O101" s="32">
        <v>41620</v>
      </c>
      <c r="P101" s="591">
        <f t="shared" si="12"/>
        <v>19257372</v>
      </c>
      <c r="Q101" s="32">
        <v>2778068</v>
      </c>
      <c r="R101" s="49">
        <v>904382</v>
      </c>
      <c r="S101" s="32">
        <v>38126</v>
      </c>
      <c r="T101" s="32"/>
      <c r="U101" s="32"/>
      <c r="V101" s="606">
        <v>400000</v>
      </c>
      <c r="W101" s="606">
        <v>14822066</v>
      </c>
      <c r="X101" s="32">
        <v>214340</v>
      </c>
      <c r="Y101" s="603">
        <v>21616</v>
      </c>
      <c r="Z101" s="49">
        <v>27202</v>
      </c>
      <c r="AA101" s="603">
        <v>55863</v>
      </c>
      <c r="AB101" s="603">
        <v>-4291</v>
      </c>
      <c r="AC101" s="49">
        <v>1022469</v>
      </c>
      <c r="AD101" s="32">
        <v>29464</v>
      </c>
      <c r="AE101" s="32">
        <v>17168929</v>
      </c>
      <c r="AF101" s="32">
        <v>26780</v>
      </c>
      <c r="AG101" s="32">
        <v>101424</v>
      </c>
      <c r="AH101" s="32">
        <v>366334</v>
      </c>
      <c r="AI101" s="49">
        <v>87866</v>
      </c>
      <c r="AJ101" s="32">
        <v>129693</v>
      </c>
      <c r="AK101" s="32"/>
      <c r="AL101" s="32">
        <v>274494</v>
      </c>
      <c r="AM101" s="36">
        <v>49919</v>
      </c>
    </row>
    <row r="102" spans="1:39" s="203" customFormat="1" ht="12" x14ac:dyDescent="0.2">
      <c r="A102" s="205">
        <v>48</v>
      </c>
      <c r="B102" s="598">
        <v>142676</v>
      </c>
      <c r="C102" s="601" t="s">
        <v>3291</v>
      </c>
      <c r="D102" s="591">
        <f t="shared" si="9"/>
        <v>3228318</v>
      </c>
      <c r="E102" s="602">
        <v>719565</v>
      </c>
      <c r="F102" s="602">
        <v>161105</v>
      </c>
      <c r="G102" s="602">
        <v>170746</v>
      </c>
      <c r="H102" s="602"/>
      <c r="I102" s="602">
        <v>860956</v>
      </c>
      <c r="J102" s="602">
        <v>86800</v>
      </c>
      <c r="K102" s="602">
        <v>973640</v>
      </c>
      <c r="L102" s="602"/>
      <c r="M102" s="602">
        <v>123261</v>
      </c>
      <c r="N102" s="32">
        <v>464096</v>
      </c>
      <c r="O102" s="32"/>
      <c r="P102" s="591">
        <f t="shared" si="12"/>
        <v>2427256</v>
      </c>
      <c r="Q102" s="32">
        <v>1038691</v>
      </c>
      <c r="R102" s="32">
        <v>509410</v>
      </c>
      <c r="S102" s="32"/>
      <c r="T102" s="32"/>
      <c r="U102" s="32"/>
      <c r="V102" s="606"/>
      <c r="W102" s="606">
        <v>234987</v>
      </c>
      <c r="X102" s="32">
        <v>149895</v>
      </c>
      <c r="Y102" s="603">
        <v>3000</v>
      </c>
      <c r="Z102" s="49">
        <v>492168</v>
      </c>
      <c r="AA102" s="603"/>
      <c r="AB102" s="603">
        <v>-895</v>
      </c>
      <c r="AC102" s="49">
        <v>1060212</v>
      </c>
      <c r="AD102" s="32">
        <v>1920</v>
      </c>
      <c r="AE102" s="32">
        <v>660456</v>
      </c>
      <c r="AF102" s="32">
        <v>12046</v>
      </c>
      <c r="AG102" s="32"/>
      <c r="AH102" s="32">
        <v>268291</v>
      </c>
      <c r="AI102" s="49">
        <v>60038</v>
      </c>
      <c r="AJ102" s="32">
        <v>52149</v>
      </c>
      <c r="AK102" s="32"/>
      <c r="AL102" s="32">
        <v>312144</v>
      </c>
      <c r="AM102" s="36"/>
    </row>
    <row r="103" spans="1:39" s="203" customFormat="1" ht="12" x14ac:dyDescent="0.2">
      <c r="A103" s="205">
        <v>49</v>
      </c>
      <c r="B103" s="598">
        <v>142710</v>
      </c>
      <c r="C103" s="601" t="s">
        <v>3292</v>
      </c>
      <c r="D103" s="591">
        <f t="shared" si="9"/>
        <v>11099271</v>
      </c>
      <c r="E103" s="602">
        <v>860652</v>
      </c>
      <c r="F103" s="602">
        <v>148843</v>
      </c>
      <c r="G103" s="602">
        <v>156805</v>
      </c>
      <c r="H103" s="602"/>
      <c r="I103" s="602">
        <v>1752937</v>
      </c>
      <c r="J103" s="602">
        <v>271300</v>
      </c>
      <c r="K103" s="602">
        <v>965380</v>
      </c>
      <c r="L103" s="602"/>
      <c r="M103" s="602">
        <v>6322649</v>
      </c>
      <c r="N103" s="32">
        <v>831433</v>
      </c>
      <c r="O103" s="32">
        <v>94920</v>
      </c>
      <c r="P103" s="591">
        <f t="shared" si="12"/>
        <v>10502764</v>
      </c>
      <c r="Q103" s="32">
        <v>1986258</v>
      </c>
      <c r="R103" s="32">
        <v>1130441</v>
      </c>
      <c r="S103" s="32"/>
      <c r="T103" s="32"/>
      <c r="U103" s="32"/>
      <c r="V103" s="606"/>
      <c r="W103" s="606">
        <v>803801</v>
      </c>
      <c r="X103" s="32">
        <v>190349</v>
      </c>
      <c r="Y103" s="603"/>
      <c r="Z103" s="49">
        <v>6414333</v>
      </c>
      <c r="AA103" s="603"/>
      <c r="AB103" s="603">
        <v>-22418</v>
      </c>
      <c r="AC103" s="49">
        <v>647796</v>
      </c>
      <c r="AD103" s="32">
        <v>14952</v>
      </c>
      <c r="AE103" s="32">
        <v>1805978</v>
      </c>
      <c r="AF103" s="32">
        <v>1272</v>
      </c>
      <c r="AG103" s="32">
        <v>86089</v>
      </c>
      <c r="AH103" s="32">
        <v>539988</v>
      </c>
      <c r="AI103" s="49">
        <v>3053065</v>
      </c>
      <c r="AJ103" s="32">
        <v>45244</v>
      </c>
      <c r="AK103" s="32"/>
      <c r="AL103" s="32">
        <v>4134216</v>
      </c>
      <c r="AM103" s="36">
        <v>174164</v>
      </c>
    </row>
    <row r="104" spans="1:39" s="203" customFormat="1" ht="12" x14ac:dyDescent="0.2">
      <c r="A104" s="205">
        <v>50</v>
      </c>
      <c r="B104" s="598">
        <v>142774</v>
      </c>
      <c r="C104" s="601" t="s">
        <v>3293</v>
      </c>
      <c r="D104" s="591">
        <f t="shared" si="9"/>
        <v>5701843</v>
      </c>
      <c r="E104" s="602">
        <v>1638559</v>
      </c>
      <c r="F104" s="602">
        <v>377336</v>
      </c>
      <c r="G104" s="602">
        <v>344414</v>
      </c>
      <c r="H104" s="602"/>
      <c r="I104" s="602">
        <v>2544336</v>
      </c>
      <c r="J104" s="602">
        <v>95358</v>
      </c>
      <c r="K104" s="602">
        <v>595610</v>
      </c>
      <c r="L104" s="602"/>
      <c r="M104" s="602">
        <v>392657</v>
      </c>
      <c r="N104" s="32">
        <v>290659</v>
      </c>
      <c r="O104" s="32">
        <v>144664</v>
      </c>
      <c r="P104" s="591">
        <f t="shared" si="12"/>
        <v>5356862</v>
      </c>
      <c r="Q104" s="32">
        <v>2522767</v>
      </c>
      <c r="R104" s="32">
        <v>1278635</v>
      </c>
      <c r="S104" s="32"/>
      <c r="T104" s="32"/>
      <c r="U104" s="32"/>
      <c r="V104" s="606">
        <v>40144</v>
      </c>
      <c r="W104" s="606">
        <v>457105</v>
      </c>
      <c r="X104" s="32">
        <v>385774</v>
      </c>
      <c r="Y104" s="603">
        <v>18500</v>
      </c>
      <c r="Z104" s="49">
        <v>668588</v>
      </c>
      <c r="AA104" s="603"/>
      <c r="AB104" s="603">
        <v>-14651</v>
      </c>
      <c r="AC104" s="49">
        <v>742124</v>
      </c>
      <c r="AD104" s="32">
        <v>23733</v>
      </c>
      <c r="AE104" s="32">
        <v>2101755</v>
      </c>
      <c r="AF104" s="32">
        <v>12561</v>
      </c>
      <c r="AG104" s="32">
        <v>512243</v>
      </c>
      <c r="AH104" s="32">
        <v>602280</v>
      </c>
      <c r="AI104" s="49">
        <v>757618</v>
      </c>
      <c r="AJ104" s="32">
        <v>130401</v>
      </c>
      <c r="AK104" s="32"/>
      <c r="AL104" s="32">
        <v>471083</v>
      </c>
      <c r="AM104" s="36">
        <v>3064</v>
      </c>
    </row>
    <row r="105" spans="1:39" s="203" customFormat="1" ht="12" x14ac:dyDescent="0.2">
      <c r="A105" s="205">
        <v>51</v>
      </c>
      <c r="B105" s="598">
        <v>142854</v>
      </c>
      <c r="C105" s="601" t="s">
        <v>3294</v>
      </c>
      <c r="D105" s="591">
        <f t="shared" si="9"/>
        <v>5108619</v>
      </c>
      <c r="E105" s="602">
        <v>609827</v>
      </c>
      <c r="F105" s="602">
        <v>124043</v>
      </c>
      <c r="G105" s="602">
        <v>205727</v>
      </c>
      <c r="H105" s="602"/>
      <c r="I105" s="602">
        <v>1402269</v>
      </c>
      <c r="J105" s="602">
        <v>182600</v>
      </c>
      <c r="K105" s="602">
        <v>1175290</v>
      </c>
      <c r="L105" s="602"/>
      <c r="M105" s="602">
        <v>1080143</v>
      </c>
      <c r="N105" s="32">
        <v>640898</v>
      </c>
      <c r="O105" s="32">
        <v>17592</v>
      </c>
      <c r="P105" s="591">
        <f t="shared" si="12"/>
        <v>4994672</v>
      </c>
      <c r="Q105" s="32">
        <v>1696226</v>
      </c>
      <c r="R105" s="32">
        <v>678285</v>
      </c>
      <c r="S105" s="32">
        <v>59951</v>
      </c>
      <c r="T105" s="32"/>
      <c r="U105" s="32"/>
      <c r="V105" s="606"/>
      <c r="W105" s="606">
        <v>501798</v>
      </c>
      <c r="X105" s="32">
        <v>106516</v>
      </c>
      <c r="Y105" s="603">
        <v>141000</v>
      </c>
      <c r="Z105" s="49">
        <v>449573</v>
      </c>
      <c r="AA105" s="603">
        <v>1362947</v>
      </c>
      <c r="AB105" s="603">
        <v>-1624</v>
      </c>
      <c r="AC105" s="49">
        <v>600309</v>
      </c>
      <c r="AD105" s="32">
        <v>35070</v>
      </c>
      <c r="AE105" s="32">
        <v>1379845</v>
      </c>
      <c r="AF105" s="32"/>
      <c r="AG105" s="32">
        <v>179546</v>
      </c>
      <c r="AH105" s="32">
        <v>204331</v>
      </c>
      <c r="AI105" s="49">
        <v>164480</v>
      </c>
      <c r="AJ105" s="32">
        <v>107408</v>
      </c>
      <c r="AK105" s="32"/>
      <c r="AL105" s="32">
        <v>1345152</v>
      </c>
      <c r="AM105" s="36">
        <v>978531</v>
      </c>
    </row>
    <row r="106" spans="1:39" s="203" customFormat="1" ht="12" x14ac:dyDescent="0.2">
      <c r="A106" s="205">
        <v>52</v>
      </c>
      <c r="B106" s="598">
        <v>142881</v>
      </c>
      <c r="C106" s="601" t="s">
        <v>3295</v>
      </c>
      <c r="D106" s="591">
        <f t="shared" si="9"/>
        <v>16290587</v>
      </c>
      <c r="E106" s="602">
        <v>3067468</v>
      </c>
      <c r="F106" s="602">
        <v>823551</v>
      </c>
      <c r="G106" s="602">
        <v>816260</v>
      </c>
      <c r="H106" s="602"/>
      <c r="I106" s="602">
        <v>5028152</v>
      </c>
      <c r="J106" s="602">
        <v>34000</v>
      </c>
      <c r="K106" s="602">
        <v>675602</v>
      </c>
      <c r="L106" s="602"/>
      <c r="M106" s="602">
        <v>524353</v>
      </c>
      <c r="N106" s="32">
        <v>5211965</v>
      </c>
      <c r="O106" s="32">
        <v>1749047</v>
      </c>
      <c r="P106" s="591">
        <f t="shared" si="12"/>
        <v>11877145</v>
      </c>
      <c r="Q106" s="32">
        <v>5360446</v>
      </c>
      <c r="R106" s="32">
        <v>1550119</v>
      </c>
      <c r="S106" s="32"/>
      <c r="T106" s="32"/>
      <c r="U106" s="32"/>
      <c r="V106" s="606"/>
      <c r="W106" s="606">
        <v>1545700</v>
      </c>
      <c r="X106" s="32">
        <v>513795</v>
      </c>
      <c r="Y106" s="603">
        <v>19119</v>
      </c>
      <c r="Z106" s="49">
        <v>2894576</v>
      </c>
      <c r="AA106" s="603"/>
      <c r="AB106" s="603">
        <v>-6610</v>
      </c>
      <c r="AC106" s="49">
        <v>968897</v>
      </c>
      <c r="AD106" s="32">
        <v>373109</v>
      </c>
      <c r="AE106" s="32">
        <v>4972344</v>
      </c>
      <c r="AF106" s="32">
        <v>22955</v>
      </c>
      <c r="AG106" s="32">
        <v>335340</v>
      </c>
      <c r="AH106" s="32">
        <v>946777</v>
      </c>
      <c r="AI106" s="49">
        <v>1846753</v>
      </c>
      <c r="AJ106" s="32">
        <v>1658223</v>
      </c>
      <c r="AK106" s="32"/>
      <c r="AL106" s="32">
        <v>693068</v>
      </c>
      <c r="AM106" s="36">
        <v>59679</v>
      </c>
    </row>
    <row r="107" spans="1:39" s="203" customFormat="1" ht="12" x14ac:dyDescent="0.2">
      <c r="A107" s="205">
        <v>53</v>
      </c>
      <c r="B107" s="598">
        <v>179631</v>
      </c>
      <c r="C107" s="601" t="s">
        <v>3296</v>
      </c>
      <c r="D107" s="591">
        <f t="shared" si="9"/>
        <v>3256953</v>
      </c>
      <c r="E107" s="602">
        <v>466142</v>
      </c>
      <c r="F107" s="602">
        <v>64915</v>
      </c>
      <c r="G107" s="602">
        <v>220532</v>
      </c>
      <c r="H107" s="602"/>
      <c r="I107" s="602">
        <v>707077</v>
      </c>
      <c r="J107" s="602">
        <v>75900</v>
      </c>
      <c r="K107" s="602">
        <v>1227300</v>
      </c>
      <c r="L107" s="602"/>
      <c r="M107" s="602">
        <v>521988</v>
      </c>
      <c r="N107" s="32">
        <v>190626</v>
      </c>
      <c r="O107" s="32">
        <v>67920</v>
      </c>
      <c r="P107" s="591">
        <f t="shared" si="12"/>
        <v>5168455</v>
      </c>
      <c r="Q107" s="32">
        <v>983264</v>
      </c>
      <c r="R107" s="32">
        <v>561751</v>
      </c>
      <c r="S107" s="32"/>
      <c r="T107" s="32"/>
      <c r="U107" s="32"/>
      <c r="V107" s="606">
        <v>20042</v>
      </c>
      <c r="W107" s="606">
        <v>2358693</v>
      </c>
      <c r="X107" s="32">
        <v>65426</v>
      </c>
      <c r="Y107" s="603"/>
      <c r="Z107" s="49">
        <v>1203535</v>
      </c>
      <c r="AA107" s="603"/>
      <c r="AB107" s="603">
        <v>-24256</v>
      </c>
      <c r="AC107" s="49">
        <v>1219336</v>
      </c>
      <c r="AD107" s="32"/>
      <c r="AE107" s="32">
        <v>646481</v>
      </c>
      <c r="AF107" s="32"/>
      <c r="AG107" s="32">
        <v>7348</v>
      </c>
      <c r="AH107" s="32">
        <v>677553</v>
      </c>
      <c r="AI107" s="49">
        <v>104131</v>
      </c>
      <c r="AJ107" s="32">
        <v>2902</v>
      </c>
      <c r="AK107" s="32"/>
      <c r="AL107" s="32">
        <v>2465704</v>
      </c>
      <c r="AM107" s="36">
        <v>45000</v>
      </c>
    </row>
    <row r="108" spans="1:39" s="203" customFormat="1" ht="12" x14ac:dyDescent="0.2">
      <c r="A108" s="205">
        <v>54</v>
      </c>
      <c r="B108" s="598">
        <v>142952</v>
      </c>
      <c r="C108" s="607" t="s">
        <v>3297</v>
      </c>
      <c r="D108" s="591">
        <f t="shared" si="9"/>
        <v>5635841</v>
      </c>
      <c r="E108" s="602">
        <v>1351918</v>
      </c>
      <c r="F108" s="602">
        <v>146926</v>
      </c>
      <c r="G108" s="602">
        <v>228388</v>
      </c>
      <c r="H108" s="602"/>
      <c r="I108" s="602">
        <v>2315228</v>
      </c>
      <c r="J108" s="602">
        <v>313200</v>
      </c>
      <c r="K108" s="602">
        <v>912700</v>
      </c>
      <c r="L108" s="602"/>
      <c r="M108" s="602">
        <v>177105</v>
      </c>
      <c r="N108" s="32">
        <v>545690</v>
      </c>
      <c r="O108" s="32">
        <v>20000</v>
      </c>
      <c r="P108" s="591">
        <f t="shared" si="12"/>
        <v>5105188</v>
      </c>
      <c r="Q108" s="32">
        <v>2610204</v>
      </c>
      <c r="R108" s="32">
        <v>873156</v>
      </c>
      <c r="S108" s="32"/>
      <c r="T108" s="32"/>
      <c r="U108" s="32"/>
      <c r="V108" s="606"/>
      <c r="W108" s="606">
        <v>702283</v>
      </c>
      <c r="X108" s="32">
        <v>160366</v>
      </c>
      <c r="Y108" s="603">
        <v>37000</v>
      </c>
      <c r="Z108" s="49">
        <v>733778</v>
      </c>
      <c r="AA108" s="603"/>
      <c r="AB108" s="603">
        <v>-11599</v>
      </c>
      <c r="AC108" s="49">
        <v>822397</v>
      </c>
      <c r="AD108" s="32"/>
      <c r="AE108" s="32">
        <v>1782109</v>
      </c>
      <c r="AF108" s="32"/>
      <c r="AG108" s="32">
        <v>140845</v>
      </c>
      <c r="AH108" s="32">
        <v>594228</v>
      </c>
      <c r="AI108" s="49">
        <v>214710</v>
      </c>
      <c r="AJ108" s="32">
        <v>620268</v>
      </c>
      <c r="AK108" s="32"/>
      <c r="AL108" s="32">
        <v>853505</v>
      </c>
      <c r="AM108" s="36">
        <v>77126</v>
      </c>
    </row>
    <row r="109" spans="1:39" s="203" customFormat="1" ht="12" x14ac:dyDescent="0.2">
      <c r="A109" s="205">
        <v>55</v>
      </c>
      <c r="B109" s="598">
        <v>143021</v>
      </c>
      <c r="C109" s="601" t="s">
        <v>3298</v>
      </c>
      <c r="D109" s="591">
        <f t="shared" si="9"/>
        <v>5082912</v>
      </c>
      <c r="E109" s="602">
        <v>1560383</v>
      </c>
      <c r="F109" s="602">
        <v>665390</v>
      </c>
      <c r="G109" s="602">
        <v>83756</v>
      </c>
      <c r="H109" s="602"/>
      <c r="I109" s="602">
        <v>1484997</v>
      </c>
      <c r="J109" s="602">
        <v>79200</v>
      </c>
      <c r="K109" s="602">
        <v>526390</v>
      </c>
      <c r="L109" s="602"/>
      <c r="M109" s="602">
        <v>1160309</v>
      </c>
      <c r="N109" s="32">
        <v>262133</v>
      </c>
      <c r="O109" s="32">
        <v>9500</v>
      </c>
      <c r="P109" s="591">
        <f t="shared" si="12"/>
        <v>5103306</v>
      </c>
      <c r="Q109" s="32">
        <v>1931838</v>
      </c>
      <c r="R109" s="32">
        <v>904274</v>
      </c>
      <c r="S109" s="32"/>
      <c r="T109" s="32"/>
      <c r="U109" s="32"/>
      <c r="V109" s="606"/>
      <c r="W109" s="606">
        <v>492696</v>
      </c>
      <c r="X109" s="32">
        <v>149495</v>
      </c>
      <c r="Y109" s="603">
        <v>53500</v>
      </c>
      <c r="Z109" s="49">
        <v>1572523</v>
      </c>
      <c r="AA109" s="603"/>
      <c r="AB109" s="603">
        <v>-1020</v>
      </c>
      <c r="AC109" s="49">
        <v>778291</v>
      </c>
      <c r="AD109" s="32">
        <v>37188</v>
      </c>
      <c r="AE109" s="32">
        <v>1184170</v>
      </c>
      <c r="AF109" s="32">
        <v>55328</v>
      </c>
      <c r="AG109" s="32">
        <v>782587</v>
      </c>
      <c r="AH109" s="32">
        <v>413605</v>
      </c>
      <c r="AI109" s="49">
        <v>561848</v>
      </c>
      <c r="AJ109" s="32">
        <v>786850</v>
      </c>
      <c r="AK109" s="32"/>
      <c r="AL109" s="32">
        <v>345807</v>
      </c>
      <c r="AM109" s="36">
        <v>157632</v>
      </c>
    </row>
    <row r="110" spans="1:39" s="203" customFormat="1" ht="12" x14ac:dyDescent="0.2">
      <c r="A110" s="205">
        <v>56</v>
      </c>
      <c r="B110" s="598">
        <v>143067</v>
      </c>
      <c r="C110" s="601" t="s">
        <v>3299</v>
      </c>
      <c r="D110" s="591">
        <f t="shared" si="9"/>
        <v>4455341</v>
      </c>
      <c r="E110" s="602">
        <v>450009</v>
      </c>
      <c r="F110" s="602">
        <v>63862</v>
      </c>
      <c r="G110" s="602">
        <v>221646</v>
      </c>
      <c r="H110" s="602"/>
      <c r="I110" s="602">
        <v>850489</v>
      </c>
      <c r="J110" s="602">
        <v>142000</v>
      </c>
      <c r="K110" s="602">
        <v>1250980</v>
      </c>
      <c r="L110" s="602"/>
      <c r="M110" s="602">
        <v>1312015</v>
      </c>
      <c r="N110" s="32">
        <v>229729</v>
      </c>
      <c r="O110" s="32">
        <v>220119</v>
      </c>
      <c r="P110" s="591">
        <f t="shared" si="12"/>
        <v>3648700</v>
      </c>
      <c r="Q110" s="32">
        <v>1102080</v>
      </c>
      <c r="R110" s="32">
        <v>648686</v>
      </c>
      <c r="S110" s="32"/>
      <c r="T110" s="32"/>
      <c r="U110" s="32"/>
      <c r="V110" s="606"/>
      <c r="W110" s="606"/>
      <c r="X110" s="32">
        <v>48678</v>
      </c>
      <c r="Y110" s="603"/>
      <c r="Z110" s="49">
        <v>1849256</v>
      </c>
      <c r="AA110" s="603"/>
      <c r="AB110" s="603"/>
      <c r="AC110" s="49">
        <v>715021</v>
      </c>
      <c r="AD110" s="32">
        <v>425</v>
      </c>
      <c r="AE110" s="32">
        <v>718695</v>
      </c>
      <c r="AF110" s="32">
        <v>18235</v>
      </c>
      <c r="AG110" s="32">
        <v>9557</v>
      </c>
      <c r="AH110" s="32">
        <v>255148</v>
      </c>
      <c r="AI110" s="49">
        <v>1570301</v>
      </c>
      <c r="AJ110" s="32">
        <v>11551</v>
      </c>
      <c r="AK110" s="32"/>
      <c r="AL110" s="32">
        <v>339619</v>
      </c>
      <c r="AM110" s="36">
        <v>10148</v>
      </c>
    </row>
    <row r="111" spans="1:39" s="203" customFormat="1" ht="12" x14ac:dyDescent="0.2">
      <c r="A111" s="205">
        <v>57</v>
      </c>
      <c r="B111" s="598">
        <v>143147</v>
      </c>
      <c r="C111" s="601" t="s">
        <v>3300</v>
      </c>
      <c r="D111" s="591">
        <f t="shared" si="9"/>
        <v>7072946</v>
      </c>
      <c r="E111" s="602">
        <v>837120</v>
      </c>
      <c r="F111" s="602">
        <v>65694</v>
      </c>
      <c r="G111" s="602">
        <v>170872</v>
      </c>
      <c r="H111" s="602"/>
      <c r="I111" s="602">
        <v>634426</v>
      </c>
      <c r="J111" s="602">
        <v>154500</v>
      </c>
      <c r="K111" s="602">
        <v>995430</v>
      </c>
      <c r="L111" s="602"/>
      <c r="M111" s="602">
        <v>1122293</v>
      </c>
      <c r="N111" s="32">
        <v>3329177</v>
      </c>
      <c r="O111" s="32"/>
      <c r="P111" s="591">
        <f t="shared" si="12"/>
        <v>7579122</v>
      </c>
      <c r="Q111" s="32">
        <v>939171</v>
      </c>
      <c r="R111" s="32">
        <v>559851</v>
      </c>
      <c r="S111" s="32">
        <v>69405</v>
      </c>
      <c r="T111" s="32"/>
      <c r="U111" s="32"/>
      <c r="V111" s="606"/>
      <c r="W111" s="606">
        <v>5318154</v>
      </c>
      <c r="X111" s="32">
        <v>63526</v>
      </c>
      <c r="Y111" s="603">
        <v>2000</v>
      </c>
      <c r="Z111" s="49">
        <v>249817</v>
      </c>
      <c r="AA111" s="603">
        <v>377198</v>
      </c>
      <c r="AB111" s="603"/>
      <c r="AC111" s="49">
        <v>631415</v>
      </c>
      <c r="AD111" s="32">
        <v>2000</v>
      </c>
      <c r="AE111" s="32">
        <v>621106</v>
      </c>
      <c r="AF111" s="32">
        <v>26330</v>
      </c>
      <c r="AG111" s="32">
        <v>89092</v>
      </c>
      <c r="AH111" s="32">
        <v>81318</v>
      </c>
      <c r="AI111" s="49">
        <v>49694</v>
      </c>
      <c r="AJ111" s="32">
        <v>118515</v>
      </c>
      <c r="AK111" s="32"/>
      <c r="AL111" s="32">
        <v>5235132</v>
      </c>
      <c r="AM111" s="36">
        <v>724520</v>
      </c>
    </row>
    <row r="112" spans="1:39" s="203" customFormat="1" ht="12" x14ac:dyDescent="0.2">
      <c r="A112" s="205"/>
      <c r="B112" s="205"/>
      <c r="C112" s="599"/>
      <c r="D112" s="432"/>
      <c r="E112" s="431"/>
      <c r="F112" s="431"/>
      <c r="G112" s="431"/>
      <c r="H112" s="431"/>
      <c r="I112" s="431"/>
      <c r="J112" s="431"/>
      <c r="K112" s="431"/>
      <c r="L112" s="431"/>
      <c r="M112" s="431"/>
      <c r="N112" s="431"/>
      <c r="O112" s="431"/>
      <c r="P112" s="432"/>
      <c r="Q112" s="431"/>
      <c r="R112" s="468"/>
      <c r="S112" s="431"/>
      <c r="T112" s="431"/>
      <c r="U112" s="431"/>
      <c r="V112" s="431"/>
      <c r="W112" s="431"/>
      <c r="X112" s="431"/>
      <c r="Y112" s="431"/>
      <c r="Z112" s="468"/>
      <c r="AA112" s="431"/>
      <c r="AB112" s="431"/>
      <c r="AC112" s="468"/>
      <c r="AD112" s="431"/>
      <c r="AE112" s="431"/>
      <c r="AF112" s="431"/>
      <c r="AG112" s="431"/>
      <c r="AH112" s="431"/>
      <c r="AI112" s="468"/>
      <c r="AJ112" s="468"/>
      <c r="AK112" s="431"/>
      <c r="AL112" s="431"/>
      <c r="AM112" s="431"/>
    </row>
    <row r="113" spans="1:39" s="203" customFormat="1" ht="12" x14ac:dyDescent="0.2">
      <c r="A113" s="205"/>
      <c r="B113" s="205"/>
      <c r="C113" s="599"/>
      <c r="D113" s="432"/>
      <c r="E113" s="431"/>
      <c r="F113" s="431"/>
      <c r="G113" s="431"/>
      <c r="H113" s="431"/>
      <c r="I113" s="431"/>
      <c r="J113" s="431"/>
      <c r="K113" s="431"/>
      <c r="L113" s="431"/>
      <c r="M113" s="431"/>
      <c r="N113" s="431"/>
      <c r="O113" s="431"/>
      <c r="P113" s="432"/>
      <c r="Q113" s="431"/>
      <c r="R113" s="431"/>
      <c r="S113" s="431"/>
      <c r="T113" s="431"/>
      <c r="U113" s="431"/>
      <c r="V113" s="431"/>
      <c r="W113" s="431"/>
      <c r="X113" s="431"/>
      <c r="Y113" s="431"/>
      <c r="Z113" s="468"/>
      <c r="AA113" s="431"/>
      <c r="AB113" s="431"/>
      <c r="AC113" s="468"/>
      <c r="AD113" s="431"/>
      <c r="AE113" s="431"/>
      <c r="AF113" s="431"/>
      <c r="AG113" s="431"/>
      <c r="AH113" s="431"/>
      <c r="AI113" s="468"/>
      <c r="AJ113" s="468"/>
      <c r="AK113" s="431"/>
      <c r="AL113" s="431"/>
      <c r="AM113" s="431"/>
    </row>
    <row r="114" spans="1:39" s="203" customFormat="1" ht="12" hidden="1" x14ac:dyDescent="0.2">
      <c r="A114" s="205"/>
      <c r="B114" s="205"/>
      <c r="C114" s="295"/>
      <c r="D114" s="432"/>
      <c r="E114" s="431"/>
      <c r="F114" s="431"/>
      <c r="G114" s="431"/>
      <c r="H114" s="431"/>
      <c r="I114" s="431"/>
      <c r="J114" s="431"/>
      <c r="K114" s="431"/>
      <c r="L114" s="431"/>
      <c r="M114" s="431"/>
      <c r="N114" s="431"/>
      <c r="O114" s="431"/>
      <c r="P114" s="432"/>
      <c r="Q114" s="431"/>
      <c r="R114" s="431"/>
      <c r="S114" s="431"/>
      <c r="T114" s="431"/>
      <c r="U114" s="431"/>
      <c r="V114" s="431"/>
      <c r="W114" s="431"/>
      <c r="X114" s="431"/>
      <c r="Y114" s="431"/>
      <c r="Z114" s="468"/>
      <c r="AA114" s="431"/>
      <c r="AB114" s="431"/>
      <c r="AC114" s="468"/>
      <c r="AD114" s="431"/>
      <c r="AE114" s="431"/>
      <c r="AF114" s="431"/>
      <c r="AG114" s="431"/>
      <c r="AH114" s="431"/>
      <c r="AI114" s="468"/>
      <c r="AJ114" s="468"/>
      <c r="AK114" s="431"/>
      <c r="AL114" s="431"/>
      <c r="AM114" s="431"/>
    </row>
    <row r="115" spans="1:39" s="203" customFormat="1" ht="12" hidden="1" x14ac:dyDescent="0.2">
      <c r="A115" s="205"/>
      <c r="B115" s="205"/>
      <c r="C115" s="296"/>
      <c r="D115" s="432"/>
      <c r="E115" s="431"/>
      <c r="F115" s="431"/>
      <c r="G115" s="431"/>
      <c r="H115" s="431"/>
      <c r="I115" s="431"/>
      <c r="J115" s="431"/>
      <c r="K115" s="431"/>
      <c r="L115" s="431"/>
      <c r="M115" s="431"/>
      <c r="N115" s="431"/>
      <c r="O115" s="431"/>
      <c r="P115" s="432"/>
      <c r="Q115" s="431"/>
      <c r="R115" s="431"/>
      <c r="S115" s="431"/>
      <c r="T115" s="431"/>
      <c r="U115" s="431"/>
      <c r="V115" s="431"/>
      <c r="W115" s="431"/>
      <c r="X115" s="431"/>
      <c r="Y115" s="431"/>
      <c r="Z115" s="468"/>
      <c r="AA115" s="431"/>
      <c r="AB115" s="431"/>
      <c r="AC115" s="468"/>
      <c r="AD115" s="431"/>
      <c r="AE115" s="431"/>
      <c r="AF115" s="431"/>
      <c r="AG115" s="431"/>
      <c r="AH115" s="431"/>
      <c r="AI115" s="468"/>
      <c r="AJ115" s="468"/>
      <c r="AK115" s="431"/>
      <c r="AL115" s="431"/>
      <c r="AM115" s="431"/>
    </row>
    <row r="116" spans="1:39" s="203" customFormat="1" ht="12" hidden="1" x14ac:dyDescent="0.2">
      <c r="A116" s="205"/>
      <c r="B116" s="205"/>
      <c r="C116" s="296"/>
      <c r="D116" s="432"/>
      <c r="E116" s="431"/>
      <c r="F116" s="431"/>
      <c r="G116" s="431"/>
      <c r="H116" s="431"/>
      <c r="I116" s="431"/>
      <c r="J116" s="431"/>
      <c r="K116" s="431"/>
      <c r="L116" s="431"/>
      <c r="M116" s="431"/>
      <c r="N116" s="431"/>
      <c r="O116" s="431"/>
      <c r="P116" s="432"/>
      <c r="Q116" s="431"/>
      <c r="R116" s="431"/>
      <c r="S116" s="431"/>
      <c r="T116" s="431"/>
      <c r="U116" s="431"/>
      <c r="V116" s="431"/>
      <c r="W116" s="431"/>
      <c r="X116" s="431"/>
      <c r="Y116" s="431"/>
      <c r="Z116" s="468"/>
      <c r="AA116" s="431"/>
      <c r="AB116" s="431"/>
      <c r="AC116" s="468"/>
      <c r="AD116" s="431"/>
      <c r="AE116" s="431"/>
      <c r="AF116" s="431"/>
      <c r="AG116" s="431"/>
      <c r="AH116" s="431"/>
      <c r="AI116" s="468"/>
      <c r="AJ116" s="468"/>
      <c r="AK116" s="431"/>
      <c r="AL116" s="431"/>
      <c r="AM116" s="431"/>
    </row>
    <row r="117" spans="1:39" s="203" customFormat="1" ht="12" hidden="1" x14ac:dyDescent="0.2">
      <c r="A117" s="205"/>
      <c r="B117" s="205"/>
      <c r="C117" s="295"/>
      <c r="D117" s="432"/>
      <c r="E117" s="431"/>
      <c r="F117" s="431"/>
      <c r="G117" s="431"/>
      <c r="H117" s="431"/>
      <c r="I117" s="431"/>
      <c r="J117" s="431"/>
      <c r="K117" s="431"/>
      <c r="L117" s="431"/>
      <c r="M117" s="431"/>
      <c r="N117" s="431"/>
      <c r="O117" s="431"/>
      <c r="P117" s="432"/>
      <c r="Q117" s="431"/>
      <c r="R117" s="431"/>
      <c r="S117" s="431"/>
      <c r="T117" s="431"/>
      <c r="U117" s="431"/>
      <c r="V117" s="431"/>
      <c r="W117" s="431"/>
      <c r="X117" s="431"/>
      <c r="Y117" s="431"/>
      <c r="Z117" s="468"/>
      <c r="AA117" s="431"/>
      <c r="AB117" s="431"/>
      <c r="AC117" s="468"/>
      <c r="AD117" s="431"/>
      <c r="AE117" s="431"/>
      <c r="AF117" s="431"/>
      <c r="AG117" s="431"/>
      <c r="AH117" s="431"/>
      <c r="AI117" s="468"/>
      <c r="AJ117" s="468"/>
      <c r="AK117" s="431"/>
      <c r="AL117" s="431"/>
      <c r="AM117" s="431"/>
    </row>
    <row r="118" spans="1:39" s="203" customFormat="1" ht="12" hidden="1" x14ac:dyDescent="0.2">
      <c r="A118" s="205"/>
      <c r="B118" s="205"/>
      <c r="C118" s="296"/>
      <c r="D118" s="432"/>
      <c r="E118" s="431"/>
      <c r="F118" s="431"/>
      <c r="G118" s="431"/>
      <c r="H118" s="431"/>
      <c r="I118" s="431"/>
      <c r="J118" s="431"/>
      <c r="K118" s="431"/>
      <c r="L118" s="431"/>
      <c r="M118" s="431"/>
      <c r="N118" s="431"/>
      <c r="O118" s="431"/>
      <c r="P118" s="432"/>
      <c r="Q118" s="431"/>
      <c r="R118" s="431"/>
      <c r="S118" s="431"/>
      <c r="T118" s="431"/>
      <c r="U118" s="431"/>
      <c r="V118" s="431"/>
      <c r="W118" s="431"/>
      <c r="X118" s="431"/>
      <c r="Y118" s="431"/>
      <c r="Z118" s="468"/>
      <c r="AA118" s="431"/>
      <c r="AB118" s="431"/>
      <c r="AC118" s="468"/>
      <c r="AD118" s="431"/>
      <c r="AE118" s="431"/>
      <c r="AF118" s="431"/>
      <c r="AG118" s="431"/>
      <c r="AH118" s="431"/>
      <c r="AI118" s="468"/>
      <c r="AJ118" s="468"/>
      <c r="AK118" s="431"/>
      <c r="AL118" s="431"/>
      <c r="AM118" s="431"/>
    </row>
    <row r="119" spans="1:39" s="203" customFormat="1" ht="12" hidden="1" x14ac:dyDescent="0.2">
      <c r="A119" s="205"/>
      <c r="B119" s="205"/>
      <c r="C119" s="296"/>
      <c r="D119" s="432"/>
      <c r="E119" s="431"/>
      <c r="F119" s="431"/>
      <c r="G119" s="431"/>
      <c r="H119" s="431"/>
      <c r="I119" s="431"/>
      <c r="J119" s="431"/>
      <c r="K119" s="431"/>
      <c r="L119" s="431"/>
      <c r="M119" s="431"/>
      <c r="N119" s="431"/>
      <c r="O119" s="431"/>
      <c r="P119" s="432"/>
      <c r="Q119" s="431"/>
      <c r="R119" s="431"/>
      <c r="S119" s="431"/>
      <c r="T119" s="431"/>
      <c r="U119" s="431"/>
      <c r="V119" s="431"/>
      <c r="W119" s="431"/>
      <c r="X119" s="431"/>
      <c r="Y119" s="431"/>
      <c r="Z119" s="468"/>
      <c r="AA119" s="431"/>
      <c r="AB119" s="431"/>
      <c r="AC119" s="468"/>
      <c r="AD119" s="431"/>
      <c r="AE119" s="431"/>
      <c r="AF119" s="431"/>
      <c r="AG119" s="431"/>
      <c r="AH119" s="431"/>
      <c r="AI119" s="468"/>
      <c r="AJ119" s="468"/>
      <c r="AK119" s="431"/>
      <c r="AL119" s="431"/>
      <c r="AM119" s="431"/>
    </row>
    <row r="120" spans="1:39" s="203" customFormat="1" ht="12" hidden="1" x14ac:dyDescent="0.2">
      <c r="A120" s="205"/>
      <c r="B120" s="205"/>
      <c r="C120" s="296"/>
      <c r="D120" s="432"/>
      <c r="E120" s="431"/>
      <c r="F120" s="431"/>
      <c r="G120" s="431"/>
      <c r="H120" s="431"/>
      <c r="I120" s="431"/>
      <c r="J120" s="431"/>
      <c r="K120" s="431"/>
      <c r="L120" s="431"/>
      <c r="M120" s="431"/>
      <c r="N120" s="431"/>
      <c r="O120" s="431"/>
      <c r="P120" s="432"/>
      <c r="Q120" s="431"/>
      <c r="R120" s="431"/>
      <c r="S120" s="431"/>
      <c r="T120" s="431"/>
      <c r="U120" s="431"/>
      <c r="V120" s="431"/>
      <c r="W120" s="431"/>
      <c r="X120" s="431"/>
      <c r="Y120" s="431"/>
      <c r="Z120" s="468"/>
      <c r="AA120" s="431"/>
      <c r="AB120" s="431"/>
      <c r="AC120" s="468"/>
      <c r="AD120" s="431"/>
      <c r="AE120" s="431"/>
      <c r="AF120" s="431"/>
      <c r="AG120" s="431"/>
      <c r="AH120" s="431"/>
      <c r="AI120" s="468"/>
      <c r="AJ120" s="468"/>
      <c r="AK120" s="431"/>
      <c r="AL120" s="431"/>
      <c r="AM120" s="431"/>
    </row>
    <row r="121" spans="1:39" s="203" customFormat="1" ht="12" hidden="1" x14ac:dyDescent="0.2">
      <c r="A121" s="205"/>
      <c r="B121" s="205"/>
      <c r="C121" s="296"/>
      <c r="D121" s="432"/>
      <c r="E121" s="431"/>
      <c r="F121" s="431"/>
      <c r="G121" s="431"/>
      <c r="H121" s="431"/>
      <c r="I121" s="431"/>
      <c r="J121" s="431"/>
      <c r="K121" s="431"/>
      <c r="L121" s="431"/>
      <c r="M121" s="431"/>
      <c r="N121" s="431"/>
      <c r="O121" s="431"/>
      <c r="P121" s="432"/>
      <c r="Q121" s="431"/>
      <c r="R121" s="431"/>
      <c r="S121" s="431"/>
      <c r="T121" s="431"/>
      <c r="U121" s="431"/>
      <c r="V121" s="431"/>
      <c r="W121" s="431"/>
      <c r="X121" s="431"/>
      <c r="Y121" s="431"/>
      <c r="Z121" s="468"/>
      <c r="AA121" s="431"/>
      <c r="AB121" s="431"/>
      <c r="AC121" s="468"/>
      <c r="AD121" s="431"/>
      <c r="AE121" s="431"/>
      <c r="AF121" s="431"/>
      <c r="AG121" s="431"/>
      <c r="AH121" s="431"/>
      <c r="AI121" s="468"/>
      <c r="AJ121" s="468"/>
      <c r="AK121" s="431"/>
      <c r="AL121" s="431"/>
      <c r="AM121" s="431"/>
    </row>
    <row r="122" spans="1:39" s="203" customFormat="1" ht="12" hidden="1" x14ac:dyDescent="0.2">
      <c r="A122" s="205"/>
      <c r="B122" s="205"/>
      <c r="C122" s="296"/>
      <c r="D122" s="432"/>
      <c r="E122" s="431"/>
      <c r="F122" s="431"/>
      <c r="G122" s="431"/>
      <c r="H122" s="431"/>
      <c r="I122" s="431"/>
      <c r="J122" s="431"/>
      <c r="K122" s="431"/>
      <c r="L122" s="431"/>
      <c r="M122" s="431"/>
      <c r="N122" s="431"/>
      <c r="O122" s="431"/>
      <c r="P122" s="432"/>
      <c r="Q122" s="431"/>
      <c r="R122" s="431"/>
      <c r="S122" s="431"/>
      <c r="T122" s="431"/>
      <c r="U122" s="431"/>
      <c r="V122" s="431"/>
      <c r="W122" s="431"/>
      <c r="X122" s="431"/>
      <c r="Y122" s="431"/>
      <c r="Z122" s="468"/>
      <c r="AA122" s="431"/>
      <c r="AB122" s="431"/>
      <c r="AC122" s="468"/>
      <c r="AD122" s="431"/>
      <c r="AE122" s="431"/>
      <c r="AF122" s="431"/>
      <c r="AG122" s="431"/>
      <c r="AH122" s="431"/>
      <c r="AI122" s="468"/>
      <c r="AJ122" s="468"/>
      <c r="AK122" s="431"/>
      <c r="AL122" s="431"/>
      <c r="AM122" s="431"/>
    </row>
    <row r="123" spans="1:39" s="203" customFormat="1" ht="12" hidden="1" x14ac:dyDescent="0.2">
      <c r="A123" s="205"/>
      <c r="B123" s="205"/>
      <c r="C123" s="296"/>
      <c r="D123" s="432"/>
      <c r="E123" s="431"/>
      <c r="F123" s="431"/>
      <c r="G123" s="431"/>
      <c r="H123" s="431"/>
      <c r="I123" s="431"/>
      <c r="J123" s="431"/>
      <c r="K123" s="431"/>
      <c r="L123" s="431"/>
      <c r="M123" s="431"/>
      <c r="N123" s="431"/>
      <c r="O123" s="431"/>
      <c r="P123" s="432"/>
      <c r="Q123" s="431"/>
      <c r="R123" s="431"/>
      <c r="S123" s="431"/>
      <c r="T123" s="431"/>
      <c r="U123" s="431"/>
      <c r="V123" s="431"/>
      <c r="W123" s="431"/>
      <c r="X123" s="431"/>
      <c r="Y123" s="431"/>
      <c r="Z123" s="468"/>
      <c r="AA123" s="431"/>
      <c r="AB123" s="431"/>
      <c r="AC123" s="468"/>
      <c r="AD123" s="431"/>
      <c r="AE123" s="431"/>
      <c r="AF123" s="431"/>
      <c r="AG123" s="431"/>
      <c r="AH123" s="431"/>
      <c r="AI123" s="468"/>
      <c r="AJ123" s="468"/>
      <c r="AK123" s="431"/>
      <c r="AL123" s="431"/>
      <c r="AM123" s="431"/>
    </row>
    <row r="124" spans="1:39" s="203" customFormat="1" ht="12" hidden="1" x14ac:dyDescent="0.2">
      <c r="A124" s="205"/>
      <c r="B124" s="205"/>
      <c r="C124" s="296"/>
      <c r="D124" s="432"/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32"/>
      <c r="Q124" s="431"/>
      <c r="R124" s="431"/>
      <c r="S124" s="431"/>
      <c r="T124" s="431"/>
      <c r="U124" s="431"/>
      <c r="V124" s="431"/>
      <c r="W124" s="431"/>
      <c r="X124" s="431"/>
      <c r="Y124" s="431"/>
      <c r="Z124" s="468"/>
      <c r="AA124" s="431"/>
      <c r="AB124" s="431"/>
      <c r="AC124" s="468"/>
      <c r="AD124" s="431"/>
      <c r="AE124" s="431"/>
      <c r="AF124" s="431"/>
      <c r="AG124" s="431"/>
      <c r="AH124" s="431"/>
      <c r="AI124" s="468"/>
      <c r="AJ124" s="468"/>
      <c r="AK124" s="431"/>
      <c r="AL124" s="431"/>
      <c r="AM124" s="431"/>
    </row>
    <row r="125" spans="1:39" s="203" customFormat="1" ht="12" hidden="1" x14ac:dyDescent="0.2">
      <c r="A125" s="205"/>
      <c r="B125" s="205"/>
      <c r="C125" s="296"/>
      <c r="D125" s="432"/>
      <c r="E125" s="431"/>
      <c r="F125" s="431"/>
      <c r="G125" s="431"/>
      <c r="H125" s="431"/>
      <c r="I125" s="431"/>
      <c r="J125" s="431"/>
      <c r="K125" s="431"/>
      <c r="L125" s="431"/>
      <c r="M125" s="431"/>
      <c r="N125" s="431"/>
      <c r="O125" s="431"/>
      <c r="P125" s="432"/>
      <c r="Q125" s="431"/>
      <c r="R125" s="431"/>
      <c r="S125" s="431"/>
      <c r="T125" s="431"/>
      <c r="U125" s="431"/>
      <c r="V125" s="431"/>
      <c r="W125" s="431"/>
      <c r="X125" s="431"/>
      <c r="Y125" s="431"/>
      <c r="Z125" s="468"/>
      <c r="AA125" s="431"/>
      <c r="AB125" s="431"/>
      <c r="AC125" s="468"/>
      <c r="AD125" s="431"/>
      <c r="AE125" s="431"/>
      <c r="AF125" s="431"/>
      <c r="AG125" s="431"/>
      <c r="AH125" s="431"/>
      <c r="AI125" s="468"/>
      <c r="AJ125" s="468"/>
      <c r="AK125" s="431"/>
      <c r="AL125" s="431"/>
      <c r="AM125" s="431"/>
    </row>
    <row r="126" spans="1:39" s="203" customFormat="1" ht="12" hidden="1" x14ac:dyDescent="0.2">
      <c r="A126" s="205"/>
      <c r="B126" s="205"/>
      <c r="C126" s="296"/>
      <c r="D126" s="432"/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32"/>
      <c r="Q126" s="431"/>
      <c r="R126" s="431"/>
      <c r="S126" s="431"/>
      <c r="T126" s="431"/>
      <c r="U126" s="431"/>
      <c r="V126" s="431"/>
      <c r="W126" s="431"/>
      <c r="X126" s="431"/>
      <c r="Y126" s="431"/>
      <c r="Z126" s="468"/>
      <c r="AA126" s="431"/>
      <c r="AB126" s="431"/>
      <c r="AC126" s="468"/>
      <c r="AD126" s="431"/>
      <c r="AE126" s="431"/>
      <c r="AF126" s="431"/>
      <c r="AG126" s="431"/>
      <c r="AH126" s="431"/>
      <c r="AI126" s="468"/>
      <c r="AJ126" s="468"/>
      <c r="AK126" s="431"/>
      <c r="AL126" s="431"/>
      <c r="AM126" s="431"/>
    </row>
    <row r="127" spans="1:39" s="203" customFormat="1" ht="12" hidden="1" x14ac:dyDescent="0.2">
      <c r="A127" s="205"/>
      <c r="B127" s="205"/>
      <c r="C127" s="296"/>
      <c r="D127" s="432"/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32"/>
      <c r="Q127" s="431"/>
      <c r="R127" s="431"/>
      <c r="S127" s="431"/>
      <c r="T127" s="431"/>
      <c r="U127" s="431"/>
      <c r="V127" s="431"/>
      <c r="W127" s="431"/>
      <c r="X127" s="431"/>
      <c r="Y127" s="431"/>
      <c r="Z127" s="468"/>
      <c r="AA127" s="431"/>
      <c r="AB127" s="431"/>
      <c r="AC127" s="468"/>
      <c r="AD127" s="431"/>
      <c r="AE127" s="431"/>
      <c r="AF127" s="431"/>
      <c r="AG127" s="431"/>
      <c r="AH127" s="431"/>
      <c r="AI127" s="468"/>
      <c r="AJ127" s="468"/>
      <c r="AK127" s="431"/>
      <c r="AL127" s="431"/>
      <c r="AM127" s="431"/>
    </row>
    <row r="128" spans="1:39" s="203" customFormat="1" ht="12" hidden="1" x14ac:dyDescent="0.2">
      <c r="A128" s="205"/>
      <c r="B128" s="205"/>
      <c r="C128" s="296"/>
      <c r="D128" s="432"/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32"/>
      <c r="Q128" s="431"/>
      <c r="R128" s="431"/>
      <c r="S128" s="431"/>
      <c r="T128" s="431"/>
      <c r="U128" s="431"/>
      <c r="V128" s="431"/>
      <c r="W128" s="431"/>
      <c r="X128" s="431"/>
      <c r="Y128" s="431"/>
      <c r="Z128" s="468"/>
      <c r="AA128" s="431"/>
      <c r="AB128" s="431"/>
      <c r="AC128" s="468"/>
      <c r="AD128" s="431"/>
      <c r="AE128" s="431"/>
      <c r="AF128" s="431"/>
      <c r="AG128" s="431"/>
      <c r="AH128" s="431"/>
      <c r="AI128" s="468"/>
      <c r="AJ128" s="468"/>
      <c r="AK128" s="431"/>
      <c r="AL128" s="431"/>
      <c r="AM128" s="431"/>
    </row>
    <row r="129" spans="1:39" s="203" customFormat="1" ht="12" hidden="1" x14ac:dyDescent="0.2">
      <c r="A129" s="205"/>
      <c r="B129" s="205"/>
      <c r="C129" s="296"/>
      <c r="D129" s="432"/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32"/>
      <c r="Q129" s="431"/>
      <c r="R129" s="431"/>
      <c r="S129" s="431"/>
      <c r="T129" s="431"/>
      <c r="U129" s="431"/>
      <c r="V129" s="431"/>
      <c r="W129" s="431"/>
      <c r="X129" s="431"/>
      <c r="Y129" s="431"/>
      <c r="Z129" s="468"/>
      <c r="AA129" s="431"/>
      <c r="AB129" s="431"/>
      <c r="AC129" s="468"/>
      <c r="AD129" s="431"/>
      <c r="AE129" s="431"/>
      <c r="AF129" s="431"/>
      <c r="AG129" s="431"/>
      <c r="AH129" s="431"/>
      <c r="AI129" s="468"/>
      <c r="AJ129" s="468"/>
      <c r="AK129" s="431"/>
      <c r="AL129" s="431"/>
      <c r="AM129" s="431"/>
    </row>
    <row r="130" spans="1:39" s="203" customFormat="1" ht="12" hidden="1" x14ac:dyDescent="0.2">
      <c r="A130" s="205"/>
      <c r="B130" s="205"/>
      <c r="C130" s="296"/>
      <c r="D130" s="432"/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32"/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</row>
    <row r="131" spans="1:39" s="203" customFormat="1" ht="12" hidden="1" x14ac:dyDescent="0.2">
      <c r="A131" s="205"/>
      <c r="B131" s="205"/>
      <c r="C131" s="296"/>
      <c r="D131" s="432"/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2"/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</row>
    <row r="132" spans="1:39" s="203" customFormat="1" ht="12" hidden="1" x14ac:dyDescent="0.2">
      <c r="A132" s="205"/>
      <c r="B132" s="205"/>
      <c r="C132" s="296"/>
      <c r="D132" s="432"/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2"/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</row>
    <row r="133" spans="1:39" s="203" customFormat="1" ht="12" hidden="1" x14ac:dyDescent="0.2">
      <c r="A133" s="205"/>
      <c r="B133" s="205"/>
      <c r="C133" s="296"/>
      <c r="D133" s="432"/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203" customFormat="1" ht="12" hidden="1" x14ac:dyDescent="0.2">
      <c r="A134" s="205"/>
      <c r="B134" s="205"/>
      <c r="C134" s="296"/>
      <c r="D134" s="432"/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203" customFormat="1" ht="12" hidden="1" x14ac:dyDescent="0.2">
      <c r="A135" s="205"/>
      <c r="B135" s="205"/>
      <c r="C135" s="296"/>
      <c r="D135" s="432"/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203" customFormat="1" ht="12" hidden="1" x14ac:dyDescent="0.2">
      <c r="A136" s="205"/>
      <c r="B136" s="205"/>
      <c r="C136" s="296"/>
      <c r="D136" s="432"/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203" customFormat="1" ht="12" hidden="1" x14ac:dyDescent="0.2">
      <c r="A137" s="205"/>
      <c r="B137" s="205"/>
      <c r="C137" s="296"/>
      <c r="D137" s="432"/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/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203" customFormat="1" ht="12" hidden="1" x14ac:dyDescent="0.2">
      <c r="A138" s="205"/>
      <c r="B138" s="205"/>
      <c r="C138" s="296"/>
      <c r="D138" s="432"/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/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203" customFormat="1" ht="12" hidden="1" x14ac:dyDescent="0.2">
      <c r="A139" s="205"/>
      <c r="B139" s="205"/>
      <c r="C139" s="296"/>
      <c r="D139" s="432"/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/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203" customFormat="1" ht="12" hidden="1" x14ac:dyDescent="0.2">
      <c r="A140" s="205"/>
      <c r="B140" s="205"/>
      <c r="C140" s="296"/>
      <c r="D140" s="432"/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/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203" customFormat="1" ht="12" hidden="1" x14ac:dyDescent="0.2">
      <c r="A141" s="205"/>
      <c r="B141" s="205"/>
      <c r="C141" s="297"/>
      <c r="D141" s="432"/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/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203" customFormat="1" ht="12" hidden="1" x14ac:dyDescent="0.2">
      <c r="A142" s="205"/>
      <c r="B142" s="205"/>
      <c r="C142" s="297"/>
      <c r="D142" s="432"/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/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203" customFormat="1" ht="12" hidden="1" x14ac:dyDescent="0.2">
      <c r="A143" s="205"/>
      <c r="B143" s="205"/>
      <c r="C143" s="297"/>
      <c r="D143" s="432"/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/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>
      <c r="C144" s="294"/>
    </row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C9:AM10"/>
    <mergeCell ref="F10:G10"/>
    <mergeCell ref="A9:C12"/>
    <mergeCell ref="H9:H11"/>
    <mergeCell ref="I9:I11"/>
    <mergeCell ref="J9:J11"/>
    <mergeCell ref="K9:K11"/>
    <mergeCell ref="L9:L11"/>
    <mergeCell ref="A13:C13"/>
    <mergeCell ref="M9:M11"/>
    <mergeCell ref="N9:N11"/>
    <mergeCell ref="O9:O11"/>
    <mergeCell ref="Q9:Z10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N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40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40" s="55" customFormat="1" ht="15.75" x14ac:dyDescent="0.25">
      <c r="A2" s="53"/>
      <c r="B2" s="54" t="s">
        <v>497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40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40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40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40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40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40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40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40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40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40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40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40" s="155" customFormat="1" ht="13.5" customHeight="1" x14ac:dyDescent="0.2">
      <c r="A14" s="153" t="s">
        <v>70</v>
      </c>
      <c r="B14" s="154"/>
      <c r="C14" s="202"/>
      <c r="D14" s="432">
        <f>E14+SUM(H14:O14)</f>
        <v>1308765635</v>
      </c>
      <c r="E14" s="432">
        <f>SUM(E15,E16,E33,E54)</f>
        <v>677348202</v>
      </c>
      <c r="F14" s="432">
        <f t="shared" ref="F14:O14" si="0">SUM(F15,F16,F33,F54)</f>
        <v>318078342</v>
      </c>
      <c r="G14" s="432">
        <f t="shared" si="0"/>
        <v>111027353</v>
      </c>
      <c r="H14" s="432">
        <f t="shared" si="0"/>
        <v>67423000</v>
      </c>
      <c r="I14" s="432">
        <f t="shared" si="0"/>
        <v>260356176</v>
      </c>
      <c r="J14" s="432">
        <f t="shared" si="0"/>
        <v>17305000</v>
      </c>
      <c r="K14" s="432">
        <f t="shared" si="0"/>
        <v>50104000</v>
      </c>
      <c r="L14" s="432">
        <f t="shared" si="0"/>
        <v>0</v>
      </c>
      <c r="M14" s="432">
        <f t="shared" si="0"/>
        <v>136878243</v>
      </c>
      <c r="N14" s="432">
        <f t="shared" si="0"/>
        <v>94427181</v>
      </c>
      <c r="O14" s="432">
        <f t="shared" si="0"/>
        <v>4923833</v>
      </c>
      <c r="P14" s="432">
        <f>IF(SUM(Q14:AB14)=SUM(AC14:AM14),SUM(Q14:AB14),"  EROARE ART/CAP")</f>
        <v>1187124821</v>
      </c>
      <c r="Q14" s="432">
        <f t="shared" ref="Q14:AM14" si="1">Q15+Q16+Q33+Q54</f>
        <v>324741358</v>
      </c>
      <c r="R14" s="432">
        <f t="shared" si="1"/>
        <v>246337818</v>
      </c>
      <c r="S14" s="432">
        <f t="shared" si="1"/>
        <v>8397941</v>
      </c>
      <c r="T14" s="432">
        <f t="shared" si="1"/>
        <v>24119358</v>
      </c>
      <c r="U14" s="432">
        <f t="shared" si="1"/>
        <v>97690283</v>
      </c>
      <c r="V14" s="432">
        <f t="shared" si="1"/>
        <v>9080803</v>
      </c>
      <c r="W14" s="432">
        <f t="shared" si="1"/>
        <v>150978233</v>
      </c>
      <c r="X14" s="432">
        <f t="shared" si="1"/>
        <v>91379746</v>
      </c>
      <c r="Y14" s="432">
        <f t="shared" si="1"/>
        <v>16382319</v>
      </c>
      <c r="Z14" s="432">
        <f t="shared" si="1"/>
        <v>190654634</v>
      </c>
      <c r="AA14" s="432">
        <f t="shared" si="1"/>
        <v>37320637</v>
      </c>
      <c r="AB14" s="432">
        <f t="shared" si="1"/>
        <v>-9958309</v>
      </c>
      <c r="AC14" s="432">
        <f t="shared" si="1"/>
        <v>109533837</v>
      </c>
      <c r="AD14" s="432">
        <f t="shared" si="1"/>
        <v>18334735</v>
      </c>
      <c r="AE14" s="432">
        <f t="shared" si="1"/>
        <v>293050999</v>
      </c>
      <c r="AF14" s="432">
        <f t="shared" si="1"/>
        <v>20477444</v>
      </c>
      <c r="AG14" s="432">
        <f t="shared" si="1"/>
        <v>103410036</v>
      </c>
      <c r="AH14" s="432">
        <f t="shared" si="1"/>
        <v>161050533</v>
      </c>
      <c r="AI14" s="432">
        <f t="shared" si="1"/>
        <v>92352727</v>
      </c>
      <c r="AJ14" s="432">
        <f t="shared" si="1"/>
        <v>65214283</v>
      </c>
      <c r="AK14" s="432">
        <f t="shared" si="1"/>
        <v>367025</v>
      </c>
      <c r="AL14" s="432">
        <f t="shared" si="1"/>
        <v>305651538</v>
      </c>
      <c r="AM14" s="432">
        <f t="shared" si="1"/>
        <v>17681664</v>
      </c>
      <c r="AN14" s="203"/>
    </row>
    <row r="15" spans="1:40" s="155" customFormat="1" ht="12.75" customHeight="1" x14ac:dyDescent="0.2">
      <c r="A15" s="156" t="s">
        <v>71</v>
      </c>
      <c r="B15" s="157"/>
      <c r="C15" s="158"/>
      <c r="D15" s="432">
        <f>E15+SUM(H15:O15)</f>
        <v>312633576</v>
      </c>
      <c r="E15" s="431">
        <v>103018792</v>
      </c>
      <c r="F15" s="431">
        <v>67516633</v>
      </c>
      <c r="G15" s="431">
        <v>29664830</v>
      </c>
      <c r="H15" s="431">
        <v>67423000</v>
      </c>
      <c r="I15" s="431">
        <v>0</v>
      </c>
      <c r="J15" s="431">
        <v>17305000</v>
      </c>
      <c r="K15" s="431">
        <v>13365170</v>
      </c>
      <c r="L15" s="431">
        <v>0</v>
      </c>
      <c r="M15" s="431">
        <v>86250878</v>
      </c>
      <c r="N15" s="431">
        <v>25269706</v>
      </c>
      <c r="O15" s="431">
        <v>1030</v>
      </c>
      <c r="P15" s="432">
        <f t="shared" ref="P15:P78" si="2">IF(SUM(Q15:AB15)=SUM(AC15:AM15),SUM(Q15:AB15),"  EROARE ART/CAP")</f>
        <v>291272605</v>
      </c>
      <c r="Q15" s="431">
        <v>45010069</v>
      </c>
      <c r="R15" s="431">
        <v>60934090</v>
      </c>
      <c r="S15" s="431">
        <v>2078371</v>
      </c>
      <c r="T15" s="431">
        <v>104941</v>
      </c>
      <c r="U15" s="431">
        <v>43449560</v>
      </c>
      <c r="V15" s="431">
        <v>3079814</v>
      </c>
      <c r="W15" s="431">
        <v>38864253</v>
      </c>
      <c r="X15" s="431">
        <v>65066691</v>
      </c>
      <c r="Y15" s="431">
        <v>7345662</v>
      </c>
      <c r="Z15" s="431">
        <v>21901562</v>
      </c>
      <c r="AA15" s="431">
        <v>4500000</v>
      </c>
      <c r="AB15" s="431">
        <v>-1062408</v>
      </c>
      <c r="AC15" s="431">
        <v>27007250</v>
      </c>
      <c r="AD15" s="431">
        <v>2463649</v>
      </c>
      <c r="AE15" s="431">
        <v>26016208</v>
      </c>
      <c r="AF15" s="431">
        <v>14261074</v>
      </c>
      <c r="AG15" s="431">
        <v>29768697</v>
      </c>
      <c r="AH15" s="431">
        <v>109741576</v>
      </c>
      <c r="AI15" s="431">
        <v>386923</v>
      </c>
      <c r="AJ15" s="431">
        <v>1161694</v>
      </c>
      <c r="AK15" s="431">
        <v>0</v>
      </c>
      <c r="AL15" s="431">
        <v>79926534</v>
      </c>
      <c r="AM15" s="431">
        <v>539000</v>
      </c>
      <c r="AN15" s="203"/>
    </row>
    <row r="16" spans="1:40" s="155" customFormat="1" ht="12" x14ac:dyDescent="0.2">
      <c r="A16" s="156" t="s">
        <v>72</v>
      </c>
      <c r="B16" s="157"/>
      <c r="C16" s="159"/>
      <c r="D16" s="432">
        <f>E16+SUM(H16:O16)</f>
        <v>519296697</v>
      </c>
      <c r="E16" s="433">
        <f>SUM(E18:E32)</f>
        <v>347407652</v>
      </c>
      <c r="F16" s="433">
        <f t="shared" ref="F16:O16" si="3">SUM(F18:F32)</f>
        <v>199770043</v>
      </c>
      <c r="G16" s="433">
        <f t="shared" si="3"/>
        <v>10891090</v>
      </c>
      <c r="H16" s="433">
        <f t="shared" si="3"/>
        <v>0</v>
      </c>
      <c r="I16" s="433">
        <f t="shared" si="3"/>
        <v>141205919</v>
      </c>
      <c r="J16" s="433">
        <f t="shared" si="3"/>
        <v>0</v>
      </c>
      <c r="K16" s="433">
        <f t="shared" si="3"/>
        <v>1319730</v>
      </c>
      <c r="L16" s="433">
        <f t="shared" si="3"/>
        <v>0</v>
      </c>
      <c r="M16" s="433">
        <f t="shared" si="3"/>
        <v>6041736</v>
      </c>
      <c r="N16" s="433">
        <f t="shared" si="3"/>
        <v>21455564</v>
      </c>
      <c r="O16" s="433">
        <f t="shared" si="3"/>
        <v>1866096</v>
      </c>
      <c r="P16" s="432">
        <f t="shared" si="2"/>
        <v>448126197</v>
      </c>
      <c r="Q16" s="432">
        <f>SUM(Q18:Q32)</f>
        <v>142975629</v>
      </c>
      <c r="R16" s="432">
        <f t="shared" ref="R16:AM16" si="4">SUM(R18:R32)</f>
        <v>80840659</v>
      </c>
      <c r="S16" s="432">
        <f t="shared" si="4"/>
        <v>4919235</v>
      </c>
      <c r="T16" s="432">
        <f t="shared" si="4"/>
        <v>23922893</v>
      </c>
      <c r="U16" s="432">
        <f t="shared" si="4"/>
        <v>52133286</v>
      </c>
      <c r="V16" s="432">
        <f t="shared" si="4"/>
        <v>5147782</v>
      </c>
      <c r="W16" s="432">
        <f t="shared" si="4"/>
        <v>48450100</v>
      </c>
      <c r="X16" s="432">
        <f t="shared" si="4"/>
        <v>13277642</v>
      </c>
      <c r="Y16" s="432">
        <f t="shared" si="4"/>
        <v>2714476</v>
      </c>
      <c r="Z16" s="432">
        <f t="shared" si="4"/>
        <v>55452748</v>
      </c>
      <c r="AA16" s="432">
        <f t="shared" si="4"/>
        <v>26503944</v>
      </c>
      <c r="AB16" s="432">
        <f t="shared" si="4"/>
        <v>-8212197</v>
      </c>
      <c r="AC16" s="432">
        <f t="shared" si="4"/>
        <v>26174656</v>
      </c>
      <c r="AD16" s="432">
        <f t="shared" si="4"/>
        <v>4796511</v>
      </c>
      <c r="AE16" s="432">
        <f t="shared" si="4"/>
        <v>148448535</v>
      </c>
      <c r="AF16" s="432">
        <f t="shared" si="4"/>
        <v>1831675</v>
      </c>
      <c r="AG16" s="432">
        <f t="shared" si="4"/>
        <v>41367793</v>
      </c>
      <c r="AH16" s="432">
        <f t="shared" si="4"/>
        <v>28949175</v>
      </c>
      <c r="AI16" s="432">
        <f t="shared" si="4"/>
        <v>30704451</v>
      </c>
      <c r="AJ16" s="432">
        <f t="shared" si="4"/>
        <v>24068815</v>
      </c>
      <c r="AK16" s="432">
        <f t="shared" si="4"/>
        <v>312025</v>
      </c>
      <c r="AL16" s="432">
        <f t="shared" si="4"/>
        <v>141280792</v>
      </c>
      <c r="AM16" s="432">
        <f t="shared" si="4"/>
        <v>191769</v>
      </c>
      <c r="AN16" s="203"/>
    </row>
    <row r="17" spans="1:40" s="155" customFormat="1" ht="22.5" x14ac:dyDescent="0.2">
      <c r="A17" s="277" t="s">
        <v>2306</v>
      </c>
      <c r="B17" s="279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  <c r="AN17" s="203"/>
    </row>
    <row r="18" spans="1:40" s="155" customFormat="1" ht="12" x14ac:dyDescent="0.2">
      <c r="A18" s="231">
        <v>1</v>
      </c>
      <c r="B18" s="298">
        <v>143450</v>
      </c>
      <c r="C18" s="299" t="s">
        <v>434</v>
      </c>
      <c r="D18" s="432">
        <f t="shared" ref="D18:D45" si="5">E18+SUM(H18:O18)</f>
        <v>405238631</v>
      </c>
      <c r="E18" s="431">
        <v>273651237</v>
      </c>
      <c r="F18" s="431">
        <v>158009374</v>
      </c>
      <c r="G18" s="431">
        <v>7991760</v>
      </c>
      <c r="H18" s="431">
        <v>0</v>
      </c>
      <c r="I18" s="431">
        <v>106835892</v>
      </c>
      <c r="J18" s="431">
        <v>0</v>
      </c>
      <c r="K18" s="431">
        <v>968700</v>
      </c>
      <c r="L18" s="431">
        <v>0</v>
      </c>
      <c r="M18" s="431">
        <v>4414087</v>
      </c>
      <c r="N18" s="431">
        <v>17658362</v>
      </c>
      <c r="O18" s="431">
        <v>1710353</v>
      </c>
      <c r="P18" s="432">
        <f t="shared" si="2"/>
        <v>326097981</v>
      </c>
      <c r="Q18" s="431">
        <v>105851705</v>
      </c>
      <c r="R18" s="431">
        <v>54118272</v>
      </c>
      <c r="S18" s="431">
        <v>3873540</v>
      </c>
      <c r="T18" s="431">
        <v>22653840</v>
      </c>
      <c r="U18" s="431">
        <v>41139402</v>
      </c>
      <c r="V18" s="431">
        <v>500000</v>
      </c>
      <c r="W18" s="431">
        <v>34347597</v>
      </c>
      <c r="X18" s="431">
        <v>7044201</v>
      </c>
      <c r="Y18" s="431">
        <v>2036558</v>
      </c>
      <c r="Z18" s="431">
        <v>38453206</v>
      </c>
      <c r="AA18" s="431">
        <v>22919057</v>
      </c>
      <c r="AB18" s="431">
        <v>-6839397</v>
      </c>
      <c r="AC18" s="431">
        <v>17645602</v>
      </c>
      <c r="AD18" s="431">
        <v>3423150</v>
      </c>
      <c r="AE18" s="431">
        <v>110819591</v>
      </c>
      <c r="AF18" s="431">
        <v>-2971997</v>
      </c>
      <c r="AG18" s="431">
        <v>38416500</v>
      </c>
      <c r="AH18" s="431">
        <v>15008181</v>
      </c>
      <c r="AI18" s="431">
        <v>12314387</v>
      </c>
      <c r="AJ18" s="431">
        <v>8706769</v>
      </c>
      <c r="AK18" s="431">
        <v>312025</v>
      </c>
      <c r="AL18" s="431">
        <v>122195113</v>
      </c>
      <c r="AM18" s="431">
        <v>228660</v>
      </c>
      <c r="AN18" s="203"/>
    </row>
    <row r="19" spans="1:40" s="155" customFormat="1" ht="12" x14ac:dyDescent="0.2">
      <c r="A19" s="231">
        <v>2</v>
      </c>
      <c r="B19" s="298">
        <v>143619</v>
      </c>
      <c r="C19" s="299" t="s">
        <v>435</v>
      </c>
      <c r="D19" s="432">
        <f t="shared" si="5"/>
        <v>114058066</v>
      </c>
      <c r="E19" s="431">
        <v>73756415</v>
      </c>
      <c r="F19" s="431">
        <v>41760669</v>
      </c>
      <c r="G19" s="431">
        <v>2899330</v>
      </c>
      <c r="H19" s="431">
        <v>0</v>
      </c>
      <c r="I19" s="431">
        <v>34370027</v>
      </c>
      <c r="J19" s="431">
        <v>0</v>
      </c>
      <c r="K19" s="431">
        <v>351030</v>
      </c>
      <c r="L19" s="431">
        <v>0</v>
      </c>
      <c r="M19" s="431">
        <v>1627649</v>
      </c>
      <c r="N19" s="431">
        <v>3797202</v>
      </c>
      <c r="O19" s="431">
        <v>155743</v>
      </c>
      <c r="P19" s="432">
        <f t="shared" si="2"/>
        <v>122028216</v>
      </c>
      <c r="Q19" s="431">
        <v>37123924</v>
      </c>
      <c r="R19" s="431">
        <v>26722387</v>
      </c>
      <c r="S19" s="431">
        <v>1045695</v>
      </c>
      <c r="T19" s="431">
        <v>1269053</v>
      </c>
      <c r="U19" s="431">
        <v>10993884</v>
      </c>
      <c r="V19" s="431">
        <v>4647782</v>
      </c>
      <c r="W19" s="431">
        <v>14102503</v>
      </c>
      <c r="X19" s="431">
        <v>6233441</v>
      </c>
      <c r="Y19" s="431">
        <v>677918</v>
      </c>
      <c r="Z19" s="431">
        <v>16999542</v>
      </c>
      <c r="AA19" s="431">
        <v>3584887</v>
      </c>
      <c r="AB19" s="431">
        <v>-1372800</v>
      </c>
      <c r="AC19" s="431">
        <v>8529054</v>
      </c>
      <c r="AD19" s="431">
        <v>1373361</v>
      </c>
      <c r="AE19" s="431">
        <v>37628944</v>
      </c>
      <c r="AF19" s="431">
        <v>4803672</v>
      </c>
      <c r="AG19" s="431">
        <v>2951293</v>
      </c>
      <c r="AH19" s="431">
        <v>13940994</v>
      </c>
      <c r="AI19" s="431">
        <v>18390064</v>
      </c>
      <c r="AJ19" s="431">
        <v>15362046</v>
      </c>
      <c r="AK19" s="431">
        <v>0</v>
      </c>
      <c r="AL19" s="431">
        <v>19085679</v>
      </c>
      <c r="AM19" s="431">
        <v>-36891</v>
      </c>
      <c r="AN19" s="203"/>
    </row>
    <row r="20" spans="1:40" s="155" customFormat="1" ht="12" hidden="1" x14ac:dyDescent="0.2">
      <c r="A20" s="146">
        <v>3</v>
      </c>
      <c r="B20" s="146"/>
      <c r="C20" s="206"/>
      <c r="D20" s="432">
        <f t="shared" si="5"/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2">
        <f t="shared" si="2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  <c r="AN20" s="203"/>
    </row>
    <row r="21" spans="1:40" s="155" customFormat="1" ht="12" hidden="1" x14ac:dyDescent="0.2">
      <c r="A21" s="146">
        <v>4</v>
      </c>
      <c r="B21" s="146"/>
      <c r="C21" s="206"/>
      <c r="D21" s="432">
        <f t="shared" si="5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2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  <c r="AN21" s="203"/>
    </row>
    <row r="22" spans="1:40" s="155" customFormat="1" ht="12" hidden="1" x14ac:dyDescent="0.2">
      <c r="A22" s="146">
        <v>5</v>
      </c>
      <c r="B22" s="146"/>
      <c r="C22" s="206"/>
      <c r="D22" s="432">
        <f t="shared" si="5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2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  <c r="AN22" s="203"/>
    </row>
    <row r="23" spans="1:40" s="155" customFormat="1" ht="12" hidden="1" x14ac:dyDescent="0.2">
      <c r="A23" s="146">
        <v>6</v>
      </c>
      <c r="B23" s="146"/>
      <c r="C23" s="206"/>
      <c r="D23" s="432">
        <f t="shared" si="5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2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  <c r="AN23" s="203"/>
    </row>
    <row r="24" spans="1:40" s="155" customFormat="1" ht="12" hidden="1" x14ac:dyDescent="0.2">
      <c r="A24" s="146">
        <v>7</v>
      </c>
      <c r="B24" s="146"/>
      <c r="C24" s="206"/>
      <c r="D24" s="432">
        <f t="shared" si="5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2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  <c r="AN24" s="203"/>
    </row>
    <row r="25" spans="1:40" s="155" customFormat="1" ht="12" hidden="1" x14ac:dyDescent="0.2">
      <c r="A25" s="146">
        <v>8</v>
      </c>
      <c r="B25" s="146"/>
      <c r="C25" s="206"/>
      <c r="D25" s="432">
        <f t="shared" si="5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2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  <c r="AN25" s="203"/>
    </row>
    <row r="26" spans="1:40" s="155" customFormat="1" ht="12" hidden="1" x14ac:dyDescent="0.2">
      <c r="A26" s="146">
        <v>9</v>
      </c>
      <c r="B26" s="146"/>
      <c r="C26" s="206"/>
      <c r="D26" s="432">
        <f t="shared" si="5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2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  <c r="AN26" s="203"/>
    </row>
    <row r="27" spans="1:40" s="155" customFormat="1" ht="12" hidden="1" x14ac:dyDescent="0.2">
      <c r="A27" s="146">
        <v>10</v>
      </c>
      <c r="B27" s="146"/>
      <c r="C27" s="206"/>
      <c r="D27" s="432">
        <f t="shared" si="5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2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  <c r="AN27" s="203"/>
    </row>
    <row r="28" spans="1:40" s="155" customFormat="1" ht="12" hidden="1" x14ac:dyDescent="0.2">
      <c r="A28" s="146">
        <v>11</v>
      </c>
      <c r="B28" s="146"/>
      <c r="C28" s="206"/>
      <c r="D28" s="432">
        <f t="shared" si="5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2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  <c r="AN28" s="203"/>
    </row>
    <row r="29" spans="1:40" s="155" customFormat="1" ht="12" hidden="1" x14ac:dyDescent="0.2">
      <c r="A29" s="146">
        <v>12</v>
      </c>
      <c r="B29" s="146"/>
      <c r="C29" s="206"/>
      <c r="D29" s="432">
        <f t="shared" si="5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2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  <c r="AN29" s="203"/>
    </row>
    <row r="30" spans="1:40" s="155" customFormat="1" ht="12" hidden="1" x14ac:dyDescent="0.2">
      <c r="A30" s="146">
        <v>13</v>
      </c>
      <c r="B30" s="146"/>
      <c r="C30" s="206"/>
      <c r="D30" s="432">
        <f t="shared" si="5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2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  <c r="AN30" s="203"/>
    </row>
    <row r="31" spans="1:40" s="155" customFormat="1" ht="12" hidden="1" x14ac:dyDescent="0.2">
      <c r="A31" s="146">
        <v>14</v>
      </c>
      <c r="B31" s="146"/>
      <c r="C31" s="206"/>
      <c r="D31" s="432">
        <f t="shared" si="5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2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  <c r="AN31" s="203"/>
    </row>
    <row r="32" spans="1:40" s="155" customFormat="1" ht="12" hidden="1" x14ac:dyDescent="0.2">
      <c r="A32" s="146">
        <v>15</v>
      </c>
      <c r="B32" s="146"/>
      <c r="C32" s="207"/>
      <c r="D32" s="432">
        <f t="shared" si="5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2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  <c r="AN32" s="203"/>
    </row>
    <row r="33" spans="1:40" s="155" customFormat="1" ht="12" x14ac:dyDescent="0.2">
      <c r="A33" s="164" t="s">
        <v>75</v>
      </c>
      <c r="B33" s="164"/>
      <c r="C33" s="208"/>
      <c r="D33" s="432">
        <f t="shared" si="5"/>
        <v>146909373</v>
      </c>
      <c r="E33" s="432">
        <f>SUM(E34:E42)</f>
        <v>86001544</v>
      </c>
      <c r="F33" s="432">
        <f t="shared" ref="F33:O33" si="6">SUM(F34:F42)</f>
        <v>25001161</v>
      </c>
      <c r="G33" s="432">
        <f t="shared" si="6"/>
        <v>19029120</v>
      </c>
      <c r="H33" s="432">
        <f t="shared" si="6"/>
        <v>0</v>
      </c>
      <c r="I33" s="432">
        <f t="shared" si="6"/>
        <v>45316128</v>
      </c>
      <c r="J33" s="432">
        <f t="shared" si="6"/>
        <v>0</v>
      </c>
      <c r="K33" s="432">
        <f t="shared" si="6"/>
        <v>9649810</v>
      </c>
      <c r="L33" s="432">
        <f t="shared" si="6"/>
        <v>0</v>
      </c>
      <c r="M33" s="432">
        <f t="shared" si="6"/>
        <v>3110172</v>
      </c>
      <c r="N33" s="432">
        <f t="shared" si="6"/>
        <v>2625514</v>
      </c>
      <c r="O33" s="432">
        <f t="shared" si="6"/>
        <v>206205</v>
      </c>
      <c r="P33" s="432">
        <f t="shared" si="2"/>
        <v>135517612</v>
      </c>
      <c r="Q33" s="432">
        <f>SUM(Q34:Q42)</f>
        <v>53244362</v>
      </c>
      <c r="R33" s="432">
        <f t="shared" ref="R33:AM33" si="7">SUM(R34:R42)</f>
        <v>37348792</v>
      </c>
      <c r="S33" s="432">
        <f t="shared" si="7"/>
        <v>454122</v>
      </c>
      <c r="T33" s="432">
        <f t="shared" si="7"/>
        <v>27459</v>
      </c>
      <c r="U33" s="432">
        <f t="shared" si="7"/>
        <v>2107437</v>
      </c>
      <c r="V33" s="432">
        <f t="shared" si="7"/>
        <v>267036</v>
      </c>
      <c r="W33" s="432">
        <f t="shared" si="7"/>
        <v>3904506</v>
      </c>
      <c r="X33" s="432">
        <f t="shared" si="7"/>
        <v>3607248</v>
      </c>
      <c r="Y33" s="432">
        <f t="shared" si="7"/>
        <v>3630430</v>
      </c>
      <c r="Z33" s="432">
        <f t="shared" si="7"/>
        <v>28909855</v>
      </c>
      <c r="AA33" s="432">
        <f t="shared" si="7"/>
        <v>2151713</v>
      </c>
      <c r="AB33" s="432">
        <f t="shared" si="7"/>
        <v>-135348</v>
      </c>
      <c r="AC33" s="432">
        <f t="shared" si="7"/>
        <v>17546478</v>
      </c>
      <c r="AD33" s="432">
        <f t="shared" si="7"/>
        <v>5780857</v>
      </c>
      <c r="AE33" s="432">
        <f t="shared" si="7"/>
        <v>46937055</v>
      </c>
      <c r="AF33" s="432">
        <f t="shared" si="7"/>
        <v>2083236</v>
      </c>
      <c r="AG33" s="432">
        <f t="shared" si="7"/>
        <v>10175261</v>
      </c>
      <c r="AH33" s="432">
        <f t="shared" si="7"/>
        <v>7981925</v>
      </c>
      <c r="AI33" s="432">
        <f t="shared" si="7"/>
        <v>16392731</v>
      </c>
      <c r="AJ33" s="432">
        <f t="shared" si="7"/>
        <v>5945653</v>
      </c>
      <c r="AK33" s="432">
        <f t="shared" si="7"/>
        <v>55000</v>
      </c>
      <c r="AL33" s="432">
        <f>SUM(AL34:AL42)</f>
        <v>21211045</v>
      </c>
      <c r="AM33" s="432">
        <f t="shared" si="7"/>
        <v>1408371</v>
      </c>
      <c r="AN33" s="203"/>
    </row>
    <row r="34" spans="1:40" s="155" customFormat="1" ht="12" x14ac:dyDescent="0.2">
      <c r="A34" s="231">
        <v>1</v>
      </c>
      <c r="B34" s="298">
        <v>143682</v>
      </c>
      <c r="C34" s="299" t="s">
        <v>436</v>
      </c>
      <c r="D34" s="432">
        <f t="shared" si="5"/>
        <v>19186995</v>
      </c>
      <c r="E34" s="431">
        <v>9252389</v>
      </c>
      <c r="F34" s="431">
        <v>2670698</v>
      </c>
      <c r="G34" s="431">
        <v>1910360</v>
      </c>
      <c r="H34" s="431">
        <v>0</v>
      </c>
      <c r="I34" s="431">
        <v>6236608</v>
      </c>
      <c r="J34" s="431">
        <v>0</v>
      </c>
      <c r="K34" s="431">
        <v>2280640</v>
      </c>
      <c r="L34" s="431">
        <v>0</v>
      </c>
      <c r="M34" s="431">
        <v>621872</v>
      </c>
      <c r="N34" s="431">
        <v>791726</v>
      </c>
      <c r="O34" s="431">
        <v>3760</v>
      </c>
      <c r="P34" s="432">
        <f t="shared" si="2"/>
        <v>17743015</v>
      </c>
      <c r="Q34" s="431">
        <v>7110784</v>
      </c>
      <c r="R34" s="431">
        <v>3956648</v>
      </c>
      <c r="S34" s="431">
        <v>42000</v>
      </c>
      <c r="T34" s="431">
        <v>0</v>
      </c>
      <c r="U34" s="431">
        <v>1660543</v>
      </c>
      <c r="V34" s="431">
        <v>55632</v>
      </c>
      <c r="W34" s="431">
        <v>1629787</v>
      </c>
      <c r="X34" s="431">
        <v>332753</v>
      </c>
      <c r="Y34" s="431">
        <v>77291</v>
      </c>
      <c r="Z34" s="431">
        <v>2671715</v>
      </c>
      <c r="AA34" s="431">
        <v>209632</v>
      </c>
      <c r="AB34" s="431">
        <v>-3770</v>
      </c>
      <c r="AC34" s="431">
        <v>1385743</v>
      </c>
      <c r="AD34" s="431">
        <v>278818</v>
      </c>
      <c r="AE34" s="431">
        <v>6218891</v>
      </c>
      <c r="AF34" s="431">
        <v>906030</v>
      </c>
      <c r="AG34" s="431">
        <v>724667</v>
      </c>
      <c r="AH34" s="431">
        <v>1583930</v>
      </c>
      <c r="AI34" s="431">
        <v>1583376</v>
      </c>
      <c r="AJ34" s="431">
        <v>1187516</v>
      </c>
      <c r="AK34" s="431">
        <v>0</v>
      </c>
      <c r="AL34" s="431">
        <v>3874044</v>
      </c>
      <c r="AM34" s="431">
        <v>0</v>
      </c>
      <c r="AN34" s="203"/>
    </row>
    <row r="35" spans="1:40" s="155" customFormat="1" ht="12" x14ac:dyDescent="0.2">
      <c r="A35" s="231">
        <v>2</v>
      </c>
      <c r="B35" s="298">
        <v>144054</v>
      </c>
      <c r="C35" s="299" t="s">
        <v>437</v>
      </c>
      <c r="D35" s="432">
        <f t="shared" si="5"/>
        <v>22470340</v>
      </c>
      <c r="E35" s="431">
        <v>11746962</v>
      </c>
      <c r="F35" s="431">
        <v>4750783</v>
      </c>
      <c r="G35" s="431">
        <v>1945640</v>
      </c>
      <c r="H35" s="431">
        <v>0</v>
      </c>
      <c r="I35" s="431">
        <v>7574712</v>
      </c>
      <c r="J35" s="431">
        <v>0</v>
      </c>
      <c r="K35" s="431">
        <v>2358140</v>
      </c>
      <c r="L35" s="431">
        <v>0</v>
      </c>
      <c r="M35" s="431">
        <v>196840</v>
      </c>
      <c r="N35" s="431">
        <v>593686</v>
      </c>
      <c r="O35" s="431">
        <v>0</v>
      </c>
      <c r="P35" s="432">
        <f t="shared" si="2"/>
        <v>20914771</v>
      </c>
      <c r="Q35" s="431">
        <v>8604792</v>
      </c>
      <c r="R35" s="431">
        <v>8011247</v>
      </c>
      <c r="S35" s="431">
        <v>0</v>
      </c>
      <c r="T35" s="431">
        <v>0</v>
      </c>
      <c r="U35" s="431">
        <v>0</v>
      </c>
      <c r="V35" s="431">
        <v>121000</v>
      </c>
      <c r="W35" s="431">
        <v>0</v>
      </c>
      <c r="X35" s="431">
        <v>572691</v>
      </c>
      <c r="Y35" s="431">
        <v>411269</v>
      </c>
      <c r="Z35" s="431">
        <v>3205560</v>
      </c>
      <c r="AA35" s="431">
        <v>0</v>
      </c>
      <c r="AB35" s="431">
        <v>-11788</v>
      </c>
      <c r="AC35" s="431">
        <v>2493686</v>
      </c>
      <c r="AD35" s="431">
        <v>1229817</v>
      </c>
      <c r="AE35" s="431">
        <v>7511576</v>
      </c>
      <c r="AF35" s="431">
        <v>138683</v>
      </c>
      <c r="AG35" s="431">
        <v>1074902</v>
      </c>
      <c r="AH35" s="431">
        <v>1473704</v>
      </c>
      <c r="AI35" s="431">
        <v>2122894</v>
      </c>
      <c r="AJ35" s="431">
        <v>1067953</v>
      </c>
      <c r="AK35" s="431">
        <v>55000</v>
      </c>
      <c r="AL35" s="431">
        <v>3689694</v>
      </c>
      <c r="AM35" s="431">
        <v>56862</v>
      </c>
      <c r="AN35" s="203"/>
    </row>
    <row r="36" spans="1:40" s="155" customFormat="1" ht="12" x14ac:dyDescent="0.2">
      <c r="A36" s="231">
        <v>3</v>
      </c>
      <c r="B36" s="298">
        <v>143735</v>
      </c>
      <c r="C36" s="299" t="s">
        <v>438</v>
      </c>
      <c r="D36" s="432">
        <f t="shared" si="5"/>
        <v>30381192</v>
      </c>
      <c r="E36" s="431">
        <v>19700767</v>
      </c>
      <c r="F36" s="431">
        <v>6268173</v>
      </c>
      <c r="G36" s="431">
        <v>1773320</v>
      </c>
      <c r="H36" s="431">
        <v>0</v>
      </c>
      <c r="I36" s="431">
        <v>8511053</v>
      </c>
      <c r="J36" s="431">
        <v>0</v>
      </c>
      <c r="K36" s="431">
        <v>2080160</v>
      </c>
      <c r="L36" s="431">
        <v>0</v>
      </c>
      <c r="M36" s="431">
        <v>66233</v>
      </c>
      <c r="N36" s="431">
        <v>0</v>
      </c>
      <c r="O36" s="431">
        <v>22979</v>
      </c>
      <c r="P36" s="432">
        <f t="shared" si="2"/>
        <v>28001847</v>
      </c>
      <c r="Q36" s="431">
        <v>9682225</v>
      </c>
      <c r="R36" s="431">
        <v>9018158</v>
      </c>
      <c r="S36" s="431">
        <v>124800</v>
      </c>
      <c r="T36" s="431">
        <v>0</v>
      </c>
      <c r="U36" s="431">
        <v>395523</v>
      </c>
      <c r="V36" s="431">
        <v>0</v>
      </c>
      <c r="W36" s="431">
        <v>0</v>
      </c>
      <c r="X36" s="431">
        <v>714958</v>
      </c>
      <c r="Y36" s="431">
        <v>2284563</v>
      </c>
      <c r="Z36" s="431">
        <v>4531164</v>
      </c>
      <c r="AA36" s="431">
        <v>1292060</v>
      </c>
      <c r="AB36" s="431">
        <v>-41604</v>
      </c>
      <c r="AC36" s="431">
        <v>3275797</v>
      </c>
      <c r="AD36" s="431">
        <v>773162</v>
      </c>
      <c r="AE36" s="431">
        <v>9225549</v>
      </c>
      <c r="AF36" s="431">
        <v>578743</v>
      </c>
      <c r="AG36" s="431">
        <v>4797726</v>
      </c>
      <c r="AH36" s="431">
        <v>1449159</v>
      </c>
      <c r="AI36" s="431">
        <v>4524614</v>
      </c>
      <c r="AJ36" s="431">
        <v>866390</v>
      </c>
      <c r="AK36" s="431">
        <v>0</v>
      </c>
      <c r="AL36" s="431">
        <v>2510707</v>
      </c>
      <c r="AM36" s="431">
        <v>0</v>
      </c>
      <c r="AN36" s="203"/>
    </row>
    <row r="37" spans="1:40" s="155" customFormat="1" ht="12" x14ac:dyDescent="0.2">
      <c r="A37" s="231">
        <v>4</v>
      </c>
      <c r="B37" s="298">
        <v>143771</v>
      </c>
      <c r="C37" s="299" t="s">
        <v>439</v>
      </c>
      <c r="D37" s="432">
        <f t="shared" si="5"/>
        <v>13235859</v>
      </c>
      <c r="E37" s="431">
        <v>7168812</v>
      </c>
      <c r="F37" s="431">
        <v>1974477</v>
      </c>
      <c r="G37" s="431">
        <v>2349280</v>
      </c>
      <c r="H37" s="431">
        <v>0</v>
      </c>
      <c r="I37" s="431">
        <v>4029515</v>
      </c>
      <c r="J37" s="431">
        <v>0</v>
      </c>
      <c r="K37" s="431">
        <v>259270</v>
      </c>
      <c r="L37" s="431">
        <v>0</v>
      </c>
      <c r="M37" s="431">
        <v>1767021</v>
      </c>
      <c r="N37" s="431">
        <v>0</v>
      </c>
      <c r="O37" s="431">
        <v>11241</v>
      </c>
      <c r="P37" s="432">
        <f t="shared" si="2"/>
        <v>12466221</v>
      </c>
      <c r="Q37" s="431">
        <v>5484003</v>
      </c>
      <c r="R37" s="431">
        <v>3292398</v>
      </c>
      <c r="S37" s="431">
        <v>23000</v>
      </c>
      <c r="T37" s="431">
        <v>27459</v>
      </c>
      <c r="U37" s="431">
        <v>51371</v>
      </c>
      <c r="V37" s="431">
        <v>15252</v>
      </c>
      <c r="W37" s="431">
        <v>0</v>
      </c>
      <c r="X37" s="431">
        <v>239960</v>
      </c>
      <c r="Y37" s="431">
        <v>111066</v>
      </c>
      <c r="Z37" s="431">
        <v>3100173</v>
      </c>
      <c r="AA37" s="431">
        <v>127064</v>
      </c>
      <c r="AB37" s="431">
        <v>-5525</v>
      </c>
      <c r="AC37" s="431">
        <v>2021601</v>
      </c>
      <c r="AD37" s="431">
        <v>508373</v>
      </c>
      <c r="AE37" s="431">
        <v>4271120</v>
      </c>
      <c r="AF37" s="431">
        <v>316411</v>
      </c>
      <c r="AG37" s="431">
        <v>546486</v>
      </c>
      <c r="AH37" s="431">
        <v>716304</v>
      </c>
      <c r="AI37" s="431">
        <v>3086849</v>
      </c>
      <c r="AJ37" s="431">
        <v>276106</v>
      </c>
      <c r="AK37" s="431">
        <v>0</v>
      </c>
      <c r="AL37" s="431">
        <v>718313</v>
      </c>
      <c r="AM37" s="431">
        <v>4658</v>
      </c>
      <c r="AN37" s="203"/>
    </row>
    <row r="38" spans="1:40" s="155" customFormat="1" ht="12" x14ac:dyDescent="0.2">
      <c r="A38" s="231">
        <v>5</v>
      </c>
      <c r="B38" s="298">
        <v>143806</v>
      </c>
      <c r="C38" s="299" t="s">
        <v>440</v>
      </c>
      <c r="D38" s="432">
        <f t="shared" si="5"/>
        <v>14453263</v>
      </c>
      <c r="E38" s="431">
        <v>7968555</v>
      </c>
      <c r="F38" s="431">
        <v>2273176</v>
      </c>
      <c r="G38" s="431">
        <v>3042610</v>
      </c>
      <c r="H38" s="431">
        <v>0</v>
      </c>
      <c r="I38" s="431">
        <v>6009045</v>
      </c>
      <c r="J38" s="431">
        <v>0</v>
      </c>
      <c r="K38" s="431">
        <v>330280</v>
      </c>
      <c r="L38" s="431">
        <v>0</v>
      </c>
      <c r="M38" s="431">
        <v>105483</v>
      </c>
      <c r="N38" s="431">
        <v>0</v>
      </c>
      <c r="O38" s="431">
        <v>39900</v>
      </c>
      <c r="P38" s="432">
        <f t="shared" si="2"/>
        <v>13150852</v>
      </c>
      <c r="Q38" s="431">
        <v>6577988</v>
      </c>
      <c r="R38" s="431">
        <v>3100710</v>
      </c>
      <c r="S38" s="431">
        <v>0</v>
      </c>
      <c r="T38" s="431">
        <v>0</v>
      </c>
      <c r="U38" s="431">
        <v>0</v>
      </c>
      <c r="V38" s="431">
        <v>0</v>
      </c>
      <c r="W38" s="431">
        <v>0</v>
      </c>
      <c r="X38" s="431">
        <v>463800</v>
      </c>
      <c r="Y38" s="431">
        <v>194733</v>
      </c>
      <c r="Z38" s="431">
        <v>2813702</v>
      </c>
      <c r="AA38" s="431">
        <v>0</v>
      </c>
      <c r="AB38" s="431">
        <v>-81</v>
      </c>
      <c r="AC38" s="431">
        <v>1534696</v>
      </c>
      <c r="AD38" s="431">
        <v>650498</v>
      </c>
      <c r="AE38" s="431">
        <v>5848555</v>
      </c>
      <c r="AF38" s="431">
        <v>58809</v>
      </c>
      <c r="AG38" s="431">
        <v>664273</v>
      </c>
      <c r="AH38" s="431">
        <v>814146</v>
      </c>
      <c r="AI38" s="431">
        <v>1441496</v>
      </c>
      <c r="AJ38" s="431">
        <v>331283</v>
      </c>
      <c r="AK38" s="431">
        <v>0</v>
      </c>
      <c r="AL38" s="431">
        <v>1758360</v>
      </c>
      <c r="AM38" s="431">
        <v>48736</v>
      </c>
      <c r="AN38" s="203"/>
    </row>
    <row r="39" spans="1:40" s="155" customFormat="1" ht="12" x14ac:dyDescent="0.2">
      <c r="A39" s="231">
        <v>6</v>
      </c>
      <c r="B39" s="298">
        <v>144928</v>
      </c>
      <c r="C39" s="299" t="s">
        <v>441</v>
      </c>
      <c r="D39" s="432">
        <f t="shared" si="5"/>
        <v>9596257</v>
      </c>
      <c r="E39" s="431">
        <v>6290089</v>
      </c>
      <c r="F39" s="431">
        <v>1396232</v>
      </c>
      <c r="G39" s="431">
        <v>2297900</v>
      </c>
      <c r="H39" s="431">
        <v>0</v>
      </c>
      <c r="I39" s="431">
        <v>2924317</v>
      </c>
      <c r="J39" s="431">
        <v>0</v>
      </c>
      <c r="K39" s="431">
        <v>274220</v>
      </c>
      <c r="L39" s="431">
        <v>0</v>
      </c>
      <c r="M39" s="431">
        <v>89951</v>
      </c>
      <c r="N39" s="431">
        <v>0</v>
      </c>
      <c r="O39" s="431">
        <v>17680</v>
      </c>
      <c r="P39" s="432">
        <f t="shared" si="2"/>
        <v>7407947</v>
      </c>
      <c r="Q39" s="431">
        <v>3263809</v>
      </c>
      <c r="R39" s="431">
        <v>1357654</v>
      </c>
      <c r="S39" s="431">
        <v>0</v>
      </c>
      <c r="T39" s="431">
        <v>0</v>
      </c>
      <c r="U39" s="431">
        <v>0</v>
      </c>
      <c r="V39" s="431">
        <v>31685</v>
      </c>
      <c r="W39" s="431">
        <v>0</v>
      </c>
      <c r="X39" s="431">
        <v>436062</v>
      </c>
      <c r="Y39" s="431">
        <v>355600</v>
      </c>
      <c r="Z39" s="431">
        <v>1963137</v>
      </c>
      <c r="AA39" s="431">
        <v>0</v>
      </c>
      <c r="AB39" s="431">
        <v>0</v>
      </c>
      <c r="AC39" s="431">
        <v>1000562</v>
      </c>
      <c r="AD39" s="431">
        <v>218725</v>
      </c>
      <c r="AE39" s="431">
        <v>3038250</v>
      </c>
      <c r="AF39" s="431">
        <v>43501</v>
      </c>
      <c r="AG39" s="431">
        <v>824047</v>
      </c>
      <c r="AH39" s="431">
        <v>463586</v>
      </c>
      <c r="AI39" s="431">
        <v>789770</v>
      </c>
      <c r="AJ39" s="431">
        <v>352966</v>
      </c>
      <c r="AK39" s="431">
        <v>0</v>
      </c>
      <c r="AL39" s="431">
        <v>600898</v>
      </c>
      <c r="AM39" s="431">
        <v>75642</v>
      </c>
      <c r="AN39" s="203"/>
    </row>
    <row r="40" spans="1:40" s="155" customFormat="1" ht="12" x14ac:dyDescent="0.2">
      <c r="A40" s="231">
        <v>7</v>
      </c>
      <c r="B40" s="298">
        <v>143851</v>
      </c>
      <c r="C40" s="299" t="s">
        <v>442</v>
      </c>
      <c r="D40" s="432">
        <f t="shared" si="5"/>
        <v>9239411</v>
      </c>
      <c r="E40" s="431">
        <v>6795408</v>
      </c>
      <c r="F40" s="431">
        <v>339829</v>
      </c>
      <c r="G40" s="431">
        <v>3258660</v>
      </c>
      <c r="H40" s="431">
        <v>0</v>
      </c>
      <c r="I40" s="431">
        <v>1762142</v>
      </c>
      <c r="J40" s="431">
        <v>0</v>
      </c>
      <c r="K40" s="431">
        <v>211250</v>
      </c>
      <c r="L40" s="431">
        <v>0</v>
      </c>
      <c r="M40" s="431">
        <v>79624</v>
      </c>
      <c r="N40" s="431">
        <v>390987</v>
      </c>
      <c r="O40" s="431">
        <v>0</v>
      </c>
      <c r="P40" s="432">
        <f t="shared" si="2"/>
        <v>8122337</v>
      </c>
      <c r="Q40" s="431">
        <v>2569868</v>
      </c>
      <c r="R40" s="431">
        <v>2813076</v>
      </c>
      <c r="S40" s="431">
        <v>131211</v>
      </c>
      <c r="T40" s="431">
        <v>0</v>
      </c>
      <c r="U40" s="431">
        <v>0</v>
      </c>
      <c r="V40" s="431">
        <v>21000</v>
      </c>
      <c r="W40" s="431">
        <v>468247</v>
      </c>
      <c r="X40" s="431">
        <v>147800</v>
      </c>
      <c r="Y40" s="431">
        <v>70704</v>
      </c>
      <c r="Z40" s="431">
        <v>1763990</v>
      </c>
      <c r="AA40" s="431">
        <v>162957</v>
      </c>
      <c r="AB40" s="431">
        <v>-26516</v>
      </c>
      <c r="AC40" s="431">
        <v>1479422</v>
      </c>
      <c r="AD40" s="431">
        <v>370275</v>
      </c>
      <c r="AE40" s="431">
        <v>2095410</v>
      </c>
      <c r="AF40" s="431">
        <v>0</v>
      </c>
      <c r="AG40" s="431">
        <v>292941</v>
      </c>
      <c r="AH40" s="431">
        <v>247858</v>
      </c>
      <c r="AI40" s="431">
        <v>436532</v>
      </c>
      <c r="AJ40" s="431">
        <v>58173</v>
      </c>
      <c r="AK40" s="431">
        <v>0</v>
      </c>
      <c r="AL40" s="431">
        <v>2878633</v>
      </c>
      <c r="AM40" s="431">
        <v>263093</v>
      </c>
      <c r="AN40" s="203"/>
    </row>
    <row r="41" spans="1:40" s="155" customFormat="1" ht="12" x14ac:dyDescent="0.2">
      <c r="A41" s="231">
        <v>8</v>
      </c>
      <c r="B41" s="298">
        <v>145499</v>
      </c>
      <c r="C41" s="299" t="s">
        <v>443</v>
      </c>
      <c r="D41" s="432">
        <f t="shared" si="5"/>
        <v>13120175</v>
      </c>
      <c r="E41" s="431">
        <v>8191072</v>
      </c>
      <c r="F41" s="431">
        <v>1982744</v>
      </c>
      <c r="G41" s="431">
        <v>1244980</v>
      </c>
      <c r="H41" s="431">
        <v>0</v>
      </c>
      <c r="I41" s="431">
        <v>3534133</v>
      </c>
      <c r="J41" s="431">
        <v>0</v>
      </c>
      <c r="K41" s="431">
        <v>880800</v>
      </c>
      <c r="L41" s="431">
        <v>0</v>
      </c>
      <c r="M41" s="431">
        <v>142973</v>
      </c>
      <c r="N41" s="431">
        <v>286002</v>
      </c>
      <c r="O41" s="431">
        <v>85195</v>
      </c>
      <c r="P41" s="432">
        <f t="shared" si="2"/>
        <v>12456024</v>
      </c>
      <c r="Q41" s="431">
        <v>4085747</v>
      </c>
      <c r="R41" s="431">
        <v>3097898</v>
      </c>
      <c r="S41" s="431">
        <v>15111</v>
      </c>
      <c r="T41" s="431">
        <v>0</v>
      </c>
      <c r="U41" s="431">
        <v>0</v>
      </c>
      <c r="V41" s="431">
        <v>22467</v>
      </c>
      <c r="W41" s="431">
        <v>364812</v>
      </c>
      <c r="X41" s="431">
        <v>470052</v>
      </c>
      <c r="Y41" s="431">
        <v>63568</v>
      </c>
      <c r="Z41" s="431">
        <v>4363209</v>
      </c>
      <c r="AA41" s="431">
        <v>0</v>
      </c>
      <c r="AB41" s="431">
        <v>-26840</v>
      </c>
      <c r="AC41" s="431">
        <v>2537887</v>
      </c>
      <c r="AD41" s="431">
        <v>1369000</v>
      </c>
      <c r="AE41" s="431">
        <v>3383371</v>
      </c>
      <c r="AF41" s="431">
        <v>14775</v>
      </c>
      <c r="AG41" s="431">
        <v>528412</v>
      </c>
      <c r="AH41" s="431">
        <v>510338</v>
      </c>
      <c r="AI41" s="431">
        <v>1388356</v>
      </c>
      <c r="AJ41" s="431">
        <v>466364</v>
      </c>
      <c r="AK41" s="431">
        <v>0</v>
      </c>
      <c r="AL41" s="431">
        <v>2100163</v>
      </c>
      <c r="AM41" s="431">
        <v>157358</v>
      </c>
      <c r="AN41" s="203"/>
    </row>
    <row r="42" spans="1:40" s="155" customFormat="1" ht="12" x14ac:dyDescent="0.2">
      <c r="A42" s="231">
        <v>9</v>
      </c>
      <c r="B42" s="298">
        <v>145827</v>
      </c>
      <c r="C42" s="299" t="s">
        <v>444</v>
      </c>
      <c r="D42" s="432">
        <f t="shared" si="5"/>
        <v>15225881</v>
      </c>
      <c r="E42" s="431">
        <v>8887490</v>
      </c>
      <c r="F42" s="431">
        <v>3345049</v>
      </c>
      <c r="G42" s="431">
        <v>1206370</v>
      </c>
      <c r="H42" s="431">
        <v>0</v>
      </c>
      <c r="I42" s="431">
        <v>4734603</v>
      </c>
      <c r="J42" s="431">
        <v>0</v>
      </c>
      <c r="K42" s="431">
        <v>975050</v>
      </c>
      <c r="L42" s="431">
        <v>0</v>
      </c>
      <c r="M42" s="431">
        <v>40175</v>
      </c>
      <c r="N42" s="431">
        <v>563113</v>
      </c>
      <c r="O42" s="431">
        <v>25450</v>
      </c>
      <c r="P42" s="432">
        <f t="shared" si="2"/>
        <v>15254598</v>
      </c>
      <c r="Q42" s="431">
        <v>5865146</v>
      </c>
      <c r="R42" s="431">
        <v>2701003</v>
      </c>
      <c r="S42" s="431">
        <v>118000</v>
      </c>
      <c r="T42" s="431">
        <v>0</v>
      </c>
      <c r="U42" s="431">
        <v>0</v>
      </c>
      <c r="V42" s="431">
        <v>0</v>
      </c>
      <c r="W42" s="431">
        <v>1441660</v>
      </c>
      <c r="X42" s="431">
        <v>229172</v>
      </c>
      <c r="Y42" s="431">
        <v>61636</v>
      </c>
      <c r="Z42" s="431">
        <v>4497205</v>
      </c>
      <c r="AA42" s="431">
        <v>360000</v>
      </c>
      <c r="AB42" s="431">
        <v>-19224</v>
      </c>
      <c r="AC42" s="431">
        <v>1817084</v>
      </c>
      <c r="AD42" s="431">
        <v>382189</v>
      </c>
      <c r="AE42" s="431">
        <v>5344333</v>
      </c>
      <c r="AF42" s="431">
        <v>26284</v>
      </c>
      <c r="AG42" s="431">
        <v>721807</v>
      </c>
      <c r="AH42" s="431">
        <v>722900</v>
      </c>
      <c r="AI42" s="431">
        <v>1018844</v>
      </c>
      <c r="AJ42" s="431">
        <v>1338902</v>
      </c>
      <c r="AK42" s="431">
        <v>0</v>
      </c>
      <c r="AL42" s="431">
        <v>3080233</v>
      </c>
      <c r="AM42" s="431">
        <v>802022</v>
      </c>
      <c r="AN42" s="203"/>
    </row>
    <row r="43" spans="1:40" s="155" customFormat="1" ht="12" hidden="1" x14ac:dyDescent="0.2">
      <c r="A43" s="146">
        <v>10</v>
      </c>
      <c r="B43" s="146"/>
      <c r="C43" s="206"/>
      <c r="D43" s="432">
        <f t="shared" si="5"/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2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  <c r="AN43" s="203"/>
    </row>
    <row r="44" spans="1:40" s="155" customFormat="1" ht="12" hidden="1" x14ac:dyDescent="0.2">
      <c r="A44" s="146">
        <v>11</v>
      </c>
      <c r="B44" s="146"/>
      <c r="C44" s="206"/>
      <c r="D44" s="432">
        <f t="shared" si="5"/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2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  <c r="AN44" s="203"/>
    </row>
    <row r="45" spans="1:40" s="155" customFormat="1" ht="12" hidden="1" x14ac:dyDescent="0.2">
      <c r="A45" s="146">
        <v>12</v>
      </c>
      <c r="B45" s="146"/>
      <c r="C45" s="206"/>
      <c r="D45" s="432">
        <f t="shared" si="5"/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2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  <c r="AN45" s="203"/>
    </row>
    <row r="46" spans="1:40" s="155" customFormat="1" ht="12" hidden="1" x14ac:dyDescent="0.2">
      <c r="A46" s="146">
        <v>13</v>
      </c>
      <c r="B46" s="146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2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  <c r="AN46" s="203"/>
    </row>
    <row r="47" spans="1:40" s="155" customFormat="1" ht="12" hidden="1" x14ac:dyDescent="0.2">
      <c r="A47" s="146">
        <v>14</v>
      </c>
      <c r="B47" s="146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2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  <c r="AN47" s="203"/>
    </row>
    <row r="48" spans="1:40" s="155" customFormat="1" ht="12" hidden="1" x14ac:dyDescent="0.2">
      <c r="A48" s="146">
        <v>15</v>
      </c>
      <c r="B48" s="146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2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  <c r="AN48" s="203"/>
    </row>
    <row r="49" spans="1:40" s="155" customFormat="1" ht="12" hidden="1" x14ac:dyDescent="0.2">
      <c r="A49" s="146">
        <v>16</v>
      </c>
      <c r="B49" s="146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2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  <c r="AN49" s="203"/>
    </row>
    <row r="50" spans="1:40" s="155" customFormat="1" ht="12" hidden="1" x14ac:dyDescent="0.2">
      <c r="A50" s="146">
        <v>17</v>
      </c>
      <c r="B50" s="146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2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  <c r="AN50" s="203"/>
    </row>
    <row r="51" spans="1:40" s="155" customFormat="1" ht="12" hidden="1" x14ac:dyDescent="0.2">
      <c r="A51" s="146">
        <v>18</v>
      </c>
      <c r="B51" s="146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2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  <c r="AN51" s="203"/>
    </row>
    <row r="52" spans="1:40" s="155" customFormat="1" ht="12" hidden="1" x14ac:dyDescent="0.2">
      <c r="A52" s="146">
        <v>19</v>
      </c>
      <c r="B52" s="146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2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  <c r="AN52" s="203"/>
    </row>
    <row r="53" spans="1:40" s="155" customFormat="1" ht="12" hidden="1" x14ac:dyDescent="0.2">
      <c r="A53" s="146">
        <v>20</v>
      </c>
      <c r="B53" s="146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2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  <c r="AN53" s="203"/>
    </row>
    <row r="54" spans="1:40" s="155" customFormat="1" ht="12.75" customHeight="1" x14ac:dyDescent="0.2">
      <c r="A54" s="164" t="s">
        <v>76</v>
      </c>
      <c r="B54" s="164"/>
      <c r="C54" s="208"/>
      <c r="D54" s="432">
        <f t="shared" ref="D54:D117" si="8">E54+SUM(H54:O54)</f>
        <v>329925989</v>
      </c>
      <c r="E54" s="432">
        <f>SUM(E55:E143)</f>
        <v>140920214</v>
      </c>
      <c r="F54" s="432">
        <f t="shared" ref="F54:O54" si="9">SUM(F55:F143)</f>
        <v>25790505</v>
      </c>
      <c r="G54" s="432">
        <f t="shared" si="9"/>
        <v>51442313</v>
      </c>
      <c r="H54" s="432">
        <f t="shared" si="9"/>
        <v>0</v>
      </c>
      <c r="I54" s="432">
        <f t="shared" si="9"/>
        <v>73834129</v>
      </c>
      <c r="J54" s="432">
        <f t="shared" si="9"/>
        <v>0</v>
      </c>
      <c r="K54" s="432">
        <f t="shared" si="9"/>
        <v>25769290</v>
      </c>
      <c r="L54" s="432">
        <f t="shared" si="9"/>
        <v>0</v>
      </c>
      <c r="M54" s="432">
        <f t="shared" si="9"/>
        <v>41475457</v>
      </c>
      <c r="N54" s="432">
        <f t="shared" si="9"/>
        <v>45076397</v>
      </c>
      <c r="O54" s="432">
        <f t="shared" si="9"/>
        <v>2850502</v>
      </c>
      <c r="P54" s="432">
        <f t="shared" si="2"/>
        <v>312208407</v>
      </c>
      <c r="Q54" s="432">
        <f>SUM(Q55:Q143)</f>
        <v>83511298</v>
      </c>
      <c r="R54" s="432">
        <f t="shared" ref="R54:AM54" si="10">SUM(R55:R143)</f>
        <v>67214277</v>
      </c>
      <c r="S54" s="432">
        <f t="shared" si="10"/>
        <v>946213</v>
      </c>
      <c r="T54" s="432">
        <f t="shared" si="10"/>
        <v>64065</v>
      </c>
      <c r="U54" s="432">
        <f t="shared" si="10"/>
        <v>0</v>
      </c>
      <c r="V54" s="432">
        <f t="shared" si="10"/>
        <v>586171</v>
      </c>
      <c r="W54" s="432">
        <f t="shared" si="10"/>
        <v>59759374</v>
      </c>
      <c r="X54" s="432">
        <f t="shared" si="10"/>
        <v>9428165</v>
      </c>
      <c r="Y54" s="432">
        <f t="shared" si="10"/>
        <v>2691751</v>
      </c>
      <c r="Z54" s="432">
        <f t="shared" si="10"/>
        <v>84390469</v>
      </c>
      <c r="AA54" s="432">
        <f t="shared" si="10"/>
        <v>4164980</v>
      </c>
      <c r="AB54" s="432">
        <f t="shared" si="10"/>
        <v>-548356</v>
      </c>
      <c r="AC54" s="432">
        <f t="shared" si="10"/>
        <v>38805453</v>
      </c>
      <c r="AD54" s="432">
        <f t="shared" si="10"/>
        <v>5293718</v>
      </c>
      <c r="AE54" s="432">
        <f t="shared" si="10"/>
        <v>71649201</v>
      </c>
      <c r="AF54" s="432">
        <f t="shared" si="10"/>
        <v>2301459</v>
      </c>
      <c r="AG54" s="432">
        <f t="shared" si="10"/>
        <v>22098285</v>
      </c>
      <c r="AH54" s="432">
        <f t="shared" si="10"/>
        <v>14377857</v>
      </c>
      <c r="AI54" s="432">
        <f t="shared" si="10"/>
        <v>44868622</v>
      </c>
      <c r="AJ54" s="432">
        <f t="shared" si="10"/>
        <v>34038121</v>
      </c>
      <c r="AK54" s="432">
        <f t="shared" si="10"/>
        <v>0</v>
      </c>
      <c r="AL54" s="432">
        <f>SUM(AL55:AL143)</f>
        <v>63233167</v>
      </c>
      <c r="AM54" s="432">
        <f t="shared" si="10"/>
        <v>15542524</v>
      </c>
      <c r="AN54" s="203"/>
    </row>
    <row r="55" spans="1:40" s="155" customFormat="1" ht="12" x14ac:dyDescent="0.2">
      <c r="A55" s="205">
        <v>1</v>
      </c>
      <c r="B55" s="300">
        <v>146012</v>
      </c>
      <c r="C55" s="299" t="s">
        <v>445</v>
      </c>
      <c r="D55" s="432">
        <f t="shared" si="8"/>
        <v>4015900</v>
      </c>
      <c r="E55" s="431">
        <v>1939065</v>
      </c>
      <c r="F55" s="431">
        <v>82950</v>
      </c>
      <c r="G55" s="431">
        <v>1540740</v>
      </c>
      <c r="H55" s="431">
        <v>0</v>
      </c>
      <c r="I55" s="431">
        <v>1205823</v>
      </c>
      <c r="J55" s="431">
        <v>0</v>
      </c>
      <c r="K55" s="431">
        <v>178410</v>
      </c>
      <c r="L55" s="431">
        <v>0</v>
      </c>
      <c r="M55" s="431">
        <v>541729</v>
      </c>
      <c r="N55" s="431">
        <v>148873</v>
      </c>
      <c r="O55" s="431">
        <v>2000</v>
      </c>
      <c r="P55" s="432">
        <f t="shared" si="2"/>
        <v>3402793</v>
      </c>
      <c r="Q55" s="431">
        <v>1460863</v>
      </c>
      <c r="R55" s="431">
        <v>821961</v>
      </c>
      <c r="S55" s="431">
        <v>0</v>
      </c>
      <c r="T55" s="431">
        <v>0</v>
      </c>
      <c r="U55" s="431">
        <v>0</v>
      </c>
      <c r="V55" s="431">
        <v>0</v>
      </c>
      <c r="W55" s="431">
        <v>67158</v>
      </c>
      <c r="X55" s="431">
        <v>83333</v>
      </c>
      <c r="Y55" s="431">
        <v>30000</v>
      </c>
      <c r="Z55" s="431">
        <v>939478</v>
      </c>
      <c r="AA55" s="431">
        <v>0</v>
      </c>
      <c r="AB55" s="431">
        <v>0</v>
      </c>
      <c r="AC55" s="431">
        <v>553854</v>
      </c>
      <c r="AD55" s="431">
        <v>98704</v>
      </c>
      <c r="AE55" s="431">
        <v>1188234</v>
      </c>
      <c r="AF55" s="431">
        <v>13414</v>
      </c>
      <c r="AG55" s="431">
        <v>161188</v>
      </c>
      <c r="AH55" s="431">
        <v>146263</v>
      </c>
      <c r="AI55" s="431">
        <v>619105</v>
      </c>
      <c r="AJ55" s="431">
        <v>138485</v>
      </c>
      <c r="AK55" s="431">
        <v>0</v>
      </c>
      <c r="AL55" s="431">
        <v>457799</v>
      </c>
      <c r="AM55" s="431">
        <v>25747</v>
      </c>
      <c r="AN55" s="203"/>
    </row>
    <row r="56" spans="1:40" s="155" customFormat="1" ht="12" x14ac:dyDescent="0.2">
      <c r="A56" s="205">
        <v>2</v>
      </c>
      <c r="B56" s="300">
        <v>143888</v>
      </c>
      <c r="C56" s="299" t="s">
        <v>446</v>
      </c>
      <c r="D56" s="432">
        <f t="shared" si="8"/>
        <v>2983835</v>
      </c>
      <c r="E56" s="431">
        <v>1950893</v>
      </c>
      <c r="F56" s="431">
        <v>118126</v>
      </c>
      <c r="G56" s="431">
        <v>1150300</v>
      </c>
      <c r="H56" s="431">
        <v>0</v>
      </c>
      <c r="I56" s="431">
        <v>851062</v>
      </c>
      <c r="J56" s="431">
        <v>0</v>
      </c>
      <c r="K56" s="431">
        <v>150600</v>
      </c>
      <c r="L56" s="431">
        <v>0</v>
      </c>
      <c r="M56" s="431">
        <v>31280</v>
      </c>
      <c r="N56" s="431">
        <v>0</v>
      </c>
      <c r="O56" s="431">
        <v>0</v>
      </c>
      <c r="P56" s="432">
        <f t="shared" si="2"/>
        <v>2798619</v>
      </c>
      <c r="Q56" s="431">
        <v>1101221</v>
      </c>
      <c r="R56" s="431">
        <v>952146</v>
      </c>
      <c r="S56" s="431">
        <v>0</v>
      </c>
      <c r="T56" s="431">
        <v>0</v>
      </c>
      <c r="U56" s="431">
        <v>0</v>
      </c>
      <c r="V56" s="431">
        <v>7400</v>
      </c>
      <c r="W56" s="431">
        <v>0</v>
      </c>
      <c r="X56" s="431">
        <v>111406</v>
      </c>
      <c r="Y56" s="431">
        <v>10000</v>
      </c>
      <c r="Z56" s="431">
        <v>616586</v>
      </c>
      <c r="AA56" s="431">
        <v>0</v>
      </c>
      <c r="AB56" s="431">
        <v>-140</v>
      </c>
      <c r="AC56" s="431">
        <v>619754</v>
      </c>
      <c r="AD56" s="431">
        <v>27155</v>
      </c>
      <c r="AE56" s="431">
        <v>738972</v>
      </c>
      <c r="AF56" s="431">
        <v>32000</v>
      </c>
      <c r="AG56" s="431">
        <v>93139</v>
      </c>
      <c r="AH56" s="431">
        <v>166173</v>
      </c>
      <c r="AI56" s="431">
        <v>301967</v>
      </c>
      <c r="AJ56" s="431">
        <v>76276</v>
      </c>
      <c r="AK56" s="431">
        <v>0</v>
      </c>
      <c r="AL56" s="431">
        <v>631831</v>
      </c>
      <c r="AM56" s="431">
        <v>111352</v>
      </c>
      <c r="AN56" s="203"/>
    </row>
    <row r="57" spans="1:40" s="155" customFormat="1" ht="12" x14ac:dyDescent="0.2">
      <c r="A57" s="205">
        <v>3</v>
      </c>
      <c r="B57" s="300">
        <v>143922</v>
      </c>
      <c r="C57" s="299" t="s">
        <v>447</v>
      </c>
      <c r="D57" s="432">
        <f t="shared" si="8"/>
        <v>5788141</v>
      </c>
      <c r="E57" s="431">
        <v>1575452</v>
      </c>
      <c r="F57" s="431">
        <v>67764</v>
      </c>
      <c r="G57" s="431">
        <v>1106490</v>
      </c>
      <c r="H57" s="431">
        <v>0</v>
      </c>
      <c r="I57" s="431">
        <v>865774</v>
      </c>
      <c r="J57" s="431">
        <v>0</v>
      </c>
      <c r="K57" s="431">
        <v>123380</v>
      </c>
      <c r="L57" s="431">
        <v>0</v>
      </c>
      <c r="M57" s="431">
        <v>1750304</v>
      </c>
      <c r="N57" s="431">
        <v>135068</v>
      </c>
      <c r="O57" s="431">
        <v>1338163</v>
      </c>
      <c r="P57" s="432">
        <f t="shared" si="2"/>
        <v>6373360</v>
      </c>
      <c r="Q57" s="431">
        <v>1081105</v>
      </c>
      <c r="R57" s="431">
        <v>839614</v>
      </c>
      <c r="S57" s="431">
        <v>0</v>
      </c>
      <c r="T57" s="431">
        <v>0</v>
      </c>
      <c r="U57" s="431">
        <v>0</v>
      </c>
      <c r="V57" s="431">
        <v>24700</v>
      </c>
      <c r="W57" s="431">
        <v>159174</v>
      </c>
      <c r="X57" s="431">
        <v>119018</v>
      </c>
      <c r="Y57" s="431">
        <v>32830</v>
      </c>
      <c r="Z57" s="431">
        <v>4117035</v>
      </c>
      <c r="AA57" s="431">
        <v>0</v>
      </c>
      <c r="AB57" s="431">
        <v>-116</v>
      </c>
      <c r="AC57" s="431">
        <v>681034</v>
      </c>
      <c r="AD57" s="431">
        <v>7612</v>
      </c>
      <c r="AE57" s="431">
        <v>793797</v>
      </c>
      <c r="AF57" s="431">
        <v>24831</v>
      </c>
      <c r="AG57" s="431">
        <v>246490</v>
      </c>
      <c r="AH57" s="431">
        <v>152099</v>
      </c>
      <c r="AI57" s="431">
        <v>1942263</v>
      </c>
      <c r="AJ57" s="431">
        <v>2411233</v>
      </c>
      <c r="AK57" s="431">
        <v>0</v>
      </c>
      <c r="AL57" s="431">
        <v>40705</v>
      </c>
      <c r="AM57" s="431">
        <v>73296</v>
      </c>
      <c r="AN57" s="203"/>
    </row>
    <row r="58" spans="1:40" s="155" customFormat="1" ht="12" x14ac:dyDescent="0.2">
      <c r="A58" s="205">
        <v>4</v>
      </c>
      <c r="B58" s="300">
        <v>143959</v>
      </c>
      <c r="C58" s="299" t="s">
        <v>448</v>
      </c>
      <c r="D58" s="432">
        <f t="shared" si="8"/>
        <v>6869010</v>
      </c>
      <c r="E58" s="431">
        <v>2124853</v>
      </c>
      <c r="F58" s="431">
        <v>572853</v>
      </c>
      <c r="G58" s="431">
        <v>691080</v>
      </c>
      <c r="H58" s="431">
        <v>0</v>
      </c>
      <c r="I58" s="431">
        <v>1554138</v>
      </c>
      <c r="J58" s="431">
        <v>0</v>
      </c>
      <c r="K58" s="431">
        <v>744330</v>
      </c>
      <c r="L58" s="431">
        <v>0</v>
      </c>
      <c r="M58" s="431">
        <v>1622868</v>
      </c>
      <c r="N58" s="431">
        <v>822821</v>
      </c>
      <c r="O58" s="431">
        <v>0</v>
      </c>
      <c r="P58" s="432">
        <f t="shared" si="2"/>
        <v>5492186</v>
      </c>
      <c r="Q58" s="431">
        <v>1689417</v>
      </c>
      <c r="R58" s="431">
        <v>1209624</v>
      </c>
      <c r="S58" s="431">
        <v>0</v>
      </c>
      <c r="T58" s="431">
        <v>0</v>
      </c>
      <c r="U58" s="431">
        <v>0</v>
      </c>
      <c r="V58" s="431">
        <v>12789</v>
      </c>
      <c r="W58" s="431">
        <v>673351</v>
      </c>
      <c r="X58" s="431">
        <v>151152</v>
      </c>
      <c r="Y58" s="431">
        <v>44796</v>
      </c>
      <c r="Z58" s="431">
        <v>1711057</v>
      </c>
      <c r="AA58" s="431">
        <v>0</v>
      </c>
      <c r="AB58" s="431">
        <v>0</v>
      </c>
      <c r="AC58" s="431">
        <v>777920</v>
      </c>
      <c r="AD58" s="431">
        <v>5135</v>
      </c>
      <c r="AE58" s="431">
        <v>1559651</v>
      </c>
      <c r="AF58" s="431">
        <v>0</v>
      </c>
      <c r="AG58" s="431">
        <v>951738</v>
      </c>
      <c r="AH58" s="431">
        <v>328652</v>
      </c>
      <c r="AI58" s="431">
        <v>244689</v>
      </c>
      <c r="AJ58" s="431">
        <v>237463</v>
      </c>
      <c r="AK58" s="431">
        <v>0</v>
      </c>
      <c r="AL58" s="431">
        <v>1372338</v>
      </c>
      <c r="AM58" s="431">
        <v>14600</v>
      </c>
      <c r="AN58" s="203"/>
    </row>
    <row r="59" spans="1:40" s="155" customFormat="1" ht="12" x14ac:dyDescent="0.2">
      <c r="A59" s="205">
        <v>5</v>
      </c>
      <c r="B59" s="300">
        <v>143995</v>
      </c>
      <c r="C59" s="299" t="s">
        <v>449</v>
      </c>
      <c r="D59" s="432">
        <f t="shared" si="8"/>
        <v>4548022</v>
      </c>
      <c r="E59" s="431">
        <v>1915495</v>
      </c>
      <c r="F59" s="431">
        <v>131528</v>
      </c>
      <c r="G59" s="431">
        <v>1207090</v>
      </c>
      <c r="H59" s="431">
        <v>0</v>
      </c>
      <c r="I59" s="431">
        <v>792614</v>
      </c>
      <c r="J59" s="431">
        <v>0</v>
      </c>
      <c r="K59" s="431">
        <v>147960</v>
      </c>
      <c r="L59" s="431">
        <v>0</v>
      </c>
      <c r="M59" s="431">
        <v>205918</v>
      </c>
      <c r="N59" s="431">
        <v>1486035</v>
      </c>
      <c r="O59" s="431">
        <v>0</v>
      </c>
      <c r="P59" s="432">
        <f t="shared" si="2"/>
        <v>3459660</v>
      </c>
      <c r="Q59" s="431">
        <v>1186403</v>
      </c>
      <c r="R59" s="431">
        <v>1419254</v>
      </c>
      <c r="S59" s="431">
        <v>1730</v>
      </c>
      <c r="T59" s="431">
        <v>0</v>
      </c>
      <c r="U59" s="431">
        <v>0</v>
      </c>
      <c r="V59" s="431">
        <v>0</v>
      </c>
      <c r="W59" s="431">
        <v>550625</v>
      </c>
      <c r="X59" s="431">
        <v>85824</v>
      </c>
      <c r="Y59" s="431">
        <v>47614</v>
      </c>
      <c r="Z59" s="431">
        <v>152340</v>
      </c>
      <c r="AA59" s="431">
        <v>15920</v>
      </c>
      <c r="AB59" s="431">
        <v>-50</v>
      </c>
      <c r="AC59" s="431">
        <v>758924</v>
      </c>
      <c r="AD59" s="431">
        <v>78981</v>
      </c>
      <c r="AE59" s="431">
        <v>843115</v>
      </c>
      <c r="AF59" s="431">
        <v>0</v>
      </c>
      <c r="AG59" s="431">
        <v>180809</v>
      </c>
      <c r="AH59" s="431">
        <v>139545</v>
      </c>
      <c r="AI59" s="431">
        <v>569928</v>
      </c>
      <c r="AJ59" s="431">
        <v>44704</v>
      </c>
      <c r="AK59" s="431">
        <v>0</v>
      </c>
      <c r="AL59" s="431">
        <v>453511</v>
      </c>
      <c r="AM59" s="431">
        <v>390143</v>
      </c>
      <c r="AN59" s="203"/>
    </row>
    <row r="60" spans="1:40" s="155" customFormat="1" ht="12" x14ac:dyDescent="0.2">
      <c r="A60" s="205">
        <v>6</v>
      </c>
      <c r="B60" s="300">
        <v>144116</v>
      </c>
      <c r="C60" s="299" t="s">
        <v>450</v>
      </c>
      <c r="D60" s="432">
        <f t="shared" si="8"/>
        <v>5239400</v>
      </c>
      <c r="E60" s="431">
        <v>2414968</v>
      </c>
      <c r="F60" s="431">
        <v>304685</v>
      </c>
      <c r="G60" s="431">
        <v>1351270</v>
      </c>
      <c r="H60" s="431">
        <v>0</v>
      </c>
      <c r="I60" s="431">
        <v>1580706</v>
      </c>
      <c r="J60" s="431">
        <v>0</v>
      </c>
      <c r="K60" s="431">
        <v>750850</v>
      </c>
      <c r="L60" s="431">
        <v>0</v>
      </c>
      <c r="M60" s="431">
        <v>160780</v>
      </c>
      <c r="N60" s="431">
        <v>326096</v>
      </c>
      <c r="O60" s="431">
        <v>6000</v>
      </c>
      <c r="P60" s="432">
        <f t="shared" si="2"/>
        <v>4615393</v>
      </c>
      <c r="Q60" s="431">
        <v>1748449</v>
      </c>
      <c r="R60" s="431">
        <v>1469723</v>
      </c>
      <c r="S60" s="431">
        <v>0</v>
      </c>
      <c r="T60" s="431">
        <v>0</v>
      </c>
      <c r="U60" s="431">
        <v>0</v>
      </c>
      <c r="V60" s="431">
        <v>17110</v>
      </c>
      <c r="W60" s="431">
        <v>319881</v>
      </c>
      <c r="X60" s="431">
        <v>273023</v>
      </c>
      <c r="Y60" s="431">
        <v>34010</v>
      </c>
      <c r="Z60" s="431">
        <v>761201</v>
      </c>
      <c r="AA60" s="431">
        <v>0</v>
      </c>
      <c r="AB60" s="431">
        <v>-8004</v>
      </c>
      <c r="AC60" s="431">
        <v>738165</v>
      </c>
      <c r="AD60" s="431">
        <v>330693</v>
      </c>
      <c r="AE60" s="431">
        <v>1507232</v>
      </c>
      <c r="AF60" s="431">
        <v>0</v>
      </c>
      <c r="AG60" s="431">
        <v>542818</v>
      </c>
      <c r="AH60" s="431">
        <v>272223</v>
      </c>
      <c r="AI60" s="431">
        <v>587466</v>
      </c>
      <c r="AJ60" s="431">
        <v>111004</v>
      </c>
      <c r="AK60" s="431">
        <v>0</v>
      </c>
      <c r="AL60" s="431">
        <v>495266</v>
      </c>
      <c r="AM60" s="431">
        <v>30526</v>
      </c>
      <c r="AN60" s="203"/>
    </row>
    <row r="61" spans="1:40" s="155" customFormat="1" ht="12" x14ac:dyDescent="0.2">
      <c r="A61" s="205">
        <v>7</v>
      </c>
      <c r="B61" s="300">
        <v>144152</v>
      </c>
      <c r="C61" s="299" t="s">
        <v>451</v>
      </c>
      <c r="D61" s="432">
        <f t="shared" si="8"/>
        <v>8653116</v>
      </c>
      <c r="E61" s="431">
        <v>2508188</v>
      </c>
      <c r="F61" s="431">
        <v>482664</v>
      </c>
      <c r="G61" s="431">
        <v>803610</v>
      </c>
      <c r="H61" s="431">
        <v>0</v>
      </c>
      <c r="I61" s="431">
        <v>2085896</v>
      </c>
      <c r="J61" s="431">
        <v>0</v>
      </c>
      <c r="K61" s="431">
        <v>978950</v>
      </c>
      <c r="L61" s="431">
        <v>0</v>
      </c>
      <c r="M61" s="431">
        <v>595013</v>
      </c>
      <c r="N61" s="431">
        <v>2460549</v>
      </c>
      <c r="O61" s="431">
        <v>24520</v>
      </c>
      <c r="P61" s="432">
        <f t="shared" si="2"/>
        <v>7971020</v>
      </c>
      <c r="Q61" s="431">
        <v>1989174</v>
      </c>
      <c r="R61" s="431">
        <v>1303357</v>
      </c>
      <c r="S61" s="431">
        <v>0</v>
      </c>
      <c r="T61" s="431">
        <v>0</v>
      </c>
      <c r="U61" s="431">
        <v>0</v>
      </c>
      <c r="V61" s="431">
        <v>0</v>
      </c>
      <c r="W61" s="431">
        <v>2918545</v>
      </c>
      <c r="X61" s="431">
        <v>385026</v>
      </c>
      <c r="Y61" s="431">
        <v>60100</v>
      </c>
      <c r="Z61" s="431">
        <v>1314818</v>
      </c>
      <c r="AA61" s="431">
        <v>0</v>
      </c>
      <c r="AB61" s="431">
        <v>0</v>
      </c>
      <c r="AC61" s="431">
        <v>788108</v>
      </c>
      <c r="AD61" s="431">
        <v>182726</v>
      </c>
      <c r="AE61" s="431">
        <v>1956233</v>
      </c>
      <c r="AF61" s="431">
        <v>0</v>
      </c>
      <c r="AG61" s="431">
        <v>633540</v>
      </c>
      <c r="AH61" s="431">
        <v>375344</v>
      </c>
      <c r="AI61" s="431">
        <v>2466970</v>
      </c>
      <c r="AJ61" s="431">
        <v>1469004</v>
      </c>
      <c r="AK61" s="431">
        <v>0</v>
      </c>
      <c r="AL61" s="431">
        <v>34593</v>
      </c>
      <c r="AM61" s="431">
        <v>64502</v>
      </c>
      <c r="AN61" s="203"/>
    </row>
    <row r="62" spans="1:40" s="155" customFormat="1" ht="12" x14ac:dyDescent="0.2">
      <c r="A62" s="205">
        <v>8</v>
      </c>
      <c r="B62" s="300">
        <v>144198</v>
      </c>
      <c r="C62" s="299" t="s">
        <v>452</v>
      </c>
      <c r="D62" s="432">
        <f t="shared" si="8"/>
        <v>6956004</v>
      </c>
      <c r="E62" s="431">
        <v>2698277</v>
      </c>
      <c r="F62" s="431">
        <v>173100</v>
      </c>
      <c r="G62" s="431">
        <v>1088580</v>
      </c>
      <c r="H62" s="431">
        <v>0</v>
      </c>
      <c r="I62" s="431">
        <v>1261046</v>
      </c>
      <c r="J62" s="431">
        <v>0</v>
      </c>
      <c r="K62" s="431">
        <v>368420</v>
      </c>
      <c r="L62" s="431">
        <v>0</v>
      </c>
      <c r="M62" s="431">
        <v>411013</v>
      </c>
      <c r="N62" s="431">
        <v>2216748</v>
      </c>
      <c r="O62" s="431">
        <v>500</v>
      </c>
      <c r="P62" s="432">
        <f t="shared" si="2"/>
        <v>4989201</v>
      </c>
      <c r="Q62" s="431">
        <v>1387512</v>
      </c>
      <c r="R62" s="431">
        <v>1813182</v>
      </c>
      <c r="S62" s="431">
        <v>0</v>
      </c>
      <c r="T62" s="431">
        <v>0</v>
      </c>
      <c r="U62" s="431">
        <v>0</v>
      </c>
      <c r="V62" s="431">
        <v>0</v>
      </c>
      <c r="W62" s="431">
        <v>930680</v>
      </c>
      <c r="X62" s="431">
        <v>92922</v>
      </c>
      <c r="Y62" s="431">
        <v>59000</v>
      </c>
      <c r="Z62" s="431">
        <v>705905</v>
      </c>
      <c r="AA62" s="431">
        <v>0</v>
      </c>
      <c r="AB62" s="431">
        <v>0</v>
      </c>
      <c r="AC62" s="431">
        <v>706564</v>
      </c>
      <c r="AD62" s="431">
        <v>297485</v>
      </c>
      <c r="AE62" s="431">
        <v>1370713</v>
      </c>
      <c r="AF62" s="431">
        <v>14942</v>
      </c>
      <c r="AG62" s="431">
        <v>422640</v>
      </c>
      <c r="AH62" s="431">
        <v>193661</v>
      </c>
      <c r="AI62" s="431">
        <v>985857</v>
      </c>
      <c r="AJ62" s="431">
        <v>57689</v>
      </c>
      <c r="AK62" s="431">
        <v>0</v>
      </c>
      <c r="AL62" s="431">
        <v>931290</v>
      </c>
      <c r="AM62" s="431">
        <v>8360</v>
      </c>
      <c r="AN62" s="203"/>
    </row>
    <row r="63" spans="1:40" s="155" customFormat="1" ht="12" x14ac:dyDescent="0.2">
      <c r="A63" s="205">
        <v>9</v>
      </c>
      <c r="B63" s="300">
        <v>144232</v>
      </c>
      <c r="C63" s="299" t="s">
        <v>453</v>
      </c>
      <c r="D63" s="432">
        <f t="shared" si="8"/>
        <v>3522904</v>
      </c>
      <c r="E63" s="431">
        <v>1583327</v>
      </c>
      <c r="F63" s="431">
        <v>235567</v>
      </c>
      <c r="G63" s="431">
        <v>564530</v>
      </c>
      <c r="H63" s="431">
        <v>0</v>
      </c>
      <c r="I63" s="431">
        <v>951276</v>
      </c>
      <c r="J63" s="431">
        <v>0</v>
      </c>
      <c r="K63" s="431">
        <v>588970</v>
      </c>
      <c r="L63" s="431">
        <v>0</v>
      </c>
      <c r="M63" s="431">
        <v>97582</v>
      </c>
      <c r="N63" s="431">
        <v>301749</v>
      </c>
      <c r="O63" s="431">
        <v>0</v>
      </c>
      <c r="P63" s="432">
        <f t="shared" si="2"/>
        <v>4033125</v>
      </c>
      <c r="Q63" s="431">
        <v>1060758</v>
      </c>
      <c r="R63" s="431">
        <v>749425</v>
      </c>
      <c r="S63" s="431">
        <v>0</v>
      </c>
      <c r="T63" s="431">
        <v>0</v>
      </c>
      <c r="U63" s="431">
        <v>0</v>
      </c>
      <c r="V63" s="431">
        <v>17448</v>
      </c>
      <c r="W63" s="431">
        <v>0</v>
      </c>
      <c r="X63" s="431">
        <v>137026</v>
      </c>
      <c r="Y63" s="431">
        <v>6359</v>
      </c>
      <c r="Z63" s="431">
        <v>2062109</v>
      </c>
      <c r="AA63" s="431">
        <v>0</v>
      </c>
      <c r="AB63" s="431">
        <v>0</v>
      </c>
      <c r="AC63" s="431">
        <v>454911</v>
      </c>
      <c r="AD63" s="431">
        <v>25862</v>
      </c>
      <c r="AE63" s="431">
        <v>989561</v>
      </c>
      <c r="AF63" s="431">
        <v>0</v>
      </c>
      <c r="AG63" s="431">
        <v>291906</v>
      </c>
      <c r="AH63" s="431">
        <v>207740</v>
      </c>
      <c r="AI63" s="431">
        <v>281776</v>
      </c>
      <c r="AJ63" s="431">
        <v>89024</v>
      </c>
      <c r="AK63" s="431">
        <v>0</v>
      </c>
      <c r="AL63" s="431">
        <v>1663884</v>
      </c>
      <c r="AM63" s="431">
        <v>28461</v>
      </c>
      <c r="AN63" s="203"/>
    </row>
    <row r="64" spans="1:40" s="155" customFormat="1" ht="12" x14ac:dyDescent="0.2">
      <c r="A64" s="205">
        <v>10</v>
      </c>
      <c r="B64" s="300">
        <v>144303</v>
      </c>
      <c r="C64" s="299" t="s">
        <v>454</v>
      </c>
      <c r="D64" s="432">
        <f t="shared" si="8"/>
        <v>4367419</v>
      </c>
      <c r="E64" s="431">
        <v>1722471</v>
      </c>
      <c r="F64" s="431">
        <v>450373</v>
      </c>
      <c r="G64" s="431">
        <v>622570</v>
      </c>
      <c r="H64" s="431">
        <v>0</v>
      </c>
      <c r="I64" s="431">
        <v>1066146</v>
      </c>
      <c r="J64" s="431">
        <v>0</v>
      </c>
      <c r="K64" s="431">
        <v>733750</v>
      </c>
      <c r="L64" s="431">
        <v>0</v>
      </c>
      <c r="M64" s="431">
        <v>550785</v>
      </c>
      <c r="N64" s="431">
        <v>294267</v>
      </c>
      <c r="O64" s="431">
        <v>0</v>
      </c>
      <c r="P64" s="432">
        <f t="shared" si="2"/>
        <v>7145167</v>
      </c>
      <c r="Q64" s="431">
        <v>1339733</v>
      </c>
      <c r="R64" s="431">
        <v>1004480</v>
      </c>
      <c r="S64" s="431">
        <v>56296</v>
      </c>
      <c r="T64" s="431">
        <v>0</v>
      </c>
      <c r="U64" s="431">
        <v>0</v>
      </c>
      <c r="V64" s="431">
        <v>0</v>
      </c>
      <c r="W64" s="431">
        <v>3415846</v>
      </c>
      <c r="X64" s="431">
        <v>150361</v>
      </c>
      <c r="Y64" s="431">
        <v>10892</v>
      </c>
      <c r="Z64" s="431">
        <v>580408</v>
      </c>
      <c r="AA64" s="431">
        <v>748307</v>
      </c>
      <c r="AB64" s="431">
        <v>-161156</v>
      </c>
      <c r="AC64" s="431">
        <v>730258</v>
      </c>
      <c r="AD64" s="431">
        <v>47678</v>
      </c>
      <c r="AE64" s="431">
        <v>967624</v>
      </c>
      <c r="AF64" s="431">
        <v>0</v>
      </c>
      <c r="AG64" s="431">
        <v>217271</v>
      </c>
      <c r="AH64" s="431">
        <v>150361</v>
      </c>
      <c r="AI64" s="431">
        <v>1305277</v>
      </c>
      <c r="AJ64" s="431">
        <v>1081330</v>
      </c>
      <c r="AK64" s="431">
        <v>0</v>
      </c>
      <c r="AL64" s="431">
        <v>440211</v>
      </c>
      <c r="AM64" s="431">
        <v>2205157</v>
      </c>
      <c r="AN64" s="203"/>
    </row>
    <row r="65" spans="1:40" s="155" customFormat="1" ht="12" x14ac:dyDescent="0.2">
      <c r="A65" s="205">
        <v>11</v>
      </c>
      <c r="B65" s="300">
        <v>146021</v>
      </c>
      <c r="C65" s="299" t="s">
        <v>455</v>
      </c>
      <c r="D65" s="432">
        <f t="shared" si="8"/>
        <v>3560081</v>
      </c>
      <c r="E65" s="431">
        <v>1867914</v>
      </c>
      <c r="F65" s="431">
        <v>228772</v>
      </c>
      <c r="G65" s="431">
        <v>758430</v>
      </c>
      <c r="H65" s="431">
        <v>0</v>
      </c>
      <c r="I65" s="431">
        <v>953040</v>
      </c>
      <c r="J65" s="431">
        <v>0</v>
      </c>
      <c r="K65" s="431">
        <v>355270</v>
      </c>
      <c r="L65" s="431">
        <v>0</v>
      </c>
      <c r="M65" s="431">
        <v>260860</v>
      </c>
      <c r="N65" s="431">
        <v>122997</v>
      </c>
      <c r="O65" s="431">
        <v>0</v>
      </c>
      <c r="P65" s="432">
        <f t="shared" si="2"/>
        <v>3785685</v>
      </c>
      <c r="Q65" s="431">
        <v>1206629</v>
      </c>
      <c r="R65" s="431">
        <v>657089</v>
      </c>
      <c r="S65" s="431">
        <v>0</v>
      </c>
      <c r="T65" s="431">
        <v>0</v>
      </c>
      <c r="U65" s="431">
        <v>0</v>
      </c>
      <c r="V65" s="431">
        <v>0</v>
      </c>
      <c r="W65" s="431">
        <v>0</v>
      </c>
      <c r="X65" s="431">
        <v>61291</v>
      </c>
      <c r="Y65" s="431">
        <v>2500</v>
      </c>
      <c r="Z65" s="431">
        <v>1858176</v>
      </c>
      <c r="AA65" s="431">
        <v>0</v>
      </c>
      <c r="AB65" s="431">
        <v>0</v>
      </c>
      <c r="AC65" s="431">
        <v>581113</v>
      </c>
      <c r="AD65" s="431">
        <v>32034</v>
      </c>
      <c r="AE65" s="431">
        <v>852535</v>
      </c>
      <c r="AF65" s="431">
        <v>0</v>
      </c>
      <c r="AG65" s="431">
        <v>53610</v>
      </c>
      <c r="AH65" s="431">
        <v>135559</v>
      </c>
      <c r="AI65" s="431">
        <v>1839282</v>
      </c>
      <c r="AJ65" s="431">
        <v>251709</v>
      </c>
      <c r="AK65" s="431">
        <v>0</v>
      </c>
      <c r="AL65" s="431">
        <v>28834</v>
      </c>
      <c r="AM65" s="431">
        <v>11009</v>
      </c>
      <c r="AN65" s="203"/>
    </row>
    <row r="66" spans="1:40" s="155" customFormat="1" ht="12" x14ac:dyDescent="0.2">
      <c r="A66" s="205">
        <v>12</v>
      </c>
      <c r="B66" s="300">
        <v>144349</v>
      </c>
      <c r="C66" s="299" t="s">
        <v>456</v>
      </c>
      <c r="D66" s="432">
        <f t="shared" si="8"/>
        <v>5290667</v>
      </c>
      <c r="E66" s="431">
        <v>2510411</v>
      </c>
      <c r="F66" s="431">
        <v>607532</v>
      </c>
      <c r="G66" s="431">
        <v>1318800</v>
      </c>
      <c r="H66" s="431">
        <v>0</v>
      </c>
      <c r="I66" s="431">
        <v>1954603</v>
      </c>
      <c r="J66" s="431">
        <v>0</v>
      </c>
      <c r="K66" s="431">
        <v>425540</v>
      </c>
      <c r="L66" s="431">
        <v>0</v>
      </c>
      <c r="M66" s="431">
        <v>150573</v>
      </c>
      <c r="N66" s="431">
        <v>249540</v>
      </c>
      <c r="O66" s="431">
        <v>0</v>
      </c>
      <c r="P66" s="432">
        <f t="shared" si="2"/>
        <v>5490726</v>
      </c>
      <c r="Q66" s="431">
        <v>1905272</v>
      </c>
      <c r="R66" s="431">
        <v>1457923</v>
      </c>
      <c r="S66" s="431">
        <v>0</v>
      </c>
      <c r="T66" s="431">
        <v>0</v>
      </c>
      <c r="U66" s="431">
        <v>0</v>
      </c>
      <c r="V66" s="431">
        <v>30072</v>
      </c>
      <c r="W66" s="431">
        <v>189089</v>
      </c>
      <c r="X66" s="431">
        <v>293081</v>
      </c>
      <c r="Y66" s="431">
        <v>55000</v>
      </c>
      <c r="Z66" s="431">
        <v>1564109</v>
      </c>
      <c r="AA66" s="431">
        <v>0</v>
      </c>
      <c r="AB66" s="431">
        <v>-3820</v>
      </c>
      <c r="AC66" s="431">
        <v>841537</v>
      </c>
      <c r="AD66" s="431">
        <v>72545</v>
      </c>
      <c r="AE66" s="431">
        <v>2129548</v>
      </c>
      <c r="AF66" s="431">
        <v>0</v>
      </c>
      <c r="AG66" s="431">
        <v>463446</v>
      </c>
      <c r="AH66" s="431">
        <v>441530</v>
      </c>
      <c r="AI66" s="431">
        <v>311222</v>
      </c>
      <c r="AJ66" s="431">
        <v>99595</v>
      </c>
      <c r="AK66" s="431">
        <v>0</v>
      </c>
      <c r="AL66" s="431">
        <v>1116429</v>
      </c>
      <c r="AM66" s="431">
        <v>14874</v>
      </c>
      <c r="AN66" s="203"/>
    </row>
    <row r="67" spans="1:40" s="155" customFormat="1" ht="12" x14ac:dyDescent="0.2">
      <c r="A67" s="205">
        <v>13</v>
      </c>
      <c r="B67" s="300">
        <v>144376</v>
      </c>
      <c r="C67" s="299" t="s">
        <v>457</v>
      </c>
      <c r="D67" s="432">
        <f t="shared" si="8"/>
        <v>3313614</v>
      </c>
      <c r="E67" s="431">
        <v>1595555</v>
      </c>
      <c r="F67" s="431">
        <v>114247</v>
      </c>
      <c r="G67" s="431">
        <v>1016830</v>
      </c>
      <c r="H67" s="431">
        <v>0</v>
      </c>
      <c r="I67" s="431">
        <v>700941</v>
      </c>
      <c r="J67" s="431">
        <v>0</v>
      </c>
      <c r="K67" s="431">
        <v>110360</v>
      </c>
      <c r="L67" s="431">
        <v>0</v>
      </c>
      <c r="M67" s="431">
        <v>187376</v>
      </c>
      <c r="N67" s="431">
        <v>719382</v>
      </c>
      <c r="O67" s="431">
        <v>0</v>
      </c>
      <c r="P67" s="432">
        <f t="shared" si="2"/>
        <v>3436059</v>
      </c>
      <c r="Q67" s="431">
        <v>842325</v>
      </c>
      <c r="R67" s="431">
        <v>1135051</v>
      </c>
      <c r="S67" s="431">
        <v>0</v>
      </c>
      <c r="T67" s="431">
        <v>0</v>
      </c>
      <c r="U67" s="431">
        <v>0</v>
      </c>
      <c r="V67" s="431">
        <v>12217</v>
      </c>
      <c r="W67" s="431">
        <v>734513</v>
      </c>
      <c r="X67" s="431">
        <v>119988</v>
      </c>
      <c r="Y67" s="431">
        <v>107242</v>
      </c>
      <c r="Z67" s="431">
        <v>484723</v>
      </c>
      <c r="AA67" s="431">
        <v>0</v>
      </c>
      <c r="AB67" s="431">
        <v>0</v>
      </c>
      <c r="AC67" s="431">
        <v>657315</v>
      </c>
      <c r="AD67" s="431">
        <v>131022</v>
      </c>
      <c r="AE67" s="431">
        <v>766282</v>
      </c>
      <c r="AF67" s="431">
        <v>20524</v>
      </c>
      <c r="AG67" s="431">
        <v>162653</v>
      </c>
      <c r="AH67" s="431">
        <v>154295</v>
      </c>
      <c r="AI67" s="431">
        <v>207822</v>
      </c>
      <c r="AJ67" s="431">
        <v>70456</v>
      </c>
      <c r="AK67" s="431">
        <v>0</v>
      </c>
      <c r="AL67" s="431">
        <v>484724</v>
      </c>
      <c r="AM67" s="431">
        <v>780966</v>
      </c>
      <c r="AN67" s="203"/>
    </row>
    <row r="68" spans="1:40" s="155" customFormat="1" ht="12" x14ac:dyDescent="0.2">
      <c r="A68" s="205">
        <v>14</v>
      </c>
      <c r="B68" s="300">
        <v>144410</v>
      </c>
      <c r="C68" s="299" t="s">
        <v>458</v>
      </c>
      <c r="D68" s="432">
        <f t="shared" si="8"/>
        <v>2673660</v>
      </c>
      <c r="E68" s="431">
        <v>1849947</v>
      </c>
      <c r="F68" s="431">
        <v>60574</v>
      </c>
      <c r="G68" s="431">
        <v>1128150</v>
      </c>
      <c r="H68" s="431">
        <v>0</v>
      </c>
      <c r="I68" s="431">
        <v>476412</v>
      </c>
      <c r="J68" s="431">
        <v>0</v>
      </c>
      <c r="K68" s="431">
        <v>100130</v>
      </c>
      <c r="L68" s="431">
        <v>0</v>
      </c>
      <c r="M68" s="431">
        <v>80806</v>
      </c>
      <c r="N68" s="431">
        <v>166365</v>
      </c>
      <c r="O68" s="431">
        <v>0</v>
      </c>
      <c r="P68" s="432">
        <f t="shared" si="2"/>
        <v>2647501</v>
      </c>
      <c r="Q68" s="431">
        <v>686858</v>
      </c>
      <c r="R68" s="431">
        <v>491020</v>
      </c>
      <c r="S68" s="431">
        <v>0</v>
      </c>
      <c r="T68" s="431">
        <v>0</v>
      </c>
      <c r="U68" s="431">
        <v>0</v>
      </c>
      <c r="V68" s="431">
        <v>7296</v>
      </c>
      <c r="W68" s="431">
        <v>206293</v>
      </c>
      <c r="X68" s="431">
        <v>77895</v>
      </c>
      <c r="Y68" s="431">
        <v>9900</v>
      </c>
      <c r="Z68" s="431">
        <v>1168471</v>
      </c>
      <c r="AA68" s="431">
        <v>0</v>
      </c>
      <c r="AB68" s="431">
        <v>-232</v>
      </c>
      <c r="AC68" s="431">
        <v>495395</v>
      </c>
      <c r="AD68" s="431">
        <v>8100</v>
      </c>
      <c r="AE68" s="431">
        <v>474042</v>
      </c>
      <c r="AF68" s="431">
        <v>29967</v>
      </c>
      <c r="AG68" s="431">
        <v>33849</v>
      </c>
      <c r="AH68" s="431">
        <v>77663</v>
      </c>
      <c r="AI68" s="431">
        <v>1290998</v>
      </c>
      <c r="AJ68" s="431">
        <v>21674</v>
      </c>
      <c r="AK68" s="431">
        <v>0</v>
      </c>
      <c r="AL68" s="431">
        <v>171463</v>
      </c>
      <c r="AM68" s="431">
        <v>44350</v>
      </c>
      <c r="AN68" s="203"/>
    </row>
    <row r="69" spans="1:40" s="155" customFormat="1" ht="12" x14ac:dyDescent="0.2">
      <c r="A69" s="205">
        <v>15</v>
      </c>
      <c r="B69" s="300">
        <v>144456</v>
      </c>
      <c r="C69" s="299" t="s">
        <v>459</v>
      </c>
      <c r="D69" s="432">
        <f t="shared" si="8"/>
        <v>4022318</v>
      </c>
      <c r="E69" s="431">
        <v>2118583</v>
      </c>
      <c r="F69" s="431">
        <v>116354</v>
      </c>
      <c r="G69" s="431">
        <v>981210</v>
      </c>
      <c r="H69" s="431">
        <v>0</v>
      </c>
      <c r="I69" s="431">
        <v>818429</v>
      </c>
      <c r="J69" s="431">
        <v>0</v>
      </c>
      <c r="K69" s="431">
        <v>253280</v>
      </c>
      <c r="L69" s="431">
        <v>0</v>
      </c>
      <c r="M69" s="431">
        <v>224067</v>
      </c>
      <c r="N69" s="431">
        <v>607959</v>
      </c>
      <c r="O69" s="431">
        <v>0</v>
      </c>
      <c r="P69" s="432">
        <f t="shared" si="2"/>
        <v>4087448</v>
      </c>
      <c r="Q69" s="431">
        <v>1153349</v>
      </c>
      <c r="R69" s="431">
        <v>934132</v>
      </c>
      <c r="S69" s="431">
        <v>47700</v>
      </c>
      <c r="T69" s="431">
        <v>0</v>
      </c>
      <c r="U69" s="431">
        <v>0</v>
      </c>
      <c r="V69" s="431">
        <v>9900</v>
      </c>
      <c r="W69" s="431">
        <v>1219272</v>
      </c>
      <c r="X69" s="431">
        <v>137870</v>
      </c>
      <c r="Y69" s="431">
        <v>62430</v>
      </c>
      <c r="Z69" s="431">
        <v>403171</v>
      </c>
      <c r="AA69" s="431">
        <v>130910</v>
      </c>
      <c r="AB69" s="431">
        <v>-11286</v>
      </c>
      <c r="AC69" s="431">
        <v>683162</v>
      </c>
      <c r="AD69" s="431">
        <v>24721</v>
      </c>
      <c r="AE69" s="431">
        <v>932190</v>
      </c>
      <c r="AF69" s="431">
        <v>3415</v>
      </c>
      <c r="AG69" s="431">
        <v>736109</v>
      </c>
      <c r="AH69" s="431">
        <v>267732</v>
      </c>
      <c r="AI69" s="431">
        <v>855681</v>
      </c>
      <c r="AJ69" s="431">
        <v>323627</v>
      </c>
      <c r="AK69" s="431">
        <v>0</v>
      </c>
      <c r="AL69" s="431">
        <v>161009</v>
      </c>
      <c r="AM69" s="431">
        <v>99802</v>
      </c>
      <c r="AN69" s="203"/>
    </row>
    <row r="70" spans="1:40" s="155" customFormat="1" ht="12" x14ac:dyDescent="0.2">
      <c r="A70" s="205">
        <v>16</v>
      </c>
      <c r="B70" s="300">
        <v>144508</v>
      </c>
      <c r="C70" s="299" t="s">
        <v>460</v>
      </c>
      <c r="D70" s="432">
        <f t="shared" si="8"/>
        <v>2455202</v>
      </c>
      <c r="E70" s="431">
        <v>1431111</v>
      </c>
      <c r="F70" s="431">
        <v>185198</v>
      </c>
      <c r="G70" s="431">
        <v>552550</v>
      </c>
      <c r="H70" s="431">
        <v>0</v>
      </c>
      <c r="I70" s="431">
        <v>649048</v>
      </c>
      <c r="J70" s="431">
        <v>0</v>
      </c>
      <c r="K70" s="431">
        <v>278230</v>
      </c>
      <c r="L70" s="431">
        <v>0</v>
      </c>
      <c r="M70" s="431">
        <v>31233</v>
      </c>
      <c r="N70" s="431">
        <v>65580</v>
      </c>
      <c r="O70" s="431">
        <v>0</v>
      </c>
      <c r="P70" s="432">
        <f t="shared" si="2"/>
        <v>2287125</v>
      </c>
      <c r="Q70" s="431">
        <v>755262</v>
      </c>
      <c r="R70" s="431">
        <v>609876</v>
      </c>
      <c r="S70" s="431">
        <v>0</v>
      </c>
      <c r="T70" s="431">
        <v>0</v>
      </c>
      <c r="U70" s="431">
        <v>0</v>
      </c>
      <c r="V70" s="431">
        <v>0</v>
      </c>
      <c r="W70" s="431">
        <v>95369</v>
      </c>
      <c r="X70" s="431">
        <v>73513</v>
      </c>
      <c r="Y70" s="431">
        <v>14106</v>
      </c>
      <c r="Z70" s="431">
        <v>740729</v>
      </c>
      <c r="AA70" s="431">
        <v>0</v>
      </c>
      <c r="AB70" s="431">
        <v>-1730</v>
      </c>
      <c r="AC70" s="431">
        <v>311943</v>
      </c>
      <c r="AD70" s="431">
        <v>14568</v>
      </c>
      <c r="AE70" s="431">
        <v>627253</v>
      </c>
      <c r="AF70" s="431">
        <v>305</v>
      </c>
      <c r="AG70" s="431">
        <v>87270</v>
      </c>
      <c r="AH70" s="431">
        <v>75487</v>
      </c>
      <c r="AI70" s="431">
        <v>385996</v>
      </c>
      <c r="AJ70" s="431">
        <v>73133</v>
      </c>
      <c r="AK70" s="431">
        <v>0</v>
      </c>
      <c r="AL70" s="431">
        <v>711170</v>
      </c>
      <c r="AM70" s="431">
        <v>0</v>
      </c>
      <c r="AN70" s="203"/>
    </row>
    <row r="71" spans="1:40" s="155" customFormat="1" ht="12" x14ac:dyDescent="0.2">
      <c r="A71" s="205">
        <v>17</v>
      </c>
      <c r="B71" s="300">
        <v>144535</v>
      </c>
      <c r="C71" s="299" t="s">
        <v>461</v>
      </c>
      <c r="D71" s="432">
        <f t="shared" si="8"/>
        <v>4310959</v>
      </c>
      <c r="E71" s="431">
        <v>1379086</v>
      </c>
      <c r="F71" s="431">
        <v>117255</v>
      </c>
      <c r="G71" s="431">
        <v>376200</v>
      </c>
      <c r="H71" s="431">
        <v>0</v>
      </c>
      <c r="I71" s="431">
        <v>852591</v>
      </c>
      <c r="J71" s="431">
        <v>0</v>
      </c>
      <c r="K71" s="431">
        <v>569130</v>
      </c>
      <c r="L71" s="431">
        <v>0</v>
      </c>
      <c r="M71" s="431">
        <v>885360</v>
      </c>
      <c r="N71" s="431">
        <v>624792</v>
      </c>
      <c r="O71" s="431">
        <v>0</v>
      </c>
      <c r="P71" s="432">
        <f t="shared" si="2"/>
        <v>4298647</v>
      </c>
      <c r="Q71" s="431">
        <v>1110112</v>
      </c>
      <c r="R71" s="431">
        <v>734013</v>
      </c>
      <c r="S71" s="431">
        <v>0</v>
      </c>
      <c r="T71" s="431">
        <v>0</v>
      </c>
      <c r="U71" s="431">
        <v>0</v>
      </c>
      <c r="V71" s="431">
        <v>0</v>
      </c>
      <c r="W71" s="431">
        <v>1257108</v>
      </c>
      <c r="X71" s="431">
        <v>102348</v>
      </c>
      <c r="Y71" s="431">
        <v>47557</v>
      </c>
      <c r="Z71" s="431">
        <v>1047509</v>
      </c>
      <c r="AA71" s="431">
        <v>0</v>
      </c>
      <c r="AB71" s="431">
        <v>0</v>
      </c>
      <c r="AC71" s="431">
        <v>636953</v>
      </c>
      <c r="AD71" s="431">
        <v>23923</v>
      </c>
      <c r="AE71" s="431">
        <v>732496</v>
      </c>
      <c r="AF71" s="431">
        <v>7100</v>
      </c>
      <c r="AG71" s="431">
        <v>465159</v>
      </c>
      <c r="AH71" s="431">
        <v>221876</v>
      </c>
      <c r="AI71" s="431">
        <v>661147</v>
      </c>
      <c r="AJ71" s="431">
        <v>106398</v>
      </c>
      <c r="AK71" s="431">
        <v>0</v>
      </c>
      <c r="AL71" s="431">
        <v>1443595</v>
      </c>
      <c r="AM71" s="431">
        <v>0</v>
      </c>
      <c r="AN71" s="203"/>
    </row>
    <row r="72" spans="1:40" s="155" customFormat="1" ht="12" x14ac:dyDescent="0.2">
      <c r="A72" s="205">
        <v>18</v>
      </c>
      <c r="B72" s="300">
        <v>143487</v>
      </c>
      <c r="C72" s="299" t="s">
        <v>167</v>
      </c>
      <c r="D72" s="432">
        <f t="shared" si="8"/>
        <v>11845532</v>
      </c>
      <c r="E72" s="431">
        <v>5181692</v>
      </c>
      <c r="F72" s="431">
        <v>1365280</v>
      </c>
      <c r="G72" s="431">
        <v>433600</v>
      </c>
      <c r="H72" s="431">
        <v>0</v>
      </c>
      <c r="I72" s="431">
        <v>1662171</v>
      </c>
      <c r="J72" s="431">
        <v>0</v>
      </c>
      <c r="K72" s="431">
        <v>227730</v>
      </c>
      <c r="L72" s="431">
        <v>0</v>
      </c>
      <c r="M72" s="431">
        <v>1390959</v>
      </c>
      <c r="N72" s="431">
        <v>3355048</v>
      </c>
      <c r="O72" s="431">
        <v>27932</v>
      </c>
      <c r="P72" s="432">
        <f t="shared" si="2"/>
        <v>12268504</v>
      </c>
      <c r="Q72" s="431">
        <v>1928936</v>
      </c>
      <c r="R72" s="431">
        <v>1096332</v>
      </c>
      <c r="S72" s="431">
        <v>0</v>
      </c>
      <c r="T72" s="431">
        <v>0</v>
      </c>
      <c r="U72" s="431">
        <v>0</v>
      </c>
      <c r="V72" s="431">
        <v>0</v>
      </c>
      <c r="W72" s="431">
        <v>6051267</v>
      </c>
      <c r="X72" s="431">
        <v>213667</v>
      </c>
      <c r="Y72" s="431">
        <v>5910</v>
      </c>
      <c r="Z72" s="431">
        <v>2975099</v>
      </c>
      <c r="AA72" s="431">
        <v>0</v>
      </c>
      <c r="AB72" s="431">
        <v>-2707</v>
      </c>
      <c r="AC72" s="431">
        <v>691039</v>
      </c>
      <c r="AD72" s="431">
        <v>72093</v>
      </c>
      <c r="AE72" s="431">
        <v>1816652</v>
      </c>
      <c r="AF72" s="431">
        <v>0</v>
      </c>
      <c r="AG72" s="431">
        <v>115901</v>
      </c>
      <c r="AH72" s="431">
        <v>213667</v>
      </c>
      <c r="AI72" s="431">
        <v>937682</v>
      </c>
      <c r="AJ72" s="431">
        <v>741590</v>
      </c>
      <c r="AK72" s="431">
        <v>0</v>
      </c>
      <c r="AL72" s="431">
        <v>7424769</v>
      </c>
      <c r="AM72" s="431">
        <v>255111</v>
      </c>
      <c r="AN72" s="203"/>
    </row>
    <row r="73" spans="1:40" s="155" customFormat="1" ht="12" x14ac:dyDescent="0.2">
      <c r="A73" s="205">
        <v>19</v>
      </c>
      <c r="B73" s="300">
        <v>144553</v>
      </c>
      <c r="C73" s="299" t="s">
        <v>462</v>
      </c>
      <c r="D73" s="432">
        <f t="shared" si="8"/>
        <v>4905501</v>
      </c>
      <c r="E73" s="431">
        <v>2090416</v>
      </c>
      <c r="F73" s="431">
        <v>184981</v>
      </c>
      <c r="G73" s="431">
        <v>1233643</v>
      </c>
      <c r="H73" s="431">
        <v>0</v>
      </c>
      <c r="I73" s="431">
        <v>1428933</v>
      </c>
      <c r="J73" s="431">
        <v>0</v>
      </c>
      <c r="K73" s="431">
        <v>593500</v>
      </c>
      <c r="L73" s="431">
        <v>0</v>
      </c>
      <c r="M73" s="431">
        <v>542188</v>
      </c>
      <c r="N73" s="431">
        <v>250464</v>
      </c>
      <c r="O73" s="431">
        <v>0</v>
      </c>
      <c r="P73" s="432">
        <f t="shared" si="2"/>
        <v>5008763</v>
      </c>
      <c r="Q73" s="431">
        <v>1663355</v>
      </c>
      <c r="R73" s="431">
        <v>1473229</v>
      </c>
      <c r="S73" s="431">
        <v>0</v>
      </c>
      <c r="T73" s="431">
        <v>0</v>
      </c>
      <c r="U73" s="431">
        <v>0</v>
      </c>
      <c r="V73" s="431">
        <v>0</v>
      </c>
      <c r="W73" s="431">
        <v>319901</v>
      </c>
      <c r="X73" s="431">
        <v>167737</v>
      </c>
      <c r="Y73" s="431">
        <v>43469</v>
      </c>
      <c r="Z73" s="431">
        <v>1341409</v>
      </c>
      <c r="AA73" s="431">
        <v>0</v>
      </c>
      <c r="AB73" s="431">
        <v>-337</v>
      </c>
      <c r="AC73" s="431">
        <v>850183</v>
      </c>
      <c r="AD73" s="431">
        <v>267131</v>
      </c>
      <c r="AE73" s="431">
        <v>1378644</v>
      </c>
      <c r="AF73" s="431">
        <v>33452</v>
      </c>
      <c r="AG73" s="431">
        <v>453461</v>
      </c>
      <c r="AH73" s="431">
        <v>178948</v>
      </c>
      <c r="AI73" s="431">
        <v>980230</v>
      </c>
      <c r="AJ73" s="431">
        <v>263432</v>
      </c>
      <c r="AK73" s="431">
        <v>0</v>
      </c>
      <c r="AL73" s="431">
        <v>563476</v>
      </c>
      <c r="AM73" s="431">
        <v>39806</v>
      </c>
      <c r="AN73" s="203"/>
    </row>
    <row r="74" spans="1:40" s="155" customFormat="1" ht="12" x14ac:dyDescent="0.2">
      <c r="A74" s="205">
        <v>20</v>
      </c>
      <c r="B74" s="300">
        <v>144599</v>
      </c>
      <c r="C74" s="299" t="s">
        <v>463</v>
      </c>
      <c r="D74" s="432">
        <f t="shared" si="8"/>
        <v>7119980</v>
      </c>
      <c r="E74" s="431">
        <v>2759402</v>
      </c>
      <c r="F74" s="431">
        <v>315117</v>
      </c>
      <c r="G74" s="431">
        <v>889200</v>
      </c>
      <c r="H74" s="431">
        <v>0</v>
      </c>
      <c r="I74" s="431">
        <v>1866396</v>
      </c>
      <c r="J74" s="431">
        <v>0</v>
      </c>
      <c r="K74" s="431">
        <v>928690</v>
      </c>
      <c r="L74" s="431">
        <v>0</v>
      </c>
      <c r="M74" s="431">
        <v>859958</v>
      </c>
      <c r="N74" s="431">
        <v>665807</v>
      </c>
      <c r="O74" s="431">
        <v>39727</v>
      </c>
      <c r="P74" s="432">
        <f t="shared" si="2"/>
        <v>7790789</v>
      </c>
      <c r="Q74" s="431">
        <v>2206661</v>
      </c>
      <c r="R74" s="431">
        <v>1342776</v>
      </c>
      <c r="S74" s="431">
        <v>0</v>
      </c>
      <c r="T74" s="431">
        <v>0</v>
      </c>
      <c r="U74" s="431">
        <v>0</v>
      </c>
      <c r="V74" s="431">
        <v>7800</v>
      </c>
      <c r="W74" s="431">
        <v>1284278</v>
      </c>
      <c r="X74" s="431">
        <v>162547</v>
      </c>
      <c r="Y74" s="431">
        <v>10259</v>
      </c>
      <c r="Z74" s="431">
        <v>2777916</v>
      </c>
      <c r="AA74" s="431">
        <v>0</v>
      </c>
      <c r="AB74" s="431">
        <v>-1448</v>
      </c>
      <c r="AC74" s="431">
        <v>779540</v>
      </c>
      <c r="AD74" s="431">
        <v>63270</v>
      </c>
      <c r="AE74" s="431">
        <v>1725332</v>
      </c>
      <c r="AF74" s="431">
        <v>24322</v>
      </c>
      <c r="AG74" s="431">
        <v>1482433</v>
      </c>
      <c r="AH74" s="431">
        <v>366465</v>
      </c>
      <c r="AI74" s="431">
        <v>486234</v>
      </c>
      <c r="AJ74" s="431">
        <v>693088</v>
      </c>
      <c r="AK74" s="431">
        <v>0</v>
      </c>
      <c r="AL74" s="431">
        <v>1341773</v>
      </c>
      <c r="AM74" s="431">
        <v>828332</v>
      </c>
      <c r="AN74" s="203"/>
    </row>
    <row r="75" spans="1:40" s="155" customFormat="1" ht="12" x14ac:dyDescent="0.2">
      <c r="A75" s="205">
        <v>21</v>
      </c>
      <c r="B75" s="300">
        <v>144615</v>
      </c>
      <c r="C75" s="299" t="s">
        <v>464</v>
      </c>
      <c r="D75" s="432">
        <f t="shared" si="8"/>
        <v>3831380</v>
      </c>
      <c r="E75" s="431">
        <v>1794260</v>
      </c>
      <c r="F75" s="431">
        <v>186601</v>
      </c>
      <c r="G75" s="431">
        <v>1050400</v>
      </c>
      <c r="H75" s="431">
        <v>0</v>
      </c>
      <c r="I75" s="431">
        <v>1476923</v>
      </c>
      <c r="J75" s="431">
        <v>0</v>
      </c>
      <c r="K75" s="431">
        <v>172070</v>
      </c>
      <c r="L75" s="431">
        <v>0</v>
      </c>
      <c r="M75" s="431">
        <v>104429</v>
      </c>
      <c r="N75" s="431">
        <v>283698</v>
      </c>
      <c r="O75" s="431">
        <v>0</v>
      </c>
      <c r="P75" s="432">
        <f t="shared" si="2"/>
        <v>3712000</v>
      </c>
      <c r="Q75" s="431">
        <v>1567557</v>
      </c>
      <c r="R75" s="431">
        <v>1012431</v>
      </c>
      <c r="S75" s="431">
        <v>0</v>
      </c>
      <c r="T75" s="431">
        <v>0</v>
      </c>
      <c r="U75" s="431">
        <v>0</v>
      </c>
      <c r="V75" s="431">
        <v>0</v>
      </c>
      <c r="W75" s="431">
        <v>275395</v>
      </c>
      <c r="X75" s="431">
        <v>217855</v>
      </c>
      <c r="Y75" s="431">
        <v>134719</v>
      </c>
      <c r="Z75" s="431">
        <v>504043</v>
      </c>
      <c r="AA75" s="431">
        <v>0</v>
      </c>
      <c r="AB75" s="431">
        <v>0</v>
      </c>
      <c r="AC75" s="431">
        <v>777516</v>
      </c>
      <c r="AD75" s="431">
        <v>120626</v>
      </c>
      <c r="AE75" s="431">
        <v>1442985</v>
      </c>
      <c r="AF75" s="431">
        <v>16929</v>
      </c>
      <c r="AG75" s="431">
        <v>511231</v>
      </c>
      <c r="AH75" s="431">
        <v>217855</v>
      </c>
      <c r="AI75" s="431">
        <v>294615</v>
      </c>
      <c r="AJ75" s="431">
        <v>56241</v>
      </c>
      <c r="AK75" s="431">
        <v>0</v>
      </c>
      <c r="AL75" s="431">
        <v>218753</v>
      </c>
      <c r="AM75" s="431">
        <v>55249</v>
      </c>
      <c r="AN75" s="203"/>
    </row>
    <row r="76" spans="1:40" s="155" customFormat="1" ht="12" x14ac:dyDescent="0.2">
      <c r="A76" s="205">
        <v>22</v>
      </c>
      <c r="B76" s="300">
        <v>144651</v>
      </c>
      <c r="C76" s="299" t="s">
        <v>465</v>
      </c>
      <c r="D76" s="432">
        <f t="shared" si="8"/>
        <v>5459596</v>
      </c>
      <c r="E76" s="431">
        <v>2159534</v>
      </c>
      <c r="F76" s="431">
        <v>131926</v>
      </c>
      <c r="G76" s="431">
        <v>1221250</v>
      </c>
      <c r="H76" s="431">
        <v>0</v>
      </c>
      <c r="I76" s="431">
        <v>2142678</v>
      </c>
      <c r="J76" s="431">
        <v>0</v>
      </c>
      <c r="K76" s="431">
        <v>268870</v>
      </c>
      <c r="L76" s="431">
        <v>0</v>
      </c>
      <c r="M76" s="431">
        <v>111215</v>
      </c>
      <c r="N76" s="431">
        <v>116834</v>
      </c>
      <c r="O76" s="431">
        <v>660465</v>
      </c>
      <c r="P76" s="432">
        <f t="shared" si="2"/>
        <v>5626855</v>
      </c>
      <c r="Q76" s="431">
        <v>2138306</v>
      </c>
      <c r="R76" s="431">
        <v>1767100</v>
      </c>
      <c r="S76" s="431">
        <v>0</v>
      </c>
      <c r="T76" s="431">
        <v>0</v>
      </c>
      <c r="U76" s="431">
        <v>0</v>
      </c>
      <c r="V76" s="431">
        <v>12629</v>
      </c>
      <c r="W76" s="431">
        <v>0</v>
      </c>
      <c r="X76" s="431">
        <v>225138</v>
      </c>
      <c r="Y76" s="431">
        <v>133741</v>
      </c>
      <c r="Z76" s="431">
        <v>1351436</v>
      </c>
      <c r="AA76" s="431">
        <v>0</v>
      </c>
      <c r="AB76" s="431">
        <v>-1495</v>
      </c>
      <c r="AC76" s="431">
        <v>762310</v>
      </c>
      <c r="AD76" s="431">
        <v>10370</v>
      </c>
      <c r="AE76" s="431">
        <v>2141303</v>
      </c>
      <c r="AF76" s="431">
        <v>35781</v>
      </c>
      <c r="AG76" s="431">
        <v>288561</v>
      </c>
      <c r="AH76" s="431">
        <v>225138</v>
      </c>
      <c r="AI76" s="431">
        <v>1133250</v>
      </c>
      <c r="AJ76" s="431">
        <v>321123</v>
      </c>
      <c r="AK76" s="431">
        <v>0</v>
      </c>
      <c r="AL76" s="431">
        <v>648275</v>
      </c>
      <c r="AM76" s="431">
        <v>60744</v>
      </c>
      <c r="AN76" s="203"/>
    </row>
    <row r="77" spans="1:40" s="155" customFormat="1" ht="12" x14ac:dyDescent="0.2">
      <c r="A77" s="205">
        <v>23</v>
      </c>
      <c r="B77" s="300">
        <v>144713</v>
      </c>
      <c r="C77" s="299" t="s">
        <v>466</v>
      </c>
      <c r="D77" s="432">
        <f t="shared" si="8"/>
        <v>6440509</v>
      </c>
      <c r="E77" s="431">
        <v>3187223</v>
      </c>
      <c r="F77" s="431">
        <v>207718</v>
      </c>
      <c r="G77" s="431">
        <v>969910</v>
      </c>
      <c r="H77" s="431">
        <v>0</v>
      </c>
      <c r="I77" s="431">
        <v>1985435</v>
      </c>
      <c r="J77" s="431">
        <v>0</v>
      </c>
      <c r="K77" s="431">
        <v>1060020</v>
      </c>
      <c r="L77" s="431">
        <v>0</v>
      </c>
      <c r="M77" s="431">
        <v>207831</v>
      </c>
      <c r="N77" s="431">
        <v>0</v>
      </c>
      <c r="O77" s="431">
        <v>0</v>
      </c>
      <c r="P77" s="432">
        <f t="shared" si="2"/>
        <v>5908908</v>
      </c>
      <c r="Q77" s="431">
        <v>1922694</v>
      </c>
      <c r="R77" s="431">
        <v>1565592</v>
      </c>
      <c r="S77" s="431">
        <v>26161</v>
      </c>
      <c r="T77" s="431">
        <v>0</v>
      </c>
      <c r="U77" s="431">
        <v>0</v>
      </c>
      <c r="V77" s="431">
        <v>11950</v>
      </c>
      <c r="W77" s="431">
        <v>0</v>
      </c>
      <c r="X77" s="431">
        <v>387618</v>
      </c>
      <c r="Y77" s="431">
        <v>126763</v>
      </c>
      <c r="Z77" s="431">
        <v>883929</v>
      </c>
      <c r="AA77" s="431">
        <v>984201</v>
      </c>
      <c r="AB77" s="431">
        <v>0</v>
      </c>
      <c r="AC77" s="431">
        <v>1018424</v>
      </c>
      <c r="AD77" s="431">
        <v>62831</v>
      </c>
      <c r="AE77" s="431">
        <v>1649136</v>
      </c>
      <c r="AF77" s="431">
        <v>24365</v>
      </c>
      <c r="AG77" s="431">
        <v>350728</v>
      </c>
      <c r="AH77" s="431">
        <v>558854</v>
      </c>
      <c r="AI77" s="431">
        <v>1230264</v>
      </c>
      <c r="AJ77" s="431">
        <v>571818</v>
      </c>
      <c r="AK77" s="431">
        <v>0</v>
      </c>
      <c r="AL77" s="431">
        <v>435488</v>
      </c>
      <c r="AM77" s="431">
        <v>7000</v>
      </c>
      <c r="AN77" s="203"/>
    </row>
    <row r="78" spans="1:40" s="155" customFormat="1" ht="12" x14ac:dyDescent="0.2">
      <c r="A78" s="205">
        <v>24</v>
      </c>
      <c r="B78" s="300">
        <v>144731</v>
      </c>
      <c r="C78" s="299" t="s">
        <v>467</v>
      </c>
      <c r="D78" s="432">
        <f t="shared" si="8"/>
        <v>5706433</v>
      </c>
      <c r="E78" s="431">
        <v>2111104</v>
      </c>
      <c r="F78" s="431">
        <v>281871</v>
      </c>
      <c r="G78" s="431">
        <v>956240</v>
      </c>
      <c r="H78" s="431">
        <v>0</v>
      </c>
      <c r="I78" s="431">
        <v>1685081</v>
      </c>
      <c r="J78" s="431">
        <v>0</v>
      </c>
      <c r="K78" s="431">
        <v>634490</v>
      </c>
      <c r="L78" s="431">
        <v>0</v>
      </c>
      <c r="M78" s="431">
        <v>1172169</v>
      </c>
      <c r="N78" s="431">
        <v>103589</v>
      </c>
      <c r="O78" s="431">
        <v>0</v>
      </c>
      <c r="P78" s="432">
        <f t="shared" si="2"/>
        <v>5696840</v>
      </c>
      <c r="Q78" s="431">
        <v>1879180</v>
      </c>
      <c r="R78" s="431">
        <v>1609853</v>
      </c>
      <c r="S78" s="431">
        <v>0</v>
      </c>
      <c r="T78" s="431">
        <v>0</v>
      </c>
      <c r="U78" s="431">
        <v>0</v>
      </c>
      <c r="V78" s="431">
        <v>0</v>
      </c>
      <c r="W78" s="431">
        <v>81280</v>
      </c>
      <c r="X78" s="431">
        <v>304739</v>
      </c>
      <c r="Y78" s="431">
        <v>32090</v>
      </c>
      <c r="Z78" s="431">
        <v>1789698</v>
      </c>
      <c r="AA78" s="431">
        <v>0</v>
      </c>
      <c r="AB78" s="431">
        <v>0</v>
      </c>
      <c r="AC78" s="431">
        <v>858506</v>
      </c>
      <c r="AD78" s="431">
        <v>247238</v>
      </c>
      <c r="AE78" s="431">
        <v>1623190</v>
      </c>
      <c r="AF78" s="431">
        <v>39393</v>
      </c>
      <c r="AG78" s="431">
        <v>426795</v>
      </c>
      <c r="AH78" s="431">
        <v>328018</v>
      </c>
      <c r="AI78" s="431">
        <v>1738358</v>
      </c>
      <c r="AJ78" s="431">
        <v>186456</v>
      </c>
      <c r="AK78" s="431">
        <v>0</v>
      </c>
      <c r="AL78" s="431">
        <v>248886</v>
      </c>
      <c r="AM78" s="431">
        <v>0</v>
      </c>
      <c r="AN78" s="203"/>
    </row>
    <row r="79" spans="1:40" s="155" customFormat="1" ht="12" x14ac:dyDescent="0.2">
      <c r="A79" s="205">
        <v>25</v>
      </c>
      <c r="B79" s="300">
        <v>144795</v>
      </c>
      <c r="C79" s="299" t="s">
        <v>468</v>
      </c>
      <c r="D79" s="432">
        <f t="shared" si="8"/>
        <v>8870487</v>
      </c>
      <c r="E79" s="431">
        <v>2191544</v>
      </c>
      <c r="F79" s="431">
        <v>219508</v>
      </c>
      <c r="G79" s="431">
        <v>785860</v>
      </c>
      <c r="H79" s="431">
        <v>0</v>
      </c>
      <c r="I79" s="431">
        <v>1643029</v>
      </c>
      <c r="J79" s="431">
        <v>0</v>
      </c>
      <c r="K79" s="431">
        <v>1011240</v>
      </c>
      <c r="L79" s="431">
        <v>0</v>
      </c>
      <c r="M79" s="431">
        <v>3491350</v>
      </c>
      <c r="N79" s="431">
        <v>533324</v>
      </c>
      <c r="O79" s="431">
        <v>0</v>
      </c>
      <c r="P79" s="432">
        <f t="shared" ref="P79:P142" si="11">IF(SUM(Q79:AB79)=SUM(AC79:AM79),SUM(Q79:AB79),"  EROARE ART/CAP")</f>
        <v>8778601</v>
      </c>
      <c r="Q79" s="431">
        <v>1862297</v>
      </c>
      <c r="R79" s="431">
        <v>1888614</v>
      </c>
      <c r="S79" s="431">
        <v>132427</v>
      </c>
      <c r="T79" s="431">
        <v>0</v>
      </c>
      <c r="U79" s="431">
        <v>0</v>
      </c>
      <c r="V79" s="431">
        <v>75968</v>
      </c>
      <c r="W79" s="431">
        <v>609268</v>
      </c>
      <c r="X79" s="431">
        <v>190422</v>
      </c>
      <c r="Y79" s="431">
        <v>23000</v>
      </c>
      <c r="Z79" s="431">
        <v>3857541</v>
      </c>
      <c r="AA79" s="431">
        <v>140000</v>
      </c>
      <c r="AB79" s="431">
        <v>-936</v>
      </c>
      <c r="AC79" s="431">
        <v>905170</v>
      </c>
      <c r="AD79" s="431">
        <v>36786</v>
      </c>
      <c r="AE79" s="431">
        <v>1420038</v>
      </c>
      <c r="AF79" s="431">
        <v>4228</v>
      </c>
      <c r="AG79" s="431">
        <v>304592</v>
      </c>
      <c r="AH79" s="431">
        <v>373047</v>
      </c>
      <c r="AI79" s="431">
        <v>1469457</v>
      </c>
      <c r="AJ79" s="431">
        <v>1786264</v>
      </c>
      <c r="AK79" s="431">
        <v>0</v>
      </c>
      <c r="AL79" s="431">
        <v>2360528</v>
      </c>
      <c r="AM79" s="431">
        <v>118491</v>
      </c>
      <c r="AN79" s="203"/>
    </row>
    <row r="80" spans="1:40" s="155" customFormat="1" ht="12" x14ac:dyDescent="0.2">
      <c r="A80" s="205">
        <v>26</v>
      </c>
      <c r="B80" s="300">
        <v>144866</v>
      </c>
      <c r="C80" s="299" t="s">
        <v>469</v>
      </c>
      <c r="D80" s="432">
        <f t="shared" si="8"/>
        <v>2508480</v>
      </c>
      <c r="E80" s="431">
        <v>1777866</v>
      </c>
      <c r="F80" s="431">
        <v>41430</v>
      </c>
      <c r="G80" s="431">
        <v>1494910</v>
      </c>
      <c r="H80" s="431">
        <v>0</v>
      </c>
      <c r="I80" s="431">
        <v>400690</v>
      </c>
      <c r="J80" s="431">
        <v>0</v>
      </c>
      <c r="K80" s="431">
        <v>129700</v>
      </c>
      <c r="L80" s="431">
        <v>0</v>
      </c>
      <c r="M80" s="431">
        <v>113321</v>
      </c>
      <c r="N80" s="431">
        <v>86903</v>
      </c>
      <c r="O80" s="431">
        <v>0</v>
      </c>
      <c r="P80" s="432">
        <f t="shared" si="11"/>
        <v>1956807</v>
      </c>
      <c r="Q80" s="431">
        <v>630946</v>
      </c>
      <c r="R80" s="431">
        <v>379900</v>
      </c>
      <c r="S80" s="431">
        <v>0</v>
      </c>
      <c r="T80" s="431">
        <v>0</v>
      </c>
      <c r="U80" s="431">
        <v>0</v>
      </c>
      <c r="V80" s="431">
        <v>130060</v>
      </c>
      <c r="W80" s="431">
        <v>112505</v>
      </c>
      <c r="X80" s="431">
        <v>105187</v>
      </c>
      <c r="Y80" s="431">
        <v>62708</v>
      </c>
      <c r="Z80" s="431">
        <v>535501</v>
      </c>
      <c r="AA80" s="431">
        <v>0</v>
      </c>
      <c r="AB80" s="431">
        <v>0</v>
      </c>
      <c r="AC80" s="431">
        <v>635251</v>
      </c>
      <c r="AD80" s="431">
        <v>13182</v>
      </c>
      <c r="AE80" s="431">
        <v>347889</v>
      </c>
      <c r="AF80" s="431">
        <v>0</v>
      </c>
      <c r="AG80" s="431">
        <v>133955</v>
      </c>
      <c r="AH80" s="431">
        <v>105187</v>
      </c>
      <c r="AI80" s="431">
        <v>365986</v>
      </c>
      <c r="AJ80" s="431">
        <v>52683</v>
      </c>
      <c r="AK80" s="431">
        <v>0</v>
      </c>
      <c r="AL80" s="431">
        <v>231459</v>
      </c>
      <c r="AM80" s="431">
        <v>71215</v>
      </c>
      <c r="AN80" s="203"/>
    </row>
    <row r="81" spans="1:40" s="155" customFormat="1" ht="12" x14ac:dyDescent="0.2">
      <c r="A81" s="205">
        <v>27</v>
      </c>
      <c r="B81" s="300">
        <v>144893</v>
      </c>
      <c r="C81" s="299" t="s">
        <v>470</v>
      </c>
      <c r="D81" s="432">
        <f t="shared" si="8"/>
        <v>3565683</v>
      </c>
      <c r="E81" s="431">
        <v>2006207</v>
      </c>
      <c r="F81" s="431">
        <v>173506</v>
      </c>
      <c r="G81" s="431">
        <v>1314540</v>
      </c>
      <c r="H81" s="431">
        <v>0</v>
      </c>
      <c r="I81" s="431">
        <v>778990</v>
      </c>
      <c r="J81" s="431">
        <v>0</v>
      </c>
      <c r="K81" s="431">
        <v>133380</v>
      </c>
      <c r="L81" s="431">
        <v>0</v>
      </c>
      <c r="M81" s="431">
        <v>77358</v>
      </c>
      <c r="N81" s="431">
        <v>325973</v>
      </c>
      <c r="O81" s="431">
        <v>243775</v>
      </c>
      <c r="P81" s="432">
        <f t="shared" si="11"/>
        <v>2742758</v>
      </c>
      <c r="Q81" s="431">
        <v>946907</v>
      </c>
      <c r="R81" s="431">
        <v>689670</v>
      </c>
      <c r="S81" s="431">
        <v>0</v>
      </c>
      <c r="T81" s="431">
        <v>0</v>
      </c>
      <c r="U81" s="431">
        <v>0</v>
      </c>
      <c r="V81" s="431">
        <v>12982</v>
      </c>
      <c r="W81" s="431">
        <v>394783</v>
      </c>
      <c r="X81" s="431">
        <v>76322</v>
      </c>
      <c r="Y81" s="431">
        <v>31425</v>
      </c>
      <c r="Z81" s="431">
        <v>530669</v>
      </c>
      <c r="AA81" s="431">
        <v>60000</v>
      </c>
      <c r="AB81" s="431">
        <v>0</v>
      </c>
      <c r="AC81" s="431">
        <v>433622</v>
      </c>
      <c r="AD81" s="431">
        <v>7854</v>
      </c>
      <c r="AE81" s="431">
        <v>793431</v>
      </c>
      <c r="AF81" s="431">
        <v>0</v>
      </c>
      <c r="AG81" s="431">
        <v>467797</v>
      </c>
      <c r="AH81" s="431">
        <v>76322</v>
      </c>
      <c r="AI81" s="431">
        <v>164171</v>
      </c>
      <c r="AJ81" s="431">
        <v>76914</v>
      </c>
      <c r="AK81" s="431">
        <v>0</v>
      </c>
      <c r="AL81" s="431">
        <v>717647</v>
      </c>
      <c r="AM81" s="431">
        <v>5000</v>
      </c>
      <c r="AN81" s="203"/>
    </row>
    <row r="82" spans="1:40" s="155" customFormat="1" ht="12" x14ac:dyDescent="0.2">
      <c r="A82" s="205">
        <v>28</v>
      </c>
      <c r="B82" s="300">
        <v>144964</v>
      </c>
      <c r="C82" s="299" t="s">
        <v>471</v>
      </c>
      <c r="D82" s="432">
        <f t="shared" si="8"/>
        <v>4531813</v>
      </c>
      <c r="E82" s="431">
        <v>1990950</v>
      </c>
      <c r="F82" s="431">
        <v>82664</v>
      </c>
      <c r="G82" s="431">
        <v>1306730</v>
      </c>
      <c r="H82" s="431">
        <v>0</v>
      </c>
      <c r="I82" s="431">
        <v>781980</v>
      </c>
      <c r="J82" s="431">
        <v>0</v>
      </c>
      <c r="K82" s="431">
        <v>123990</v>
      </c>
      <c r="L82" s="431">
        <v>0</v>
      </c>
      <c r="M82" s="431">
        <v>1509454</v>
      </c>
      <c r="N82" s="431">
        <v>125439</v>
      </c>
      <c r="O82" s="431">
        <v>0</v>
      </c>
      <c r="P82" s="432">
        <f t="shared" si="11"/>
        <v>3451050</v>
      </c>
      <c r="Q82" s="431">
        <v>1059345</v>
      </c>
      <c r="R82" s="431">
        <v>616961</v>
      </c>
      <c r="S82" s="431">
        <v>0</v>
      </c>
      <c r="T82" s="431">
        <v>0</v>
      </c>
      <c r="U82" s="431">
        <v>0</v>
      </c>
      <c r="V82" s="431">
        <v>8658</v>
      </c>
      <c r="W82" s="431">
        <v>0</v>
      </c>
      <c r="X82" s="431">
        <v>74220</v>
      </c>
      <c r="Y82" s="431">
        <v>17973</v>
      </c>
      <c r="Z82" s="431">
        <v>1673998</v>
      </c>
      <c r="AA82" s="431">
        <v>0</v>
      </c>
      <c r="AB82" s="431">
        <v>-105</v>
      </c>
      <c r="AC82" s="431">
        <v>448855</v>
      </c>
      <c r="AD82" s="431">
        <v>48322</v>
      </c>
      <c r="AE82" s="431">
        <v>803353</v>
      </c>
      <c r="AF82" s="431">
        <v>16816</v>
      </c>
      <c r="AG82" s="431">
        <v>109992</v>
      </c>
      <c r="AH82" s="431">
        <v>134526</v>
      </c>
      <c r="AI82" s="431">
        <v>1722882</v>
      </c>
      <c r="AJ82" s="431">
        <v>55599</v>
      </c>
      <c r="AK82" s="431">
        <v>0</v>
      </c>
      <c r="AL82" s="431">
        <v>110705</v>
      </c>
      <c r="AM82" s="431">
        <v>0</v>
      </c>
      <c r="AN82" s="203"/>
    </row>
    <row r="83" spans="1:40" s="155" customFormat="1" ht="12" x14ac:dyDescent="0.2">
      <c r="A83" s="205">
        <v>29</v>
      </c>
      <c r="B83" s="300">
        <v>144991</v>
      </c>
      <c r="C83" s="299" t="s">
        <v>472</v>
      </c>
      <c r="D83" s="432">
        <f t="shared" si="8"/>
        <v>3117699</v>
      </c>
      <c r="E83" s="431">
        <v>1706573</v>
      </c>
      <c r="F83" s="431">
        <v>120802</v>
      </c>
      <c r="G83" s="431">
        <v>1160480</v>
      </c>
      <c r="H83" s="431">
        <v>0</v>
      </c>
      <c r="I83" s="431">
        <v>987727</v>
      </c>
      <c r="J83" s="431">
        <v>0</v>
      </c>
      <c r="K83" s="431">
        <v>138770</v>
      </c>
      <c r="L83" s="431">
        <v>0</v>
      </c>
      <c r="M83" s="431">
        <v>156049</v>
      </c>
      <c r="N83" s="431">
        <v>121280</v>
      </c>
      <c r="O83" s="431">
        <v>7300</v>
      </c>
      <c r="P83" s="432">
        <f t="shared" si="11"/>
        <v>3292604</v>
      </c>
      <c r="Q83" s="431">
        <v>1345457</v>
      </c>
      <c r="R83" s="431">
        <v>1150116</v>
      </c>
      <c r="S83" s="431">
        <v>17500</v>
      </c>
      <c r="T83" s="431">
        <v>0</v>
      </c>
      <c r="U83" s="431">
        <v>0</v>
      </c>
      <c r="V83" s="431">
        <v>0</v>
      </c>
      <c r="W83" s="431">
        <v>156964</v>
      </c>
      <c r="X83" s="431">
        <v>78246</v>
      </c>
      <c r="Y83" s="431">
        <v>6850</v>
      </c>
      <c r="Z83" s="431">
        <v>298971</v>
      </c>
      <c r="AA83" s="431">
        <v>238500</v>
      </c>
      <c r="AB83" s="431">
        <v>0</v>
      </c>
      <c r="AC83" s="431">
        <v>974824</v>
      </c>
      <c r="AD83" s="431">
        <v>217442</v>
      </c>
      <c r="AE83" s="431">
        <v>899553</v>
      </c>
      <c r="AF83" s="431">
        <v>0</v>
      </c>
      <c r="AG83" s="431">
        <v>187087</v>
      </c>
      <c r="AH83" s="431">
        <v>167086</v>
      </c>
      <c r="AI83" s="431">
        <v>271938</v>
      </c>
      <c r="AJ83" s="431">
        <v>439905</v>
      </c>
      <c r="AK83" s="431">
        <v>0</v>
      </c>
      <c r="AL83" s="431">
        <v>130769</v>
      </c>
      <c r="AM83" s="431">
        <v>4000</v>
      </c>
      <c r="AN83" s="203"/>
    </row>
    <row r="84" spans="1:40" s="155" customFormat="1" ht="12" x14ac:dyDescent="0.2">
      <c r="A84" s="205">
        <v>30</v>
      </c>
      <c r="B84" s="300">
        <v>145042</v>
      </c>
      <c r="C84" s="299" t="s">
        <v>473</v>
      </c>
      <c r="D84" s="432">
        <f t="shared" si="8"/>
        <v>2572130</v>
      </c>
      <c r="E84" s="431">
        <v>1733659</v>
      </c>
      <c r="F84" s="431">
        <v>42797</v>
      </c>
      <c r="G84" s="431">
        <v>1332810</v>
      </c>
      <c r="H84" s="431">
        <v>0</v>
      </c>
      <c r="I84" s="431">
        <v>701924</v>
      </c>
      <c r="J84" s="431">
        <v>0</v>
      </c>
      <c r="K84" s="431">
        <v>101180</v>
      </c>
      <c r="L84" s="431">
        <v>0</v>
      </c>
      <c r="M84" s="431">
        <v>35367</v>
      </c>
      <c r="N84" s="431">
        <v>0</v>
      </c>
      <c r="O84" s="431">
        <v>0</v>
      </c>
      <c r="P84" s="432">
        <f t="shared" si="11"/>
        <v>2435803</v>
      </c>
      <c r="Q84" s="431">
        <v>908177</v>
      </c>
      <c r="R84" s="431">
        <v>563735</v>
      </c>
      <c r="S84" s="431">
        <v>0</v>
      </c>
      <c r="T84" s="431">
        <v>0</v>
      </c>
      <c r="U84" s="431">
        <v>0</v>
      </c>
      <c r="V84" s="431">
        <v>13029</v>
      </c>
      <c r="W84" s="431">
        <v>0</v>
      </c>
      <c r="X84" s="431">
        <v>120541</v>
      </c>
      <c r="Y84" s="431">
        <v>53520</v>
      </c>
      <c r="Z84" s="431">
        <v>776801</v>
      </c>
      <c r="AA84" s="431">
        <v>0</v>
      </c>
      <c r="AB84" s="431">
        <v>0</v>
      </c>
      <c r="AC84" s="431">
        <v>489538</v>
      </c>
      <c r="AD84" s="431">
        <v>55468</v>
      </c>
      <c r="AE84" s="431">
        <v>674705</v>
      </c>
      <c r="AF84" s="431">
        <v>16893</v>
      </c>
      <c r="AG84" s="431">
        <v>193025</v>
      </c>
      <c r="AH84" s="431">
        <v>170685</v>
      </c>
      <c r="AI84" s="431">
        <v>671197</v>
      </c>
      <c r="AJ84" s="431">
        <v>15595</v>
      </c>
      <c r="AK84" s="431">
        <v>0</v>
      </c>
      <c r="AL84" s="431">
        <v>46167</v>
      </c>
      <c r="AM84" s="431">
        <v>102530</v>
      </c>
      <c r="AN84" s="203"/>
    </row>
    <row r="85" spans="1:40" s="155" customFormat="1" ht="12" x14ac:dyDescent="0.2">
      <c r="A85" s="205">
        <v>31</v>
      </c>
      <c r="B85" s="300">
        <v>145104</v>
      </c>
      <c r="C85" s="299" t="s">
        <v>474</v>
      </c>
      <c r="D85" s="432">
        <f t="shared" si="8"/>
        <v>12357592</v>
      </c>
      <c r="E85" s="431">
        <v>2189303</v>
      </c>
      <c r="F85" s="431">
        <v>142998</v>
      </c>
      <c r="G85" s="431">
        <v>879790</v>
      </c>
      <c r="H85" s="431">
        <v>0</v>
      </c>
      <c r="I85" s="431">
        <v>2026995</v>
      </c>
      <c r="J85" s="431">
        <v>0</v>
      </c>
      <c r="K85" s="431">
        <v>559110</v>
      </c>
      <c r="L85" s="431">
        <v>0</v>
      </c>
      <c r="M85" s="431">
        <v>5176955</v>
      </c>
      <c r="N85" s="431">
        <v>2388229</v>
      </c>
      <c r="O85" s="431">
        <v>17000</v>
      </c>
      <c r="P85" s="432">
        <f t="shared" si="11"/>
        <v>9691356</v>
      </c>
      <c r="Q85" s="431">
        <v>2140292</v>
      </c>
      <c r="R85" s="431">
        <v>909653</v>
      </c>
      <c r="S85" s="431">
        <v>0</v>
      </c>
      <c r="T85" s="431">
        <v>0</v>
      </c>
      <c r="U85" s="431">
        <v>0</v>
      </c>
      <c r="V85" s="431">
        <v>0</v>
      </c>
      <c r="W85" s="431">
        <v>632741</v>
      </c>
      <c r="X85" s="431">
        <v>254568</v>
      </c>
      <c r="Y85" s="431">
        <v>53601</v>
      </c>
      <c r="Z85" s="431">
        <v>5700579</v>
      </c>
      <c r="AA85" s="431">
        <v>0</v>
      </c>
      <c r="AB85" s="431">
        <v>-78</v>
      </c>
      <c r="AC85" s="431">
        <v>720046</v>
      </c>
      <c r="AD85" s="431">
        <v>335872</v>
      </c>
      <c r="AE85" s="431">
        <v>2067315</v>
      </c>
      <c r="AF85" s="431">
        <v>8827</v>
      </c>
      <c r="AG85" s="431">
        <v>206781</v>
      </c>
      <c r="AH85" s="431">
        <v>254490</v>
      </c>
      <c r="AI85" s="431">
        <v>1608739</v>
      </c>
      <c r="AJ85" s="431">
        <v>3943003</v>
      </c>
      <c r="AK85" s="431">
        <v>0</v>
      </c>
      <c r="AL85" s="431">
        <v>23441</v>
      </c>
      <c r="AM85" s="431">
        <v>522842</v>
      </c>
      <c r="AN85" s="203"/>
    </row>
    <row r="86" spans="1:40" s="155" customFormat="1" ht="12" x14ac:dyDescent="0.2">
      <c r="A86" s="205">
        <v>32</v>
      </c>
      <c r="B86" s="300">
        <v>145140</v>
      </c>
      <c r="C86" s="299" t="s">
        <v>475</v>
      </c>
      <c r="D86" s="432">
        <f t="shared" si="8"/>
        <v>5032027</v>
      </c>
      <c r="E86" s="431">
        <v>2263868</v>
      </c>
      <c r="F86" s="431">
        <v>350222</v>
      </c>
      <c r="G86" s="431">
        <v>1182260</v>
      </c>
      <c r="H86" s="431">
        <v>0</v>
      </c>
      <c r="I86" s="431">
        <v>1689742</v>
      </c>
      <c r="J86" s="431">
        <v>0</v>
      </c>
      <c r="K86" s="431">
        <v>576450</v>
      </c>
      <c r="L86" s="431">
        <v>0</v>
      </c>
      <c r="M86" s="431">
        <v>166267</v>
      </c>
      <c r="N86" s="431">
        <v>335700</v>
      </c>
      <c r="O86" s="431">
        <v>0</v>
      </c>
      <c r="P86" s="432">
        <f t="shared" si="11"/>
        <v>4657973</v>
      </c>
      <c r="Q86" s="431">
        <v>1878067</v>
      </c>
      <c r="R86" s="431">
        <v>1247243</v>
      </c>
      <c r="S86" s="431">
        <v>228217</v>
      </c>
      <c r="T86" s="431">
        <v>0</v>
      </c>
      <c r="U86" s="431">
        <v>0</v>
      </c>
      <c r="V86" s="431">
        <v>29832</v>
      </c>
      <c r="W86" s="431">
        <v>415278</v>
      </c>
      <c r="X86" s="431">
        <v>226093</v>
      </c>
      <c r="Y86" s="431">
        <v>74520</v>
      </c>
      <c r="Z86" s="431">
        <v>450403</v>
      </c>
      <c r="AA86" s="431">
        <v>112000</v>
      </c>
      <c r="AB86" s="431">
        <v>-3680</v>
      </c>
      <c r="AC86" s="431">
        <v>1148116</v>
      </c>
      <c r="AD86" s="431">
        <v>55269</v>
      </c>
      <c r="AE86" s="431">
        <v>1612602</v>
      </c>
      <c r="AF86" s="431">
        <v>44235</v>
      </c>
      <c r="AG86" s="431">
        <v>150460</v>
      </c>
      <c r="AH86" s="431">
        <v>386135</v>
      </c>
      <c r="AI86" s="431">
        <v>647937</v>
      </c>
      <c r="AJ86" s="431">
        <v>348353</v>
      </c>
      <c r="AK86" s="431">
        <v>0</v>
      </c>
      <c r="AL86" s="431">
        <v>205621</v>
      </c>
      <c r="AM86" s="431">
        <v>59245</v>
      </c>
      <c r="AN86" s="203"/>
    </row>
    <row r="87" spans="1:40" s="155" customFormat="1" ht="12" x14ac:dyDescent="0.2">
      <c r="A87" s="205">
        <v>33</v>
      </c>
      <c r="B87" s="300">
        <v>145202</v>
      </c>
      <c r="C87" s="299" t="s">
        <v>476</v>
      </c>
      <c r="D87" s="432">
        <f t="shared" si="8"/>
        <v>9169572</v>
      </c>
      <c r="E87" s="431">
        <v>2746703</v>
      </c>
      <c r="F87" s="431">
        <v>552611</v>
      </c>
      <c r="G87" s="431">
        <v>851720</v>
      </c>
      <c r="H87" s="431">
        <v>0</v>
      </c>
      <c r="I87" s="431">
        <v>1968624</v>
      </c>
      <c r="J87" s="431">
        <v>0</v>
      </c>
      <c r="K87" s="431">
        <v>855830</v>
      </c>
      <c r="L87" s="431">
        <v>0</v>
      </c>
      <c r="M87" s="431">
        <v>700452</v>
      </c>
      <c r="N87" s="431">
        <v>2856419</v>
      </c>
      <c r="O87" s="431">
        <v>41544</v>
      </c>
      <c r="P87" s="432">
        <f t="shared" si="11"/>
        <v>11771963</v>
      </c>
      <c r="Q87" s="431">
        <v>2140958</v>
      </c>
      <c r="R87" s="431">
        <v>603109</v>
      </c>
      <c r="S87" s="431">
        <v>0</v>
      </c>
      <c r="T87" s="431">
        <v>0</v>
      </c>
      <c r="U87" s="431">
        <v>0</v>
      </c>
      <c r="V87" s="431">
        <v>1800</v>
      </c>
      <c r="W87" s="431">
        <v>7645166</v>
      </c>
      <c r="X87" s="431">
        <v>172814</v>
      </c>
      <c r="Y87" s="431">
        <v>138976</v>
      </c>
      <c r="Z87" s="431">
        <v>1069278</v>
      </c>
      <c r="AA87" s="431">
        <v>0</v>
      </c>
      <c r="AB87" s="431">
        <v>-138</v>
      </c>
      <c r="AC87" s="431">
        <v>518420</v>
      </c>
      <c r="AD87" s="431">
        <v>33913</v>
      </c>
      <c r="AE87" s="431">
        <v>1784063</v>
      </c>
      <c r="AF87" s="431">
        <v>0</v>
      </c>
      <c r="AG87" s="431">
        <v>198323</v>
      </c>
      <c r="AH87" s="431">
        <v>263858</v>
      </c>
      <c r="AI87" s="431">
        <v>298631</v>
      </c>
      <c r="AJ87" s="431">
        <v>607889</v>
      </c>
      <c r="AK87" s="431">
        <v>0</v>
      </c>
      <c r="AL87" s="431">
        <v>902272</v>
      </c>
      <c r="AM87" s="431">
        <v>7164594</v>
      </c>
      <c r="AN87" s="203"/>
    </row>
    <row r="88" spans="1:40" s="155" customFormat="1" ht="12" x14ac:dyDescent="0.2">
      <c r="A88" s="205">
        <v>34</v>
      </c>
      <c r="B88" s="300">
        <v>145220</v>
      </c>
      <c r="C88" s="299" t="s">
        <v>477</v>
      </c>
      <c r="D88" s="432">
        <f t="shared" si="8"/>
        <v>13729879</v>
      </c>
      <c r="E88" s="431">
        <v>2138011</v>
      </c>
      <c r="F88" s="431">
        <v>96524</v>
      </c>
      <c r="G88" s="431">
        <v>1116580</v>
      </c>
      <c r="H88" s="431">
        <v>0</v>
      </c>
      <c r="I88" s="431">
        <v>1527321</v>
      </c>
      <c r="J88" s="431">
        <v>0</v>
      </c>
      <c r="K88" s="431">
        <v>458030</v>
      </c>
      <c r="L88" s="431">
        <v>0</v>
      </c>
      <c r="M88" s="431">
        <v>5543600</v>
      </c>
      <c r="N88" s="431">
        <v>4062917</v>
      </c>
      <c r="O88" s="431">
        <v>0</v>
      </c>
      <c r="P88" s="432">
        <f t="shared" si="11"/>
        <v>16510656</v>
      </c>
      <c r="Q88" s="431">
        <v>1750061</v>
      </c>
      <c r="R88" s="431">
        <v>1233094</v>
      </c>
      <c r="S88" s="431">
        <v>133646</v>
      </c>
      <c r="T88" s="431">
        <v>0</v>
      </c>
      <c r="U88" s="431">
        <v>0</v>
      </c>
      <c r="V88" s="431">
        <v>46715</v>
      </c>
      <c r="W88" s="431">
        <v>8991450</v>
      </c>
      <c r="X88" s="431">
        <v>151258</v>
      </c>
      <c r="Y88" s="431">
        <v>177857</v>
      </c>
      <c r="Z88" s="431">
        <v>3840158</v>
      </c>
      <c r="AA88" s="431">
        <v>186417</v>
      </c>
      <c r="AB88" s="431">
        <v>0</v>
      </c>
      <c r="AC88" s="431">
        <v>930294</v>
      </c>
      <c r="AD88" s="431">
        <v>25908</v>
      </c>
      <c r="AE88" s="431">
        <v>1934908</v>
      </c>
      <c r="AF88" s="431">
        <v>73598</v>
      </c>
      <c r="AG88" s="431">
        <v>1694721</v>
      </c>
      <c r="AH88" s="431">
        <v>440083</v>
      </c>
      <c r="AI88" s="431">
        <v>2962426</v>
      </c>
      <c r="AJ88" s="431">
        <v>6551948</v>
      </c>
      <c r="AK88" s="431">
        <v>0</v>
      </c>
      <c r="AL88" s="431">
        <v>1817046</v>
      </c>
      <c r="AM88" s="431">
        <v>79724</v>
      </c>
      <c r="AN88" s="203"/>
    </row>
    <row r="89" spans="1:40" s="155" customFormat="1" ht="12" x14ac:dyDescent="0.2">
      <c r="A89" s="205">
        <v>35</v>
      </c>
      <c r="B89" s="300">
        <v>145275</v>
      </c>
      <c r="C89" s="299" t="s">
        <v>478</v>
      </c>
      <c r="D89" s="432">
        <f t="shared" si="8"/>
        <v>4390338</v>
      </c>
      <c r="E89" s="431">
        <v>2032064</v>
      </c>
      <c r="F89" s="431">
        <v>364891</v>
      </c>
      <c r="G89" s="431">
        <v>461120</v>
      </c>
      <c r="H89" s="431">
        <v>0</v>
      </c>
      <c r="I89" s="431">
        <v>1487710</v>
      </c>
      <c r="J89" s="431">
        <v>0</v>
      </c>
      <c r="K89" s="431">
        <v>772750</v>
      </c>
      <c r="L89" s="431">
        <v>0</v>
      </c>
      <c r="M89" s="431">
        <v>86532</v>
      </c>
      <c r="N89" s="431">
        <v>9950</v>
      </c>
      <c r="O89" s="431">
        <v>1332</v>
      </c>
      <c r="P89" s="432">
        <f t="shared" si="11"/>
        <v>3727751</v>
      </c>
      <c r="Q89" s="431">
        <v>1668041</v>
      </c>
      <c r="R89" s="431">
        <v>1365045</v>
      </c>
      <c r="S89" s="431">
        <v>0</v>
      </c>
      <c r="T89" s="431">
        <v>0</v>
      </c>
      <c r="U89" s="431">
        <v>0</v>
      </c>
      <c r="V89" s="431">
        <v>14308</v>
      </c>
      <c r="W89" s="431">
        <v>0</v>
      </c>
      <c r="X89" s="431">
        <v>157537</v>
      </c>
      <c r="Y89" s="431">
        <v>7163</v>
      </c>
      <c r="Z89" s="431">
        <v>516107</v>
      </c>
      <c r="AA89" s="431">
        <v>0</v>
      </c>
      <c r="AB89" s="431">
        <v>-450</v>
      </c>
      <c r="AC89" s="431">
        <v>475817</v>
      </c>
      <c r="AD89" s="431">
        <v>58892</v>
      </c>
      <c r="AE89" s="431">
        <v>1536815</v>
      </c>
      <c r="AF89" s="431">
        <v>0</v>
      </c>
      <c r="AG89" s="431">
        <v>310648</v>
      </c>
      <c r="AH89" s="431">
        <v>367980</v>
      </c>
      <c r="AI89" s="431">
        <v>423523</v>
      </c>
      <c r="AJ89" s="431">
        <v>126817</v>
      </c>
      <c r="AK89" s="431">
        <v>0</v>
      </c>
      <c r="AL89" s="431">
        <v>325902</v>
      </c>
      <c r="AM89" s="431">
        <v>101357</v>
      </c>
      <c r="AN89" s="203"/>
    </row>
    <row r="90" spans="1:40" s="155" customFormat="1" ht="12" x14ac:dyDescent="0.2">
      <c r="A90" s="205">
        <v>36</v>
      </c>
      <c r="B90" s="300">
        <v>143502</v>
      </c>
      <c r="C90" s="299" t="s">
        <v>479</v>
      </c>
      <c r="D90" s="432">
        <f t="shared" si="8"/>
        <v>4786933</v>
      </c>
      <c r="E90" s="431">
        <v>2098198</v>
      </c>
      <c r="F90" s="431">
        <v>187176</v>
      </c>
      <c r="G90" s="431">
        <v>789890</v>
      </c>
      <c r="H90" s="431">
        <v>0</v>
      </c>
      <c r="I90" s="431">
        <v>1145103</v>
      </c>
      <c r="J90" s="431">
        <v>0</v>
      </c>
      <c r="K90" s="431">
        <v>302570</v>
      </c>
      <c r="L90" s="431">
        <v>0</v>
      </c>
      <c r="M90" s="431">
        <v>301000</v>
      </c>
      <c r="N90" s="431">
        <v>932313</v>
      </c>
      <c r="O90" s="431">
        <v>7749</v>
      </c>
      <c r="P90" s="432">
        <f t="shared" si="11"/>
        <v>3979538</v>
      </c>
      <c r="Q90" s="431">
        <v>1377744</v>
      </c>
      <c r="R90" s="431">
        <v>664963</v>
      </c>
      <c r="S90" s="431">
        <v>0</v>
      </c>
      <c r="T90" s="431">
        <v>0</v>
      </c>
      <c r="U90" s="431">
        <v>0</v>
      </c>
      <c r="V90" s="431">
        <v>0</v>
      </c>
      <c r="W90" s="431">
        <v>560182</v>
      </c>
      <c r="X90" s="431">
        <v>130253</v>
      </c>
      <c r="Y90" s="431">
        <v>3905</v>
      </c>
      <c r="Z90" s="431">
        <v>1246847</v>
      </c>
      <c r="AA90" s="431">
        <v>0</v>
      </c>
      <c r="AB90" s="431">
        <v>-4356</v>
      </c>
      <c r="AC90" s="431">
        <v>604231</v>
      </c>
      <c r="AD90" s="431">
        <v>28924</v>
      </c>
      <c r="AE90" s="431">
        <v>952666</v>
      </c>
      <c r="AF90" s="431">
        <v>0</v>
      </c>
      <c r="AG90" s="431">
        <v>228644</v>
      </c>
      <c r="AH90" s="431">
        <v>265825</v>
      </c>
      <c r="AI90" s="431">
        <v>71623</v>
      </c>
      <c r="AJ90" s="431">
        <v>84620</v>
      </c>
      <c r="AK90" s="431">
        <v>0</v>
      </c>
      <c r="AL90" s="431">
        <v>1652702</v>
      </c>
      <c r="AM90" s="431">
        <v>90303</v>
      </c>
      <c r="AN90" s="203"/>
    </row>
    <row r="91" spans="1:40" s="155" customFormat="1" ht="12" x14ac:dyDescent="0.2">
      <c r="A91" s="205">
        <v>37</v>
      </c>
      <c r="B91" s="300">
        <v>145293</v>
      </c>
      <c r="C91" s="299" t="s">
        <v>480</v>
      </c>
      <c r="D91" s="432">
        <f t="shared" si="8"/>
        <v>7708013</v>
      </c>
      <c r="E91" s="431">
        <v>2591200</v>
      </c>
      <c r="F91" s="431">
        <v>326318</v>
      </c>
      <c r="G91" s="431">
        <v>717840</v>
      </c>
      <c r="H91" s="431">
        <v>0</v>
      </c>
      <c r="I91" s="431">
        <v>1663409</v>
      </c>
      <c r="J91" s="431">
        <v>0</v>
      </c>
      <c r="K91" s="431">
        <v>1128980</v>
      </c>
      <c r="L91" s="431">
        <v>0</v>
      </c>
      <c r="M91" s="431">
        <v>1940623</v>
      </c>
      <c r="N91" s="431">
        <v>383201</v>
      </c>
      <c r="O91" s="431">
        <v>600</v>
      </c>
      <c r="P91" s="432">
        <f t="shared" si="11"/>
        <v>8180968</v>
      </c>
      <c r="Q91" s="431">
        <v>1714950</v>
      </c>
      <c r="R91" s="431">
        <v>1823431</v>
      </c>
      <c r="S91" s="431">
        <v>0</v>
      </c>
      <c r="T91" s="431">
        <v>0</v>
      </c>
      <c r="U91" s="431">
        <v>0</v>
      </c>
      <c r="V91" s="431">
        <v>0</v>
      </c>
      <c r="W91" s="431">
        <v>471799</v>
      </c>
      <c r="X91" s="431">
        <v>254759</v>
      </c>
      <c r="Y91" s="431">
        <v>46531</v>
      </c>
      <c r="Z91" s="431">
        <v>3873129</v>
      </c>
      <c r="AA91" s="431">
        <v>0</v>
      </c>
      <c r="AB91" s="431">
        <v>-3631</v>
      </c>
      <c r="AC91" s="431">
        <v>665426</v>
      </c>
      <c r="AD91" s="431">
        <v>9965</v>
      </c>
      <c r="AE91" s="431">
        <v>1535083</v>
      </c>
      <c r="AF91" s="431">
        <v>19884</v>
      </c>
      <c r="AG91" s="431">
        <v>676737</v>
      </c>
      <c r="AH91" s="431">
        <v>414789</v>
      </c>
      <c r="AI91" s="431">
        <v>1222440</v>
      </c>
      <c r="AJ91" s="431">
        <v>2920250</v>
      </c>
      <c r="AK91" s="431">
        <v>0</v>
      </c>
      <c r="AL91" s="431">
        <v>638302</v>
      </c>
      <c r="AM91" s="431">
        <v>78092</v>
      </c>
      <c r="AN91" s="203"/>
    </row>
    <row r="92" spans="1:40" s="155" customFormat="1" ht="12" x14ac:dyDescent="0.2">
      <c r="A92" s="205">
        <v>38</v>
      </c>
      <c r="B92" s="300">
        <v>145355</v>
      </c>
      <c r="C92" s="299" t="s">
        <v>481</v>
      </c>
      <c r="D92" s="432">
        <f t="shared" si="8"/>
        <v>4954655</v>
      </c>
      <c r="E92" s="431">
        <v>2323866</v>
      </c>
      <c r="F92" s="431">
        <v>245342</v>
      </c>
      <c r="G92" s="431">
        <v>903840</v>
      </c>
      <c r="H92" s="431">
        <v>0</v>
      </c>
      <c r="I92" s="431">
        <v>1745595</v>
      </c>
      <c r="J92" s="431">
        <v>0</v>
      </c>
      <c r="K92" s="431">
        <v>554370</v>
      </c>
      <c r="L92" s="431">
        <v>0</v>
      </c>
      <c r="M92" s="431">
        <v>124487</v>
      </c>
      <c r="N92" s="431">
        <v>193760</v>
      </c>
      <c r="O92" s="431">
        <v>12577</v>
      </c>
      <c r="P92" s="432">
        <f t="shared" si="11"/>
        <v>4279388</v>
      </c>
      <c r="Q92" s="431">
        <v>1928707</v>
      </c>
      <c r="R92" s="431">
        <v>1220258</v>
      </c>
      <c r="S92" s="431">
        <v>0</v>
      </c>
      <c r="T92" s="431">
        <v>0</v>
      </c>
      <c r="U92" s="431">
        <v>0</v>
      </c>
      <c r="V92" s="431">
        <v>6000</v>
      </c>
      <c r="W92" s="431">
        <v>0</v>
      </c>
      <c r="X92" s="431">
        <v>173292</v>
      </c>
      <c r="Y92" s="431">
        <v>40237</v>
      </c>
      <c r="Z92" s="431">
        <v>910894</v>
      </c>
      <c r="AA92" s="431">
        <v>0</v>
      </c>
      <c r="AB92" s="431">
        <v>0</v>
      </c>
      <c r="AC92" s="431">
        <v>801954</v>
      </c>
      <c r="AD92" s="431">
        <v>38149</v>
      </c>
      <c r="AE92" s="431">
        <v>1578869</v>
      </c>
      <c r="AF92" s="431">
        <v>37676</v>
      </c>
      <c r="AG92" s="431">
        <v>83381</v>
      </c>
      <c r="AH92" s="431">
        <v>312299</v>
      </c>
      <c r="AI92" s="431">
        <v>929054</v>
      </c>
      <c r="AJ92" s="431">
        <v>140516</v>
      </c>
      <c r="AK92" s="431">
        <v>0</v>
      </c>
      <c r="AL92" s="431">
        <v>293542</v>
      </c>
      <c r="AM92" s="431">
        <v>63948</v>
      </c>
      <c r="AN92" s="203"/>
    </row>
    <row r="93" spans="1:40" s="155" customFormat="1" ht="12" x14ac:dyDescent="0.2">
      <c r="A93" s="205">
        <v>39</v>
      </c>
      <c r="B93" s="300">
        <v>143520</v>
      </c>
      <c r="C93" s="299" t="s">
        <v>482</v>
      </c>
      <c r="D93" s="432">
        <f t="shared" si="8"/>
        <v>11362456</v>
      </c>
      <c r="E93" s="431">
        <v>4028023</v>
      </c>
      <c r="F93" s="431">
        <v>426589</v>
      </c>
      <c r="G93" s="431">
        <v>1097030</v>
      </c>
      <c r="H93" s="431">
        <v>0</v>
      </c>
      <c r="I93" s="431">
        <v>2611037</v>
      </c>
      <c r="J93" s="431">
        <v>0</v>
      </c>
      <c r="K93" s="431">
        <v>1207940</v>
      </c>
      <c r="L93" s="431">
        <v>0</v>
      </c>
      <c r="M93" s="431">
        <v>844828</v>
      </c>
      <c r="N93" s="431">
        <v>2670628</v>
      </c>
      <c r="O93" s="431">
        <v>0</v>
      </c>
      <c r="P93" s="432">
        <f t="shared" si="11"/>
        <v>12074889</v>
      </c>
      <c r="Q93" s="431">
        <v>2599060</v>
      </c>
      <c r="R93" s="431">
        <v>1633195</v>
      </c>
      <c r="S93" s="431">
        <v>0</v>
      </c>
      <c r="T93" s="431">
        <v>64065</v>
      </c>
      <c r="U93" s="431">
        <v>0</v>
      </c>
      <c r="V93" s="431">
        <v>19200</v>
      </c>
      <c r="W93" s="431">
        <v>4372510</v>
      </c>
      <c r="X93" s="431">
        <v>315695</v>
      </c>
      <c r="Y93" s="431">
        <v>71407</v>
      </c>
      <c r="Z93" s="431">
        <v>3312053</v>
      </c>
      <c r="AA93" s="431">
        <v>0</v>
      </c>
      <c r="AB93" s="431">
        <v>-312296</v>
      </c>
      <c r="AC93" s="431">
        <v>898187</v>
      </c>
      <c r="AD93" s="431">
        <v>943802</v>
      </c>
      <c r="AE93" s="431">
        <v>2389112</v>
      </c>
      <c r="AF93" s="431">
        <v>7462</v>
      </c>
      <c r="AG93" s="431">
        <v>802342</v>
      </c>
      <c r="AH93" s="431">
        <v>379711</v>
      </c>
      <c r="AI93" s="431">
        <v>269054</v>
      </c>
      <c r="AJ93" s="431">
        <v>21630</v>
      </c>
      <c r="AK93" s="431">
        <v>0</v>
      </c>
      <c r="AL93" s="431">
        <v>6261500</v>
      </c>
      <c r="AM93" s="431">
        <v>102089</v>
      </c>
      <c r="AN93" s="203"/>
    </row>
    <row r="94" spans="1:40" s="155" customFormat="1" ht="12" x14ac:dyDescent="0.2">
      <c r="A94" s="205">
        <v>40</v>
      </c>
      <c r="B94" s="300">
        <v>145382</v>
      </c>
      <c r="C94" s="299" t="s">
        <v>483</v>
      </c>
      <c r="D94" s="432">
        <f t="shared" si="8"/>
        <v>2804383</v>
      </c>
      <c r="E94" s="431">
        <v>2014819</v>
      </c>
      <c r="F94" s="431">
        <v>107667</v>
      </c>
      <c r="G94" s="431">
        <v>1405850</v>
      </c>
      <c r="H94" s="431">
        <v>0</v>
      </c>
      <c r="I94" s="431">
        <v>638511</v>
      </c>
      <c r="J94" s="431">
        <v>0</v>
      </c>
      <c r="K94" s="431">
        <v>101210</v>
      </c>
      <c r="L94" s="431">
        <v>0</v>
      </c>
      <c r="M94" s="431">
        <v>10078</v>
      </c>
      <c r="N94" s="431">
        <v>39765</v>
      </c>
      <c r="O94" s="431">
        <v>0</v>
      </c>
      <c r="P94" s="432">
        <f t="shared" si="11"/>
        <v>2171269</v>
      </c>
      <c r="Q94" s="431">
        <v>810759</v>
      </c>
      <c r="R94" s="431">
        <v>673177</v>
      </c>
      <c r="S94" s="431">
        <v>0</v>
      </c>
      <c r="T94" s="431">
        <v>0</v>
      </c>
      <c r="U94" s="431">
        <v>0</v>
      </c>
      <c r="V94" s="431">
        <v>0</v>
      </c>
      <c r="W94" s="431">
        <v>43844</v>
      </c>
      <c r="X94" s="431">
        <v>84720</v>
      </c>
      <c r="Y94" s="431">
        <v>23470</v>
      </c>
      <c r="Z94" s="431">
        <v>535299</v>
      </c>
      <c r="AA94" s="431">
        <v>0</v>
      </c>
      <c r="AB94" s="431">
        <v>0</v>
      </c>
      <c r="AC94" s="431">
        <v>522120</v>
      </c>
      <c r="AD94" s="431">
        <v>12030</v>
      </c>
      <c r="AE94" s="431">
        <v>672781</v>
      </c>
      <c r="AF94" s="431">
        <v>0</v>
      </c>
      <c r="AG94" s="431">
        <v>289400</v>
      </c>
      <c r="AH94" s="431">
        <v>125171</v>
      </c>
      <c r="AI94" s="431">
        <v>123703</v>
      </c>
      <c r="AJ94" s="431">
        <v>37238</v>
      </c>
      <c r="AK94" s="431">
        <v>0</v>
      </c>
      <c r="AL94" s="431">
        <v>320486</v>
      </c>
      <c r="AM94" s="431">
        <v>68340</v>
      </c>
      <c r="AN94" s="203"/>
    </row>
    <row r="95" spans="1:40" s="155" customFormat="1" ht="12" x14ac:dyDescent="0.2">
      <c r="A95" s="205">
        <v>41</v>
      </c>
      <c r="B95" s="300">
        <v>145408</v>
      </c>
      <c r="C95" s="299" t="s">
        <v>484</v>
      </c>
      <c r="D95" s="432">
        <f t="shared" si="8"/>
        <v>8461837</v>
      </c>
      <c r="E95" s="431">
        <v>3341101</v>
      </c>
      <c r="F95" s="431">
        <v>645951</v>
      </c>
      <c r="G95" s="431">
        <v>1132470</v>
      </c>
      <c r="H95" s="431">
        <v>0</v>
      </c>
      <c r="I95" s="431">
        <v>3415715</v>
      </c>
      <c r="J95" s="431">
        <v>0</v>
      </c>
      <c r="K95" s="431">
        <v>1523320</v>
      </c>
      <c r="L95" s="431">
        <v>0</v>
      </c>
      <c r="M95" s="431">
        <v>181701</v>
      </c>
      <c r="N95" s="431">
        <v>0</v>
      </c>
      <c r="O95" s="431">
        <v>0</v>
      </c>
      <c r="P95" s="432">
        <f t="shared" si="11"/>
        <v>8036877</v>
      </c>
      <c r="Q95" s="431">
        <v>3479331</v>
      </c>
      <c r="R95" s="431">
        <v>2678597</v>
      </c>
      <c r="S95" s="431">
        <v>0</v>
      </c>
      <c r="T95" s="431">
        <v>0</v>
      </c>
      <c r="U95" s="431">
        <v>0</v>
      </c>
      <c r="V95" s="431">
        <v>14000</v>
      </c>
      <c r="W95" s="431">
        <v>0</v>
      </c>
      <c r="X95" s="431">
        <v>369379</v>
      </c>
      <c r="Y95" s="431">
        <v>20000</v>
      </c>
      <c r="Z95" s="431">
        <v>1475570</v>
      </c>
      <c r="AA95" s="431">
        <v>0</v>
      </c>
      <c r="AB95" s="431">
        <v>0</v>
      </c>
      <c r="AC95" s="431">
        <v>841185</v>
      </c>
      <c r="AD95" s="431">
        <v>0</v>
      </c>
      <c r="AE95" s="431">
        <v>3271026</v>
      </c>
      <c r="AF95" s="431">
        <v>15534</v>
      </c>
      <c r="AG95" s="431">
        <v>181082</v>
      </c>
      <c r="AH95" s="431">
        <v>416501</v>
      </c>
      <c r="AI95" s="431">
        <v>1889573</v>
      </c>
      <c r="AJ95" s="431">
        <v>438378</v>
      </c>
      <c r="AK95" s="431">
        <v>0</v>
      </c>
      <c r="AL95" s="431">
        <v>917208</v>
      </c>
      <c r="AM95" s="431">
        <v>66390</v>
      </c>
      <c r="AN95" s="203"/>
    </row>
    <row r="96" spans="1:40" s="155" customFormat="1" ht="12" x14ac:dyDescent="0.2">
      <c r="A96" s="205">
        <v>42</v>
      </c>
      <c r="B96" s="300">
        <v>145471</v>
      </c>
      <c r="C96" s="299" t="s">
        <v>485</v>
      </c>
      <c r="D96" s="432">
        <f t="shared" si="8"/>
        <v>8887552</v>
      </c>
      <c r="E96" s="431">
        <v>2607728</v>
      </c>
      <c r="F96" s="431">
        <v>342034</v>
      </c>
      <c r="G96" s="431">
        <v>803190</v>
      </c>
      <c r="H96" s="431">
        <v>0</v>
      </c>
      <c r="I96" s="431">
        <v>985826</v>
      </c>
      <c r="J96" s="431">
        <v>0</v>
      </c>
      <c r="K96" s="431">
        <v>864370</v>
      </c>
      <c r="L96" s="431">
        <v>0</v>
      </c>
      <c r="M96" s="431">
        <v>1243736</v>
      </c>
      <c r="N96" s="431">
        <v>3185892</v>
      </c>
      <c r="O96" s="431">
        <v>0</v>
      </c>
      <c r="P96" s="432">
        <f t="shared" si="11"/>
        <v>9826169</v>
      </c>
      <c r="Q96" s="431">
        <v>1210335</v>
      </c>
      <c r="R96" s="431">
        <v>1605339</v>
      </c>
      <c r="S96" s="431">
        <v>29863</v>
      </c>
      <c r="T96" s="431">
        <v>0</v>
      </c>
      <c r="U96" s="431">
        <v>0</v>
      </c>
      <c r="V96" s="431">
        <v>0</v>
      </c>
      <c r="W96" s="431">
        <v>5764259</v>
      </c>
      <c r="X96" s="431">
        <v>124482</v>
      </c>
      <c r="Y96" s="431">
        <v>36900</v>
      </c>
      <c r="Z96" s="431">
        <v>982927</v>
      </c>
      <c r="AA96" s="431">
        <v>72064</v>
      </c>
      <c r="AB96" s="431">
        <v>0</v>
      </c>
      <c r="AC96" s="431">
        <v>726352</v>
      </c>
      <c r="AD96" s="431">
        <v>58421</v>
      </c>
      <c r="AE96" s="431">
        <v>830223</v>
      </c>
      <c r="AF96" s="431">
        <v>0</v>
      </c>
      <c r="AG96" s="431">
        <v>662828</v>
      </c>
      <c r="AH96" s="431">
        <v>241845</v>
      </c>
      <c r="AI96" s="431">
        <v>870188</v>
      </c>
      <c r="AJ96" s="431">
        <v>268717</v>
      </c>
      <c r="AK96" s="431">
        <v>0</v>
      </c>
      <c r="AL96" s="431">
        <v>6058327</v>
      </c>
      <c r="AM96" s="431">
        <v>109268</v>
      </c>
      <c r="AN96" s="203"/>
    </row>
    <row r="97" spans="1:40" s="155" customFormat="1" ht="12" x14ac:dyDescent="0.2">
      <c r="A97" s="205">
        <v>43</v>
      </c>
      <c r="B97" s="300">
        <v>145603</v>
      </c>
      <c r="C97" s="299" t="s">
        <v>486</v>
      </c>
      <c r="D97" s="432">
        <f t="shared" si="8"/>
        <v>4449168</v>
      </c>
      <c r="E97" s="431">
        <v>2204899</v>
      </c>
      <c r="F97" s="431">
        <v>225592</v>
      </c>
      <c r="G97" s="431">
        <v>1083250</v>
      </c>
      <c r="H97" s="431">
        <v>0</v>
      </c>
      <c r="I97" s="431">
        <v>1746189</v>
      </c>
      <c r="J97" s="431">
        <v>0</v>
      </c>
      <c r="K97" s="431">
        <v>454900</v>
      </c>
      <c r="L97" s="431">
        <v>0</v>
      </c>
      <c r="M97" s="431">
        <v>43180</v>
      </c>
      <c r="N97" s="431">
        <v>0</v>
      </c>
      <c r="O97" s="431">
        <v>0</v>
      </c>
      <c r="P97" s="432">
        <f t="shared" si="11"/>
        <v>4528329</v>
      </c>
      <c r="Q97" s="431">
        <v>1906604</v>
      </c>
      <c r="R97" s="431">
        <v>1232046</v>
      </c>
      <c r="S97" s="431">
        <v>0</v>
      </c>
      <c r="T97" s="431">
        <v>0</v>
      </c>
      <c r="U97" s="431">
        <v>0</v>
      </c>
      <c r="V97" s="431">
        <v>7800</v>
      </c>
      <c r="W97" s="431">
        <v>0</v>
      </c>
      <c r="X97" s="431">
        <v>208216</v>
      </c>
      <c r="Y97" s="431">
        <v>88200</v>
      </c>
      <c r="Z97" s="431">
        <v>1087630</v>
      </c>
      <c r="AA97" s="431">
        <v>0</v>
      </c>
      <c r="AB97" s="431">
        <v>-2167</v>
      </c>
      <c r="AC97" s="431">
        <v>729065</v>
      </c>
      <c r="AD97" s="431">
        <v>27419</v>
      </c>
      <c r="AE97" s="431">
        <v>1656006</v>
      </c>
      <c r="AF97" s="431">
        <v>0</v>
      </c>
      <c r="AG97" s="431">
        <v>628596</v>
      </c>
      <c r="AH97" s="431">
        <v>436757</v>
      </c>
      <c r="AI97" s="431">
        <v>316528</v>
      </c>
      <c r="AJ97" s="431">
        <v>139414</v>
      </c>
      <c r="AK97" s="431">
        <v>0</v>
      </c>
      <c r="AL97" s="431">
        <v>425593</v>
      </c>
      <c r="AM97" s="431">
        <v>168951</v>
      </c>
      <c r="AN97" s="203"/>
    </row>
    <row r="98" spans="1:40" s="155" customFormat="1" ht="12" x14ac:dyDescent="0.2">
      <c r="A98" s="205">
        <v>44</v>
      </c>
      <c r="B98" s="300">
        <v>145667</v>
      </c>
      <c r="C98" s="299" t="s">
        <v>487</v>
      </c>
      <c r="D98" s="432">
        <f t="shared" si="8"/>
        <v>7053148</v>
      </c>
      <c r="E98" s="431">
        <v>2445670</v>
      </c>
      <c r="F98" s="431">
        <v>278171</v>
      </c>
      <c r="G98" s="431">
        <v>1266070</v>
      </c>
      <c r="H98" s="431">
        <v>0</v>
      </c>
      <c r="I98" s="431">
        <v>2248946</v>
      </c>
      <c r="J98" s="431">
        <v>0</v>
      </c>
      <c r="K98" s="431">
        <v>1044550</v>
      </c>
      <c r="L98" s="431">
        <v>0</v>
      </c>
      <c r="M98" s="431">
        <v>259200</v>
      </c>
      <c r="N98" s="431">
        <v>650527</v>
      </c>
      <c r="O98" s="431">
        <v>404255</v>
      </c>
      <c r="P98" s="432">
        <f t="shared" si="11"/>
        <v>7175746</v>
      </c>
      <c r="Q98" s="431">
        <v>2250447</v>
      </c>
      <c r="R98" s="431">
        <v>1426705</v>
      </c>
      <c r="S98" s="431">
        <v>0</v>
      </c>
      <c r="T98" s="431">
        <v>0</v>
      </c>
      <c r="U98" s="431">
        <v>0</v>
      </c>
      <c r="V98" s="431">
        <v>19680</v>
      </c>
      <c r="W98" s="431">
        <v>1207914</v>
      </c>
      <c r="X98" s="431">
        <v>432952</v>
      </c>
      <c r="Y98" s="431">
        <v>133326</v>
      </c>
      <c r="Z98" s="431">
        <v>1705206</v>
      </c>
      <c r="AA98" s="431">
        <v>0</v>
      </c>
      <c r="AB98" s="431">
        <v>-484</v>
      </c>
      <c r="AC98" s="431">
        <v>1010003</v>
      </c>
      <c r="AD98" s="431">
        <v>85019</v>
      </c>
      <c r="AE98" s="431">
        <v>2004557</v>
      </c>
      <c r="AF98" s="431">
        <v>24351</v>
      </c>
      <c r="AG98" s="431">
        <v>784176</v>
      </c>
      <c r="AH98" s="431">
        <v>456511</v>
      </c>
      <c r="AI98" s="431">
        <v>323019</v>
      </c>
      <c r="AJ98" s="431">
        <v>114797</v>
      </c>
      <c r="AK98" s="431">
        <v>0</v>
      </c>
      <c r="AL98" s="431">
        <v>2337984</v>
      </c>
      <c r="AM98" s="431">
        <v>35329</v>
      </c>
      <c r="AN98" s="203"/>
    </row>
    <row r="99" spans="1:40" s="155" customFormat="1" ht="12" x14ac:dyDescent="0.2">
      <c r="A99" s="205">
        <v>45</v>
      </c>
      <c r="B99" s="300">
        <v>145738</v>
      </c>
      <c r="C99" s="299" t="s">
        <v>488</v>
      </c>
      <c r="D99" s="432">
        <f t="shared" si="8"/>
        <v>8740830</v>
      </c>
      <c r="E99" s="431">
        <v>2244985</v>
      </c>
      <c r="F99" s="431">
        <v>518270</v>
      </c>
      <c r="G99" s="431">
        <v>965760</v>
      </c>
      <c r="H99" s="431">
        <v>0</v>
      </c>
      <c r="I99" s="431">
        <v>1006631</v>
      </c>
      <c r="J99" s="431">
        <v>0</v>
      </c>
      <c r="K99" s="431">
        <v>154010</v>
      </c>
      <c r="L99" s="431">
        <v>0</v>
      </c>
      <c r="M99" s="431">
        <v>1839729</v>
      </c>
      <c r="N99" s="431">
        <v>3495475</v>
      </c>
      <c r="O99" s="431">
        <v>0</v>
      </c>
      <c r="P99" s="432">
        <f t="shared" si="11"/>
        <v>5015240</v>
      </c>
      <c r="Q99" s="431">
        <v>1261176</v>
      </c>
      <c r="R99" s="431">
        <v>1080506</v>
      </c>
      <c r="S99" s="431">
        <v>0</v>
      </c>
      <c r="T99" s="431">
        <v>0</v>
      </c>
      <c r="U99" s="431">
        <v>0</v>
      </c>
      <c r="V99" s="431">
        <v>0</v>
      </c>
      <c r="W99" s="431">
        <v>149267</v>
      </c>
      <c r="X99" s="431">
        <v>111285</v>
      </c>
      <c r="Y99" s="431">
        <v>45247</v>
      </c>
      <c r="Z99" s="431">
        <v>2381966</v>
      </c>
      <c r="AA99" s="431">
        <v>0</v>
      </c>
      <c r="AB99" s="431">
        <v>-14207</v>
      </c>
      <c r="AC99" s="431">
        <v>614929</v>
      </c>
      <c r="AD99" s="431">
        <v>38702</v>
      </c>
      <c r="AE99" s="431">
        <v>939285</v>
      </c>
      <c r="AF99" s="431">
        <v>0</v>
      </c>
      <c r="AG99" s="431">
        <v>275741</v>
      </c>
      <c r="AH99" s="431">
        <v>190557</v>
      </c>
      <c r="AI99" s="431">
        <v>735785</v>
      </c>
      <c r="AJ99" s="431">
        <v>1770699</v>
      </c>
      <c r="AK99" s="431">
        <v>0</v>
      </c>
      <c r="AL99" s="431">
        <v>384542</v>
      </c>
      <c r="AM99" s="431">
        <v>65000</v>
      </c>
      <c r="AN99" s="203"/>
    </row>
    <row r="100" spans="1:40" s="155" customFormat="1" ht="12" x14ac:dyDescent="0.2">
      <c r="A100" s="205">
        <v>46</v>
      </c>
      <c r="B100" s="300">
        <v>143557</v>
      </c>
      <c r="C100" s="299" t="s">
        <v>489</v>
      </c>
      <c r="D100" s="432">
        <f t="shared" si="8"/>
        <v>25587683</v>
      </c>
      <c r="E100" s="431">
        <v>23126617</v>
      </c>
      <c r="F100" s="431">
        <v>10009506</v>
      </c>
      <c r="G100" s="431">
        <v>438310</v>
      </c>
      <c r="H100" s="431">
        <v>0</v>
      </c>
      <c r="I100" s="431">
        <v>2314914</v>
      </c>
      <c r="J100" s="431">
        <v>0</v>
      </c>
      <c r="K100" s="431">
        <v>111110</v>
      </c>
      <c r="L100" s="431">
        <v>0</v>
      </c>
      <c r="M100" s="431">
        <v>35042</v>
      </c>
      <c r="N100" s="431">
        <v>0</v>
      </c>
      <c r="O100" s="431">
        <v>0</v>
      </c>
      <c r="P100" s="432">
        <f t="shared" si="11"/>
        <v>18824130</v>
      </c>
      <c r="Q100" s="431">
        <v>2682748</v>
      </c>
      <c r="R100" s="431">
        <v>7902392</v>
      </c>
      <c r="S100" s="431">
        <v>70000</v>
      </c>
      <c r="T100" s="431">
        <v>0</v>
      </c>
      <c r="U100" s="431">
        <v>0</v>
      </c>
      <c r="V100" s="431">
        <v>0</v>
      </c>
      <c r="W100" s="431">
        <v>0</v>
      </c>
      <c r="X100" s="431">
        <v>355543</v>
      </c>
      <c r="Y100" s="431">
        <v>25800</v>
      </c>
      <c r="Z100" s="431">
        <v>7032091</v>
      </c>
      <c r="AA100" s="431">
        <v>755556</v>
      </c>
      <c r="AB100" s="431">
        <v>0</v>
      </c>
      <c r="AC100" s="431">
        <v>1645979</v>
      </c>
      <c r="AD100" s="431">
        <v>54650</v>
      </c>
      <c r="AE100" s="431">
        <v>2043338</v>
      </c>
      <c r="AF100" s="431">
        <v>320722</v>
      </c>
      <c r="AG100" s="431">
        <v>1566141</v>
      </c>
      <c r="AH100" s="431">
        <v>756870</v>
      </c>
      <c r="AI100" s="431">
        <v>2765858</v>
      </c>
      <c r="AJ100" s="431">
        <v>1777585</v>
      </c>
      <c r="AK100" s="431">
        <v>0</v>
      </c>
      <c r="AL100" s="431">
        <v>7886432</v>
      </c>
      <c r="AM100" s="431">
        <v>6555</v>
      </c>
      <c r="AN100" s="203"/>
    </row>
    <row r="101" spans="1:40" s="155" customFormat="1" ht="12" x14ac:dyDescent="0.2">
      <c r="A101" s="205">
        <v>47</v>
      </c>
      <c r="B101" s="300">
        <v>145765</v>
      </c>
      <c r="C101" s="299" t="s">
        <v>490</v>
      </c>
      <c r="D101" s="432">
        <f t="shared" si="8"/>
        <v>5665402</v>
      </c>
      <c r="E101" s="431">
        <v>3055151</v>
      </c>
      <c r="F101" s="431">
        <v>519340</v>
      </c>
      <c r="G101" s="431">
        <v>706980</v>
      </c>
      <c r="H101" s="431">
        <v>0</v>
      </c>
      <c r="I101" s="431">
        <v>1503061</v>
      </c>
      <c r="J101" s="431">
        <v>0</v>
      </c>
      <c r="K101" s="431">
        <v>1088310</v>
      </c>
      <c r="L101" s="431">
        <v>0</v>
      </c>
      <c r="M101" s="431">
        <v>18880</v>
      </c>
      <c r="N101" s="431">
        <v>0</v>
      </c>
      <c r="O101" s="431">
        <v>0</v>
      </c>
      <c r="P101" s="432">
        <f t="shared" si="11"/>
        <v>4778485</v>
      </c>
      <c r="Q101" s="431">
        <v>1728161</v>
      </c>
      <c r="R101" s="431">
        <v>995254</v>
      </c>
      <c r="S101" s="431">
        <v>191374</v>
      </c>
      <c r="T101" s="431">
        <v>0</v>
      </c>
      <c r="U101" s="431">
        <v>0</v>
      </c>
      <c r="V101" s="431">
        <v>0</v>
      </c>
      <c r="W101" s="431">
        <v>0</v>
      </c>
      <c r="X101" s="431">
        <v>155628</v>
      </c>
      <c r="Y101" s="431">
        <v>97302</v>
      </c>
      <c r="Z101" s="431">
        <v>1337060</v>
      </c>
      <c r="AA101" s="431">
        <v>276106</v>
      </c>
      <c r="AB101" s="431">
        <v>-2400</v>
      </c>
      <c r="AC101" s="431">
        <v>868644</v>
      </c>
      <c r="AD101" s="431">
        <v>58087</v>
      </c>
      <c r="AE101" s="431">
        <v>1514650</v>
      </c>
      <c r="AF101" s="431">
        <v>0</v>
      </c>
      <c r="AG101" s="431">
        <v>101115</v>
      </c>
      <c r="AH101" s="431">
        <v>340521</v>
      </c>
      <c r="AI101" s="431">
        <v>1070392</v>
      </c>
      <c r="AJ101" s="431">
        <v>272724</v>
      </c>
      <c r="AK101" s="431">
        <v>0</v>
      </c>
      <c r="AL101" s="431">
        <v>421570</v>
      </c>
      <c r="AM101" s="431">
        <v>130782</v>
      </c>
      <c r="AN101" s="203"/>
    </row>
    <row r="102" spans="1:40" s="155" customFormat="1" ht="12" x14ac:dyDescent="0.2">
      <c r="A102" s="205">
        <v>48</v>
      </c>
      <c r="B102" s="300">
        <v>145792</v>
      </c>
      <c r="C102" s="299" t="s">
        <v>491</v>
      </c>
      <c r="D102" s="432">
        <f t="shared" si="8"/>
        <v>7924096</v>
      </c>
      <c r="E102" s="431">
        <v>4693717</v>
      </c>
      <c r="F102" s="431">
        <v>2044469</v>
      </c>
      <c r="G102" s="431">
        <v>341470</v>
      </c>
      <c r="H102" s="431">
        <v>0</v>
      </c>
      <c r="I102" s="431">
        <v>1364537</v>
      </c>
      <c r="J102" s="431">
        <v>0</v>
      </c>
      <c r="K102" s="431">
        <v>97700</v>
      </c>
      <c r="L102" s="431">
        <v>0</v>
      </c>
      <c r="M102" s="431">
        <v>1462607</v>
      </c>
      <c r="N102" s="431">
        <v>305535</v>
      </c>
      <c r="O102" s="431">
        <v>0</v>
      </c>
      <c r="P102" s="432">
        <f t="shared" si="11"/>
        <v>7257686</v>
      </c>
      <c r="Q102" s="431">
        <v>1570104</v>
      </c>
      <c r="R102" s="431">
        <v>1159860</v>
      </c>
      <c r="S102" s="431">
        <v>0</v>
      </c>
      <c r="T102" s="431">
        <v>0</v>
      </c>
      <c r="U102" s="431">
        <v>0</v>
      </c>
      <c r="V102" s="431">
        <v>0</v>
      </c>
      <c r="W102" s="431">
        <v>398803</v>
      </c>
      <c r="X102" s="431">
        <v>136452</v>
      </c>
      <c r="Y102" s="431">
        <v>204010</v>
      </c>
      <c r="Z102" s="431">
        <v>3788457</v>
      </c>
      <c r="AA102" s="431">
        <v>0</v>
      </c>
      <c r="AB102" s="431">
        <v>0</v>
      </c>
      <c r="AC102" s="431">
        <v>1263729</v>
      </c>
      <c r="AD102" s="431">
        <v>25669</v>
      </c>
      <c r="AE102" s="431">
        <v>1284560</v>
      </c>
      <c r="AF102" s="431">
        <v>34178</v>
      </c>
      <c r="AG102" s="431">
        <v>300393</v>
      </c>
      <c r="AH102" s="431">
        <v>234571</v>
      </c>
      <c r="AI102" s="431">
        <v>718125</v>
      </c>
      <c r="AJ102" s="431">
        <v>925906</v>
      </c>
      <c r="AK102" s="431">
        <v>0</v>
      </c>
      <c r="AL102" s="431">
        <v>2405798</v>
      </c>
      <c r="AM102" s="431">
        <v>64757</v>
      </c>
      <c r="AN102" s="203"/>
    </row>
    <row r="103" spans="1:40" s="155" customFormat="1" ht="12" x14ac:dyDescent="0.2">
      <c r="A103" s="205">
        <v>49</v>
      </c>
      <c r="B103" s="300">
        <v>145907</v>
      </c>
      <c r="C103" s="299" t="s">
        <v>492</v>
      </c>
      <c r="D103" s="432">
        <f t="shared" si="8"/>
        <v>3934502</v>
      </c>
      <c r="E103" s="431">
        <v>1731268</v>
      </c>
      <c r="F103" s="431">
        <v>130169</v>
      </c>
      <c r="G103" s="431">
        <v>609280</v>
      </c>
      <c r="H103" s="431">
        <v>0</v>
      </c>
      <c r="I103" s="431">
        <v>931757</v>
      </c>
      <c r="J103" s="431">
        <v>0</v>
      </c>
      <c r="K103" s="431">
        <v>382990</v>
      </c>
      <c r="L103" s="431">
        <v>0</v>
      </c>
      <c r="M103" s="431">
        <v>174246</v>
      </c>
      <c r="N103" s="431">
        <v>709018</v>
      </c>
      <c r="O103" s="431">
        <v>5223</v>
      </c>
      <c r="P103" s="432">
        <f t="shared" si="11"/>
        <v>3035521</v>
      </c>
      <c r="Q103" s="431">
        <v>1211970</v>
      </c>
      <c r="R103" s="431">
        <v>760777</v>
      </c>
      <c r="S103" s="431">
        <v>0</v>
      </c>
      <c r="T103" s="431">
        <v>0</v>
      </c>
      <c r="U103" s="431">
        <v>0</v>
      </c>
      <c r="V103" s="431">
        <v>14828</v>
      </c>
      <c r="W103" s="431">
        <v>641323</v>
      </c>
      <c r="X103" s="431">
        <v>129980</v>
      </c>
      <c r="Y103" s="431">
        <v>20150</v>
      </c>
      <c r="Z103" s="431">
        <v>256516</v>
      </c>
      <c r="AA103" s="431">
        <v>0</v>
      </c>
      <c r="AB103" s="431">
        <v>-23</v>
      </c>
      <c r="AC103" s="431">
        <v>518286</v>
      </c>
      <c r="AD103" s="431">
        <v>87975</v>
      </c>
      <c r="AE103" s="431">
        <v>850361</v>
      </c>
      <c r="AF103" s="431">
        <v>25587</v>
      </c>
      <c r="AG103" s="431">
        <v>162989</v>
      </c>
      <c r="AH103" s="431">
        <v>282152</v>
      </c>
      <c r="AI103" s="431">
        <v>215358</v>
      </c>
      <c r="AJ103" s="431">
        <v>89812</v>
      </c>
      <c r="AK103" s="431">
        <v>0</v>
      </c>
      <c r="AL103" s="431">
        <v>644390</v>
      </c>
      <c r="AM103" s="431">
        <v>158611</v>
      </c>
      <c r="AN103" s="203"/>
    </row>
    <row r="104" spans="1:40" s="155" customFormat="1" ht="12" x14ac:dyDescent="0.2">
      <c r="A104" s="205">
        <v>50</v>
      </c>
      <c r="B104" s="300">
        <v>143646</v>
      </c>
      <c r="C104" s="299" t="s">
        <v>493</v>
      </c>
      <c r="D104" s="432">
        <f t="shared" si="8"/>
        <v>4260914</v>
      </c>
      <c r="E104" s="431">
        <v>1672167</v>
      </c>
      <c r="F104" s="431">
        <v>270239</v>
      </c>
      <c r="G104" s="431">
        <v>986310</v>
      </c>
      <c r="H104" s="431">
        <v>0</v>
      </c>
      <c r="I104" s="431">
        <v>2120839</v>
      </c>
      <c r="J104" s="431">
        <v>0</v>
      </c>
      <c r="K104" s="431">
        <v>266380</v>
      </c>
      <c r="L104" s="431">
        <v>0</v>
      </c>
      <c r="M104" s="431">
        <v>67110</v>
      </c>
      <c r="N104" s="431">
        <v>124578</v>
      </c>
      <c r="O104" s="431">
        <v>9840</v>
      </c>
      <c r="P104" s="432">
        <f t="shared" si="11"/>
        <v>4305764</v>
      </c>
      <c r="Q104" s="431">
        <v>2326547</v>
      </c>
      <c r="R104" s="431">
        <v>1025771</v>
      </c>
      <c r="S104" s="431">
        <v>0</v>
      </c>
      <c r="T104" s="431">
        <v>0</v>
      </c>
      <c r="U104" s="431">
        <v>0</v>
      </c>
      <c r="V104" s="431">
        <v>0</v>
      </c>
      <c r="W104" s="431">
        <v>162231</v>
      </c>
      <c r="X104" s="431">
        <v>146277</v>
      </c>
      <c r="Y104" s="431">
        <v>2000</v>
      </c>
      <c r="Z104" s="431">
        <v>644378</v>
      </c>
      <c r="AA104" s="431">
        <v>0</v>
      </c>
      <c r="AB104" s="431">
        <v>-1440</v>
      </c>
      <c r="AC104" s="431">
        <v>633083</v>
      </c>
      <c r="AD104" s="431">
        <v>226588</v>
      </c>
      <c r="AE104" s="431">
        <v>2422416</v>
      </c>
      <c r="AF104" s="431">
        <v>16888</v>
      </c>
      <c r="AG104" s="431">
        <v>121152</v>
      </c>
      <c r="AH104" s="431">
        <v>334786</v>
      </c>
      <c r="AI104" s="431">
        <v>160439</v>
      </c>
      <c r="AJ104" s="431">
        <v>21348</v>
      </c>
      <c r="AK104" s="431">
        <v>0</v>
      </c>
      <c r="AL104" s="431">
        <v>201955</v>
      </c>
      <c r="AM104" s="431">
        <v>167109</v>
      </c>
      <c r="AN104" s="203"/>
    </row>
    <row r="105" spans="1:40" s="155" customFormat="1" ht="12" x14ac:dyDescent="0.2">
      <c r="A105" s="205">
        <v>51</v>
      </c>
      <c r="B105" s="300">
        <v>145934</v>
      </c>
      <c r="C105" s="299" t="s">
        <v>494</v>
      </c>
      <c r="D105" s="432">
        <f t="shared" si="8"/>
        <v>5855428</v>
      </c>
      <c r="E105" s="431">
        <v>1617510</v>
      </c>
      <c r="F105" s="431">
        <v>328837</v>
      </c>
      <c r="G105" s="431">
        <v>691040</v>
      </c>
      <c r="H105" s="431">
        <v>0</v>
      </c>
      <c r="I105" s="431">
        <v>1192744</v>
      </c>
      <c r="J105" s="431">
        <v>0</v>
      </c>
      <c r="K105" s="431">
        <v>563830</v>
      </c>
      <c r="L105" s="431">
        <v>0</v>
      </c>
      <c r="M105" s="431">
        <v>1559372</v>
      </c>
      <c r="N105" s="431">
        <v>921972</v>
      </c>
      <c r="O105" s="431">
        <v>0</v>
      </c>
      <c r="P105" s="432">
        <f t="shared" si="11"/>
        <v>6123586</v>
      </c>
      <c r="Q105" s="431">
        <v>1435730</v>
      </c>
      <c r="R105" s="431">
        <v>923239</v>
      </c>
      <c r="S105" s="431">
        <v>11299</v>
      </c>
      <c r="T105" s="431">
        <v>0</v>
      </c>
      <c r="U105" s="431">
        <v>0</v>
      </c>
      <c r="V105" s="431">
        <v>0</v>
      </c>
      <c r="W105" s="431">
        <v>1515325</v>
      </c>
      <c r="X105" s="431">
        <v>135651</v>
      </c>
      <c r="Y105" s="431">
        <v>27240</v>
      </c>
      <c r="Z105" s="431">
        <v>1630458</v>
      </c>
      <c r="AA105" s="431">
        <v>444999</v>
      </c>
      <c r="AB105" s="431">
        <v>-355</v>
      </c>
      <c r="AC105" s="431">
        <v>620989</v>
      </c>
      <c r="AD105" s="431">
        <v>35787</v>
      </c>
      <c r="AE105" s="431">
        <v>1448216</v>
      </c>
      <c r="AF105" s="431">
        <v>1275081</v>
      </c>
      <c r="AG105" s="431">
        <v>691476</v>
      </c>
      <c r="AH105" s="431">
        <v>254279</v>
      </c>
      <c r="AI105" s="431">
        <v>310619</v>
      </c>
      <c r="AJ105" s="431">
        <v>587531</v>
      </c>
      <c r="AK105" s="431">
        <v>0</v>
      </c>
      <c r="AL105" s="431">
        <v>731016</v>
      </c>
      <c r="AM105" s="431">
        <v>168592</v>
      </c>
      <c r="AN105" s="203"/>
    </row>
    <row r="106" spans="1:40" s="155" customFormat="1" ht="12" x14ac:dyDescent="0.2">
      <c r="A106" s="205">
        <v>52</v>
      </c>
      <c r="B106" s="300">
        <v>145961</v>
      </c>
      <c r="C106" s="299" t="s">
        <v>495</v>
      </c>
      <c r="D106" s="432">
        <f t="shared" si="8"/>
        <v>9033585</v>
      </c>
      <c r="E106" s="431">
        <v>1906094</v>
      </c>
      <c r="F106" s="431">
        <v>210884</v>
      </c>
      <c r="G106" s="431">
        <v>1250670</v>
      </c>
      <c r="H106" s="431">
        <v>0</v>
      </c>
      <c r="I106" s="431">
        <v>1017368</v>
      </c>
      <c r="J106" s="431">
        <v>0</v>
      </c>
      <c r="K106" s="431">
        <v>133310</v>
      </c>
      <c r="L106" s="431">
        <v>0</v>
      </c>
      <c r="M106" s="431">
        <v>1158083</v>
      </c>
      <c r="N106" s="431">
        <v>4818730</v>
      </c>
      <c r="O106" s="431">
        <v>0</v>
      </c>
      <c r="P106" s="432">
        <f t="shared" si="11"/>
        <v>6774584</v>
      </c>
      <c r="Q106" s="431">
        <v>1303372</v>
      </c>
      <c r="R106" s="431">
        <v>766134</v>
      </c>
      <c r="S106" s="431">
        <v>0</v>
      </c>
      <c r="T106" s="431">
        <v>0</v>
      </c>
      <c r="U106" s="431">
        <v>0</v>
      </c>
      <c r="V106" s="431">
        <v>0</v>
      </c>
      <c r="W106" s="431">
        <v>4386388</v>
      </c>
      <c r="X106" s="431">
        <v>118605</v>
      </c>
      <c r="Y106" s="431">
        <v>23146</v>
      </c>
      <c r="Z106" s="431">
        <v>176939</v>
      </c>
      <c r="AA106" s="431">
        <v>0</v>
      </c>
      <c r="AB106" s="431">
        <v>0</v>
      </c>
      <c r="AC106" s="431">
        <v>673448</v>
      </c>
      <c r="AD106" s="431">
        <v>292471</v>
      </c>
      <c r="AE106" s="431">
        <v>923470</v>
      </c>
      <c r="AF106" s="431">
        <v>22229</v>
      </c>
      <c r="AG106" s="431">
        <v>1059737</v>
      </c>
      <c r="AH106" s="431">
        <v>296755</v>
      </c>
      <c r="AI106" s="431">
        <v>146986</v>
      </c>
      <c r="AJ106" s="431">
        <v>142395</v>
      </c>
      <c r="AK106" s="431">
        <v>0</v>
      </c>
      <c r="AL106" s="431">
        <v>3127607</v>
      </c>
      <c r="AM106" s="431">
        <v>89486</v>
      </c>
      <c r="AN106" s="203"/>
    </row>
    <row r="107" spans="1:40" s="155" customFormat="1" ht="12" x14ac:dyDescent="0.2">
      <c r="A107" s="205">
        <v>53</v>
      </c>
      <c r="B107" s="300">
        <v>145998</v>
      </c>
      <c r="C107" s="299" t="s">
        <v>496</v>
      </c>
      <c r="D107" s="432">
        <f t="shared" si="8"/>
        <v>4730521</v>
      </c>
      <c r="E107" s="431">
        <v>1971226</v>
      </c>
      <c r="F107" s="431">
        <v>62962</v>
      </c>
      <c r="G107" s="431">
        <v>1353590</v>
      </c>
      <c r="H107" s="431">
        <v>0</v>
      </c>
      <c r="I107" s="431">
        <v>1320053</v>
      </c>
      <c r="J107" s="431">
        <v>0</v>
      </c>
      <c r="K107" s="431">
        <v>186080</v>
      </c>
      <c r="L107" s="431">
        <v>0</v>
      </c>
      <c r="M107" s="431">
        <v>978554</v>
      </c>
      <c r="N107" s="431">
        <v>274608</v>
      </c>
      <c r="O107" s="431">
        <v>0</v>
      </c>
      <c r="P107" s="432">
        <f t="shared" si="11"/>
        <v>4496542</v>
      </c>
      <c r="Q107" s="431">
        <v>1371874</v>
      </c>
      <c r="R107" s="431">
        <v>1526310</v>
      </c>
      <c r="S107" s="431">
        <v>0</v>
      </c>
      <c r="T107" s="431">
        <v>0</v>
      </c>
      <c r="U107" s="431">
        <v>0</v>
      </c>
      <c r="V107" s="431">
        <v>0</v>
      </c>
      <c r="W107" s="431">
        <v>378349</v>
      </c>
      <c r="X107" s="431">
        <v>303410</v>
      </c>
      <c r="Y107" s="431">
        <v>14000</v>
      </c>
      <c r="Z107" s="431">
        <v>911688</v>
      </c>
      <c r="AA107" s="431">
        <v>0</v>
      </c>
      <c r="AB107" s="431">
        <v>-9089</v>
      </c>
      <c r="AC107" s="431">
        <v>733462</v>
      </c>
      <c r="AD107" s="431">
        <v>128649</v>
      </c>
      <c r="AE107" s="431">
        <v>1251190</v>
      </c>
      <c r="AF107" s="431">
        <v>16530</v>
      </c>
      <c r="AG107" s="431">
        <v>152229</v>
      </c>
      <c r="AH107" s="431">
        <v>303410</v>
      </c>
      <c r="AI107" s="431">
        <v>464912</v>
      </c>
      <c r="AJ107" s="431">
        <v>783039</v>
      </c>
      <c r="AK107" s="431">
        <v>0</v>
      </c>
      <c r="AL107" s="431">
        <v>132584</v>
      </c>
      <c r="AM107" s="431">
        <v>530537</v>
      </c>
      <c r="AN107" s="203"/>
    </row>
    <row r="108" spans="1:40" s="155" customFormat="1" ht="12" hidden="1" x14ac:dyDescent="0.2">
      <c r="A108" s="205">
        <v>54</v>
      </c>
      <c r="B108" s="205"/>
      <c r="C108" s="301"/>
      <c r="D108" s="432">
        <f t="shared" si="8"/>
        <v>0</v>
      </c>
      <c r="E108" s="431"/>
      <c r="F108" s="431"/>
      <c r="G108" s="431"/>
      <c r="H108" s="431"/>
      <c r="I108" s="431"/>
      <c r="J108" s="431"/>
      <c r="K108" s="431"/>
      <c r="L108" s="431"/>
      <c r="M108" s="431"/>
      <c r="N108" s="431"/>
      <c r="O108" s="431"/>
      <c r="P108" s="432">
        <f t="shared" si="11"/>
        <v>0</v>
      </c>
      <c r="Q108" s="431"/>
      <c r="R108" s="431"/>
      <c r="S108" s="431"/>
      <c r="T108" s="431"/>
      <c r="U108" s="431"/>
      <c r="V108" s="431"/>
      <c r="W108" s="431"/>
      <c r="X108" s="431"/>
      <c r="Y108" s="431"/>
      <c r="Z108" s="468"/>
      <c r="AA108" s="431"/>
      <c r="AB108" s="431"/>
      <c r="AC108" s="468"/>
      <c r="AD108" s="431"/>
      <c r="AE108" s="431"/>
      <c r="AF108" s="431"/>
      <c r="AG108" s="431"/>
      <c r="AH108" s="431"/>
      <c r="AI108" s="468"/>
      <c r="AJ108" s="468"/>
      <c r="AK108" s="431"/>
      <c r="AL108" s="431"/>
      <c r="AM108" s="431"/>
      <c r="AN108" s="203"/>
    </row>
    <row r="109" spans="1:40" s="155" customFormat="1" ht="12" hidden="1" x14ac:dyDescent="0.2">
      <c r="A109" s="205">
        <v>55</v>
      </c>
      <c r="B109" s="205"/>
      <c r="C109" s="302"/>
      <c r="D109" s="432">
        <f t="shared" si="8"/>
        <v>0</v>
      </c>
      <c r="E109" s="431"/>
      <c r="F109" s="431"/>
      <c r="G109" s="431"/>
      <c r="H109" s="431"/>
      <c r="I109" s="431"/>
      <c r="J109" s="431"/>
      <c r="K109" s="431"/>
      <c r="L109" s="431"/>
      <c r="M109" s="431"/>
      <c r="N109" s="431"/>
      <c r="O109" s="431"/>
      <c r="P109" s="432">
        <f t="shared" si="11"/>
        <v>0</v>
      </c>
      <c r="Q109" s="431"/>
      <c r="R109" s="431"/>
      <c r="S109" s="431"/>
      <c r="T109" s="431"/>
      <c r="U109" s="431"/>
      <c r="V109" s="431"/>
      <c r="W109" s="431"/>
      <c r="X109" s="431"/>
      <c r="Y109" s="431"/>
      <c r="Z109" s="468"/>
      <c r="AA109" s="431"/>
      <c r="AB109" s="431"/>
      <c r="AC109" s="468"/>
      <c r="AD109" s="431"/>
      <c r="AE109" s="431"/>
      <c r="AF109" s="431"/>
      <c r="AG109" s="431"/>
      <c r="AH109" s="431"/>
      <c r="AI109" s="468"/>
      <c r="AJ109" s="468"/>
      <c r="AK109" s="431"/>
      <c r="AL109" s="431"/>
      <c r="AM109" s="431"/>
      <c r="AN109" s="203"/>
    </row>
    <row r="110" spans="1:40" s="155" customFormat="1" ht="12" hidden="1" x14ac:dyDescent="0.2">
      <c r="A110" s="205">
        <v>56</v>
      </c>
      <c r="B110" s="205"/>
      <c r="C110" s="302"/>
      <c r="D110" s="432">
        <f t="shared" si="8"/>
        <v>0</v>
      </c>
      <c r="E110" s="431"/>
      <c r="F110" s="431"/>
      <c r="G110" s="431"/>
      <c r="H110" s="431"/>
      <c r="I110" s="431"/>
      <c r="J110" s="431"/>
      <c r="K110" s="431"/>
      <c r="L110" s="431"/>
      <c r="M110" s="431"/>
      <c r="N110" s="431"/>
      <c r="O110" s="431"/>
      <c r="P110" s="432">
        <f t="shared" si="11"/>
        <v>0</v>
      </c>
      <c r="Q110" s="431"/>
      <c r="R110" s="431"/>
      <c r="S110" s="431"/>
      <c r="T110" s="431"/>
      <c r="U110" s="431"/>
      <c r="V110" s="431"/>
      <c r="W110" s="431"/>
      <c r="X110" s="431"/>
      <c r="Y110" s="431"/>
      <c r="Z110" s="468"/>
      <c r="AA110" s="431"/>
      <c r="AB110" s="431"/>
      <c r="AC110" s="468"/>
      <c r="AD110" s="431"/>
      <c r="AE110" s="431"/>
      <c r="AF110" s="431"/>
      <c r="AG110" s="431"/>
      <c r="AH110" s="431"/>
      <c r="AI110" s="468"/>
      <c r="AJ110" s="468"/>
      <c r="AK110" s="431"/>
      <c r="AL110" s="431"/>
      <c r="AM110" s="431"/>
      <c r="AN110" s="203"/>
    </row>
    <row r="111" spans="1:40" s="155" customFormat="1" ht="12" hidden="1" x14ac:dyDescent="0.2">
      <c r="A111" s="205">
        <v>57</v>
      </c>
      <c r="B111" s="205"/>
      <c r="C111" s="302"/>
      <c r="D111" s="432">
        <f t="shared" si="8"/>
        <v>0</v>
      </c>
      <c r="E111" s="431"/>
      <c r="F111" s="431"/>
      <c r="G111" s="431"/>
      <c r="H111" s="431"/>
      <c r="I111" s="431"/>
      <c r="J111" s="431"/>
      <c r="K111" s="431"/>
      <c r="L111" s="431"/>
      <c r="M111" s="431"/>
      <c r="N111" s="431"/>
      <c r="O111" s="431"/>
      <c r="P111" s="432">
        <f t="shared" si="11"/>
        <v>0</v>
      </c>
      <c r="Q111" s="431"/>
      <c r="R111" s="431"/>
      <c r="S111" s="431"/>
      <c r="T111" s="431"/>
      <c r="U111" s="431"/>
      <c r="V111" s="431"/>
      <c r="W111" s="431"/>
      <c r="X111" s="431"/>
      <c r="Y111" s="431"/>
      <c r="Z111" s="468"/>
      <c r="AA111" s="431"/>
      <c r="AB111" s="431"/>
      <c r="AC111" s="468"/>
      <c r="AD111" s="431"/>
      <c r="AE111" s="431"/>
      <c r="AF111" s="431"/>
      <c r="AG111" s="431"/>
      <c r="AH111" s="431"/>
      <c r="AI111" s="468"/>
      <c r="AJ111" s="468"/>
      <c r="AK111" s="431"/>
      <c r="AL111" s="431"/>
      <c r="AM111" s="431"/>
      <c r="AN111" s="203"/>
    </row>
    <row r="112" spans="1:40" s="155" customFormat="1" ht="12" hidden="1" x14ac:dyDescent="0.2">
      <c r="A112" s="205">
        <v>58</v>
      </c>
      <c r="B112" s="205"/>
      <c r="C112" s="302"/>
      <c r="D112" s="432">
        <f t="shared" si="8"/>
        <v>0</v>
      </c>
      <c r="E112" s="431"/>
      <c r="F112" s="431"/>
      <c r="G112" s="431"/>
      <c r="H112" s="431"/>
      <c r="I112" s="431"/>
      <c r="J112" s="431"/>
      <c r="K112" s="431"/>
      <c r="L112" s="431"/>
      <c r="M112" s="431"/>
      <c r="N112" s="431"/>
      <c r="O112" s="431"/>
      <c r="P112" s="432">
        <f t="shared" si="11"/>
        <v>0</v>
      </c>
      <c r="Q112" s="431"/>
      <c r="R112" s="468"/>
      <c r="S112" s="431"/>
      <c r="T112" s="431"/>
      <c r="U112" s="431"/>
      <c r="V112" s="431"/>
      <c r="W112" s="431"/>
      <c r="X112" s="431"/>
      <c r="Y112" s="431"/>
      <c r="Z112" s="468"/>
      <c r="AA112" s="431"/>
      <c r="AB112" s="431"/>
      <c r="AC112" s="468"/>
      <c r="AD112" s="431"/>
      <c r="AE112" s="431"/>
      <c r="AF112" s="431"/>
      <c r="AG112" s="431"/>
      <c r="AH112" s="431"/>
      <c r="AI112" s="468"/>
      <c r="AJ112" s="468"/>
      <c r="AK112" s="431"/>
      <c r="AL112" s="431"/>
      <c r="AM112" s="431"/>
      <c r="AN112" s="203"/>
    </row>
    <row r="113" spans="1:40" s="155" customFormat="1" ht="12" hidden="1" x14ac:dyDescent="0.2">
      <c r="A113" s="205">
        <v>59</v>
      </c>
      <c r="B113" s="205"/>
      <c r="C113" s="302"/>
      <c r="D113" s="432">
        <f t="shared" si="8"/>
        <v>0</v>
      </c>
      <c r="E113" s="431"/>
      <c r="F113" s="431"/>
      <c r="G113" s="431"/>
      <c r="H113" s="431"/>
      <c r="I113" s="431"/>
      <c r="J113" s="431"/>
      <c r="K113" s="431"/>
      <c r="L113" s="431"/>
      <c r="M113" s="431"/>
      <c r="N113" s="431"/>
      <c r="O113" s="431"/>
      <c r="P113" s="432">
        <f t="shared" si="11"/>
        <v>0</v>
      </c>
      <c r="Q113" s="431"/>
      <c r="R113" s="431"/>
      <c r="S113" s="431"/>
      <c r="T113" s="431"/>
      <c r="U113" s="431"/>
      <c r="V113" s="431"/>
      <c r="W113" s="431"/>
      <c r="X113" s="431"/>
      <c r="Y113" s="431"/>
      <c r="Z113" s="468"/>
      <c r="AA113" s="431"/>
      <c r="AB113" s="431"/>
      <c r="AC113" s="468"/>
      <c r="AD113" s="431"/>
      <c r="AE113" s="431"/>
      <c r="AF113" s="431"/>
      <c r="AG113" s="431"/>
      <c r="AH113" s="431"/>
      <c r="AI113" s="468"/>
      <c r="AJ113" s="468"/>
      <c r="AK113" s="431"/>
      <c r="AL113" s="431"/>
      <c r="AM113" s="431"/>
      <c r="AN113" s="203"/>
    </row>
    <row r="114" spans="1:40" s="155" customFormat="1" ht="12" hidden="1" x14ac:dyDescent="0.2">
      <c r="A114" s="205">
        <v>60</v>
      </c>
      <c r="B114" s="205"/>
      <c r="C114" s="301"/>
      <c r="D114" s="432">
        <f t="shared" si="8"/>
        <v>0</v>
      </c>
      <c r="E114" s="431"/>
      <c r="F114" s="431"/>
      <c r="G114" s="431"/>
      <c r="H114" s="431"/>
      <c r="I114" s="431"/>
      <c r="J114" s="431"/>
      <c r="K114" s="431"/>
      <c r="L114" s="431"/>
      <c r="M114" s="431"/>
      <c r="N114" s="431"/>
      <c r="O114" s="431"/>
      <c r="P114" s="432">
        <f t="shared" si="11"/>
        <v>0</v>
      </c>
      <c r="Q114" s="431"/>
      <c r="R114" s="431"/>
      <c r="S114" s="431"/>
      <c r="T114" s="431"/>
      <c r="U114" s="431"/>
      <c r="V114" s="431"/>
      <c r="W114" s="431"/>
      <c r="X114" s="431"/>
      <c r="Y114" s="431"/>
      <c r="Z114" s="468"/>
      <c r="AA114" s="431"/>
      <c r="AB114" s="431"/>
      <c r="AC114" s="468"/>
      <c r="AD114" s="431"/>
      <c r="AE114" s="431"/>
      <c r="AF114" s="431"/>
      <c r="AG114" s="431"/>
      <c r="AH114" s="431"/>
      <c r="AI114" s="468"/>
      <c r="AJ114" s="468"/>
      <c r="AK114" s="431"/>
      <c r="AL114" s="431"/>
      <c r="AM114" s="431"/>
      <c r="AN114" s="203"/>
    </row>
    <row r="115" spans="1:40" s="155" customFormat="1" ht="12" hidden="1" x14ac:dyDescent="0.2">
      <c r="A115" s="205">
        <v>61</v>
      </c>
      <c r="B115" s="205"/>
      <c r="C115" s="302"/>
      <c r="D115" s="432">
        <f t="shared" si="8"/>
        <v>0</v>
      </c>
      <c r="E115" s="431"/>
      <c r="F115" s="431"/>
      <c r="G115" s="431"/>
      <c r="H115" s="431"/>
      <c r="I115" s="431"/>
      <c r="J115" s="431"/>
      <c r="K115" s="431"/>
      <c r="L115" s="431"/>
      <c r="M115" s="431"/>
      <c r="N115" s="431"/>
      <c r="O115" s="431"/>
      <c r="P115" s="432">
        <f t="shared" si="11"/>
        <v>0</v>
      </c>
      <c r="Q115" s="431"/>
      <c r="R115" s="431"/>
      <c r="S115" s="431"/>
      <c r="T115" s="431"/>
      <c r="U115" s="431"/>
      <c r="V115" s="431"/>
      <c r="W115" s="431"/>
      <c r="X115" s="431"/>
      <c r="Y115" s="431"/>
      <c r="Z115" s="468"/>
      <c r="AA115" s="431"/>
      <c r="AB115" s="431"/>
      <c r="AC115" s="468"/>
      <c r="AD115" s="431"/>
      <c r="AE115" s="431"/>
      <c r="AF115" s="431"/>
      <c r="AG115" s="431"/>
      <c r="AH115" s="431"/>
      <c r="AI115" s="468"/>
      <c r="AJ115" s="468"/>
      <c r="AK115" s="431"/>
      <c r="AL115" s="431"/>
      <c r="AM115" s="431"/>
      <c r="AN115" s="203"/>
    </row>
    <row r="116" spans="1:40" s="155" customFormat="1" ht="12" hidden="1" x14ac:dyDescent="0.2">
      <c r="A116" s="205">
        <v>62</v>
      </c>
      <c r="B116" s="205"/>
      <c r="C116" s="302"/>
      <c r="D116" s="432">
        <f t="shared" si="8"/>
        <v>0</v>
      </c>
      <c r="E116" s="431"/>
      <c r="F116" s="431"/>
      <c r="G116" s="431"/>
      <c r="H116" s="431"/>
      <c r="I116" s="431"/>
      <c r="J116" s="431"/>
      <c r="K116" s="431"/>
      <c r="L116" s="431"/>
      <c r="M116" s="431"/>
      <c r="N116" s="431"/>
      <c r="O116" s="431"/>
      <c r="P116" s="432">
        <f t="shared" si="11"/>
        <v>0</v>
      </c>
      <c r="Q116" s="431"/>
      <c r="R116" s="431"/>
      <c r="S116" s="431"/>
      <c r="T116" s="431"/>
      <c r="U116" s="431"/>
      <c r="V116" s="431"/>
      <c r="W116" s="431"/>
      <c r="X116" s="431"/>
      <c r="Y116" s="431"/>
      <c r="Z116" s="468"/>
      <c r="AA116" s="431"/>
      <c r="AB116" s="431"/>
      <c r="AC116" s="468"/>
      <c r="AD116" s="431"/>
      <c r="AE116" s="431"/>
      <c r="AF116" s="431"/>
      <c r="AG116" s="431"/>
      <c r="AH116" s="431"/>
      <c r="AI116" s="468"/>
      <c r="AJ116" s="468"/>
      <c r="AK116" s="431"/>
      <c r="AL116" s="431"/>
      <c r="AM116" s="431"/>
      <c r="AN116" s="203"/>
    </row>
    <row r="117" spans="1:40" s="155" customFormat="1" ht="12" hidden="1" x14ac:dyDescent="0.2">
      <c r="A117" s="205">
        <v>63</v>
      </c>
      <c r="B117" s="205"/>
      <c r="C117" s="301"/>
      <c r="D117" s="432">
        <f t="shared" si="8"/>
        <v>0</v>
      </c>
      <c r="E117" s="431"/>
      <c r="F117" s="431"/>
      <c r="G117" s="431"/>
      <c r="H117" s="431"/>
      <c r="I117" s="431"/>
      <c r="J117" s="431"/>
      <c r="K117" s="431"/>
      <c r="L117" s="431"/>
      <c r="M117" s="431"/>
      <c r="N117" s="431"/>
      <c r="O117" s="431"/>
      <c r="P117" s="432">
        <f t="shared" si="11"/>
        <v>0</v>
      </c>
      <c r="Q117" s="431"/>
      <c r="R117" s="431"/>
      <c r="S117" s="431"/>
      <c r="T117" s="431"/>
      <c r="U117" s="431"/>
      <c r="V117" s="431"/>
      <c r="W117" s="431"/>
      <c r="X117" s="431"/>
      <c r="Y117" s="431"/>
      <c r="Z117" s="468"/>
      <c r="AA117" s="431"/>
      <c r="AB117" s="431"/>
      <c r="AC117" s="468"/>
      <c r="AD117" s="431"/>
      <c r="AE117" s="431"/>
      <c r="AF117" s="431"/>
      <c r="AG117" s="431"/>
      <c r="AH117" s="431"/>
      <c r="AI117" s="468"/>
      <c r="AJ117" s="468"/>
      <c r="AK117" s="431"/>
      <c r="AL117" s="431"/>
      <c r="AM117" s="431"/>
      <c r="AN117" s="203"/>
    </row>
    <row r="118" spans="1:40" s="155" customFormat="1" ht="12" hidden="1" x14ac:dyDescent="0.2">
      <c r="A118" s="205">
        <v>64</v>
      </c>
      <c r="B118" s="205"/>
      <c r="C118" s="302"/>
      <c r="D118" s="432">
        <f t="shared" ref="D118:D143" si="12">E118+SUM(H118:O118)</f>
        <v>0</v>
      </c>
      <c r="E118" s="431"/>
      <c r="F118" s="431"/>
      <c r="G118" s="431"/>
      <c r="H118" s="431"/>
      <c r="I118" s="431"/>
      <c r="J118" s="431"/>
      <c r="K118" s="431"/>
      <c r="L118" s="431"/>
      <c r="M118" s="431"/>
      <c r="N118" s="431"/>
      <c r="O118" s="431"/>
      <c r="P118" s="432">
        <f t="shared" si="11"/>
        <v>0</v>
      </c>
      <c r="Q118" s="431"/>
      <c r="R118" s="431"/>
      <c r="S118" s="431"/>
      <c r="T118" s="431"/>
      <c r="U118" s="431"/>
      <c r="V118" s="431"/>
      <c r="W118" s="431"/>
      <c r="X118" s="431"/>
      <c r="Y118" s="431"/>
      <c r="Z118" s="468"/>
      <c r="AA118" s="431"/>
      <c r="AB118" s="431"/>
      <c r="AC118" s="468"/>
      <c r="AD118" s="431"/>
      <c r="AE118" s="431"/>
      <c r="AF118" s="431"/>
      <c r="AG118" s="431"/>
      <c r="AH118" s="431"/>
      <c r="AI118" s="468"/>
      <c r="AJ118" s="468"/>
      <c r="AK118" s="431"/>
      <c r="AL118" s="431"/>
      <c r="AM118" s="431"/>
      <c r="AN118" s="203"/>
    </row>
    <row r="119" spans="1:40" s="155" customFormat="1" ht="12" hidden="1" x14ac:dyDescent="0.2">
      <c r="A119" s="205">
        <v>65</v>
      </c>
      <c r="B119" s="205"/>
      <c r="C119" s="302"/>
      <c r="D119" s="432">
        <f t="shared" si="12"/>
        <v>0</v>
      </c>
      <c r="E119" s="431"/>
      <c r="F119" s="431"/>
      <c r="G119" s="431"/>
      <c r="H119" s="431"/>
      <c r="I119" s="431"/>
      <c r="J119" s="431"/>
      <c r="K119" s="431"/>
      <c r="L119" s="431"/>
      <c r="M119" s="431"/>
      <c r="N119" s="431"/>
      <c r="O119" s="431"/>
      <c r="P119" s="432">
        <f t="shared" si="11"/>
        <v>0</v>
      </c>
      <c r="Q119" s="431"/>
      <c r="R119" s="431"/>
      <c r="S119" s="431"/>
      <c r="T119" s="431"/>
      <c r="U119" s="431"/>
      <c r="V119" s="431"/>
      <c r="W119" s="431"/>
      <c r="X119" s="431"/>
      <c r="Y119" s="431"/>
      <c r="Z119" s="468"/>
      <c r="AA119" s="431"/>
      <c r="AB119" s="431"/>
      <c r="AC119" s="468"/>
      <c r="AD119" s="431"/>
      <c r="AE119" s="431"/>
      <c r="AF119" s="431"/>
      <c r="AG119" s="431"/>
      <c r="AH119" s="431"/>
      <c r="AI119" s="468"/>
      <c r="AJ119" s="468"/>
      <c r="AK119" s="431"/>
      <c r="AL119" s="431"/>
      <c r="AM119" s="431"/>
      <c r="AN119" s="203"/>
    </row>
    <row r="120" spans="1:40" s="155" customFormat="1" ht="12" hidden="1" x14ac:dyDescent="0.2">
      <c r="A120" s="205">
        <v>66</v>
      </c>
      <c r="B120" s="205"/>
      <c r="C120" s="302"/>
      <c r="D120" s="432">
        <f t="shared" si="12"/>
        <v>0</v>
      </c>
      <c r="E120" s="431"/>
      <c r="F120" s="431"/>
      <c r="G120" s="431"/>
      <c r="H120" s="431"/>
      <c r="I120" s="431"/>
      <c r="J120" s="431"/>
      <c r="K120" s="431"/>
      <c r="L120" s="431"/>
      <c r="M120" s="431"/>
      <c r="N120" s="431"/>
      <c r="O120" s="431"/>
      <c r="P120" s="432">
        <f t="shared" si="11"/>
        <v>0</v>
      </c>
      <c r="Q120" s="431"/>
      <c r="R120" s="431"/>
      <c r="S120" s="431"/>
      <c r="T120" s="431"/>
      <c r="U120" s="431"/>
      <c r="V120" s="431"/>
      <c r="W120" s="431"/>
      <c r="X120" s="431"/>
      <c r="Y120" s="431"/>
      <c r="Z120" s="468"/>
      <c r="AA120" s="431"/>
      <c r="AB120" s="431"/>
      <c r="AC120" s="468"/>
      <c r="AD120" s="431"/>
      <c r="AE120" s="431"/>
      <c r="AF120" s="431"/>
      <c r="AG120" s="431"/>
      <c r="AH120" s="431"/>
      <c r="AI120" s="468"/>
      <c r="AJ120" s="468"/>
      <c r="AK120" s="431"/>
      <c r="AL120" s="431"/>
      <c r="AM120" s="431"/>
      <c r="AN120" s="203"/>
    </row>
    <row r="121" spans="1:40" s="155" customFormat="1" ht="12" hidden="1" x14ac:dyDescent="0.2">
      <c r="A121" s="205">
        <v>67</v>
      </c>
      <c r="B121" s="205"/>
      <c r="C121" s="302"/>
      <c r="D121" s="432">
        <f t="shared" si="12"/>
        <v>0</v>
      </c>
      <c r="E121" s="431"/>
      <c r="F121" s="431"/>
      <c r="G121" s="431"/>
      <c r="H121" s="431"/>
      <c r="I121" s="431"/>
      <c r="J121" s="431"/>
      <c r="K121" s="431"/>
      <c r="L121" s="431"/>
      <c r="M121" s="431"/>
      <c r="N121" s="431"/>
      <c r="O121" s="431"/>
      <c r="P121" s="432">
        <f t="shared" si="11"/>
        <v>0</v>
      </c>
      <c r="Q121" s="431"/>
      <c r="R121" s="431"/>
      <c r="S121" s="431"/>
      <c r="T121" s="431"/>
      <c r="U121" s="431"/>
      <c r="V121" s="431"/>
      <c r="W121" s="431"/>
      <c r="X121" s="431"/>
      <c r="Y121" s="431"/>
      <c r="Z121" s="468"/>
      <c r="AA121" s="431"/>
      <c r="AB121" s="431"/>
      <c r="AC121" s="468"/>
      <c r="AD121" s="431"/>
      <c r="AE121" s="431"/>
      <c r="AF121" s="431"/>
      <c r="AG121" s="431"/>
      <c r="AH121" s="431"/>
      <c r="AI121" s="468"/>
      <c r="AJ121" s="468"/>
      <c r="AK121" s="431"/>
      <c r="AL121" s="431"/>
      <c r="AM121" s="431"/>
      <c r="AN121" s="203"/>
    </row>
    <row r="122" spans="1:40" s="155" customFormat="1" ht="12" hidden="1" x14ac:dyDescent="0.2">
      <c r="A122" s="205">
        <v>68</v>
      </c>
      <c r="B122" s="205"/>
      <c r="C122" s="302"/>
      <c r="D122" s="432">
        <f t="shared" si="12"/>
        <v>0</v>
      </c>
      <c r="E122" s="431"/>
      <c r="F122" s="431"/>
      <c r="G122" s="431"/>
      <c r="H122" s="431"/>
      <c r="I122" s="431"/>
      <c r="J122" s="431"/>
      <c r="K122" s="431"/>
      <c r="L122" s="431"/>
      <c r="M122" s="431"/>
      <c r="N122" s="431"/>
      <c r="O122" s="431"/>
      <c r="P122" s="432">
        <f t="shared" si="11"/>
        <v>0</v>
      </c>
      <c r="Q122" s="431"/>
      <c r="R122" s="431"/>
      <c r="S122" s="431"/>
      <c r="T122" s="431"/>
      <c r="U122" s="431"/>
      <c r="V122" s="431"/>
      <c r="W122" s="431"/>
      <c r="X122" s="431"/>
      <c r="Y122" s="431"/>
      <c r="Z122" s="468"/>
      <c r="AA122" s="431"/>
      <c r="AB122" s="431"/>
      <c r="AC122" s="468"/>
      <c r="AD122" s="431"/>
      <c r="AE122" s="431"/>
      <c r="AF122" s="431"/>
      <c r="AG122" s="431"/>
      <c r="AH122" s="431"/>
      <c r="AI122" s="468"/>
      <c r="AJ122" s="468"/>
      <c r="AK122" s="431"/>
      <c r="AL122" s="431"/>
      <c r="AM122" s="431"/>
      <c r="AN122" s="203"/>
    </row>
    <row r="123" spans="1:40" s="155" customFormat="1" ht="12" hidden="1" x14ac:dyDescent="0.2">
      <c r="A123" s="205">
        <v>69</v>
      </c>
      <c r="B123" s="205"/>
      <c r="C123" s="302"/>
      <c r="D123" s="432">
        <f t="shared" si="12"/>
        <v>0</v>
      </c>
      <c r="E123" s="431"/>
      <c r="F123" s="431"/>
      <c r="G123" s="431"/>
      <c r="H123" s="431"/>
      <c r="I123" s="431"/>
      <c r="J123" s="431"/>
      <c r="K123" s="431"/>
      <c r="L123" s="431"/>
      <c r="M123" s="431"/>
      <c r="N123" s="431"/>
      <c r="O123" s="431"/>
      <c r="P123" s="432">
        <f t="shared" si="11"/>
        <v>0</v>
      </c>
      <c r="Q123" s="431"/>
      <c r="R123" s="431"/>
      <c r="S123" s="431"/>
      <c r="T123" s="431"/>
      <c r="U123" s="431"/>
      <c r="V123" s="431"/>
      <c r="W123" s="431"/>
      <c r="X123" s="431"/>
      <c r="Y123" s="431"/>
      <c r="Z123" s="468"/>
      <c r="AA123" s="431"/>
      <c r="AB123" s="431"/>
      <c r="AC123" s="468"/>
      <c r="AD123" s="431"/>
      <c r="AE123" s="431"/>
      <c r="AF123" s="431"/>
      <c r="AG123" s="431"/>
      <c r="AH123" s="431"/>
      <c r="AI123" s="468"/>
      <c r="AJ123" s="468"/>
      <c r="AK123" s="431"/>
      <c r="AL123" s="431"/>
      <c r="AM123" s="431"/>
      <c r="AN123" s="203"/>
    </row>
    <row r="124" spans="1:40" s="155" customFormat="1" ht="12" hidden="1" x14ac:dyDescent="0.2">
      <c r="A124" s="205">
        <v>70</v>
      </c>
      <c r="B124" s="205"/>
      <c r="C124" s="302"/>
      <c r="D124" s="432">
        <f t="shared" si="12"/>
        <v>0</v>
      </c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32">
        <f t="shared" si="11"/>
        <v>0</v>
      </c>
      <c r="Q124" s="431"/>
      <c r="R124" s="431"/>
      <c r="S124" s="431"/>
      <c r="T124" s="431"/>
      <c r="U124" s="431"/>
      <c r="V124" s="431"/>
      <c r="W124" s="431"/>
      <c r="X124" s="431"/>
      <c r="Y124" s="431"/>
      <c r="Z124" s="468"/>
      <c r="AA124" s="431"/>
      <c r="AB124" s="431"/>
      <c r="AC124" s="468"/>
      <c r="AD124" s="431"/>
      <c r="AE124" s="431"/>
      <c r="AF124" s="431"/>
      <c r="AG124" s="431"/>
      <c r="AH124" s="431"/>
      <c r="AI124" s="468"/>
      <c r="AJ124" s="468"/>
      <c r="AK124" s="431"/>
      <c r="AL124" s="431"/>
      <c r="AM124" s="431"/>
      <c r="AN124" s="203"/>
    </row>
    <row r="125" spans="1:40" s="155" customFormat="1" ht="12" hidden="1" x14ac:dyDescent="0.2">
      <c r="A125" s="205">
        <v>71</v>
      </c>
      <c r="B125" s="205"/>
      <c r="C125" s="302"/>
      <c r="D125" s="432">
        <f t="shared" si="12"/>
        <v>0</v>
      </c>
      <c r="E125" s="431"/>
      <c r="F125" s="431"/>
      <c r="G125" s="431"/>
      <c r="H125" s="431"/>
      <c r="I125" s="431"/>
      <c r="J125" s="431"/>
      <c r="K125" s="431"/>
      <c r="L125" s="431"/>
      <c r="M125" s="431"/>
      <c r="N125" s="431"/>
      <c r="O125" s="431"/>
      <c r="P125" s="432">
        <f t="shared" si="11"/>
        <v>0</v>
      </c>
      <c r="Q125" s="431"/>
      <c r="R125" s="431"/>
      <c r="S125" s="431"/>
      <c r="T125" s="431"/>
      <c r="U125" s="431"/>
      <c r="V125" s="431"/>
      <c r="W125" s="431"/>
      <c r="X125" s="431"/>
      <c r="Y125" s="431"/>
      <c r="Z125" s="468"/>
      <c r="AA125" s="431"/>
      <c r="AB125" s="431"/>
      <c r="AC125" s="468"/>
      <c r="AD125" s="431"/>
      <c r="AE125" s="431"/>
      <c r="AF125" s="431"/>
      <c r="AG125" s="431"/>
      <c r="AH125" s="431"/>
      <c r="AI125" s="468"/>
      <c r="AJ125" s="468"/>
      <c r="AK125" s="431"/>
      <c r="AL125" s="431"/>
      <c r="AM125" s="431"/>
      <c r="AN125" s="203"/>
    </row>
    <row r="126" spans="1:40" s="155" customFormat="1" ht="12" hidden="1" x14ac:dyDescent="0.2">
      <c r="A126" s="205">
        <v>72</v>
      </c>
      <c r="B126" s="205"/>
      <c r="C126" s="302"/>
      <c r="D126" s="432">
        <f t="shared" si="12"/>
        <v>0</v>
      </c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32">
        <f t="shared" si="11"/>
        <v>0</v>
      </c>
      <c r="Q126" s="431"/>
      <c r="R126" s="431"/>
      <c r="S126" s="431"/>
      <c r="T126" s="431"/>
      <c r="U126" s="431"/>
      <c r="V126" s="431"/>
      <c r="W126" s="431"/>
      <c r="X126" s="431"/>
      <c r="Y126" s="431"/>
      <c r="Z126" s="468"/>
      <c r="AA126" s="431"/>
      <c r="AB126" s="431"/>
      <c r="AC126" s="468"/>
      <c r="AD126" s="431"/>
      <c r="AE126" s="431"/>
      <c r="AF126" s="431"/>
      <c r="AG126" s="431"/>
      <c r="AH126" s="431"/>
      <c r="AI126" s="468"/>
      <c r="AJ126" s="468"/>
      <c r="AK126" s="431"/>
      <c r="AL126" s="431"/>
      <c r="AM126" s="431"/>
      <c r="AN126" s="203"/>
    </row>
    <row r="127" spans="1:40" s="155" customFormat="1" ht="12" hidden="1" x14ac:dyDescent="0.2">
      <c r="A127" s="205">
        <v>73</v>
      </c>
      <c r="B127" s="205"/>
      <c r="C127" s="302"/>
      <c r="D127" s="432">
        <f t="shared" si="12"/>
        <v>0</v>
      </c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32">
        <f t="shared" si="11"/>
        <v>0</v>
      </c>
      <c r="Q127" s="431"/>
      <c r="R127" s="431"/>
      <c r="S127" s="431"/>
      <c r="T127" s="431"/>
      <c r="U127" s="431"/>
      <c r="V127" s="431"/>
      <c r="W127" s="431"/>
      <c r="X127" s="431"/>
      <c r="Y127" s="431"/>
      <c r="Z127" s="468"/>
      <c r="AA127" s="431"/>
      <c r="AB127" s="431"/>
      <c r="AC127" s="468"/>
      <c r="AD127" s="431"/>
      <c r="AE127" s="431"/>
      <c r="AF127" s="431"/>
      <c r="AG127" s="431"/>
      <c r="AH127" s="431"/>
      <c r="AI127" s="468"/>
      <c r="AJ127" s="468"/>
      <c r="AK127" s="431"/>
      <c r="AL127" s="431"/>
      <c r="AM127" s="431"/>
      <c r="AN127" s="203"/>
    </row>
    <row r="128" spans="1:40" s="155" customFormat="1" ht="12" hidden="1" x14ac:dyDescent="0.2">
      <c r="A128" s="205">
        <v>74</v>
      </c>
      <c r="B128" s="205"/>
      <c r="C128" s="302"/>
      <c r="D128" s="432">
        <f t="shared" si="12"/>
        <v>0</v>
      </c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32">
        <f t="shared" si="11"/>
        <v>0</v>
      </c>
      <c r="Q128" s="431"/>
      <c r="R128" s="431"/>
      <c r="S128" s="431"/>
      <c r="T128" s="431"/>
      <c r="U128" s="431"/>
      <c r="V128" s="431"/>
      <c r="W128" s="431"/>
      <c r="X128" s="431"/>
      <c r="Y128" s="431"/>
      <c r="Z128" s="468"/>
      <c r="AA128" s="431"/>
      <c r="AB128" s="431"/>
      <c r="AC128" s="468"/>
      <c r="AD128" s="431"/>
      <c r="AE128" s="431"/>
      <c r="AF128" s="431"/>
      <c r="AG128" s="431"/>
      <c r="AH128" s="431"/>
      <c r="AI128" s="468"/>
      <c r="AJ128" s="468"/>
      <c r="AK128" s="431"/>
      <c r="AL128" s="431"/>
      <c r="AM128" s="431"/>
      <c r="AN128" s="203"/>
    </row>
    <row r="129" spans="1:40" s="155" customFormat="1" ht="12" hidden="1" x14ac:dyDescent="0.2">
      <c r="A129" s="205">
        <v>75</v>
      </c>
      <c r="B129" s="205"/>
      <c r="C129" s="302"/>
      <c r="D129" s="432">
        <f t="shared" si="12"/>
        <v>0</v>
      </c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32">
        <f t="shared" si="11"/>
        <v>0</v>
      </c>
      <c r="Q129" s="431"/>
      <c r="R129" s="431"/>
      <c r="S129" s="431"/>
      <c r="T129" s="431"/>
      <c r="U129" s="431"/>
      <c r="V129" s="431"/>
      <c r="W129" s="431"/>
      <c r="X129" s="431"/>
      <c r="Y129" s="431"/>
      <c r="Z129" s="468"/>
      <c r="AA129" s="431"/>
      <c r="AB129" s="431"/>
      <c r="AC129" s="468"/>
      <c r="AD129" s="431"/>
      <c r="AE129" s="431"/>
      <c r="AF129" s="431"/>
      <c r="AG129" s="431"/>
      <c r="AH129" s="431"/>
      <c r="AI129" s="468"/>
      <c r="AJ129" s="468"/>
      <c r="AK129" s="431"/>
      <c r="AL129" s="431"/>
      <c r="AM129" s="431"/>
      <c r="AN129" s="203"/>
    </row>
    <row r="130" spans="1:40" s="155" customFormat="1" ht="12" hidden="1" x14ac:dyDescent="0.2">
      <c r="A130" s="205">
        <v>76</v>
      </c>
      <c r="B130" s="205"/>
      <c r="C130" s="302"/>
      <c r="D130" s="432">
        <f t="shared" si="12"/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32">
        <f t="shared" si="11"/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  <c r="AN130" s="203"/>
    </row>
    <row r="131" spans="1:40" s="155" customFormat="1" ht="12" hidden="1" x14ac:dyDescent="0.2">
      <c r="A131" s="205">
        <v>77</v>
      </c>
      <c r="B131" s="205"/>
      <c r="C131" s="302"/>
      <c r="D131" s="432">
        <f t="shared" si="12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2">
        <f t="shared" si="11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  <c r="AN131" s="203"/>
    </row>
    <row r="132" spans="1:40" s="155" customFormat="1" ht="12" hidden="1" x14ac:dyDescent="0.2">
      <c r="A132" s="205">
        <v>78</v>
      </c>
      <c r="B132" s="205"/>
      <c r="C132" s="302"/>
      <c r="D132" s="432">
        <f t="shared" si="12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2">
        <f t="shared" si="11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  <c r="AN132" s="203"/>
    </row>
    <row r="133" spans="1:40" s="155" customFormat="1" ht="12" hidden="1" x14ac:dyDescent="0.2">
      <c r="A133" s="205">
        <v>79</v>
      </c>
      <c r="B133" s="205"/>
      <c r="C133" s="302"/>
      <c r="D133" s="432">
        <f t="shared" si="12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si="11"/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  <c r="AN133" s="203"/>
    </row>
    <row r="134" spans="1:40" s="155" customFormat="1" ht="12" hidden="1" x14ac:dyDescent="0.2">
      <c r="A134" s="205">
        <v>80</v>
      </c>
      <c r="B134" s="205"/>
      <c r="C134" s="302"/>
      <c r="D134" s="432">
        <f t="shared" si="12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si="11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  <c r="AN134" s="203"/>
    </row>
    <row r="135" spans="1:40" s="155" customFormat="1" ht="12" hidden="1" x14ac:dyDescent="0.2">
      <c r="A135" s="205">
        <v>81</v>
      </c>
      <c r="B135" s="205"/>
      <c r="C135" s="302"/>
      <c r="D135" s="432">
        <f t="shared" si="12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11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  <c r="AN135" s="203"/>
    </row>
    <row r="136" spans="1:40" s="155" customFormat="1" ht="12" hidden="1" x14ac:dyDescent="0.2">
      <c r="A136" s="205">
        <v>82</v>
      </c>
      <c r="B136" s="205"/>
      <c r="C136" s="302"/>
      <c r="D136" s="432">
        <f t="shared" si="12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11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  <c r="AN136" s="203"/>
    </row>
    <row r="137" spans="1:40" s="155" customFormat="1" ht="12" hidden="1" x14ac:dyDescent="0.2">
      <c r="A137" s="205">
        <v>83</v>
      </c>
      <c r="B137" s="205"/>
      <c r="C137" s="302"/>
      <c r="D137" s="432">
        <f t="shared" si="12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11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  <c r="AN137" s="203"/>
    </row>
    <row r="138" spans="1:40" s="155" customFormat="1" ht="12" hidden="1" x14ac:dyDescent="0.2">
      <c r="A138" s="205">
        <v>84</v>
      </c>
      <c r="B138" s="205"/>
      <c r="C138" s="302"/>
      <c r="D138" s="432">
        <f t="shared" si="12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1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  <c r="AN138" s="203"/>
    </row>
    <row r="139" spans="1:40" s="155" customFormat="1" ht="12" hidden="1" x14ac:dyDescent="0.2">
      <c r="A139" s="205">
        <v>85</v>
      </c>
      <c r="B139" s="205"/>
      <c r="C139" s="302"/>
      <c r="D139" s="432">
        <f t="shared" si="12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1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  <c r="AN139" s="203"/>
    </row>
    <row r="140" spans="1:40" s="155" customFormat="1" ht="12" hidden="1" x14ac:dyDescent="0.2">
      <c r="A140" s="205">
        <v>86</v>
      </c>
      <c r="B140" s="205"/>
      <c r="C140" s="302"/>
      <c r="D140" s="432">
        <f t="shared" si="12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1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  <c r="AN140" s="203"/>
    </row>
    <row r="141" spans="1:40" s="155" customFormat="1" ht="12" hidden="1" x14ac:dyDescent="0.2">
      <c r="A141" s="205">
        <v>87</v>
      </c>
      <c r="B141" s="205"/>
      <c r="C141" s="303"/>
      <c r="D141" s="432">
        <f t="shared" si="12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1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  <c r="AN141" s="203"/>
    </row>
    <row r="142" spans="1:40" s="155" customFormat="1" ht="12" hidden="1" x14ac:dyDescent="0.2">
      <c r="A142" s="205">
        <v>88</v>
      </c>
      <c r="B142" s="205"/>
      <c r="C142" s="303"/>
      <c r="D142" s="432">
        <f t="shared" si="12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1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  <c r="AN142" s="203"/>
    </row>
    <row r="143" spans="1:40" s="155" customFormat="1" ht="12" hidden="1" x14ac:dyDescent="0.2">
      <c r="A143" s="205">
        <v>89</v>
      </c>
      <c r="B143" s="205"/>
      <c r="C143" s="303"/>
      <c r="D143" s="432">
        <f t="shared" si="12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  <c r="AN143" s="203"/>
    </row>
    <row r="144" spans="1:40" s="155" customFormat="1" ht="11.25" x14ac:dyDescent="0.2">
      <c r="A144" s="203"/>
      <c r="B144" s="203"/>
      <c r="C144" s="203"/>
    </row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N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40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40" s="55" customFormat="1" ht="15.75" x14ac:dyDescent="0.25">
      <c r="A2" s="53"/>
      <c r="B2" s="54" t="s">
        <v>433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40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40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40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40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40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40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40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40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40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40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40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40" s="155" customFormat="1" ht="13.5" customHeight="1" x14ac:dyDescent="0.2">
      <c r="A14" s="153" t="s">
        <v>70</v>
      </c>
      <c r="B14" s="154"/>
      <c r="C14" s="202"/>
      <c r="D14" s="432">
        <f>E14+SUM(H14:O14)</f>
        <v>1737403345</v>
      </c>
      <c r="E14" s="432">
        <f>SUM(E15,E16,E33,E54)</f>
        <v>498566548</v>
      </c>
      <c r="F14" s="432">
        <f t="shared" ref="F14:O14" si="0">SUM(F15,F16,F33,F54)</f>
        <v>191795682</v>
      </c>
      <c r="G14" s="432">
        <f t="shared" si="0"/>
        <v>66947561</v>
      </c>
      <c r="H14" s="432">
        <f t="shared" si="0"/>
        <v>111005308</v>
      </c>
      <c r="I14" s="432">
        <f t="shared" si="0"/>
        <v>489304750</v>
      </c>
      <c r="J14" s="432">
        <f t="shared" si="0"/>
        <v>21856000</v>
      </c>
      <c r="K14" s="432">
        <f t="shared" si="0"/>
        <v>197938471</v>
      </c>
      <c r="L14" s="432">
        <f t="shared" si="0"/>
        <v>0</v>
      </c>
      <c r="M14" s="432">
        <f t="shared" si="0"/>
        <v>252763771</v>
      </c>
      <c r="N14" s="432">
        <f t="shared" si="0"/>
        <v>147389944</v>
      </c>
      <c r="O14" s="432">
        <f t="shared" si="0"/>
        <v>18578553</v>
      </c>
      <c r="P14" s="432">
        <f>IF(SUM(Q14:AB14)=SUM(AC14:AM14),SUM(Q14:AB14),"  EROARE ART/CAP")</f>
        <v>1709447429</v>
      </c>
      <c r="Q14" s="432">
        <f t="shared" ref="Q14:AM14" si="1">Q15+Q16+Q33+Q54</f>
        <v>609614630</v>
      </c>
      <c r="R14" s="432">
        <f t="shared" si="1"/>
        <v>281245656</v>
      </c>
      <c r="S14" s="432">
        <f t="shared" si="1"/>
        <v>18950298</v>
      </c>
      <c r="T14" s="432">
        <f t="shared" si="1"/>
        <v>19084252</v>
      </c>
      <c r="U14" s="432">
        <f t="shared" si="1"/>
        <v>78865969</v>
      </c>
      <c r="V14" s="432">
        <f t="shared" si="1"/>
        <v>17063169</v>
      </c>
      <c r="W14" s="432">
        <f t="shared" si="1"/>
        <v>234319875</v>
      </c>
      <c r="X14" s="432">
        <f t="shared" si="1"/>
        <v>145462472</v>
      </c>
      <c r="Y14" s="432">
        <f t="shared" si="1"/>
        <v>20505073</v>
      </c>
      <c r="Z14" s="432">
        <f t="shared" si="1"/>
        <v>231635814</v>
      </c>
      <c r="AA14" s="432">
        <f t="shared" si="1"/>
        <v>54697567</v>
      </c>
      <c r="AB14" s="432">
        <f t="shared" si="1"/>
        <v>-1997346</v>
      </c>
      <c r="AC14" s="432">
        <f t="shared" si="1"/>
        <v>193773464</v>
      </c>
      <c r="AD14" s="432">
        <f t="shared" si="1"/>
        <v>14114421</v>
      </c>
      <c r="AE14" s="432">
        <f t="shared" si="1"/>
        <v>558720056</v>
      </c>
      <c r="AF14" s="432">
        <f t="shared" si="1"/>
        <v>22841833</v>
      </c>
      <c r="AG14" s="432">
        <f t="shared" si="1"/>
        <v>102837815</v>
      </c>
      <c r="AH14" s="432">
        <f t="shared" si="1"/>
        <v>235334047</v>
      </c>
      <c r="AI14" s="432">
        <f t="shared" si="1"/>
        <v>123195404</v>
      </c>
      <c r="AJ14" s="432">
        <f t="shared" si="1"/>
        <v>130564720</v>
      </c>
      <c r="AK14" s="432">
        <f t="shared" si="1"/>
        <v>31257323</v>
      </c>
      <c r="AL14" s="432">
        <f t="shared" si="1"/>
        <v>278252718</v>
      </c>
      <c r="AM14" s="432">
        <f t="shared" si="1"/>
        <v>18555628</v>
      </c>
      <c r="AN14" s="203"/>
    </row>
    <row r="15" spans="1:40" s="155" customFormat="1" ht="12.75" customHeight="1" x14ac:dyDescent="0.2">
      <c r="A15" s="156" t="s">
        <v>71</v>
      </c>
      <c r="B15" s="157"/>
      <c r="C15" s="158"/>
      <c r="D15" s="432">
        <f>E15+SUM(H15:O15)</f>
        <v>406283099</v>
      </c>
      <c r="E15" s="431">
        <v>66734958</v>
      </c>
      <c r="F15" s="431">
        <v>40713858</v>
      </c>
      <c r="G15" s="431">
        <v>23422561</v>
      </c>
      <c r="H15" s="431">
        <v>111005308</v>
      </c>
      <c r="I15" s="431">
        <v>0</v>
      </c>
      <c r="J15" s="431">
        <v>21856000</v>
      </c>
      <c r="K15" s="431">
        <v>38514950</v>
      </c>
      <c r="L15" s="431">
        <v>0</v>
      </c>
      <c r="M15" s="431">
        <v>122494835</v>
      </c>
      <c r="N15" s="431">
        <v>37821901</v>
      </c>
      <c r="O15" s="431">
        <v>7855147</v>
      </c>
      <c r="P15" s="432">
        <f t="shared" ref="P15:P78" si="2">IF(SUM(Q15:AB15)=SUM(AC15:AM15),SUM(Q15:AB15),"  EROARE ART/CAP")</f>
        <v>411164819</v>
      </c>
      <c r="Q15" s="431">
        <v>77319952</v>
      </c>
      <c r="R15" s="431">
        <v>32567357</v>
      </c>
      <c r="S15" s="431">
        <v>673610</v>
      </c>
      <c r="T15" s="431">
        <v>0</v>
      </c>
      <c r="U15" s="431">
        <v>64591150</v>
      </c>
      <c r="V15" s="431">
        <v>2461000</v>
      </c>
      <c r="W15" s="431">
        <v>100459948</v>
      </c>
      <c r="X15" s="431">
        <v>110741561</v>
      </c>
      <c r="Y15" s="431">
        <v>6602786</v>
      </c>
      <c r="Z15" s="431">
        <v>13679530</v>
      </c>
      <c r="AA15" s="431">
        <v>2743967</v>
      </c>
      <c r="AB15" s="431">
        <v>-676042</v>
      </c>
      <c r="AC15" s="431">
        <v>21160193</v>
      </c>
      <c r="AD15" s="431">
        <v>558779</v>
      </c>
      <c r="AE15" s="431">
        <v>59014848</v>
      </c>
      <c r="AF15" s="431">
        <v>6579883</v>
      </c>
      <c r="AG15" s="431">
        <v>46749616</v>
      </c>
      <c r="AH15" s="431">
        <v>152582506</v>
      </c>
      <c r="AI15" s="431">
        <v>0</v>
      </c>
      <c r="AJ15" s="431">
        <v>64974938</v>
      </c>
      <c r="AK15" s="431">
        <v>0</v>
      </c>
      <c r="AL15" s="431">
        <v>54345946</v>
      </c>
      <c r="AM15" s="431">
        <v>5198110</v>
      </c>
      <c r="AN15" s="203"/>
    </row>
    <row r="16" spans="1:40" s="155" customFormat="1" ht="12" x14ac:dyDescent="0.2">
      <c r="A16" s="156" t="s">
        <v>72</v>
      </c>
      <c r="B16" s="157"/>
      <c r="C16" s="159"/>
      <c r="D16" s="432">
        <f>E16+SUM(H16:O16)</f>
        <v>476268313</v>
      </c>
      <c r="E16" s="433">
        <f>SUM(E18:E32)</f>
        <v>209300535</v>
      </c>
      <c r="F16" s="433">
        <f t="shared" ref="F16:O16" si="3">SUM(F18:F32)</f>
        <v>96713172</v>
      </c>
      <c r="G16" s="433">
        <f t="shared" si="3"/>
        <v>4755664</v>
      </c>
      <c r="H16" s="433">
        <f t="shared" si="3"/>
        <v>0</v>
      </c>
      <c r="I16" s="433">
        <f t="shared" si="3"/>
        <v>188593699</v>
      </c>
      <c r="J16" s="433">
        <f t="shared" si="3"/>
        <v>0</v>
      </c>
      <c r="K16" s="433">
        <f t="shared" si="3"/>
        <v>24011328</v>
      </c>
      <c r="L16" s="433">
        <f t="shared" si="3"/>
        <v>0</v>
      </c>
      <c r="M16" s="433">
        <f t="shared" si="3"/>
        <v>22167820</v>
      </c>
      <c r="N16" s="433">
        <f t="shared" si="3"/>
        <v>30559169</v>
      </c>
      <c r="O16" s="433">
        <f t="shared" si="3"/>
        <v>1635762</v>
      </c>
      <c r="P16" s="432">
        <f t="shared" si="2"/>
        <v>475079824</v>
      </c>
      <c r="Q16" s="432">
        <f>SUM(Q18:Q32)</f>
        <v>204716341</v>
      </c>
      <c r="R16" s="432">
        <f t="shared" ref="R16:AM16" si="4">SUM(R18:R32)</f>
        <v>99565312</v>
      </c>
      <c r="S16" s="432">
        <f t="shared" si="4"/>
        <v>12170244</v>
      </c>
      <c r="T16" s="432">
        <f t="shared" si="4"/>
        <v>19044252</v>
      </c>
      <c r="U16" s="432">
        <f t="shared" si="4"/>
        <v>9295323</v>
      </c>
      <c r="V16" s="432">
        <f t="shared" si="4"/>
        <v>9227402</v>
      </c>
      <c r="W16" s="432">
        <f t="shared" si="4"/>
        <v>48250350</v>
      </c>
      <c r="X16" s="432">
        <f t="shared" si="4"/>
        <v>7522539</v>
      </c>
      <c r="Y16" s="432">
        <f t="shared" si="4"/>
        <v>9589426</v>
      </c>
      <c r="Z16" s="432">
        <f t="shared" si="4"/>
        <v>36184584</v>
      </c>
      <c r="AA16" s="432">
        <f t="shared" si="4"/>
        <v>20146365</v>
      </c>
      <c r="AB16" s="432">
        <f t="shared" si="4"/>
        <v>-632314</v>
      </c>
      <c r="AC16" s="432">
        <f t="shared" si="4"/>
        <v>36083995</v>
      </c>
      <c r="AD16" s="432">
        <f t="shared" si="4"/>
        <v>7391970</v>
      </c>
      <c r="AE16" s="432">
        <f t="shared" si="4"/>
        <v>202724039</v>
      </c>
      <c r="AF16" s="432">
        <f t="shared" si="4"/>
        <v>11385823</v>
      </c>
      <c r="AG16" s="432">
        <f t="shared" si="4"/>
        <v>28385755</v>
      </c>
      <c r="AH16" s="432">
        <f t="shared" si="4"/>
        <v>24838593</v>
      </c>
      <c r="AI16" s="432">
        <f t="shared" si="4"/>
        <v>43140791</v>
      </c>
      <c r="AJ16" s="432">
        <f t="shared" si="4"/>
        <v>26181074</v>
      </c>
      <c r="AK16" s="432">
        <f t="shared" si="4"/>
        <v>31224490</v>
      </c>
      <c r="AL16" s="432">
        <f t="shared" si="4"/>
        <v>62673154</v>
      </c>
      <c r="AM16" s="432">
        <f t="shared" si="4"/>
        <v>1050140</v>
      </c>
      <c r="AN16" s="203"/>
    </row>
    <row r="17" spans="1:40" s="155" customFormat="1" ht="22.5" x14ac:dyDescent="0.2">
      <c r="A17" s="277" t="s">
        <v>2306</v>
      </c>
      <c r="B17" s="279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  <c r="AN17" s="203"/>
    </row>
    <row r="18" spans="1:40" s="155" customFormat="1" ht="12" x14ac:dyDescent="0.2">
      <c r="A18" s="231">
        <v>1</v>
      </c>
      <c r="B18" s="304" t="s">
        <v>205</v>
      </c>
      <c r="C18" s="238" t="s">
        <v>206</v>
      </c>
      <c r="D18" s="432">
        <f t="shared" ref="D18:D53" si="5">E18+SUM(H18:O18)</f>
        <v>262074768</v>
      </c>
      <c r="E18" s="431">
        <v>124167865</v>
      </c>
      <c r="F18" s="431">
        <v>61678850</v>
      </c>
      <c r="G18" s="431">
        <v>351772</v>
      </c>
      <c r="H18" s="431">
        <v>0</v>
      </c>
      <c r="I18" s="431">
        <v>98555969</v>
      </c>
      <c r="J18" s="431">
        <v>0</v>
      </c>
      <c r="K18" s="431">
        <v>2933773</v>
      </c>
      <c r="L18" s="434"/>
      <c r="M18" s="431">
        <v>9547573</v>
      </c>
      <c r="N18" s="431">
        <v>26868588</v>
      </c>
      <c r="O18" s="431">
        <v>1000</v>
      </c>
      <c r="P18" s="432">
        <f t="shared" si="2"/>
        <v>262586914</v>
      </c>
      <c r="Q18" s="431">
        <v>107604997</v>
      </c>
      <c r="R18" s="431">
        <v>58413558</v>
      </c>
      <c r="S18" s="431">
        <v>4095972</v>
      </c>
      <c r="T18" s="431">
        <v>15228876</v>
      </c>
      <c r="U18" s="431">
        <v>50000</v>
      </c>
      <c r="V18" s="431">
        <v>4463849</v>
      </c>
      <c r="W18" s="431">
        <v>39008117</v>
      </c>
      <c r="X18" s="431">
        <v>3667521</v>
      </c>
      <c r="Y18" s="431">
        <v>7844514</v>
      </c>
      <c r="Z18" s="431">
        <v>13581703</v>
      </c>
      <c r="AA18" s="431">
        <v>9075244</v>
      </c>
      <c r="AB18" s="431">
        <v>-447437</v>
      </c>
      <c r="AC18" s="431">
        <v>15055474</v>
      </c>
      <c r="AD18" s="431">
        <v>4565748</v>
      </c>
      <c r="AE18" s="431">
        <v>113035722</v>
      </c>
      <c r="AF18" s="431">
        <v>2067011</v>
      </c>
      <c r="AG18" s="431">
        <v>16825144</v>
      </c>
      <c r="AH18" s="431">
        <v>12773849</v>
      </c>
      <c r="AI18" s="431">
        <v>14960066</v>
      </c>
      <c r="AJ18" s="431">
        <v>18060782</v>
      </c>
      <c r="AK18" s="431">
        <v>23023195</v>
      </c>
      <c r="AL18" s="431">
        <v>42195983</v>
      </c>
      <c r="AM18" s="431">
        <v>23940</v>
      </c>
      <c r="AN18" s="203"/>
    </row>
    <row r="19" spans="1:40" s="155" customFormat="1" ht="12" x14ac:dyDescent="0.2">
      <c r="A19" s="231">
        <v>2</v>
      </c>
      <c r="B19" s="304" t="s">
        <v>207</v>
      </c>
      <c r="C19" s="238" t="s">
        <v>208</v>
      </c>
      <c r="D19" s="432">
        <f t="shared" si="5"/>
        <v>50619576</v>
      </c>
      <c r="E19" s="431">
        <v>17937805</v>
      </c>
      <c r="F19" s="431">
        <v>5947347</v>
      </c>
      <c r="G19" s="431">
        <v>2239053</v>
      </c>
      <c r="H19" s="431">
        <v>0</v>
      </c>
      <c r="I19" s="431">
        <v>19403997</v>
      </c>
      <c r="J19" s="431">
        <v>0</v>
      </c>
      <c r="K19" s="431">
        <v>9359688</v>
      </c>
      <c r="L19" s="434"/>
      <c r="M19" s="431">
        <v>1797994</v>
      </c>
      <c r="N19" s="431">
        <v>2058992</v>
      </c>
      <c r="O19" s="431">
        <v>61100</v>
      </c>
      <c r="P19" s="432">
        <f t="shared" si="2"/>
        <v>48316298</v>
      </c>
      <c r="Q19" s="431">
        <v>21088645</v>
      </c>
      <c r="R19" s="431">
        <v>7953268</v>
      </c>
      <c r="S19" s="431">
        <v>3055423</v>
      </c>
      <c r="T19" s="431">
        <v>41549</v>
      </c>
      <c r="U19" s="431">
        <v>183380</v>
      </c>
      <c r="V19" s="431">
        <v>1220241</v>
      </c>
      <c r="W19" s="431">
        <v>3875630</v>
      </c>
      <c r="X19" s="431">
        <v>1145627</v>
      </c>
      <c r="Y19" s="431">
        <v>322190</v>
      </c>
      <c r="Z19" s="431">
        <v>5242907</v>
      </c>
      <c r="AA19" s="431">
        <v>4197774</v>
      </c>
      <c r="AB19" s="431">
        <v>-10336</v>
      </c>
      <c r="AC19" s="431">
        <v>6676678</v>
      </c>
      <c r="AD19" s="431">
        <v>893570</v>
      </c>
      <c r="AE19" s="431">
        <v>18787838</v>
      </c>
      <c r="AF19" s="431">
        <v>510256</v>
      </c>
      <c r="AG19" s="431">
        <v>1116012</v>
      </c>
      <c r="AH19" s="431">
        <v>1945950</v>
      </c>
      <c r="AI19" s="431">
        <v>4049812</v>
      </c>
      <c r="AJ19" s="431">
        <v>1693265</v>
      </c>
      <c r="AK19" s="431">
        <v>4427468</v>
      </c>
      <c r="AL19" s="431">
        <v>7195330</v>
      </c>
      <c r="AM19" s="431">
        <v>1020119</v>
      </c>
      <c r="AN19" s="203"/>
    </row>
    <row r="20" spans="1:40" s="155" customFormat="1" ht="12" x14ac:dyDescent="0.2">
      <c r="A20" s="231">
        <v>3</v>
      </c>
      <c r="B20" s="304" t="s">
        <v>209</v>
      </c>
      <c r="C20" s="238" t="s">
        <v>210</v>
      </c>
      <c r="D20" s="432">
        <f t="shared" si="5"/>
        <v>65617130</v>
      </c>
      <c r="E20" s="431">
        <v>19693281</v>
      </c>
      <c r="F20" s="431">
        <v>8843729</v>
      </c>
      <c r="G20" s="431">
        <v>1429604</v>
      </c>
      <c r="H20" s="431">
        <v>0</v>
      </c>
      <c r="I20" s="431">
        <v>31864913</v>
      </c>
      <c r="J20" s="431">
        <v>0</v>
      </c>
      <c r="K20" s="431">
        <v>4307678</v>
      </c>
      <c r="L20" s="434"/>
      <c r="M20" s="431">
        <v>8296660</v>
      </c>
      <c r="N20" s="431">
        <v>1404098</v>
      </c>
      <c r="O20" s="431">
        <v>50500</v>
      </c>
      <c r="P20" s="432">
        <f t="shared" si="2"/>
        <v>70061279</v>
      </c>
      <c r="Q20" s="431">
        <v>32918224</v>
      </c>
      <c r="R20" s="431">
        <v>12027897</v>
      </c>
      <c r="S20" s="431">
        <v>23141</v>
      </c>
      <c r="T20" s="431">
        <v>0</v>
      </c>
      <c r="U20" s="431">
        <v>7452610</v>
      </c>
      <c r="V20" s="431">
        <v>1032010</v>
      </c>
      <c r="W20" s="431">
        <v>4837557</v>
      </c>
      <c r="X20" s="431">
        <v>1076354</v>
      </c>
      <c r="Y20" s="431">
        <v>660921</v>
      </c>
      <c r="Z20" s="431">
        <v>10039156</v>
      </c>
      <c r="AA20" s="431">
        <v>0</v>
      </c>
      <c r="AB20" s="431">
        <v>-6591</v>
      </c>
      <c r="AC20" s="431">
        <v>3406442</v>
      </c>
      <c r="AD20" s="431">
        <v>649274</v>
      </c>
      <c r="AE20" s="431">
        <v>32901097</v>
      </c>
      <c r="AF20" s="431">
        <v>7415714</v>
      </c>
      <c r="AG20" s="431">
        <v>7547884</v>
      </c>
      <c r="AH20" s="431">
        <v>1945678</v>
      </c>
      <c r="AI20" s="431">
        <v>4276967</v>
      </c>
      <c r="AJ20" s="431">
        <v>2254857</v>
      </c>
      <c r="AK20" s="431">
        <v>0</v>
      </c>
      <c r="AL20" s="431">
        <v>9662436</v>
      </c>
      <c r="AM20" s="431">
        <v>930</v>
      </c>
      <c r="AN20" s="203"/>
    </row>
    <row r="21" spans="1:40" s="155" customFormat="1" ht="12" x14ac:dyDescent="0.2">
      <c r="A21" s="231">
        <v>4</v>
      </c>
      <c r="B21" s="304" t="s">
        <v>211</v>
      </c>
      <c r="C21" s="238" t="s">
        <v>212</v>
      </c>
      <c r="D21" s="432">
        <f t="shared" si="5"/>
        <v>56672125</v>
      </c>
      <c r="E21" s="431">
        <v>28321689</v>
      </c>
      <c r="F21" s="431">
        <v>14268992</v>
      </c>
      <c r="G21" s="431">
        <v>227156</v>
      </c>
      <c r="H21" s="431">
        <v>0</v>
      </c>
      <c r="I21" s="431">
        <v>26073182</v>
      </c>
      <c r="J21" s="431">
        <v>0</v>
      </c>
      <c r="K21" s="431">
        <v>824769</v>
      </c>
      <c r="L21" s="434"/>
      <c r="M21" s="431">
        <v>-17257</v>
      </c>
      <c r="N21" s="431">
        <v>0</v>
      </c>
      <c r="O21" s="431">
        <v>1469742</v>
      </c>
      <c r="P21" s="432">
        <f t="shared" si="2"/>
        <v>52689372</v>
      </c>
      <c r="Q21" s="431">
        <v>27616478</v>
      </c>
      <c r="R21" s="431">
        <v>9431138</v>
      </c>
      <c r="S21" s="431">
        <v>2127828</v>
      </c>
      <c r="T21" s="431">
        <v>3523848</v>
      </c>
      <c r="U21" s="431">
        <v>883333</v>
      </c>
      <c r="V21" s="431">
        <v>2061302</v>
      </c>
      <c r="W21" s="431">
        <v>0</v>
      </c>
      <c r="X21" s="431">
        <v>904212</v>
      </c>
      <c r="Y21" s="431">
        <v>542964</v>
      </c>
      <c r="Z21" s="431">
        <v>2588703</v>
      </c>
      <c r="AA21" s="431">
        <v>3155731</v>
      </c>
      <c r="AB21" s="431">
        <v>-146165</v>
      </c>
      <c r="AC21" s="431">
        <v>4882128</v>
      </c>
      <c r="AD21" s="431">
        <v>829047</v>
      </c>
      <c r="AE21" s="431">
        <v>25905346</v>
      </c>
      <c r="AF21" s="431">
        <v>478990</v>
      </c>
      <c r="AG21" s="431">
        <v>1609549</v>
      </c>
      <c r="AH21" s="431">
        <v>4546736</v>
      </c>
      <c r="AI21" s="431">
        <v>6979234</v>
      </c>
      <c r="AJ21" s="431">
        <v>2874526</v>
      </c>
      <c r="AK21" s="431">
        <v>3523848</v>
      </c>
      <c r="AL21" s="431">
        <v>1059968</v>
      </c>
      <c r="AM21" s="431"/>
      <c r="AN21" s="203"/>
    </row>
    <row r="22" spans="1:40" s="155" customFormat="1" ht="12" x14ac:dyDescent="0.2">
      <c r="A22" s="231">
        <v>5</v>
      </c>
      <c r="B22" s="304" t="s">
        <v>213</v>
      </c>
      <c r="C22" s="238" t="s">
        <v>214</v>
      </c>
      <c r="D22" s="432">
        <f t="shared" si="5"/>
        <v>41284714</v>
      </c>
      <c r="E22" s="431">
        <v>19179895</v>
      </c>
      <c r="F22" s="431">
        <v>5974254</v>
      </c>
      <c r="G22" s="431">
        <v>508079</v>
      </c>
      <c r="H22" s="431">
        <v>0</v>
      </c>
      <c r="I22" s="431">
        <v>12695638</v>
      </c>
      <c r="J22" s="431">
        <v>0</v>
      </c>
      <c r="K22" s="431">
        <v>6585420</v>
      </c>
      <c r="L22" s="434"/>
      <c r="M22" s="431">
        <v>2542850</v>
      </c>
      <c r="N22" s="431">
        <v>227491</v>
      </c>
      <c r="O22" s="431">
        <v>53420</v>
      </c>
      <c r="P22" s="432">
        <f t="shared" si="2"/>
        <v>41425961</v>
      </c>
      <c r="Q22" s="431">
        <v>15487997</v>
      </c>
      <c r="R22" s="431">
        <v>11739451</v>
      </c>
      <c r="S22" s="431">
        <v>2867880</v>
      </c>
      <c r="T22" s="431">
        <v>249979</v>
      </c>
      <c r="U22" s="431">
        <v>726000</v>
      </c>
      <c r="V22" s="431">
        <v>450000</v>
      </c>
      <c r="W22" s="431">
        <v>529046</v>
      </c>
      <c r="X22" s="431">
        <v>728825</v>
      </c>
      <c r="Y22" s="431">
        <v>218837</v>
      </c>
      <c r="Z22" s="431">
        <v>4732115</v>
      </c>
      <c r="AA22" s="431">
        <v>3717616</v>
      </c>
      <c r="AB22" s="431">
        <v>-21785</v>
      </c>
      <c r="AC22" s="431">
        <v>6063273</v>
      </c>
      <c r="AD22" s="431">
        <v>454331</v>
      </c>
      <c r="AE22" s="431">
        <v>12094036</v>
      </c>
      <c r="AF22" s="431">
        <v>913852</v>
      </c>
      <c r="AG22" s="431">
        <v>1287166</v>
      </c>
      <c r="AH22" s="431">
        <v>3626380</v>
      </c>
      <c r="AI22" s="431">
        <v>12874712</v>
      </c>
      <c r="AJ22" s="431">
        <v>1297644</v>
      </c>
      <c r="AK22" s="431">
        <v>249979</v>
      </c>
      <c r="AL22" s="431">
        <v>2559437</v>
      </c>
      <c r="AM22" s="431">
        <v>5151</v>
      </c>
      <c r="AN22" s="203"/>
    </row>
    <row r="23" spans="1:40" s="155" customFormat="1" ht="12" hidden="1" x14ac:dyDescent="0.2">
      <c r="A23" s="146">
        <v>6</v>
      </c>
      <c r="B23" s="146"/>
      <c r="C23" s="206"/>
      <c r="D23" s="432">
        <f t="shared" si="5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2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  <c r="AN23" s="203"/>
    </row>
    <row r="24" spans="1:40" s="155" customFormat="1" ht="12" hidden="1" x14ac:dyDescent="0.2">
      <c r="A24" s="146">
        <v>7</v>
      </c>
      <c r="B24" s="146"/>
      <c r="C24" s="206"/>
      <c r="D24" s="432">
        <f t="shared" si="5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2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  <c r="AN24" s="203"/>
    </row>
    <row r="25" spans="1:40" s="155" customFormat="1" ht="12" hidden="1" x14ac:dyDescent="0.2">
      <c r="A25" s="146">
        <v>8</v>
      </c>
      <c r="B25" s="146"/>
      <c r="C25" s="206"/>
      <c r="D25" s="432">
        <f t="shared" si="5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2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  <c r="AN25" s="203"/>
    </row>
    <row r="26" spans="1:40" s="155" customFormat="1" ht="12" hidden="1" x14ac:dyDescent="0.2">
      <c r="A26" s="146">
        <v>9</v>
      </c>
      <c r="B26" s="146"/>
      <c r="C26" s="206"/>
      <c r="D26" s="432">
        <f t="shared" si="5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2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  <c r="AN26" s="203"/>
    </row>
    <row r="27" spans="1:40" s="155" customFormat="1" ht="12" hidden="1" x14ac:dyDescent="0.2">
      <c r="A27" s="146">
        <v>10</v>
      </c>
      <c r="B27" s="146"/>
      <c r="C27" s="206"/>
      <c r="D27" s="432">
        <f t="shared" si="5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2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  <c r="AN27" s="203"/>
    </row>
    <row r="28" spans="1:40" s="155" customFormat="1" ht="12" hidden="1" x14ac:dyDescent="0.2">
      <c r="A28" s="146">
        <v>11</v>
      </c>
      <c r="B28" s="146"/>
      <c r="C28" s="206"/>
      <c r="D28" s="432">
        <f t="shared" si="5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2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  <c r="AN28" s="203"/>
    </row>
    <row r="29" spans="1:40" s="155" customFormat="1" ht="12" hidden="1" x14ac:dyDescent="0.2">
      <c r="A29" s="146">
        <v>12</v>
      </c>
      <c r="B29" s="146"/>
      <c r="C29" s="206"/>
      <c r="D29" s="432">
        <f t="shared" si="5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2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  <c r="AN29" s="203"/>
    </row>
    <row r="30" spans="1:40" s="155" customFormat="1" ht="12" hidden="1" x14ac:dyDescent="0.2">
      <c r="A30" s="146">
        <v>13</v>
      </c>
      <c r="B30" s="146"/>
      <c r="C30" s="206"/>
      <c r="D30" s="432">
        <f t="shared" si="5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2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  <c r="AN30" s="203"/>
    </row>
    <row r="31" spans="1:40" s="155" customFormat="1" ht="12" hidden="1" x14ac:dyDescent="0.2">
      <c r="A31" s="146">
        <v>14</v>
      </c>
      <c r="B31" s="146"/>
      <c r="C31" s="206"/>
      <c r="D31" s="432">
        <f t="shared" si="5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2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  <c r="AN31" s="203"/>
    </row>
    <row r="32" spans="1:40" s="155" customFormat="1" ht="12" hidden="1" x14ac:dyDescent="0.2">
      <c r="A32" s="146">
        <v>15</v>
      </c>
      <c r="B32" s="146"/>
      <c r="C32" s="207"/>
      <c r="D32" s="432">
        <f t="shared" si="5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2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  <c r="AN32" s="203"/>
    </row>
    <row r="33" spans="1:40" s="155" customFormat="1" ht="12" x14ac:dyDescent="0.2">
      <c r="A33" s="164" t="s">
        <v>75</v>
      </c>
      <c r="B33" s="164"/>
      <c r="C33" s="208"/>
      <c r="D33" s="432">
        <f>E33+SUM(H33:O33)</f>
        <v>213219298</v>
      </c>
      <c r="E33" s="432">
        <f>SUM(E34:E44)</f>
        <v>56022935</v>
      </c>
      <c r="F33" s="432">
        <f t="shared" ref="F33:AM33" si="6">SUM(F34:F44)</f>
        <v>15267581</v>
      </c>
      <c r="G33" s="432">
        <f t="shared" si="6"/>
        <v>11004718</v>
      </c>
      <c r="H33" s="432">
        <f t="shared" si="6"/>
        <v>0</v>
      </c>
      <c r="I33" s="432">
        <f t="shared" si="6"/>
        <v>74921653</v>
      </c>
      <c r="J33" s="432">
        <f t="shared" si="6"/>
        <v>0</v>
      </c>
      <c r="K33" s="432">
        <f t="shared" si="6"/>
        <v>42781359</v>
      </c>
      <c r="L33" s="432">
        <f t="shared" si="6"/>
        <v>0</v>
      </c>
      <c r="M33" s="432">
        <f t="shared" si="6"/>
        <v>19360285</v>
      </c>
      <c r="N33" s="432">
        <f t="shared" si="6"/>
        <v>18818733</v>
      </c>
      <c r="O33" s="432">
        <f t="shared" si="6"/>
        <v>1314333</v>
      </c>
      <c r="P33" s="432">
        <f t="shared" si="2"/>
        <v>208120612</v>
      </c>
      <c r="Q33" s="432">
        <f t="shared" si="6"/>
        <v>80469429</v>
      </c>
      <c r="R33" s="432">
        <f t="shared" si="6"/>
        <v>35820017</v>
      </c>
      <c r="S33" s="432">
        <f t="shared" si="6"/>
        <v>3223816</v>
      </c>
      <c r="T33" s="432">
        <f t="shared" si="6"/>
        <v>0</v>
      </c>
      <c r="U33" s="432">
        <f t="shared" si="6"/>
        <v>3333499</v>
      </c>
      <c r="V33" s="432">
        <f t="shared" si="6"/>
        <v>1286454</v>
      </c>
      <c r="W33" s="432">
        <f t="shared" si="6"/>
        <v>26288479</v>
      </c>
      <c r="X33" s="432">
        <f t="shared" si="6"/>
        <v>4794011</v>
      </c>
      <c r="Y33" s="432">
        <f t="shared" si="6"/>
        <v>910322</v>
      </c>
      <c r="Z33" s="432">
        <f t="shared" si="6"/>
        <v>43142325</v>
      </c>
      <c r="AA33" s="432">
        <f t="shared" si="6"/>
        <v>8994999</v>
      </c>
      <c r="AB33" s="432">
        <f t="shared" si="6"/>
        <v>-142739</v>
      </c>
      <c r="AC33" s="432">
        <f t="shared" si="6"/>
        <v>44692919</v>
      </c>
      <c r="AD33" s="432">
        <f t="shared" si="6"/>
        <v>1871240</v>
      </c>
      <c r="AE33" s="432">
        <f t="shared" si="6"/>
        <v>73914605</v>
      </c>
      <c r="AF33" s="432">
        <f t="shared" si="6"/>
        <v>2217958</v>
      </c>
      <c r="AG33" s="432">
        <f t="shared" si="6"/>
        <v>4056582</v>
      </c>
      <c r="AH33" s="432">
        <f t="shared" si="6"/>
        <v>13748981</v>
      </c>
      <c r="AI33" s="432">
        <f t="shared" si="6"/>
        <v>32831403</v>
      </c>
      <c r="AJ33" s="432">
        <f t="shared" si="6"/>
        <v>10656716</v>
      </c>
      <c r="AK33" s="432">
        <f t="shared" si="6"/>
        <v>0</v>
      </c>
      <c r="AL33" s="432">
        <f t="shared" si="6"/>
        <v>19506744</v>
      </c>
      <c r="AM33" s="432">
        <f t="shared" si="6"/>
        <v>4623464</v>
      </c>
      <c r="AN33" s="203"/>
    </row>
    <row r="34" spans="1:40" s="155" customFormat="1" ht="12" x14ac:dyDescent="0.2">
      <c r="A34" s="231">
        <v>1</v>
      </c>
      <c r="B34" s="304" t="s">
        <v>215</v>
      </c>
      <c r="C34" s="238" t="s">
        <v>216</v>
      </c>
      <c r="D34" s="432">
        <f t="shared" si="5"/>
        <v>43232720</v>
      </c>
      <c r="E34" s="431">
        <v>17616141</v>
      </c>
      <c r="F34" s="431">
        <v>5509275</v>
      </c>
      <c r="G34" s="431">
        <v>425213</v>
      </c>
      <c r="H34" s="431">
        <v>0</v>
      </c>
      <c r="I34" s="431">
        <v>15244294</v>
      </c>
      <c r="J34" s="431">
        <v>0</v>
      </c>
      <c r="K34" s="431">
        <v>6822406</v>
      </c>
      <c r="L34" s="431">
        <v>0</v>
      </c>
      <c r="M34" s="431">
        <v>2318813</v>
      </c>
      <c r="N34" s="431">
        <v>1171314</v>
      </c>
      <c r="O34" s="431">
        <v>59752</v>
      </c>
      <c r="P34" s="432">
        <f t="shared" si="2"/>
        <v>44251889</v>
      </c>
      <c r="Q34" s="431">
        <v>16298773</v>
      </c>
      <c r="R34" s="431">
        <v>10960216</v>
      </c>
      <c r="S34" s="431">
        <v>1857135</v>
      </c>
      <c r="T34" s="431">
        <v>0</v>
      </c>
      <c r="U34" s="431">
        <v>258491</v>
      </c>
      <c r="V34" s="431">
        <v>0</v>
      </c>
      <c r="W34" s="431">
        <v>1733843</v>
      </c>
      <c r="X34" s="431">
        <v>881797</v>
      </c>
      <c r="Y34" s="431">
        <v>155500</v>
      </c>
      <c r="Z34" s="431">
        <v>5926303</v>
      </c>
      <c r="AA34" s="431">
        <v>6186818</v>
      </c>
      <c r="AB34" s="431">
        <v>-6987</v>
      </c>
      <c r="AC34" s="431">
        <v>4631399</v>
      </c>
      <c r="AD34" s="431">
        <v>543587</v>
      </c>
      <c r="AE34" s="431">
        <v>14395404</v>
      </c>
      <c r="AF34" s="431">
        <v>426996</v>
      </c>
      <c r="AG34" s="431">
        <v>682661</v>
      </c>
      <c r="AH34" s="431">
        <v>1766175</v>
      </c>
      <c r="AI34" s="431">
        <v>15413372</v>
      </c>
      <c r="AJ34" s="431">
        <v>1636851</v>
      </c>
      <c r="AK34" s="431">
        <v>0</v>
      </c>
      <c r="AL34" s="431">
        <v>1101661</v>
      </c>
      <c r="AM34" s="431">
        <v>3653783</v>
      </c>
      <c r="AN34" s="203"/>
    </row>
    <row r="35" spans="1:40" s="155" customFormat="1" ht="12" x14ac:dyDescent="0.2">
      <c r="A35" s="231">
        <v>2</v>
      </c>
      <c r="B35" s="304" t="s">
        <v>217</v>
      </c>
      <c r="C35" s="238" t="s">
        <v>218</v>
      </c>
      <c r="D35" s="432">
        <f t="shared" si="5"/>
        <v>20357168</v>
      </c>
      <c r="E35" s="431">
        <v>6747612</v>
      </c>
      <c r="F35" s="431">
        <v>3252410</v>
      </c>
      <c r="G35" s="431">
        <v>347505</v>
      </c>
      <c r="H35" s="431">
        <v>0</v>
      </c>
      <c r="I35" s="431">
        <v>9323369</v>
      </c>
      <c r="J35" s="431">
        <v>0</v>
      </c>
      <c r="K35" s="431">
        <v>1732382</v>
      </c>
      <c r="L35" s="431">
        <v>0</v>
      </c>
      <c r="M35" s="431">
        <v>545641</v>
      </c>
      <c r="N35" s="431">
        <v>1605414</v>
      </c>
      <c r="O35" s="431">
        <v>402750</v>
      </c>
      <c r="P35" s="432">
        <f t="shared" si="2"/>
        <v>20329916</v>
      </c>
      <c r="Q35" s="431">
        <v>11080540</v>
      </c>
      <c r="R35" s="431">
        <v>3815897</v>
      </c>
      <c r="S35" s="431">
        <v>805747</v>
      </c>
      <c r="T35" s="431">
        <v>0</v>
      </c>
      <c r="U35" s="431">
        <v>421224</v>
      </c>
      <c r="V35" s="431">
        <v>0</v>
      </c>
      <c r="W35" s="431">
        <v>1863242</v>
      </c>
      <c r="X35" s="431">
        <v>357245</v>
      </c>
      <c r="Y35" s="431">
        <v>0</v>
      </c>
      <c r="Z35" s="431">
        <v>845982</v>
      </c>
      <c r="AA35" s="431">
        <v>1147384</v>
      </c>
      <c r="AB35" s="431">
        <v>-7345</v>
      </c>
      <c r="AC35" s="431">
        <v>3662532</v>
      </c>
      <c r="AD35" s="431">
        <v>424527</v>
      </c>
      <c r="AE35" s="431">
        <v>9184207</v>
      </c>
      <c r="AF35" s="431">
        <v>649378</v>
      </c>
      <c r="AG35" s="431">
        <v>364108</v>
      </c>
      <c r="AH35" s="431">
        <v>3309358</v>
      </c>
      <c r="AI35" s="431">
        <v>1177485</v>
      </c>
      <c r="AJ35" s="431">
        <v>274063</v>
      </c>
      <c r="AK35" s="431">
        <v>0</v>
      </c>
      <c r="AL35" s="431">
        <v>1273249</v>
      </c>
      <c r="AM35" s="431">
        <v>11009</v>
      </c>
      <c r="AN35" s="203"/>
    </row>
    <row r="36" spans="1:40" s="155" customFormat="1" ht="12" x14ac:dyDescent="0.2">
      <c r="A36" s="231">
        <v>3</v>
      </c>
      <c r="B36" s="304" t="s">
        <v>219</v>
      </c>
      <c r="C36" s="238" t="s">
        <v>220</v>
      </c>
      <c r="D36" s="432">
        <f t="shared" si="5"/>
        <v>9850520</v>
      </c>
      <c r="E36" s="431">
        <v>2375323</v>
      </c>
      <c r="F36" s="431">
        <v>448361</v>
      </c>
      <c r="G36" s="431">
        <v>1076286</v>
      </c>
      <c r="H36" s="431">
        <v>0</v>
      </c>
      <c r="I36" s="431">
        <v>3080465</v>
      </c>
      <c r="J36" s="431">
        <v>0</v>
      </c>
      <c r="K36" s="431">
        <v>3316592</v>
      </c>
      <c r="L36" s="431">
        <v>0</v>
      </c>
      <c r="M36" s="431">
        <v>1078140</v>
      </c>
      <c r="N36" s="431">
        <v>0</v>
      </c>
      <c r="O36" s="431"/>
      <c r="P36" s="432">
        <f t="shared" si="2"/>
        <v>9376659</v>
      </c>
      <c r="Q36" s="431">
        <v>4094336</v>
      </c>
      <c r="R36" s="431">
        <v>1305626</v>
      </c>
      <c r="S36" s="431">
        <v>58174</v>
      </c>
      <c r="T36" s="431">
        <v>0</v>
      </c>
      <c r="U36" s="431">
        <v>1144496</v>
      </c>
      <c r="V36" s="431">
        <v>117027</v>
      </c>
      <c r="W36" s="431">
        <v>0</v>
      </c>
      <c r="X36" s="431">
        <v>127401</v>
      </c>
      <c r="Y36" s="431">
        <v>34800</v>
      </c>
      <c r="Z36" s="431">
        <v>2448605</v>
      </c>
      <c r="AA36" s="431">
        <v>46194</v>
      </c>
      <c r="AB36" s="431">
        <v>0</v>
      </c>
      <c r="AC36" s="431">
        <v>1929647</v>
      </c>
      <c r="AD36" s="431">
        <v>0</v>
      </c>
      <c r="AE36" s="431">
        <v>3001374</v>
      </c>
      <c r="AF36" s="431">
        <v>50037</v>
      </c>
      <c r="AG36" s="431">
        <v>86960</v>
      </c>
      <c r="AH36" s="431">
        <v>1485266</v>
      </c>
      <c r="AI36" s="431">
        <v>1709691</v>
      </c>
      <c r="AJ36" s="431">
        <v>444401</v>
      </c>
      <c r="AK36" s="431">
        <v>0</v>
      </c>
      <c r="AL36" s="431">
        <v>637648</v>
      </c>
      <c r="AM36" s="431">
        <v>31635</v>
      </c>
      <c r="AN36" s="203"/>
    </row>
    <row r="37" spans="1:40" s="155" customFormat="1" ht="12" x14ac:dyDescent="0.2">
      <c r="A37" s="231">
        <v>4</v>
      </c>
      <c r="B37" s="304" t="s">
        <v>221</v>
      </c>
      <c r="C37" s="238" t="s">
        <v>222</v>
      </c>
      <c r="D37" s="432">
        <f t="shared" si="5"/>
        <v>11849702</v>
      </c>
      <c r="E37" s="431">
        <v>3625471</v>
      </c>
      <c r="F37" s="431">
        <v>627400</v>
      </c>
      <c r="G37" s="431">
        <v>1117706</v>
      </c>
      <c r="H37" s="431">
        <v>0</v>
      </c>
      <c r="I37" s="431">
        <v>3596570</v>
      </c>
      <c r="J37" s="431">
        <v>0</v>
      </c>
      <c r="K37" s="431">
        <v>3502958</v>
      </c>
      <c r="L37" s="431">
        <v>0</v>
      </c>
      <c r="M37" s="431">
        <v>1124703</v>
      </c>
      <c r="N37" s="431">
        <v>0</v>
      </c>
      <c r="O37" s="431"/>
      <c r="P37" s="432">
        <f t="shared" si="2"/>
        <v>11682667</v>
      </c>
      <c r="Q37" s="431">
        <v>4250829</v>
      </c>
      <c r="R37" s="431">
        <v>2783921</v>
      </c>
      <c r="S37" s="431">
        <v>5434</v>
      </c>
      <c r="T37" s="431">
        <v>0</v>
      </c>
      <c r="U37" s="431">
        <v>938293</v>
      </c>
      <c r="V37" s="431">
        <v>0</v>
      </c>
      <c r="W37" s="431">
        <v>0</v>
      </c>
      <c r="X37" s="431">
        <v>225869</v>
      </c>
      <c r="Y37" s="431">
        <v>256915</v>
      </c>
      <c r="Z37" s="431">
        <v>2996350</v>
      </c>
      <c r="AA37" s="431">
        <v>225056</v>
      </c>
      <c r="AB37" s="431">
        <v>0</v>
      </c>
      <c r="AC37" s="431">
        <v>1372285</v>
      </c>
      <c r="AD37" s="431">
        <v>536920</v>
      </c>
      <c r="AE37" s="431">
        <v>3504354</v>
      </c>
      <c r="AF37" s="431">
        <v>245201</v>
      </c>
      <c r="AG37" s="431">
        <v>417479</v>
      </c>
      <c r="AH37" s="431">
        <v>1058539</v>
      </c>
      <c r="AI37" s="431">
        <v>3462345</v>
      </c>
      <c r="AJ37" s="431">
        <v>254667</v>
      </c>
      <c r="AK37" s="431">
        <v>0</v>
      </c>
      <c r="AL37" s="431">
        <v>710388</v>
      </c>
      <c r="AM37" s="431">
        <v>120489</v>
      </c>
      <c r="AN37" s="203"/>
    </row>
    <row r="38" spans="1:40" s="155" customFormat="1" ht="12" x14ac:dyDescent="0.2">
      <c r="A38" s="231">
        <v>5</v>
      </c>
      <c r="B38" s="304" t="s">
        <v>223</v>
      </c>
      <c r="C38" s="238" t="s">
        <v>224</v>
      </c>
      <c r="D38" s="432">
        <f t="shared" si="5"/>
        <v>15831801</v>
      </c>
      <c r="E38" s="431">
        <v>3485904</v>
      </c>
      <c r="F38" s="431">
        <v>550048</v>
      </c>
      <c r="G38" s="431">
        <v>1177206</v>
      </c>
      <c r="H38" s="431">
        <v>0</v>
      </c>
      <c r="I38" s="431">
        <v>7655279</v>
      </c>
      <c r="J38" s="431">
        <v>0</v>
      </c>
      <c r="K38" s="431">
        <v>3957196</v>
      </c>
      <c r="L38" s="431">
        <v>0</v>
      </c>
      <c r="M38" s="431">
        <v>733422</v>
      </c>
      <c r="N38" s="431">
        <v>0</v>
      </c>
      <c r="O38" s="431"/>
      <c r="P38" s="432">
        <f t="shared" si="2"/>
        <v>14873266</v>
      </c>
      <c r="Q38" s="431">
        <v>7403937</v>
      </c>
      <c r="R38" s="431">
        <v>1993395</v>
      </c>
      <c r="S38" s="431">
        <v>140898</v>
      </c>
      <c r="T38" s="431">
        <v>0</v>
      </c>
      <c r="U38" s="431">
        <v>0</v>
      </c>
      <c r="V38" s="431">
        <v>12000</v>
      </c>
      <c r="W38" s="431">
        <v>0</v>
      </c>
      <c r="X38" s="431">
        <v>398360</v>
      </c>
      <c r="Y38" s="431">
        <v>0</v>
      </c>
      <c r="Z38" s="431">
        <v>4813868</v>
      </c>
      <c r="AA38" s="431">
        <v>111974</v>
      </c>
      <c r="AB38" s="431">
        <v>-1166</v>
      </c>
      <c r="AC38" s="431">
        <v>1271310</v>
      </c>
      <c r="AD38" s="431">
        <v>83250</v>
      </c>
      <c r="AE38" s="431">
        <v>7684323</v>
      </c>
      <c r="AF38" s="431">
        <v>14490</v>
      </c>
      <c r="AG38" s="431">
        <v>78220</v>
      </c>
      <c r="AH38" s="431">
        <v>867111</v>
      </c>
      <c r="AI38" s="431">
        <v>1519139</v>
      </c>
      <c r="AJ38" s="431">
        <v>280828</v>
      </c>
      <c r="AK38" s="431">
        <v>0</v>
      </c>
      <c r="AL38" s="431">
        <v>3062348</v>
      </c>
      <c r="AM38" s="431">
        <v>12247</v>
      </c>
      <c r="AN38" s="203"/>
    </row>
    <row r="39" spans="1:40" s="155" customFormat="1" ht="12" x14ac:dyDescent="0.2">
      <c r="A39" s="231">
        <v>6</v>
      </c>
      <c r="B39" s="304" t="s">
        <v>225</v>
      </c>
      <c r="C39" s="238" t="s">
        <v>226</v>
      </c>
      <c r="D39" s="432">
        <f t="shared" si="5"/>
        <v>14889216</v>
      </c>
      <c r="E39" s="431">
        <v>3081222</v>
      </c>
      <c r="F39" s="431">
        <v>666705</v>
      </c>
      <c r="G39" s="431">
        <v>1275285</v>
      </c>
      <c r="H39" s="431">
        <v>0</v>
      </c>
      <c r="I39" s="431">
        <v>7062270</v>
      </c>
      <c r="J39" s="431">
        <v>0</v>
      </c>
      <c r="K39" s="431">
        <v>4160616</v>
      </c>
      <c r="L39" s="431">
        <v>0</v>
      </c>
      <c r="M39" s="431">
        <v>412416</v>
      </c>
      <c r="N39" s="431">
        <v>172692</v>
      </c>
      <c r="O39" s="431"/>
      <c r="P39" s="432">
        <f t="shared" si="2"/>
        <v>14551191</v>
      </c>
      <c r="Q39" s="431">
        <v>7771572</v>
      </c>
      <c r="R39" s="431">
        <v>2736133</v>
      </c>
      <c r="S39" s="431">
        <v>168039</v>
      </c>
      <c r="T39" s="431">
        <v>0</v>
      </c>
      <c r="U39" s="431">
        <v>0</v>
      </c>
      <c r="V39" s="431">
        <v>268695</v>
      </c>
      <c r="W39" s="431">
        <v>291613</v>
      </c>
      <c r="X39" s="431">
        <v>621737</v>
      </c>
      <c r="Y39" s="431">
        <v>107351</v>
      </c>
      <c r="Z39" s="431">
        <v>2442231</v>
      </c>
      <c r="AA39" s="431">
        <v>143820</v>
      </c>
      <c r="AB39" s="431">
        <v>0</v>
      </c>
      <c r="AC39" s="431">
        <v>2538402</v>
      </c>
      <c r="AD39" s="431">
        <v>198854</v>
      </c>
      <c r="AE39" s="431">
        <v>6784879</v>
      </c>
      <c r="AF39" s="431">
        <v>569025</v>
      </c>
      <c r="AG39" s="431">
        <v>493572</v>
      </c>
      <c r="AH39" s="431">
        <v>998489</v>
      </c>
      <c r="AI39" s="431">
        <v>829700</v>
      </c>
      <c r="AJ39" s="431">
        <v>526673</v>
      </c>
      <c r="AK39" s="431">
        <v>0</v>
      </c>
      <c r="AL39" s="431">
        <v>1319984</v>
      </c>
      <c r="AM39" s="431">
        <v>291613</v>
      </c>
      <c r="AN39" s="203"/>
    </row>
    <row r="40" spans="1:40" s="155" customFormat="1" ht="12" x14ac:dyDescent="0.2">
      <c r="A40" s="231">
        <v>7</v>
      </c>
      <c r="B40" s="304" t="s">
        <v>227</v>
      </c>
      <c r="C40" s="238" t="s">
        <v>228</v>
      </c>
      <c r="D40" s="432">
        <f t="shared" si="5"/>
        <v>18853722</v>
      </c>
      <c r="E40" s="431">
        <v>3766151</v>
      </c>
      <c r="F40" s="431">
        <v>804783</v>
      </c>
      <c r="G40" s="431">
        <v>1214145</v>
      </c>
      <c r="H40" s="431">
        <v>0</v>
      </c>
      <c r="I40" s="431">
        <v>3389289</v>
      </c>
      <c r="J40" s="431">
        <v>0</v>
      </c>
      <c r="K40" s="431">
        <v>3641276</v>
      </c>
      <c r="L40" s="431">
        <v>0</v>
      </c>
      <c r="M40" s="431">
        <v>8057006</v>
      </c>
      <c r="N40" s="431">
        <v>0</v>
      </c>
      <c r="O40" s="431"/>
      <c r="P40" s="432">
        <f t="shared" si="2"/>
        <v>17586192</v>
      </c>
      <c r="Q40" s="431">
        <v>4392115</v>
      </c>
      <c r="R40" s="431">
        <v>2724326</v>
      </c>
      <c r="S40" s="431">
        <v>0</v>
      </c>
      <c r="T40" s="431">
        <v>0</v>
      </c>
      <c r="U40" s="431">
        <v>0</v>
      </c>
      <c r="V40" s="431">
        <v>0</v>
      </c>
      <c r="W40" s="431">
        <v>0</v>
      </c>
      <c r="X40" s="431">
        <v>281949</v>
      </c>
      <c r="Y40" s="431">
        <v>36000</v>
      </c>
      <c r="Z40" s="431">
        <v>10151802</v>
      </c>
      <c r="AA40" s="431">
        <v>0</v>
      </c>
      <c r="AB40" s="431">
        <v>0</v>
      </c>
      <c r="AC40" s="431">
        <v>1987713</v>
      </c>
      <c r="AD40" s="431">
        <v>27678</v>
      </c>
      <c r="AE40" s="431">
        <v>3261590</v>
      </c>
      <c r="AF40" s="431">
        <v>22142</v>
      </c>
      <c r="AG40" s="431">
        <v>451647</v>
      </c>
      <c r="AH40" s="431">
        <v>716454</v>
      </c>
      <c r="AI40" s="431">
        <v>3541294</v>
      </c>
      <c r="AJ40" s="431">
        <v>5491777</v>
      </c>
      <c r="AK40" s="431">
        <v>0</v>
      </c>
      <c r="AL40" s="431">
        <v>1668104</v>
      </c>
      <c r="AM40" s="431">
        <v>417793</v>
      </c>
      <c r="AN40" s="203"/>
    </row>
    <row r="41" spans="1:40" s="155" customFormat="1" ht="12" x14ac:dyDescent="0.2">
      <c r="A41" s="231">
        <v>8</v>
      </c>
      <c r="B41" s="304" t="s">
        <v>229</v>
      </c>
      <c r="C41" s="238" t="s">
        <v>230</v>
      </c>
      <c r="D41" s="432">
        <f t="shared" si="5"/>
        <v>16353348</v>
      </c>
      <c r="E41" s="431">
        <v>3009788</v>
      </c>
      <c r="F41" s="431">
        <v>483940</v>
      </c>
      <c r="G41" s="431">
        <v>1261015</v>
      </c>
      <c r="H41" s="431">
        <v>0</v>
      </c>
      <c r="I41" s="431">
        <v>7026307</v>
      </c>
      <c r="J41" s="431">
        <v>0</v>
      </c>
      <c r="K41" s="431">
        <v>4062112</v>
      </c>
      <c r="L41" s="431">
        <v>0</v>
      </c>
      <c r="M41" s="431">
        <v>634679</v>
      </c>
      <c r="N41" s="431">
        <v>1118631</v>
      </c>
      <c r="O41" s="431">
        <v>501831</v>
      </c>
      <c r="P41" s="432">
        <f t="shared" si="2"/>
        <v>16691448</v>
      </c>
      <c r="Q41" s="431">
        <v>7014534</v>
      </c>
      <c r="R41" s="431">
        <v>2683841</v>
      </c>
      <c r="S41" s="431">
        <v>0</v>
      </c>
      <c r="T41" s="431">
        <v>0</v>
      </c>
      <c r="U41" s="431">
        <v>0</v>
      </c>
      <c r="V41" s="431">
        <v>0</v>
      </c>
      <c r="W41" s="431">
        <v>1517027</v>
      </c>
      <c r="X41" s="431">
        <v>797587</v>
      </c>
      <c r="Y41" s="431">
        <v>78180</v>
      </c>
      <c r="Z41" s="431">
        <v>4473279</v>
      </c>
      <c r="AA41" s="431">
        <v>127000</v>
      </c>
      <c r="AB41" s="431">
        <v>0</v>
      </c>
      <c r="AC41" s="431">
        <v>1679191</v>
      </c>
      <c r="AD41" s="431">
        <v>0</v>
      </c>
      <c r="AE41" s="431">
        <v>8588095</v>
      </c>
      <c r="AF41" s="431">
        <v>17684</v>
      </c>
      <c r="AG41" s="431">
        <v>253790</v>
      </c>
      <c r="AH41" s="431">
        <v>990952</v>
      </c>
      <c r="AI41" s="431">
        <v>2304289</v>
      </c>
      <c r="AJ41" s="431">
        <v>478749</v>
      </c>
      <c r="AK41" s="431">
        <v>0</v>
      </c>
      <c r="AL41" s="431">
        <v>2355028</v>
      </c>
      <c r="AM41" s="431">
        <v>23670</v>
      </c>
      <c r="AN41" s="203"/>
    </row>
    <row r="42" spans="1:40" s="155" customFormat="1" ht="12" x14ac:dyDescent="0.2">
      <c r="A42" s="231">
        <v>9</v>
      </c>
      <c r="B42" s="304" t="s">
        <v>231</v>
      </c>
      <c r="C42" s="238" t="s">
        <v>232</v>
      </c>
      <c r="D42" s="432">
        <f t="shared" si="5"/>
        <v>10527812</v>
      </c>
      <c r="E42" s="431">
        <v>2971022</v>
      </c>
      <c r="F42" s="431">
        <v>306877</v>
      </c>
      <c r="G42" s="431">
        <v>1260795</v>
      </c>
      <c r="H42" s="431">
        <v>0</v>
      </c>
      <c r="I42" s="431">
        <v>2195325</v>
      </c>
      <c r="J42" s="431">
        <v>0</v>
      </c>
      <c r="K42" s="431">
        <v>3933916</v>
      </c>
      <c r="L42" s="431">
        <v>0</v>
      </c>
      <c r="M42" s="431">
        <v>1427549</v>
      </c>
      <c r="N42" s="431">
        <v>0</v>
      </c>
      <c r="O42" s="431"/>
      <c r="P42" s="432">
        <f t="shared" si="2"/>
        <v>10163578</v>
      </c>
      <c r="Q42" s="431">
        <v>2700030</v>
      </c>
      <c r="R42" s="431">
        <v>1461415</v>
      </c>
      <c r="S42" s="431">
        <v>123206</v>
      </c>
      <c r="T42" s="431">
        <v>0</v>
      </c>
      <c r="U42" s="431">
        <v>0</v>
      </c>
      <c r="V42" s="431">
        <v>0</v>
      </c>
      <c r="W42" s="431">
        <v>0</v>
      </c>
      <c r="X42" s="431">
        <v>274950</v>
      </c>
      <c r="Y42" s="431">
        <v>15000</v>
      </c>
      <c r="Z42" s="431">
        <v>5289233</v>
      </c>
      <c r="AA42" s="431">
        <v>329247</v>
      </c>
      <c r="AB42" s="431">
        <v>-29503</v>
      </c>
      <c r="AC42" s="431">
        <v>1574639</v>
      </c>
      <c r="AD42" s="431">
        <v>22817</v>
      </c>
      <c r="AE42" s="431">
        <v>2392948</v>
      </c>
      <c r="AF42" s="431">
        <v>0</v>
      </c>
      <c r="AG42" s="431">
        <v>681220</v>
      </c>
      <c r="AH42" s="431">
        <v>274950</v>
      </c>
      <c r="AI42" s="431">
        <v>717455</v>
      </c>
      <c r="AJ42" s="431">
        <v>248178</v>
      </c>
      <c r="AK42" s="431">
        <v>0</v>
      </c>
      <c r="AL42" s="431">
        <v>4251371</v>
      </c>
      <c r="AM42" s="431"/>
      <c r="AN42" s="203"/>
    </row>
    <row r="43" spans="1:40" s="155" customFormat="1" ht="12" x14ac:dyDescent="0.2">
      <c r="A43" s="231">
        <v>10</v>
      </c>
      <c r="B43" s="304" t="s">
        <v>233</v>
      </c>
      <c r="C43" s="238" t="s">
        <v>234</v>
      </c>
      <c r="D43" s="432">
        <f t="shared" si="5"/>
        <v>12753570</v>
      </c>
      <c r="E43" s="431">
        <v>4337183</v>
      </c>
      <c r="F43" s="431">
        <v>937392</v>
      </c>
      <c r="G43" s="431">
        <v>1026896</v>
      </c>
      <c r="H43" s="431">
        <v>0</v>
      </c>
      <c r="I43" s="431">
        <v>4999340</v>
      </c>
      <c r="J43" s="431">
        <v>0</v>
      </c>
      <c r="K43" s="431">
        <v>3393048</v>
      </c>
      <c r="L43" s="431">
        <v>0</v>
      </c>
      <c r="M43" s="431">
        <v>23999</v>
      </c>
      <c r="N43" s="431">
        <v>0</v>
      </c>
      <c r="O43" s="431"/>
      <c r="P43" s="432">
        <f t="shared" si="2"/>
        <v>10825403</v>
      </c>
      <c r="Q43" s="431">
        <v>4622973</v>
      </c>
      <c r="R43" s="431">
        <v>2438697</v>
      </c>
      <c r="S43" s="431">
        <v>0</v>
      </c>
      <c r="T43" s="431">
        <v>0</v>
      </c>
      <c r="U43" s="431">
        <v>0</v>
      </c>
      <c r="V43" s="431">
        <v>888732</v>
      </c>
      <c r="W43" s="431">
        <v>0</v>
      </c>
      <c r="X43" s="431">
        <v>586338</v>
      </c>
      <c r="Y43" s="431">
        <v>26576</v>
      </c>
      <c r="Z43" s="431">
        <v>2262087</v>
      </c>
      <c r="AA43" s="431">
        <v>0</v>
      </c>
      <c r="AB43" s="431">
        <v>0</v>
      </c>
      <c r="AC43" s="431">
        <v>1100695</v>
      </c>
      <c r="AD43" s="431">
        <v>6504</v>
      </c>
      <c r="AE43" s="431">
        <v>4767872</v>
      </c>
      <c r="AF43" s="431">
        <v>0</v>
      </c>
      <c r="AG43" s="431">
        <v>348231</v>
      </c>
      <c r="AH43" s="431">
        <v>586338</v>
      </c>
      <c r="AI43" s="431">
        <v>1764141</v>
      </c>
      <c r="AJ43" s="431">
        <v>745871</v>
      </c>
      <c r="AK43" s="431">
        <v>0</v>
      </c>
      <c r="AL43" s="431">
        <v>1459226</v>
      </c>
      <c r="AM43" s="431">
        <v>46525</v>
      </c>
      <c r="AN43" s="203"/>
    </row>
    <row r="44" spans="1:40" s="155" customFormat="1" ht="12" x14ac:dyDescent="0.2">
      <c r="A44" s="231">
        <v>11</v>
      </c>
      <c r="B44" s="304" t="s">
        <v>235</v>
      </c>
      <c r="C44" s="238" t="s">
        <v>236</v>
      </c>
      <c r="D44" s="432">
        <f t="shared" si="5"/>
        <v>38719719</v>
      </c>
      <c r="E44" s="431">
        <v>5007118</v>
      </c>
      <c r="F44" s="431">
        <v>1680390</v>
      </c>
      <c r="G44" s="431">
        <v>822666</v>
      </c>
      <c r="H44" s="431">
        <v>0</v>
      </c>
      <c r="I44" s="431">
        <v>11349145</v>
      </c>
      <c r="J44" s="431">
        <v>0</v>
      </c>
      <c r="K44" s="431">
        <v>4258857</v>
      </c>
      <c r="L44" s="431">
        <v>0</v>
      </c>
      <c r="M44" s="431">
        <v>3003917</v>
      </c>
      <c r="N44" s="431">
        <v>14750682</v>
      </c>
      <c r="O44" s="431">
        <v>350000</v>
      </c>
      <c r="P44" s="432">
        <f t="shared" si="2"/>
        <v>37788403</v>
      </c>
      <c r="Q44" s="431">
        <v>10839790</v>
      </c>
      <c r="R44" s="431">
        <v>2916550</v>
      </c>
      <c r="S44" s="431">
        <v>65183</v>
      </c>
      <c r="T44" s="431">
        <v>0</v>
      </c>
      <c r="U44" s="431">
        <v>570995</v>
      </c>
      <c r="V44" s="431">
        <v>0</v>
      </c>
      <c r="W44" s="431">
        <v>20882754</v>
      </c>
      <c r="X44" s="431">
        <v>240778</v>
      </c>
      <c r="Y44" s="431">
        <v>200000</v>
      </c>
      <c r="Z44" s="431">
        <v>1492585</v>
      </c>
      <c r="AA44" s="431">
        <v>677506</v>
      </c>
      <c r="AB44" s="431">
        <v>-97738</v>
      </c>
      <c r="AC44" s="431">
        <v>22945106</v>
      </c>
      <c r="AD44" s="431">
        <v>27103</v>
      </c>
      <c r="AE44" s="431">
        <v>10349559</v>
      </c>
      <c r="AF44" s="431">
        <v>223005</v>
      </c>
      <c r="AG44" s="431">
        <v>198694</v>
      </c>
      <c r="AH44" s="431">
        <v>1695349</v>
      </c>
      <c r="AI44" s="431">
        <v>392492</v>
      </c>
      <c r="AJ44" s="431">
        <v>274658</v>
      </c>
      <c r="AK44" s="431">
        <v>0</v>
      </c>
      <c r="AL44" s="431">
        <v>1667737</v>
      </c>
      <c r="AM44" s="431">
        <v>14700</v>
      </c>
      <c r="AN44" s="203"/>
    </row>
    <row r="45" spans="1:40" s="155" customFormat="1" ht="12" hidden="1" x14ac:dyDescent="0.2">
      <c r="A45" s="146">
        <v>12</v>
      </c>
      <c r="B45" s="146"/>
      <c r="C45" s="206"/>
      <c r="D45" s="432">
        <f t="shared" si="5"/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2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  <c r="AN45" s="203"/>
    </row>
    <row r="46" spans="1:40" s="155" customFormat="1" ht="12" hidden="1" x14ac:dyDescent="0.2">
      <c r="A46" s="146">
        <v>13</v>
      </c>
      <c r="B46" s="146"/>
      <c r="C46" s="206"/>
      <c r="D46" s="432">
        <f t="shared" si="5"/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2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  <c r="AN46" s="203"/>
    </row>
    <row r="47" spans="1:40" s="155" customFormat="1" ht="12" hidden="1" x14ac:dyDescent="0.2">
      <c r="A47" s="146">
        <v>14</v>
      </c>
      <c r="B47" s="146"/>
      <c r="C47" s="206"/>
      <c r="D47" s="432">
        <f t="shared" si="5"/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2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  <c r="AN47" s="203"/>
    </row>
    <row r="48" spans="1:40" s="155" customFormat="1" ht="12" hidden="1" x14ac:dyDescent="0.2">
      <c r="A48" s="146">
        <v>15</v>
      </c>
      <c r="B48" s="146"/>
      <c r="C48" s="206"/>
      <c r="D48" s="432">
        <f t="shared" si="5"/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2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  <c r="AN48" s="203"/>
    </row>
    <row r="49" spans="1:40" s="155" customFormat="1" ht="12" hidden="1" x14ac:dyDescent="0.2">
      <c r="A49" s="146">
        <v>16</v>
      </c>
      <c r="B49" s="146"/>
      <c r="C49" s="206"/>
      <c r="D49" s="432">
        <f t="shared" si="5"/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2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  <c r="AN49" s="203"/>
    </row>
    <row r="50" spans="1:40" s="155" customFormat="1" ht="12" hidden="1" x14ac:dyDescent="0.2">
      <c r="A50" s="146">
        <v>17</v>
      </c>
      <c r="B50" s="146"/>
      <c r="C50" s="206"/>
      <c r="D50" s="432">
        <f t="shared" si="5"/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2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  <c r="AN50" s="203"/>
    </row>
    <row r="51" spans="1:40" s="155" customFormat="1" ht="12" hidden="1" x14ac:dyDescent="0.2">
      <c r="A51" s="146">
        <v>18</v>
      </c>
      <c r="B51" s="146"/>
      <c r="C51" s="206"/>
      <c r="D51" s="432">
        <f t="shared" si="5"/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2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  <c r="AN51" s="203"/>
    </row>
    <row r="52" spans="1:40" s="155" customFormat="1" ht="12" hidden="1" x14ac:dyDescent="0.2">
      <c r="A52" s="146">
        <v>19</v>
      </c>
      <c r="B52" s="146"/>
      <c r="C52" s="207"/>
      <c r="D52" s="432">
        <f t="shared" si="5"/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2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  <c r="AN52" s="203"/>
    </row>
    <row r="53" spans="1:40" s="155" customFormat="1" ht="12" hidden="1" x14ac:dyDescent="0.2">
      <c r="A53" s="146">
        <v>20</v>
      </c>
      <c r="B53" s="146"/>
      <c r="C53" s="207"/>
      <c r="D53" s="432">
        <f t="shared" si="5"/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2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  <c r="AN53" s="203"/>
    </row>
    <row r="54" spans="1:40" s="155" customFormat="1" ht="12.75" customHeight="1" x14ac:dyDescent="0.2">
      <c r="A54" s="164" t="s">
        <v>76</v>
      </c>
      <c r="B54" s="164"/>
      <c r="C54" s="208"/>
      <c r="D54" s="432">
        <f t="shared" ref="D54:D117" si="7">E54+SUM(H54:O54)</f>
        <v>641632635</v>
      </c>
      <c r="E54" s="432">
        <f>SUM(E55:E152)</f>
        <v>166508120</v>
      </c>
      <c r="F54" s="432">
        <f t="shared" ref="F54:AM54" si="8">SUM(F55:F152)</f>
        <v>39101071</v>
      </c>
      <c r="G54" s="432">
        <f t="shared" si="8"/>
        <v>27764618</v>
      </c>
      <c r="H54" s="432">
        <f t="shared" si="8"/>
        <v>0</v>
      </c>
      <c r="I54" s="432">
        <f t="shared" si="8"/>
        <v>225789398</v>
      </c>
      <c r="J54" s="432">
        <f t="shared" si="8"/>
        <v>0</v>
      </c>
      <c r="K54" s="432">
        <f t="shared" si="8"/>
        <v>92630834</v>
      </c>
      <c r="L54" s="432">
        <f t="shared" si="8"/>
        <v>0</v>
      </c>
      <c r="M54" s="432">
        <f t="shared" si="8"/>
        <v>88740831</v>
      </c>
      <c r="N54" s="432">
        <f t="shared" si="8"/>
        <v>60190141</v>
      </c>
      <c r="O54" s="432">
        <f t="shared" si="8"/>
        <v>7773311</v>
      </c>
      <c r="P54" s="432">
        <f t="shared" si="2"/>
        <v>615082174</v>
      </c>
      <c r="Q54" s="432">
        <f t="shared" si="8"/>
        <v>247108908</v>
      </c>
      <c r="R54" s="432">
        <f t="shared" si="8"/>
        <v>113292970</v>
      </c>
      <c r="S54" s="432">
        <f t="shared" si="8"/>
        <v>2882628</v>
      </c>
      <c r="T54" s="432">
        <f t="shared" si="8"/>
        <v>40000</v>
      </c>
      <c r="U54" s="432">
        <f t="shared" si="8"/>
        <v>1645997</v>
      </c>
      <c r="V54" s="432">
        <f t="shared" si="8"/>
        <v>4088313</v>
      </c>
      <c r="W54" s="432">
        <f t="shared" si="8"/>
        <v>59321098</v>
      </c>
      <c r="X54" s="432">
        <f t="shared" si="8"/>
        <v>22404361</v>
      </c>
      <c r="Y54" s="432">
        <f t="shared" si="8"/>
        <v>3402539</v>
      </c>
      <c r="Z54" s="432">
        <f t="shared" si="8"/>
        <v>138629375</v>
      </c>
      <c r="AA54" s="432">
        <f t="shared" si="8"/>
        <v>22812236</v>
      </c>
      <c r="AB54" s="432">
        <f t="shared" si="8"/>
        <v>-546251</v>
      </c>
      <c r="AC54" s="432">
        <f t="shared" si="8"/>
        <v>91836357</v>
      </c>
      <c r="AD54" s="432">
        <f t="shared" si="8"/>
        <v>4292432</v>
      </c>
      <c r="AE54" s="432">
        <f t="shared" si="8"/>
        <v>223066564</v>
      </c>
      <c r="AF54" s="432">
        <f t="shared" si="8"/>
        <v>2658169</v>
      </c>
      <c r="AG54" s="432">
        <f t="shared" si="8"/>
        <v>23645862</v>
      </c>
      <c r="AH54" s="432">
        <f t="shared" si="8"/>
        <v>44163967</v>
      </c>
      <c r="AI54" s="432">
        <f t="shared" si="8"/>
        <v>47223210</v>
      </c>
      <c r="AJ54" s="432">
        <f t="shared" si="8"/>
        <v>28751992</v>
      </c>
      <c r="AK54" s="432">
        <f t="shared" si="8"/>
        <v>32833</v>
      </c>
      <c r="AL54" s="432">
        <f t="shared" si="8"/>
        <v>141726874</v>
      </c>
      <c r="AM54" s="432">
        <f t="shared" si="8"/>
        <v>7683914</v>
      </c>
      <c r="AN54" s="203"/>
    </row>
    <row r="55" spans="1:40" s="155" customFormat="1" ht="12" x14ac:dyDescent="0.2">
      <c r="A55" s="205">
        <v>1</v>
      </c>
      <c r="B55" s="304" t="s">
        <v>237</v>
      </c>
      <c r="C55" s="238" t="s">
        <v>238</v>
      </c>
      <c r="D55" s="432">
        <f t="shared" si="7"/>
        <v>7892071</v>
      </c>
      <c r="E55" s="431">
        <v>1364639</v>
      </c>
      <c r="F55" s="431">
        <v>435404</v>
      </c>
      <c r="G55" s="431">
        <v>220778</v>
      </c>
      <c r="H55" s="431">
        <v>0</v>
      </c>
      <c r="I55" s="431">
        <v>2447487</v>
      </c>
      <c r="J55" s="431">
        <v>0</v>
      </c>
      <c r="K55" s="431">
        <v>912232</v>
      </c>
      <c r="L55" s="431">
        <v>0</v>
      </c>
      <c r="M55" s="431">
        <v>649272</v>
      </c>
      <c r="N55" s="431">
        <v>0</v>
      </c>
      <c r="O55" s="431">
        <v>2518441</v>
      </c>
      <c r="P55" s="432">
        <f t="shared" si="2"/>
        <v>7869961</v>
      </c>
      <c r="Q55" s="431">
        <v>2800453</v>
      </c>
      <c r="R55" s="431">
        <v>1397918</v>
      </c>
      <c r="S55" s="431">
        <v>9435</v>
      </c>
      <c r="T55" s="431">
        <v>0</v>
      </c>
      <c r="U55" s="431">
        <v>0</v>
      </c>
      <c r="V55" s="431">
        <v>0</v>
      </c>
      <c r="W55" s="431">
        <v>0</v>
      </c>
      <c r="X55" s="431">
        <v>142660</v>
      </c>
      <c r="Y55" s="431">
        <v>0</v>
      </c>
      <c r="Z55" s="431">
        <v>3037313</v>
      </c>
      <c r="AA55" s="431">
        <v>484545</v>
      </c>
      <c r="AB55" s="431">
        <v>-2363</v>
      </c>
      <c r="AC55" s="431">
        <v>1144149</v>
      </c>
      <c r="AD55" s="431">
        <v>0</v>
      </c>
      <c r="AE55" s="431">
        <v>2258772</v>
      </c>
      <c r="AF55" s="431">
        <v>0</v>
      </c>
      <c r="AG55" s="431">
        <v>127287</v>
      </c>
      <c r="AH55" s="431">
        <v>454542</v>
      </c>
      <c r="AI55" s="431">
        <v>461752</v>
      </c>
      <c r="AJ55" s="431">
        <v>2815603</v>
      </c>
      <c r="AK55" s="431">
        <v>0</v>
      </c>
      <c r="AL55" s="431">
        <v>582496</v>
      </c>
      <c r="AM55" s="431">
        <v>25360</v>
      </c>
      <c r="AN55" s="203"/>
    </row>
    <row r="56" spans="1:40" s="155" customFormat="1" ht="12" x14ac:dyDescent="0.2">
      <c r="A56" s="205">
        <v>2</v>
      </c>
      <c r="B56" s="304" t="s">
        <v>239</v>
      </c>
      <c r="C56" s="238" t="s">
        <v>240</v>
      </c>
      <c r="D56" s="432">
        <f t="shared" si="7"/>
        <v>12889164</v>
      </c>
      <c r="E56" s="431">
        <v>2201304</v>
      </c>
      <c r="F56" s="431">
        <v>313810</v>
      </c>
      <c r="G56" s="431">
        <v>591421</v>
      </c>
      <c r="H56" s="431">
        <v>0</v>
      </c>
      <c r="I56" s="431">
        <v>3214214</v>
      </c>
      <c r="J56" s="431">
        <v>0</v>
      </c>
      <c r="K56" s="431">
        <v>1626960</v>
      </c>
      <c r="L56" s="431">
        <v>0</v>
      </c>
      <c r="M56" s="431">
        <v>1458847</v>
      </c>
      <c r="N56" s="431">
        <v>4334839</v>
      </c>
      <c r="O56" s="431">
        <v>53000</v>
      </c>
      <c r="P56" s="432">
        <f t="shared" si="2"/>
        <v>11802122</v>
      </c>
      <c r="Q56" s="431">
        <v>3254752</v>
      </c>
      <c r="R56" s="431">
        <v>1375377</v>
      </c>
      <c r="S56" s="431">
        <v>155321</v>
      </c>
      <c r="T56" s="431">
        <v>0</v>
      </c>
      <c r="U56" s="431">
        <v>0</v>
      </c>
      <c r="V56" s="431">
        <v>8000</v>
      </c>
      <c r="W56" s="431">
        <v>5244004</v>
      </c>
      <c r="X56" s="431">
        <v>450697</v>
      </c>
      <c r="Y56" s="431">
        <v>58900</v>
      </c>
      <c r="Z56" s="431">
        <v>1109163</v>
      </c>
      <c r="AA56" s="431">
        <v>161027</v>
      </c>
      <c r="AB56" s="431">
        <v>-15119</v>
      </c>
      <c r="AC56" s="431">
        <v>1457426</v>
      </c>
      <c r="AD56" s="431">
        <v>46372</v>
      </c>
      <c r="AE56" s="431">
        <v>2829220</v>
      </c>
      <c r="AF56" s="431">
        <v>25241</v>
      </c>
      <c r="AG56" s="431">
        <v>319419</v>
      </c>
      <c r="AH56" s="431">
        <v>683727</v>
      </c>
      <c r="AI56" s="431">
        <v>316750</v>
      </c>
      <c r="AJ56" s="431">
        <v>651680</v>
      </c>
      <c r="AK56" s="431">
        <v>0</v>
      </c>
      <c r="AL56" s="431">
        <v>5445502</v>
      </c>
      <c r="AM56" s="431">
        <v>26785</v>
      </c>
      <c r="AN56" s="203"/>
    </row>
    <row r="57" spans="1:40" s="155" customFormat="1" ht="12" x14ac:dyDescent="0.2">
      <c r="A57" s="205">
        <v>3</v>
      </c>
      <c r="B57" s="304" t="s">
        <v>241</v>
      </c>
      <c r="C57" s="238" t="s">
        <v>242</v>
      </c>
      <c r="D57" s="432">
        <f t="shared" si="7"/>
        <v>9831919</v>
      </c>
      <c r="E57" s="431">
        <v>2215350</v>
      </c>
      <c r="F57" s="431">
        <v>604281</v>
      </c>
      <c r="G57" s="431">
        <v>286726</v>
      </c>
      <c r="H57" s="431">
        <v>0</v>
      </c>
      <c r="I57" s="431">
        <v>4949649</v>
      </c>
      <c r="J57" s="431">
        <v>0</v>
      </c>
      <c r="K57" s="431">
        <v>802750</v>
      </c>
      <c r="L57" s="431">
        <v>0</v>
      </c>
      <c r="M57" s="431">
        <v>191999</v>
      </c>
      <c r="N57" s="431">
        <v>1649671</v>
      </c>
      <c r="O57" s="431">
        <v>22500</v>
      </c>
      <c r="P57" s="432">
        <f t="shared" si="2"/>
        <v>7731003</v>
      </c>
      <c r="Q57" s="431">
        <v>4739773</v>
      </c>
      <c r="R57" s="431">
        <v>1128814</v>
      </c>
      <c r="S57" s="431">
        <v>26385</v>
      </c>
      <c r="T57" s="431">
        <v>0</v>
      </c>
      <c r="U57" s="431">
        <v>0</v>
      </c>
      <c r="V57" s="431">
        <v>1250</v>
      </c>
      <c r="W57" s="431">
        <v>153760</v>
      </c>
      <c r="X57" s="431">
        <v>467468</v>
      </c>
      <c r="Y57" s="431">
        <v>0</v>
      </c>
      <c r="Z57" s="431">
        <v>1149483</v>
      </c>
      <c r="AA57" s="431">
        <v>64070</v>
      </c>
      <c r="AB57" s="431">
        <v>0</v>
      </c>
      <c r="AC57" s="431">
        <v>759277</v>
      </c>
      <c r="AD57" s="431">
        <v>0</v>
      </c>
      <c r="AE57" s="431">
        <v>4685971</v>
      </c>
      <c r="AF57" s="431">
        <v>0</v>
      </c>
      <c r="AG57" s="431">
        <v>124340</v>
      </c>
      <c r="AH57" s="431">
        <v>482170</v>
      </c>
      <c r="AI57" s="431">
        <v>457830</v>
      </c>
      <c r="AJ57" s="431">
        <v>94420</v>
      </c>
      <c r="AK57" s="431">
        <v>0</v>
      </c>
      <c r="AL57" s="431">
        <v>993855</v>
      </c>
      <c r="AM57" s="431">
        <v>133140</v>
      </c>
      <c r="AN57" s="203"/>
    </row>
    <row r="58" spans="1:40" s="155" customFormat="1" ht="12" x14ac:dyDescent="0.2">
      <c r="A58" s="205">
        <v>4</v>
      </c>
      <c r="B58" s="304" t="s">
        <v>243</v>
      </c>
      <c r="C58" s="238" t="s">
        <v>244</v>
      </c>
      <c r="D58" s="432">
        <f t="shared" si="7"/>
        <v>6821072</v>
      </c>
      <c r="E58" s="431">
        <v>685563</v>
      </c>
      <c r="F58" s="431">
        <v>58833</v>
      </c>
      <c r="G58" s="431">
        <v>334458</v>
      </c>
      <c r="H58" s="431">
        <v>0</v>
      </c>
      <c r="I58" s="431">
        <v>903747</v>
      </c>
      <c r="J58" s="431">
        <v>0</v>
      </c>
      <c r="K58" s="431">
        <v>1149725</v>
      </c>
      <c r="L58" s="431">
        <v>0</v>
      </c>
      <c r="M58" s="431">
        <v>879153</v>
      </c>
      <c r="N58" s="431">
        <v>3202884</v>
      </c>
      <c r="O58" s="431"/>
      <c r="P58" s="432">
        <f t="shared" si="2"/>
        <v>5057758</v>
      </c>
      <c r="Q58" s="431">
        <v>1153920</v>
      </c>
      <c r="R58" s="431">
        <v>596330</v>
      </c>
      <c r="S58" s="431">
        <v>0</v>
      </c>
      <c r="T58" s="431">
        <v>0</v>
      </c>
      <c r="U58" s="431">
        <v>0</v>
      </c>
      <c r="V58" s="431">
        <v>0</v>
      </c>
      <c r="W58" s="431">
        <v>2828402</v>
      </c>
      <c r="X58" s="431">
        <v>105227</v>
      </c>
      <c r="Y58" s="431">
        <v>0</v>
      </c>
      <c r="Z58" s="431">
        <v>79666</v>
      </c>
      <c r="AA58" s="431">
        <v>294213</v>
      </c>
      <c r="AB58" s="431">
        <v>0</v>
      </c>
      <c r="AC58" s="431">
        <v>544846</v>
      </c>
      <c r="AD58" s="431">
        <v>3877</v>
      </c>
      <c r="AE58" s="431">
        <v>1889307</v>
      </c>
      <c r="AF58" s="431">
        <v>15344</v>
      </c>
      <c r="AG58" s="431">
        <v>38068</v>
      </c>
      <c r="AH58" s="431">
        <v>221231</v>
      </c>
      <c r="AI58" s="431">
        <v>31957</v>
      </c>
      <c r="AJ58" s="431">
        <v>0</v>
      </c>
      <c r="AK58" s="431">
        <v>0</v>
      </c>
      <c r="AL58" s="431">
        <v>2293932</v>
      </c>
      <c r="AM58" s="431">
        <v>19196</v>
      </c>
      <c r="AN58" s="203"/>
    </row>
    <row r="59" spans="1:40" s="155" customFormat="1" ht="12" x14ac:dyDescent="0.2">
      <c r="A59" s="205">
        <v>5</v>
      </c>
      <c r="B59" s="304" t="s">
        <v>245</v>
      </c>
      <c r="C59" s="238" t="s">
        <v>246</v>
      </c>
      <c r="D59" s="432">
        <f t="shared" si="7"/>
        <v>5145145</v>
      </c>
      <c r="E59" s="431">
        <v>1075094</v>
      </c>
      <c r="F59" s="431">
        <v>292650</v>
      </c>
      <c r="G59" s="431">
        <v>172969</v>
      </c>
      <c r="H59" s="431">
        <v>0</v>
      </c>
      <c r="I59" s="431">
        <v>1678632</v>
      </c>
      <c r="J59" s="431">
        <v>0</v>
      </c>
      <c r="K59" s="431">
        <v>679762</v>
      </c>
      <c r="L59" s="431">
        <v>0</v>
      </c>
      <c r="M59" s="431">
        <v>1495057</v>
      </c>
      <c r="N59" s="431">
        <v>216600</v>
      </c>
      <c r="O59" s="431"/>
      <c r="P59" s="432">
        <f t="shared" si="2"/>
        <v>5189384</v>
      </c>
      <c r="Q59" s="431">
        <v>1932950</v>
      </c>
      <c r="R59" s="431">
        <v>904858</v>
      </c>
      <c r="S59" s="431">
        <v>5130</v>
      </c>
      <c r="T59" s="431">
        <v>0</v>
      </c>
      <c r="U59" s="431">
        <v>0</v>
      </c>
      <c r="V59" s="431">
        <v>30000</v>
      </c>
      <c r="W59" s="431">
        <v>279000</v>
      </c>
      <c r="X59" s="431">
        <v>140966</v>
      </c>
      <c r="Y59" s="431">
        <v>44000</v>
      </c>
      <c r="Z59" s="431">
        <v>1855184</v>
      </c>
      <c r="AA59" s="431">
        <v>0</v>
      </c>
      <c r="AB59" s="431">
        <v>-2704</v>
      </c>
      <c r="AC59" s="431">
        <v>951690</v>
      </c>
      <c r="AD59" s="431">
        <v>28611</v>
      </c>
      <c r="AE59" s="431">
        <v>1520602</v>
      </c>
      <c r="AF59" s="431">
        <v>0</v>
      </c>
      <c r="AG59" s="431">
        <v>231101</v>
      </c>
      <c r="AH59" s="431">
        <v>349334</v>
      </c>
      <c r="AI59" s="431">
        <v>91558</v>
      </c>
      <c r="AJ59" s="431">
        <v>190769</v>
      </c>
      <c r="AK59" s="431">
        <v>0</v>
      </c>
      <c r="AL59" s="431">
        <v>1825719</v>
      </c>
      <c r="AM59" s="431"/>
      <c r="AN59" s="203"/>
    </row>
    <row r="60" spans="1:40" s="155" customFormat="1" ht="12" x14ac:dyDescent="0.2">
      <c r="A60" s="205">
        <v>6</v>
      </c>
      <c r="B60" s="304" t="s">
        <v>247</v>
      </c>
      <c r="C60" s="238" t="s">
        <v>248</v>
      </c>
      <c r="D60" s="432">
        <f t="shared" si="7"/>
        <v>3990221</v>
      </c>
      <c r="E60" s="431">
        <v>1131169</v>
      </c>
      <c r="F60" s="431">
        <v>166210</v>
      </c>
      <c r="G60" s="431">
        <v>250279</v>
      </c>
      <c r="H60" s="431">
        <v>0</v>
      </c>
      <c r="I60" s="431">
        <v>1656332</v>
      </c>
      <c r="J60" s="431">
        <v>0</v>
      </c>
      <c r="K60" s="431">
        <v>905090</v>
      </c>
      <c r="L60" s="431">
        <v>0</v>
      </c>
      <c r="M60" s="431">
        <v>97774</v>
      </c>
      <c r="N60" s="431">
        <v>199856</v>
      </c>
      <c r="O60" s="431"/>
      <c r="P60" s="432">
        <f t="shared" si="2"/>
        <v>3362264</v>
      </c>
      <c r="Q60" s="431">
        <v>2134112</v>
      </c>
      <c r="R60" s="431">
        <v>751494</v>
      </c>
      <c r="S60" s="431">
        <v>0</v>
      </c>
      <c r="T60" s="431">
        <v>0</v>
      </c>
      <c r="U60" s="431">
        <v>0</v>
      </c>
      <c r="V60" s="431">
        <v>57732</v>
      </c>
      <c r="W60" s="431">
        <v>0</v>
      </c>
      <c r="X60" s="431">
        <v>153586</v>
      </c>
      <c r="Y60" s="431">
        <v>45230</v>
      </c>
      <c r="Z60" s="431">
        <v>233486</v>
      </c>
      <c r="AA60" s="431">
        <v>0</v>
      </c>
      <c r="AB60" s="431">
        <v>-13376</v>
      </c>
      <c r="AC60" s="431">
        <v>872458</v>
      </c>
      <c r="AD60" s="431">
        <v>26554</v>
      </c>
      <c r="AE60" s="431">
        <v>1372683</v>
      </c>
      <c r="AF60" s="431">
        <v>10520</v>
      </c>
      <c r="AG60" s="431">
        <v>80720</v>
      </c>
      <c r="AH60" s="431">
        <v>415307</v>
      </c>
      <c r="AI60" s="431">
        <v>245996</v>
      </c>
      <c r="AJ60" s="431">
        <v>160552</v>
      </c>
      <c r="AK60" s="431">
        <v>0</v>
      </c>
      <c r="AL60" s="431">
        <v>168237</v>
      </c>
      <c r="AM60" s="431">
        <v>9237</v>
      </c>
      <c r="AN60" s="203"/>
    </row>
    <row r="61" spans="1:40" s="155" customFormat="1" ht="12" x14ac:dyDescent="0.2">
      <c r="A61" s="205">
        <v>7</v>
      </c>
      <c r="B61" s="304" t="s">
        <v>249</v>
      </c>
      <c r="C61" s="238" t="s">
        <v>250</v>
      </c>
      <c r="D61" s="432">
        <f t="shared" si="7"/>
        <v>4726233</v>
      </c>
      <c r="E61" s="431">
        <v>1025117</v>
      </c>
      <c r="F61" s="431">
        <v>280411</v>
      </c>
      <c r="G61" s="431">
        <v>265199</v>
      </c>
      <c r="H61" s="431">
        <v>0</v>
      </c>
      <c r="I61" s="431">
        <v>2706694</v>
      </c>
      <c r="J61" s="431">
        <v>0</v>
      </c>
      <c r="K61" s="431">
        <v>906862</v>
      </c>
      <c r="L61" s="431">
        <v>0</v>
      </c>
      <c r="M61" s="431">
        <v>66760</v>
      </c>
      <c r="N61" s="431">
        <v>0</v>
      </c>
      <c r="O61" s="431">
        <v>20800</v>
      </c>
      <c r="P61" s="432">
        <f t="shared" si="2"/>
        <v>4538917</v>
      </c>
      <c r="Q61" s="431">
        <v>2915678</v>
      </c>
      <c r="R61" s="431">
        <v>835458</v>
      </c>
      <c r="S61" s="431">
        <v>0</v>
      </c>
      <c r="T61" s="431">
        <v>0</v>
      </c>
      <c r="U61" s="431">
        <v>0</v>
      </c>
      <c r="V61" s="431">
        <v>0</v>
      </c>
      <c r="W61" s="431">
        <v>0</v>
      </c>
      <c r="X61" s="431">
        <v>118514</v>
      </c>
      <c r="Y61" s="431">
        <v>0</v>
      </c>
      <c r="Z61" s="431">
        <v>619412</v>
      </c>
      <c r="AA61" s="431">
        <v>51000</v>
      </c>
      <c r="AB61" s="431">
        <v>-1145</v>
      </c>
      <c r="AC61" s="431">
        <v>841681</v>
      </c>
      <c r="AD61" s="431">
        <v>19243</v>
      </c>
      <c r="AE61" s="431">
        <v>2459009</v>
      </c>
      <c r="AF61" s="431">
        <v>20916</v>
      </c>
      <c r="AG61" s="431">
        <v>16504</v>
      </c>
      <c r="AH61" s="431">
        <v>437595</v>
      </c>
      <c r="AI61" s="431">
        <v>237787</v>
      </c>
      <c r="AJ61" s="431">
        <v>47000</v>
      </c>
      <c r="AK61" s="431">
        <v>0</v>
      </c>
      <c r="AL61" s="431">
        <v>459182</v>
      </c>
      <c r="AM61" s="431"/>
      <c r="AN61" s="203"/>
    </row>
    <row r="62" spans="1:40" s="155" customFormat="1" ht="12" x14ac:dyDescent="0.2">
      <c r="A62" s="205">
        <v>8</v>
      </c>
      <c r="B62" s="304" t="s">
        <v>251</v>
      </c>
      <c r="C62" s="238" t="s">
        <v>252</v>
      </c>
      <c r="D62" s="432">
        <f t="shared" si="7"/>
        <v>8029221</v>
      </c>
      <c r="E62" s="431">
        <v>1507229</v>
      </c>
      <c r="F62" s="431">
        <v>227062</v>
      </c>
      <c r="G62" s="431">
        <v>398916</v>
      </c>
      <c r="H62" s="431">
        <v>0</v>
      </c>
      <c r="I62" s="431">
        <v>2678772</v>
      </c>
      <c r="J62" s="431">
        <v>0</v>
      </c>
      <c r="K62" s="431">
        <v>1255734</v>
      </c>
      <c r="L62" s="431">
        <v>0</v>
      </c>
      <c r="M62" s="431">
        <v>2587486</v>
      </c>
      <c r="N62" s="431">
        <v>0</v>
      </c>
      <c r="O62" s="431"/>
      <c r="P62" s="432">
        <f t="shared" si="2"/>
        <v>7943242</v>
      </c>
      <c r="Q62" s="431">
        <v>2766183</v>
      </c>
      <c r="R62" s="431">
        <v>1231900</v>
      </c>
      <c r="S62" s="431">
        <v>18629</v>
      </c>
      <c r="T62" s="431">
        <v>0</v>
      </c>
      <c r="U62" s="431">
        <v>0</v>
      </c>
      <c r="V62" s="431">
        <v>19270</v>
      </c>
      <c r="W62" s="431">
        <v>0</v>
      </c>
      <c r="X62" s="431">
        <v>291119</v>
      </c>
      <c r="Y62" s="431">
        <v>45160</v>
      </c>
      <c r="Z62" s="431">
        <v>3524867</v>
      </c>
      <c r="AA62" s="431">
        <v>46289</v>
      </c>
      <c r="AB62" s="431">
        <v>-175</v>
      </c>
      <c r="AC62" s="431">
        <v>1025408</v>
      </c>
      <c r="AD62" s="431">
        <v>35209</v>
      </c>
      <c r="AE62" s="431">
        <v>3634133</v>
      </c>
      <c r="AF62" s="431">
        <v>20502</v>
      </c>
      <c r="AG62" s="431">
        <v>89661</v>
      </c>
      <c r="AH62" s="431">
        <v>395712</v>
      </c>
      <c r="AI62" s="431">
        <v>394860</v>
      </c>
      <c r="AJ62" s="431">
        <v>120110</v>
      </c>
      <c r="AK62" s="431">
        <v>0</v>
      </c>
      <c r="AL62" s="431">
        <v>2227647</v>
      </c>
      <c r="AM62" s="431"/>
      <c r="AN62" s="203"/>
    </row>
    <row r="63" spans="1:40" s="155" customFormat="1" ht="12" x14ac:dyDescent="0.2">
      <c r="A63" s="205">
        <v>9</v>
      </c>
      <c r="B63" s="304" t="s">
        <v>253</v>
      </c>
      <c r="C63" s="238" t="s">
        <v>254</v>
      </c>
      <c r="D63" s="432">
        <f t="shared" si="7"/>
        <v>8089913</v>
      </c>
      <c r="E63" s="431">
        <v>2809972</v>
      </c>
      <c r="F63" s="431">
        <v>667161</v>
      </c>
      <c r="G63" s="431">
        <v>338315</v>
      </c>
      <c r="H63" s="431">
        <v>0</v>
      </c>
      <c r="I63" s="431">
        <v>3193445</v>
      </c>
      <c r="J63" s="431">
        <v>0</v>
      </c>
      <c r="K63" s="431">
        <v>1133959</v>
      </c>
      <c r="L63" s="431">
        <v>0</v>
      </c>
      <c r="M63" s="431">
        <v>656754</v>
      </c>
      <c r="N63" s="431">
        <v>266023</v>
      </c>
      <c r="O63" s="431">
        <v>29760</v>
      </c>
      <c r="P63" s="432">
        <f t="shared" si="2"/>
        <v>9112391</v>
      </c>
      <c r="Q63" s="431">
        <v>3405564</v>
      </c>
      <c r="R63" s="431">
        <v>1569234</v>
      </c>
      <c r="S63" s="431">
        <v>98087</v>
      </c>
      <c r="T63" s="431">
        <v>0</v>
      </c>
      <c r="U63" s="431">
        <v>0</v>
      </c>
      <c r="V63" s="431">
        <v>127902</v>
      </c>
      <c r="W63" s="431">
        <v>1364602</v>
      </c>
      <c r="X63" s="431">
        <v>336934</v>
      </c>
      <c r="Y63" s="431">
        <v>46000</v>
      </c>
      <c r="Z63" s="431">
        <v>1010150</v>
      </c>
      <c r="AA63" s="431">
        <v>1162187</v>
      </c>
      <c r="AB63" s="431">
        <v>-8269</v>
      </c>
      <c r="AC63" s="431">
        <v>1494388</v>
      </c>
      <c r="AD63" s="431">
        <v>89766</v>
      </c>
      <c r="AE63" s="431">
        <v>2953233</v>
      </c>
      <c r="AF63" s="431">
        <v>0</v>
      </c>
      <c r="AG63" s="431">
        <v>191797</v>
      </c>
      <c r="AH63" s="431">
        <v>528440</v>
      </c>
      <c r="AI63" s="431">
        <v>599769</v>
      </c>
      <c r="AJ63" s="431">
        <v>466044</v>
      </c>
      <c r="AK63" s="431">
        <v>0</v>
      </c>
      <c r="AL63" s="431">
        <v>2788954</v>
      </c>
      <c r="AM63" s="431"/>
      <c r="AN63" s="203"/>
    </row>
    <row r="64" spans="1:40" s="155" customFormat="1" ht="12" x14ac:dyDescent="0.2">
      <c r="A64" s="205">
        <v>10</v>
      </c>
      <c r="B64" s="304" t="s">
        <v>255</v>
      </c>
      <c r="C64" s="238" t="s">
        <v>256</v>
      </c>
      <c r="D64" s="432">
        <f t="shared" si="7"/>
        <v>3876845</v>
      </c>
      <c r="E64" s="431">
        <v>966951</v>
      </c>
      <c r="F64" s="431">
        <v>115741</v>
      </c>
      <c r="G64" s="431">
        <v>280038</v>
      </c>
      <c r="H64" s="431">
        <v>0</v>
      </c>
      <c r="I64" s="431">
        <v>1361832</v>
      </c>
      <c r="J64" s="431">
        <v>0</v>
      </c>
      <c r="K64" s="431">
        <v>1073380</v>
      </c>
      <c r="L64" s="431">
        <v>0</v>
      </c>
      <c r="M64" s="431">
        <v>469886</v>
      </c>
      <c r="N64" s="431">
        <v>0</v>
      </c>
      <c r="O64" s="431">
        <v>4796</v>
      </c>
      <c r="P64" s="432">
        <f t="shared" si="2"/>
        <v>3843404</v>
      </c>
      <c r="Q64" s="431">
        <v>1649540</v>
      </c>
      <c r="R64" s="431">
        <v>754845</v>
      </c>
      <c r="S64" s="431">
        <v>200871</v>
      </c>
      <c r="T64" s="431">
        <v>0</v>
      </c>
      <c r="U64" s="431">
        <v>0</v>
      </c>
      <c r="V64" s="431">
        <v>0</v>
      </c>
      <c r="W64" s="431">
        <v>400293</v>
      </c>
      <c r="X64" s="431">
        <v>158434</v>
      </c>
      <c r="Y64" s="431">
        <v>35400</v>
      </c>
      <c r="Z64" s="431">
        <v>644021</v>
      </c>
      <c r="AA64" s="431">
        <v>0</v>
      </c>
      <c r="AB64" s="431">
        <v>0</v>
      </c>
      <c r="AC64" s="431">
        <v>950125</v>
      </c>
      <c r="AD64" s="431">
        <v>16450</v>
      </c>
      <c r="AE64" s="431">
        <v>1152960</v>
      </c>
      <c r="AF64" s="431">
        <v>0</v>
      </c>
      <c r="AG64" s="431">
        <v>64162</v>
      </c>
      <c r="AH64" s="431">
        <v>277070</v>
      </c>
      <c r="AI64" s="431">
        <v>151370</v>
      </c>
      <c r="AJ64" s="431">
        <v>143177</v>
      </c>
      <c r="AK64" s="431">
        <v>0</v>
      </c>
      <c r="AL64" s="431">
        <v>1088090</v>
      </c>
      <c r="AM64" s="431"/>
      <c r="AN64" s="203"/>
    </row>
    <row r="65" spans="1:40" s="155" customFormat="1" ht="12" x14ac:dyDescent="0.2">
      <c r="A65" s="205">
        <v>11</v>
      </c>
      <c r="B65" s="304" t="s">
        <v>257</v>
      </c>
      <c r="C65" s="238" t="s">
        <v>258</v>
      </c>
      <c r="D65" s="432">
        <f t="shared" si="7"/>
        <v>4031398</v>
      </c>
      <c r="E65" s="431">
        <v>818738</v>
      </c>
      <c r="F65" s="431">
        <v>136246</v>
      </c>
      <c r="G65" s="431">
        <v>247949</v>
      </c>
      <c r="H65" s="431">
        <v>0</v>
      </c>
      <c r="I65" s="431">
        <v>827158</v>
      </c>
      <c r="J65" s="431">
        <v>0</v>
      </c>
      <c r="K65" s="431">
        <v>799443</v>
      </c>
      <c r="L65" s="431">
        <v>0</v>
      </c>
      <c r="M65" s="431">
        <v>1039417</v>
      </c>
      <c r="N65" s="431">
        <v>504482</v>
      </c>
      <c r="O65" s="431">
        <v>42160</v>
      </c>
      <c r="P65" s="432">
        <f t="shared" si="2"/>
        <v>3891435</v>
      </c>
      <c r="Q65" s="431">
        <v>1121948</v>
      </c>
      <c r="R65" s="431">
        <v>590779</v>
      </c>
      <c r="S65" s="431">
        <v>856</v>
      </c>
      <c r="T65" s="431">
        <v>0</v>
      </c>
      <c r="U65" s="431">
        <v>0</v>
      </c>
      <c r="V65" s="431">
        <v>0</v>
      </c>
      <c r="W65" s="431">
        <v>560980</v>
      </c>
      <c r="X65" s="431">
        <v>93274</v>
      </c>
      <c r="Y65" s="431">
        <v>30000</v>
      </c>
      <c r="Z65" s="431">
        <v>1395798</v>
      </c>
      <c r="AA65" s="431">
        <v>97800</v>
      </c>
      <c r="AB65" s="431">
        <v>0</v>
      </c>
      <c r="AC65" s="431">
        <v>852742</v>
      </c>
      <c r="AD65" s="431">
        <v>53903</v>
      </c>
      <c r="AE65" s="431">
        <v>869881</v>
      </c>
      <c r="AF65" s="431">
        <v>20530</v>
      </c>
      <c r="AG65" s="431">
        <v>695974</v>
      </c>
      <c r="AH65" s="431">
        <v>124781</v>
      </c>
      <c r="AI65" s="431">
        <v>64759</v>
      </c>
      <c r="AJ65" s="431">
        <v>13788</v>
      </c>
      <c r="AK65" s="431">
        <v>0</v>
      </c>
      <c r="AL65" s="431">
        <v>1195077</v>
      </c>
      <c r="AM65" s="431"/>
      <c r="AN65" s="203"/>
    </row>
    <row r="66" spans="1:40" s="155" customFormat="1" ht="12" x14ac:dyDescent="0.2">
      <c r="A66" s="205">
        <v>12</v>
      </c>
      <c r="B66" s="304" t="s">
        <v>259</v>
      </c>
      <c r="C66" s="238" t="s">
        <v>260</v>
      </c>
      <c r="D66" s="432">
        <f t="shared" si="7"/>
        <v>4431109</v>
      </c>
      <c r="E66" s="431">
        <v>1524831</v>
      </c>
      <c r="F66" s="431">
        <v>619341</v>
      </c>
      <c r="G66" s="431">
        <v>149608</v>
      </c>
      <c r="H66" s="431">
        <v>0</v>
      </c>
      <c r="I66" s="431">
        <v>2359016</v>
      </c>
      <c r="J66" s="431">
        <v>0</v>
      </c>
      <c r="K66" s="431">
        <v>396520</v>
      </c>
      <c r="L66" s="431">
        <v>0</v>
      </c>
      <c r="M66" s="431">
        <v>35742</v>
      </c>
      <c r="N66" s="431">
        <v>0</v>
      </c>
      <c r="O66" s="431">
        <v>115000</v>
      </c>
      <c r="P66" s="432">
        <f t="shared" si="2"/>
        <v>4415564</v>
      </c>
      <c r="Q66" s="431">
        <v>2461202</v>
      </c>
      <c r="R66" s="431">
        <v>924578</v>
      </c>
      <c r="S66" s="431">
        <v>0</v>
      </c>
      <c r="T66" s="431">
        <v>0</v>
      </c>
      <c r="U66" s="431">
        <v>0</v>
      </c>
      <c r="V66" s="431">
        <v>10000</v>
      </c>
      <c r="W66" s="431">
        <v>0</v>
      </c>
      <c r="X66" s="431">
        <v>103138</v>
      </c>
      <c r="Y66" s="431">
        <v>5700</v>
      </c>
      <c r="Z66" s="431">
        <v>910946</v>
      </c>
      <c r="AA66" s="431">
        <v>0</v>
      </c>
      <c r="AB66" s="431">
        <v>0</v>
      </c>
      <c r="AC66" s="431">
        <v>680902</v>
      </c>
      <c r="AD66" s="431">
        <v>5355</v>
      </c>
      <c r="AE66" s="431">
        <v>2431128</v>
      </c>
      <c r="AF66" s="431">
        <v>22645</v>
      </c>
      <c r="AG66" s="431">
        <v>19036</v>
      </c>
      <c r="AH66" s="431">
        <v>335679</v>
      </c>
      <c r="AI66" s="431">
        <v>591223</v>
      </c>
      <c r="AJ66" s="431">
        <v>139663</v>
      </c>
      <c r="AK66" s="431">
        <v>0</v>
      </c>
      <c r="AL66" s="431">
        <v>178615</v>
      </c>
      <c r="AM66" s="431">
        <v>11318</v>
      </c>
      <c r="AN66" s="203"/>
    </row>
    <row r="67" spans="1:40" s="155" customFormat="1" ht="12" x14ac:dyDescent="0.2">
      <c r="A67" s="205">
        <v>13</v>
      </c>
      <c r="B67" s="304" t="s">
        <v>261</v>
      </c>
      <c r="C67" s="238" t="s">
        <v>262</v>
      </c>
      <c r="D67" s="432">
        <f t="shared" si="7"/>
        <v>3682236</v>
      </c>
      <c r="E67" s="431">
        <v>809277</v>
      </c>
      <c r="F67" s="431">
        <v>121710</v>
      </c>
      <c r="G67" s="431">
        <v>309968</v>
      </c>
      <c r="H67" s="431">
        <v>0</v>
      </c>
      <c r="I67" s="431">
        <v>1797814</v>
      </c>
      <c r="J67" s="431">
        <v>0</v>
      </c>
      <c r="K67" s="431">
        <v>997890</v>
      </c>
      <c r="L67" s="431">
        <v>0</v>
      </c>
      <c r="M67" s="431">
        <v>77255</v>
      </c>
      <c r="N67" s="431">
        <v>0</v>
      </c>
      <c r="O67" s="431"/>
      <c r="P67" s="432">
        <f t="shared" si="2"/>
        <v>3451103</v>
      </c>
      <c r="Q67" s="431">
        <v>2124273</v>
      </c>
      <c r="R67" s="431">
        <v>710505</v>
      </c>
      <c r="S67" s="431">
        <v>5587</v>
      </c>
      <c r="T67" s="431">
        <v>0</v>
      </c>
      <c r="U67" s="431">
        <v>0</v>
      </c>
      <c r="V67" s="431">
        <v>0</v>
      </c>
      <c r="W67" s="431">
        <v>0</v>
      </c>
      <c r="X67" s="431">
        <v>97409</v>
      </c>
      <c r="Y67" s="431">
        <v>9280</v>
      </c>
      <c r="Z67" s="431">
        <v>474156</v>
      </c>
      <c r="AA67" s="431">
        <v>29893</v>
      </c>
      <c r="AB67" s="431">
        <v>0</v>
      </c>
      <c r="AC67" s="431">
        <v>712495</v>
      </c>
      <c r="AD67" s="431">
        <v>4792</v>
      </c>
      <c r="AE67" s="431">
        <v>1873369</v>
      </c>
      <c r="AF67" s="431">
        <v>22699</v>
      </c>
      <c r="AG67" s="431">
        <v>216780</v>
      </c>
      <c r="AH67" s="431">
        <v>273812</v>
      </c>
      <c r="AI67" s="431">
        <v>122210</v>
      </c>
      <c r="AJ67" s="431">
        <v>72886</v>
      </c>
      <c r="AK67" s="431">
        <v>0</v>
      </c>
      <c r="AL67" s="431">
        <v>141724</v>
      </c>
      <c r="AM67" s="431">
        <v>10336</v>
      </c>
      <c r="AN67" s="203"/>
    </row>
    <row r="68" spans="1:40" s="155" customFormat="1" ht="12" x14ac:dyDescent="0.2">
      <c r="A68" s="205">
        <v>14</v>
      </c>
      <c r="B68" s="304" t="s">
        <v>263</v>
      </c>
      <c r="C68" s="238" t="s">
        <v>264</v>
      </c>
      <c r="D68" s="432">
        <f t="shared" si="7"/>
        <v>5600431</v>
      </c>
      <c r="E68" s="431">
        <v>1444620</v>
      </c>
      <c r="F68" s="431">
        <v>409560</v>
      </c>
      <c r="G68" s="431">
        <v>238427</v>
      </c>
      <c r="H68" s="431">
        <v>0</v>
      </c>
      <c r="I68" s="431">
        <v>2695485</v>
      </c>
      <c r="J68" s="431">
        <v>0</v>
      </c>
      <c r="K68" s="431">
        <v>970529</v>
      </c>
      <c r="L68" s="431">
        <v>0</v>
      </c>
      <c r="M68" s="431">
        <v>143421</v>
      </c>
      <c r="N68" s="431">
        <v>313310</v>
      </c>
      <c r="O68" s="431">
        <v>33066</v>
      </c>
      <c r="P68" s="432">
        <f t="shared" si="2"/>
        <v>5525660</v>
      </c>
      <c r="Q68" s="431">
        <v>2964537</v>
      </c>
      <c r="R68" s="431">
        <v>1103968</v>
      </c>
      <c r="S68" s="431">
        <v>0</v>
      </c>
      <c r="T68" s="431">
        <v>0</v>
      </c>
      <c r="U68" s="431">
        <v>0</v>
      </c>
      <c r="V68" s="431">
        <v>8000</v>
      </c>
      <c r="W68" s="431">
        <v>414079</v>
      </c>
      <c r="X68" s="431">
        <v>165890</v>
      </c>
      <c r="Y68" s="431">
        <v>33550</v>
      </c>
      <c r="Z68" s="431">
        <v>703318</v>
      </c>
      <c r="AA68" s="431">
        <v>153000</v>
      </c>
      <c r="AB68" s="431">
        <v>-20682</v>
      </c>
      <c r="AC68" s="431">
        <v>590274</v>
      </c>
      <c r="AD68" s="431">
        <v>463056</v>
      </c>
      <c r="AE68" s="431">
        <v>2473926</v>
      </c>
      <c r="AF68" s="431">
        <v>20574</v>
      </c>
      <c r="AG68" s="431">
        <v>676075</v>
      </c>
      <c r="AH68" s="431">
        <v>371490</v>
      </c>
      <c r="AI68" s="431">
        <v>558801</v>
      </c>
      <c r="AJ68" s="431">
        <v>92836</v>
      </c>
      <c r="AK68" s="431">
        <v>0</v>
      </c>
      <c r="AL68" s="431">
        <v>268491</v>
      </c>
      <c r="AM68" s="431">
        <v>10137</v>
      </c>
      <c r="AN68" s="203"/>
    </row>
    <row r="69" spans="1:40" s="155" customFormat="1" ht="12" x14ac:dyDescent="0.2">
      <c r="A69" s="205">
        <v>15</v>
      </c>
      <c r="B69" s="304" t="s">
        <v>265</v>
      </c>
      <c r="C69" s="238" t="s">
        <v>266</v>
      </c>
      <c r="D69" s="432">
        <f t="shared" si="7"/>
        <v>5961568</v>
      </c>
      <c r="E69" s="431">
        <v>980248</v>
      </c>
      <c r="F69" s="431">
        <v>141151</v>
      </c>
      <c r="G69" s="431">
        <v>227649</v>
      </c>
      <c r="H69" s="431">
        <v>0</v>
      </c>
      <c r="I69" s="431">
        <v>1545765</v>
      </c>
      <c r="J69" s="431">
        <v>0</v>
      </c>
      <c r="K69" s="431">
        <v>890122</v>
      </c>
      <c r="L69" s="431">
        <v>0</v>
      </c>
      <c r="M69" s="431">
        <v>2324157</v>
      </c>
      <c r="N69" s="431">
        <v>206876</v>
      </c>
      <c r="O69" s="431">
        <v>14400</v>
      </c>
      <c r="P69" s="432">
        <f t="shared" si="2"/>
        <v>5912343</v>
      </c>
      <c r="Q69" s="431">
        <v>1911329</v>
      </c>
      <c r="R69" s="431">
        <v>799458</v>
      </c>
      <c r="S69" s="431">
        <v>45355</v>
      </c>
      <c r="T69" s="431">
        <v>0</v>
      </c>
      <c r="U69" s="431">
        <v>0</v>
      </c>
      <c r="V69" s="431">
        <v>0</v>
      </c>
      <c r="W69" s="431">
        <v>0</v>
      </c>
      <c r="X69" s="431">
        <v>73484</v>
      </c>
      <c r="Y69" s="431">
        <v>30240</v>
      </c>
      <c r="Z69" s="431">
        <v>2699645</v>
      </c>
      <c r="AA69" s="431">
        <v>352832</v>
      </c>
      <c r="AB69" s="431">
        <v>0</v>
      </c>
      <c r="AC69" s="431">
        <v>1122844</v>
      </c>
      <c r="AD69" s="431">
        <v>48851</v>
      </c>
      <c r="AE69" s="431">
        <v>1651682</v>
      </c>
      <c r="AF69" s="431">
        <v>0</v>
      </c>
      <c r="AG69" s="431">
        <v>164561</v>
      </c>
      <c r="AH69" s="431">
        <v>262640</v>
      </c>
      <c r="AI69" s="431">
        <v>71744</v>
      </c>
      <c r="AJ69" s="431">
        <v>181635</v>
      </c>
      <c r="AK69" s="431">
        <v>0</v>
      </c>
      <c r="AL69" s="431">
        <v>2408386</v>
      </c>
      <c r="AM69" s="431"/>
      <c r="AN69" s="203"/>
    </row>
    <row r="70" spans="1:40" s="155" customFormat="1" ht="12" x14ac:dyDescent="0.2">
      <c r="A70" s="205">
        <v>16</v>
      </c>
      <c r="B70" s="304" t="s">
        <v>267</v>
      </c>
      <c r="C70" s="238" t="s">
        <v>268</v>
      </c>
      <c r="D70" s="432">
        <f t="shared" si="7"/>
        <v>3927381</v>
      </c>
      <c r="E70" s="431">
        <v>714131</v>
      </c>
      <c r="F70" s="431">
        <v>103966</v>
      </c>
      <c r="G70" s="431">
        <v>320219</v>
      </c>
      <c r="H70" s="431">
        <v>0</v>
      </c>
      <c r="I70" s="431">
        <v>1616467</v>
      </c>
      <c r="J70" s="431">
        <v>0</v>
      </c>
      <c r="K70" s="431">
        <v>1071735</v>
      </c>
      <c r="L70" s="431">
        <v>0</v>
      </c>
      <c r="M70" s="431">
        <v>80330</v>
      </c>
      <c r="N70" s="431">
        <v>444718</v>
      </c>
      <c r="O70" s="431"/>
      <c r="P70" s="432">
        <f t="shared" si="2"/>
        <v>3876485</v>
      </c>
      <c r="Q70" s="431">
        <v>1734630</v>
      </c>
      <c r="R70" s="431">
        <v>977662</v>
      </c>
      <c r="S70" s="431">
        <v>0</v>
      </c>
      <c r="T70" s="431">
        <v>0</v>
      </c>
      <c r="U70" s="431">
        <v>0</v>
      </c>
      <c r="V70" s="431">
        <v>105206</v>
      </c>
      <c r="W70" s="431">
        <v>544722</v>
      </c>
      <c r="X70" s="431">
        <v>241044</v>
      </c>
      <c r="Y70" s="431">
        <v>55000</v>
      </c>
      <c r="Z70" s="431">
        <v>221346</v>
      </c>
      <c r="AA70" s="431">
        <v>0</v>
      </c>
      <c r="AB70" s="431">
        <v>-3125</v>
      </c>
      <c r="AC70" s="431">
        <v>759578</v>
      </c>
      <c r="AD70" s="431">
        <v>3500</v>
      </c>
      <c r="AE70" s="431">
        <v>1675313</v>
      </c>
      <c r="AF70" s="431">
        <v>0</v>
      </c>
      <c r="AG70" s="431">
        <v>198972</v>
      </c>
      <c r="AH70" s="431">
        <v>384145</v>
      </c>
      <c r="AI70" s="431">
        <v>308842</v>
      </c>
      <c r="AJ70" s="431">
        <v>265228</v>
      </c>
      <c r="AK70" s="431">
        <v>0</v>
      </c>
      <c r="AL70" s="431">
        <v>280907</v>
      </c>
      <c r="AM70" s="431"/>
      <c r="AN70" s="203"/>
    </row>
    <row r="71" spans="1:40" s="155" customFormat="1" ht="12" x14ac:dyDescent="0.2">
      <c r="A71" s="205">
        <v>17</v>
      </c>
      <c r="B71" s="304" t="s">
        <v>269</v>
      </c>
      <c r="C71" s="238" t="s">
        <v>270</v>
      </c>
      <c r="D71" s="432">
        <f t="shared" si="7"/>
        <v>7853257</v>
      </c>
      <c r="E71" s="431">
        <v>1862787</v>
      </c>
      <c r="F71" s="431">
        <v>134287</v>
      </c>
      <c r="G71" s="431">
        <v>109099</v>
      </c>
      <c r="H71" s="431">
        <v>0</v>
      </c>
      <c r="I71" s="431">
        <v>786966</v>
      </c>
      <c r="J71" s="431">
        <v>0</v>
      </c>
      <c r="K71" s="431">
        <v>553611</v>
      </c>
      <c r="L71" s="431">
        <v>0</v>
      </c>
      <c r="M71" s="431">
        <v>1555210</v>
      </c>
      <c r="N71" s="431">
        <v>3091883</v>
      </c>
      <c r="O71" s="431">
        <v>2800</v>
      </c>
      <c r="P71" s="432">
        <f t="shared" si="2"/>
        <v>8398645</v>
      </c>
      <c r="Q71" s="431">
        <v>1310838</v>
      </c>
      <c r="R71" s="431">
        <v>802666</v>
      </c>
      <c r="S71" s="431">
        <v>30334</v>
      </c>
      <c r="T71" s="431">
        <v>0</v>
      </c>
      <c r="U71" s="431">
        <v>0</v>
      </c>
      <c r="V71" s="431">
        <v>6000</v>
      </c>
      <c r="W71" s="431">
        <v>2754068</v>
      </c>
      <c r="X71" s="431">
        <v>95141</v>
      </c>
      <c r="Y71" s="431">
        <v>0</v>
      </c>
      <c r="Z71" s="431">
        <v>895620</v>
      </c>
      <c r="AA71" s="431">
        <v>2503978</v>
      </c>
      <c r="AB71" s="431">
        <v>0</v>
      </c>
      <c r="AC71" s="431">
        <v>834431</v>
      </c>
      <c r="AD71" s="431">
        <v>11946</v>
      </c>
      <c r="AE71" s="431">
        <v>697967</v>
      </c>
      <c r="AF71" s="431">
        <v>5933</v>
      </c>
      <c r="AG71" s="431">
        <v>291362</v>
      </c>
      <c r="AH71" s="431">
        <v>138623</v>
      </c>
      <c r="AI71" s="431">
        <v>771306</v>
      </c>
      <c r="AJ71" s="431">
        <v>109894</v>
      </c>
      <c r="AK71" s="431">
        <v>0</v>
      </c>
      <c r="AL71" s="431">
        <v>5537183</v>
      </c>
      <c r="AM71" s="431"/>
      <c r="AN71" s="203"/>
    </row>
    <row r="72" spans="1:40" s="155" customFormat="1" ht="12" x14ac:dyDescent="0.2">
      <c r="A72" s="205">
        <v>18</v>
      </c>
      <c r="B72" s="304" t="s">
        <v>271</v>
      </c>
      <c r="C72" s="238" t="s">
        <v>272</v>
      </c>
      <c r="D72" s="432">
        <f t="shared" si="7"/>
        <v>3536755</v>
      </c>
      <c r="E72" s="431">
        <v>638053</v>
      </c>
      <c r="F72" s="431">
        <v>91028</v>
      </c>
      <c r="G72" s="431">
        <v>228679</v>
      </c>
      <c r="H72" s="431">
        <v>0</v>
      </c>
      <c r="I72" s="431">
        <v>1532369</v>
      </c>
      <c r="J72" s="431">
        <v>0</v>
      </c>
      <c r="K72" s="431">
        <v>977055</v>
      </c>
      <c r="L72" s="431">
        <v>0</v>
      </c>
      <c r="M72" s="431">
        <v>114422</v>
      </c>
      <c r="N72" s="431">
        <v>274856</v>
      </c>
      <c r="O72" s="431"/>
      <c r="P72" s="432">
        <f t="shared" si="2"/>
        <v>3537293</v>
      </c>
      <c r="Q72" s="431">
        <v>1851818</v>
      </c>
      <c r="R72" s="431">
        <v>905554</v>
      </c>
      <c r="S72" s="431">
        <v>0</v>
      </c>
      <c r="T72" s="431">
        <v>40000</v>
      </c>
      <c r="U72" s="431">
        <v>0</v>
      </c>
      <c r="V72" s="431">
        <v>1054</v>
      </c>
      <c r="W72" s="431">
        <v>301446</v>
      </c>
      <c r="X72" s="431">
        <v>127316</v>
      </c>
      <c r="Y72" s="431">
        <v>31800</v>
      </c>
      <c r="Z72" s="431">
        <v>157305</v>
      </c>
      <c r="AA72" s="431">
        <v>121000</v>
      </c>
      <c r="AB72" s="431">
        <v>0</v>
      </c>
      <c r="AC72" s="431">
        <v>857313</v>
      </c>
      <c r="AD72" s="431">
        <v>0</v>
      </c>
      <c r="AE72" s="431">
        <v>1250275</v>
      </c>
      <c r="AF72" s="431">
        <v>47013</v>
      </c>
      <c r="AG72" s="431">
        <v>108600</v>
      </c>
      <c r="AH72" s="431">
        <v>369814</v>
      </c>
      <c r="AI72" s="431">
        <v>386324</v>
      </c>
      <c r="AJ72" s="431">
        <v>51020</v>
      </c>
      <c r="AK72" s="431">
        <v>0</v>
      </c>
      <c r="AL72" s="431">
        <v>460496</v>
      </c>
      <c r="AM72" s="431">
        <v>6438</v>
      </c>
      <c r="AN72" s="203"/>
    </row>
    <row r="73" spans="1:40" s="155" customFormat="1" ht="12" x14ac:dyDescent="0.2">
      <c r="A73" s="205">
        <v>19</v>
      </c>
      <c r="B73" s="304" t="s">
        <v>273</v>
      </c>
      <c r="C73" s="238" t="s">
        <v>274</v>
      </c>
      <c r="D73" s="432">
        <f t="shared" si="7"/>
        <v>3365410</v>
      </c>
      <c r="E73" s="431">
        <v>965148</v>
      </c>
      <c r="F73" s="431">
        <v>215751</v>
      </c>
      <c r="G73" s="431">
        <v>173109</v>
      </c>
      <c r="H73" s="431">
        <v>0</v>
      </c>
      <c r="I73" s="431">
        <v>1105815</v>
      </c>
      <c r="J73" s="431">
        <v>0</v>
      </c>
      <c r="K73" s="431">
        <v>626350</v>
      </c>
      <c r="L73" s="431">
        <v>0</v>
      </c>
      <c r="M73" s="431">
        <v>265747</v>
      </c>
      <c r="N73" s="431">
        <v>221920</v>
      </c>
      <c r="O73" s="431">
        <v>180430</v>
      </c>
      <c r="P73" s="432">
        <f t="shared" si="2"/>
        <v>3362816</v>
      </c>
      <c r="Q73" s="431">
        <v>1453513</v>
      </c>
      <c r="R73" s="431">
        <v>1278995</v>
      </c>
      <c r="S73" s="431">
        <v>11000</v>
      </c>
      <c r="T73" s="431">
        <v>0</v>
      </c>
      <c r="U73" s="431">
        <v>0</v>
      </c>
      <c r="V73" s="431">
        <v>0</v>
      </c>
      <c r="W73" s="431">
        <v>259960</v>
      </c>
      <c r="X73" s="431">
        <v>78142</v>
      </c>
      <c r="Y73" s="431">
        <v>0</v>
      </c>
      <c r="Z73" s="431">
        <v>104761</v>
      </c>
      <c r="AA73" s="431">
        <v>176445</v>
      </c>
      <c r="AB73" s="431">
        <v>0</v>
      </c>
      <c r="AC73" s="431">
        <v>1012672</v>
      </c>
      <c r="AD73" s="431">
        <v>20000</v>
      </c>
      <c r="AE73" s="431">
        <v>1021793</v>
      </c>
      <c r="AF73" s="431">
        <v>23725</v>
      </c>
      <c r="AG73" s="431">
        <v>66032</v>
      </c>
      <c r="AH73" s="431">
        <v>156597</v>
      </c>
      <c r="AI73" s="431">
        <v>564175</v>
      </c>
      <c r="AJ73" s="431">
        <v>0</v>
      </c>
      <c r="AK73" s="431">
        <v>0</v>
      </c>
      <c r="AL73" s="431">
        <v>497822</v>
      </c>
      <c r="AM73" s="431"/>
      <c r="AN73" s="203"/>
    </row>
    <row r="74" spans="1:40" s="155" customFormat="1" ht="12" x14ac:dyDescent="0.2">
      <c r="A74" s="205">
        <v>20</v>
      </c>
      <c r="B74" s="304" t="s">
        <v>275</v>
      </c>
      <c r="C74" s="238" t="s">
        <v>276</v>
      </c>
      <c r="D74" s="432">
        <f t="shared" si="7"/>
        <v>3934832</v>
      </c>
      <c r="E74" s="431">
        <v>750133</v>
      </c>
      <c r="F74" s="431">
        <v>115546</v>
      </c>
      <c r="G74" s="431">
        <v>311309</v>
      </c>
      <c r="H74" s="431">
        <v>0</v>
      </c>
      <c r="I74" s="431">
        <v>1433252</v>
      </c>
      <c r="J74" s="431">
        <v>0</v>
      </c>
      <c r="K74" s="431">
        <v>907570</v>
      </c>
      <c r="L74" s="431">
        <v>0</v>
      </c>
      <c r="M74" s="431">
        <v>650416</v>
      </c>
      <c r="N74" s="431">
        <v>193461</v>
      </c>
      <c r="O74" s="431"/>
      <c r="P74" s="432">
        <f t="shared" si="2"/>
        <v>4312114</v>
      </c>
      <c r="Q74" s="431">
        <v>1641875</v>
      </c>
      <c r="R74" s="431">
        <v>562677</v>
      </c>
      <c r="S74" s="431">
        <v>0</v>
      </c>
      <c r="T74" s="431">
        <v>0</v>
      </c>
      <c r="U74" s="431">
        <v>0</v>
      </c>
      <c r="V74" s="431">
        <v>12200</v>
      </c>
      <c r="W74" s="431">
        <v>1665431</v>
      </c>
      <c r="X74" s="431">
        <v>175060</v>
      </c>
      <c r="Y74" s="431">
        <v>9800</v>
      </c>
      <c r="Z74" s="431">
        <v>245071</v>
      </c>
      <c r="AA74" s="431">
        <v>0</v>
      </c>
      <c r="AB74" s="431">
        <v>0</v>
      </c>
      <c r="AC74" s="431">
        <v>614351</v>
      </c>
      <c r="AD74" s="431">
        <v>2036</v>
      </c>
      <c r="AE74" s="431">
        <v>1283905</v>
      </c>
      <c r="AF74" s="431">
        <v>25270</v>
      </c>
      <c r="AG74" s="431">
        <v>134730</v>
      </c>
      <c r="AH74" s="431">
        <v>354089</v>
      </c>
      <c r="AI74" s="431">
        <v>94664</v>
      </c>
      <c r="AJ74" s="431">
        <v>40605</v>
      </c>
      <c r="AK74" s="431">
        <v>0</v>
      </c>
      <c r="AL74" s="431">
        <v>1762464</v>
      </c>
      <c r="AM74" s="431"/>
      <c r="AN74" s="203"/>
    </row>
    <row r="75" spans="1:40" s="155" customFormat="1" ht="12" x14ac:dyDescent="0.2">
      <c r="A75" s="205">
        <v>21</v>
      </c>
      <c r="B75" s="304" t="s">
        <v>277</v>
      </c>
      <c r="C75" s="238" t="s">
        <v>278</v>
      </c>
      <c r="D75" s="432">
        <f t="shared" si="7"/>
        <v>11741463</v>
      </c>
      <c r="E75" s="431">
        <v>2549730</v>
      </c>
      <c r="F75" s="431">
        <v>858391</v>
      </c>
      <c r="G75" s="431">
        <v>413484</v>
      </c>
      <c r="H75" s="431">
        <v>0</v>
      </c>
      <c r="I75" s="431">
        <v>3975860</v>
      </c>
      <c r="J75" s="431">
        <v>0</v>
      </c>
      <c r="K75" s="431">
        <v>1116364</v>
      </c>
      <c r="L75" s="431">
        <v>0</v>
      </c>
      <c r="M75" s="431">
        <v>2993774</v>
      </c>
      <c r="N75" s="431">
        <v>1055167</v>
      </c>
      <c r="O75" s="431">
        <v>50568</v>
      </c>
      <c r="P75" s="432">
        <f t="shared" si="2"/>
        <v>12061040</v>
      </c>
      <c r="Q75" s="431">
        <v>3937802</v>
      </c>
      <c r="R75" s="431">
        <v>1765571</v>
      </c>
      <c r="S75" s="431">
        <v>52900</v>
      </c>
      <c r="T75" s="431">
        <v>0</v>
      </c>
      <c r="U75" s="431">
        <v>0</v>
      </c>
      <c r="V75" s="431">
        <v>238330</v>
      </c>
      <c r="W75" s="431">
        <v>1842841</v>
      </c>
      <c r="X75" s="431">
        <v>514219</v>
      </c>
      <c r="Y75" s="431">
        <v>145496</v>
      </c>
      <c r="Z75" s="431">
        <v>3521181</v>
      </c>
      <c r="AA75" s="431">
        <v>42700</v>
      </c>
      <c r="AB75" s="431">
        <v>0</v>
      </c>
      <c r="AC75" s="431">
        <v>901181</v>
      </c>
      <c r="AD75" s="431">
        <v>105926</v>
      </c>
      <c r="AE75" s="431">
        <v>5052234</v>
      </c>
      <c r="AF75" s="431">
        <v>21234</v>
      </c>
      <c r="AG75" s="431">
        <v>264852</v>
      </c>
      <c r="AH75" s="431">
        <v>601278</v>
      </c>
      <c r="AI75" s="431">
        <v>2102275</v>
      </c>
      <c r="AJ75" s="431">
        <v>729034</v>
      </c>
      <c r="AK75" s="431">
        <v>0</v>
      </c>
      <c r="AL75" s="431">
        <v>1369088</v>
      </c>
      <c r="AM75" s="431">
        <v>913938</v>
      </c>
      <c r="AN75" s="203"/>
    </row>
    <row r="76" spans="1:40" s="155" customFormat="1" ht="12" x14ac:dyDescent="0.2">
      <c r="A76" s="205">
        <v>22</v>
      </c>
      <c r="B76" s="304" t="s">
        <v>279</v>
      </c>
      <c r="C76" s="238" t="s">
        <v>280</v>
      </c>
      <c r="D76" s="432">
        <f t="shared" si="7"/>
        <v>7007249</v>
      </c>
      <c r="E76" s="431">
        <v>5068361</v>
      </c>
      <c r="F76" s="431">
        <v>79173</v>
      </c>
      <c r="G76" s="431">
        <v>211567</v>
      </c>
      <c r="H76" s="431">
        <v>0</v>
      </c>
      <c r="I76" s="431">
        <v>677567</v>
      </c>
      <c r="J76" s="431">
        <v>0</v>
      </c>
      <c r="K76" s="431">
        <v>605856</v>
      </c>
      <c r="L76" s="431">
        <v>0</v>
      </c>
      <c r="M76" s="431">
        <v>645835</v>
      </c>
      <c r="N76" s="431">
        <v>9630</v>
      </c>
      <c r="O76" s="431"/>
      <c r="P76" s="432">
        <f t="shared" si="2"/>
        <v>4481273</v>
      </c>
      <c r="Q76" s="431">
        <v>1021306</v>
      </c>
      <c r="R76" s="431">
        <v>1853604</v>
      </c>
      <c r="S76" s="431">
        <v>0</v>
      </c>
      <c r="T76" s="431">
        <v>0</v>
      </c>
      <c r="U76" s="431">
        <v>0</v>
      </c>
      <c r="V76" s="431">
        <v>3868</v>
      </c>
      <c r="W76" s="431">
        <v>145415</v>
      </c>
      <c r="X76" s="431">
        <v>35960</v>
      </c>
      <c r="Y76" s="431">
        <v>82022</v>
      </c>
      <c r="Z76" s="431">
        <v>1339098</v>
      </c>
      <c r="AA76" s="431">
        <v>0</v>
      </c>
      <c r="AB76" s="431">
        <v>0</v>
      </c>
      <c r="AC76" s="431">
        <v>664045</v>
      </c>
      <c r="AD76" s="431">
        <v>7951</v>
      </c>
      <c r="AE76" s="431">
        <v>645063</v>
      </c>
      <c r="AF76" s="431">
        <v>0</v>
      </c>
      <c r="AG76" s="431">
        <v>264869</v>
      </c>
      <c r="AH76" s="431">
        <v>94396</v>
      </c>
      <c r="AI76" s="431">
        <v>432983</v>
      </c>
      <c r="AJ76" s="431">
        <v>96183</v>
      </c>
      <c r="AK76" s="431">
        <v>0</v>
      </c>
      <c r="AL76" s="431">
        <v>961310</v>
      </c>
      <c r="AM76" s="431">
        <v>1314473</v>
      </c>
      <c r="AN76" s="203"/>
    </row>
    <row r="77" spans="1:40" s="155" customFormat="1" ht="12" x14ac:dyDescent="0.2">
      <c r="A77" s="205">
        <v>23</v>
      </c>
      <c r="B77" s="304" t="s">
        <v>281</v>
      </c>
      <c r="C77" s="238" t="s">
        <v>282</v>
      </c>
      <c r="D77" s="432">
        <f t="shared" si="7"/>
        <v>3686899</v>
      </c>
      <c r="E77" s="431">
        <v>1613063</v>
      </c>
      <c r="F77" s="431">
        <v>856382</v>
      </c>
      <c r="G77" s="431">
        <v>123849</v>
      </c>
      <c r="H77" s="431">
        <v>0</v>
      </c>
      <c r="I77" s="431">
        <v>1162982</v>
      </c>
      <c r="J77" s="431">
        <v>0</v>
      </c>
      <c r="K77" s="431">
        <v>416592</v>
      </c>
      <c r="L77" s="431">
        <v>0</v>
      </c>
      <c r="M77" s="431">
        <v>494262</v>
      </c>
      <c r="N77" s="431">
        <v>0</v>
      </c>
      <c r="O77" s="431"/>
      <c r="P77" s="432">
        <f t="shared" si="2"/>
        <v>3235844</v>
      </c>
      <c r="Q77" s="431">
        <v>1356396</v>
      </c>
      <c r="R77" s="431">
        <v>878573</v>
      </c>
      <c r="S77" s="431">
        <v>0</v>
      </c>
      <c r="T77" s="431">
        <v>0</v>
      </c>
      <c r="U77" s="431">
        <v>0</v>
      </c>
      <c r="V77" s="431">
        <v>0</v>
      </c>
      <c r="W77" s="431">
        <v>0</v>
      </c>
      <c r="X77" s="431">
        <v>129055</v>
      </c>
      <c r="Y77" s="431">
        <v>5000</v>
      </c>
      <c r="Z77" s="431">
        <v>866820</v>
      </c>
      <c r="AA77" s="431">
        <v>0</v>
      </c>
      <c r="AB77" s="431">
        <v>0</v>
      </c>
      <c r="AC77" s="431">
        <v>711678</v>
      </c>
      <c r="AD77" s="431">
        <v>4444</v>
      </c>
      <c r="AE77" s="431">
        <v>1201984</v>
      </c>
      <c r="AF77" s="431">
        <v>12689</v>
      </c>
      <c r="AG77" s="431">
        <v>256777</v>
      </c>
      <c r="AH77" s="431">
        <v>184983</v>
      </c>
      <c r="AI77" s="431">
        <v>339736</v>
      </c>
      <c r="AJ77" s="431">
        <v>63203</v>
      </c>
      <c r="AK77" s="431">
        <v>0</v>
      </c>
      <c r="AL77" s="431">
        <v>325741</v>
      </c>
      <c r="AM77" s="431">
        <v>134609</v>
      </c>
      <c r="AN77" s="203"/>
    </row>
    <row r="78" spans="1:40" s="155" customFormat="1" ht="12" x14ac:dyDescent="0.2">
      <c r="A78" s="205">
        <v>24</v>
      </c>
      <c r="B78" s="304" t="s">
        <v>283</v>
      </c>
      <c r="C78" s="238" t="s">
        <v>284</v>
      </c>
      <c r="D78" s="432">
        <f t="shared" si="7"/>
        <v>11343812</v>
      </c>
      <c r="E78" s="431">
        <v>1783272</v>
      </c>
      <c r="F78" s="431">
        <v>495220</v>
      </c>
      <c r="G78" s="431">
        <v>219316</v>
      </c>
      <c r="H78" s="431">
        <v>0</v>
      </c>
      <c r="I78" s="431">
        <v>2795675</v>
      </c>
      <c r="J78" s="431">
        <v>0</v>
      </c>
      <c r="K78" s="431">
        <v>600512</v>
      </c>
      <c r="L78" s="431">
        <v>0</v>
      </c>
      <c r="M78" s="431">
        <v>439979</v>
      </c>
      <c r="N78" s="431">
        <v>5724374</v>
      </c>
      <c r="O78" s="431"/>
      <c r="P78" s="432">
        <f t="shared" si="2"/>
        <v>7724616</v>
      </c>
      <c r="Q78" s="431">
        <v>2979622</v>
      </c>
      <c r="R78" s="431">
        <v>1157949</v>
      </c>
      <c r="S78" s="431">
        <v>12636</v>
      </c>
      <c r="T78" s="431">
        <v>0</v>
      </c>
      <c r="U78" s="431">
        <v>0</v>
      </c>
      <c r="V78" s="431">
        <v>22000</v>
      </c>
      <c r="W78" s="431">
        <v>2687568</v>
      </c>
      <c r="X78" s="431">
        <v>440505</v>
      </c>
      <c r="Y78" s="431">
        <v>10988</v>
      </c>
      <c r="Z78" s="431">
        <v>374894</v>
      </c>
      <c r="AA78" s="431">
        <v>64900</v>
      </c>
      <c r="AB78" s="431">
        <v>-26446</v>
      </c>
      <c r="AC78" s="431">
        <v>985111</v>
      </c>
      <c r="AD78" s="431">
        <v>17194</v>
      </c>
      <c r="AE78" s="431">
        <v>2493282</v>
      </c>
      <c r="AF78" s="431">
        <v>0</v>
      </c>
      <c r="AG78" s="431">
        <v>141989</v>
      </c>
      <c r="AH78" s="431">
        <v>533667</v>
      </c>
      <c r="AI78" s="431">
        <v>473589</v>
      </c>
      <c r="AJ78" s="431">
        <v>173057</v>
      </c>
      <c r="AK78" s="431">
        <v>0</v>
      </c>
      <c r="AL78" s="431">
        <v>2900367</v>
      </c>
      <c r="AM78" s="431">
        <v>6360</v>
      </c>
      <c r="AN78" s="203"/>
    </row>
    <row r="79" spans="1:40" s="155" customFormat="1" ht="12" x14ac:dyDescent="0.2">
      <c r="A79" s="205">
        <v>25</v>
      </c>
      <c r="B79" s="304" t="s">
        <v>285</v>
      </c>
      <c r="C79" s="238" t="s">
        <v>286</v>
      </c>
      <c r="D79" s="432">
        <f t="shared" si="7"/>
        <v>3827736</v>
      </c>
      <c r="E79" s="431">
        <v>784989</v>
      </c>
      <c r="F79" s="431">
        <v>143071</v>
      </c>
      <c r="G79" s="431">
        <v>322089</v>
      </c>
      <c r="H79" s="431">
        <v>0</v>
      </c>
      <c r="I79" s="431">
        <v>1844319</v>
      </c>
      <c r="J79" s="431">
        <v>0</v>
      </c>
      <c r="K79" s="431">
        <v>1062430</v>
      </c>
      <c r="L79" s="431">
        <v>0</v>
      </c>
      <c r="M79" s="431">
        <v>135998</v>
      </c>
      <c r="N79" s="431">
        <v>0</v>
      </c>
      <c r="O79" s="431"/>
      <c r="P79" s="432">
        <f t="shared" ref="P79:P142" si="9">IF(SUM(Q79:AB79)=SUM(AC79:AM79),SUM(Q79:AB79),"  EROARE ART/CAP")</f>
        <v>3472225</v>
      </c>
      <c r="Q79" s="431">
        <v>1941341</v>
      </c>
      <c r="R79" s="431">
        <v>899546</v>
      </c>
      <c r="S79" s="431">
        <v>31000</v>
      </c>
      <c r="T79" s="431">
        <v>0</v>
      </c>
      <c r="U79" s="431">
        <v>0</v>
      </c>
      <c r="V79" s="431">
        <v>0</v>
      </c>
      <c r="W79" s="431">
        <v>0</v>
      </c>
      <c r="X79" s="431">
        <v>272892</v>
      </c>
      <c r="Y79" s="431">
        <v>633</v>
      </c>
      <c r="Z79" s="431">
        <v>304003</v>
      </c>
      <c r="AA79" s="431">
        <v>22810</v>
      </c>
      <c r="AB79" s="431">
        <v>0</v>
      </c>
      <c r="AC79" s="431">
        <v>745069</v>
      </c>
      <c r="AD79" s="431">
        <v>971</v>
      </c>
      <c r="AE79" s="431">
        <v>1843271</v>
      </c>
      <c r="AF79" s="431">
        <v>21992</v>
      </c>
      <c r="AG79" s="431">
        <v>91260</v>
      </c>
      <c r="AH79" s="431">
        <v>272892</v>
      </c>
      <c r="AI79" s="431">
        <v>265800</v>
      </c>
      <c r="AJ79" s="431">
        <v>65692</v>
      </c>
      <c r="AK79" s="431">
        <v>0</v>
      </c>
      <c r="AL79" s="431">
        <v>135278</v>
      </c>
      <c r="AM79" s="431">
        <v>30000</v>
      </c>
      <c r="AN79" s="203"/>
    </row>
    <row r="80" spans="1:40" s="155" customFormat="1" ht="12" x14ac:dyDescent="0.2">
      <c r="A80" s="205">
        <v>26</v>
      </c>
      <c r="B80" s="304" t="s">
        <v>287</v>
      </c>
      <c r="C80" s="238" t="s">
        <v>288</v>
      </c>
      <c r="D80" s="432">
        <f t="shared" si="7"/>
        <v>4199830</v>
      </c>
      <c r="E80" s="431">
        <v>1173555</v>
      </c>
      <c r="F80" s="431">
        <v>205238</v>
      </c>
      <c r="G80" s="431">
        <v>235068</v>
      </c>
      <c r="H80" s="431">
        <v>0</v>
      </c>
      <c r="I80" s="431">
        <v>1051177</v>
      </c>
      <c r="J80" s="431">
        <v>0</v>
      </c>
      <c r="K80" s="431">
        <v>954231</v>
      </c>
      <c r="L80" s="431">
        <v>0</v>
      </c>
      <c r="M80" s="431">
        <v>247376</v>
      </c>
      <c r="N80" s="431">
        <v>773491</v>
      </c>
      <c r="O80" s="431"/>
      <c r="P80" s="432">
        <f t="shared" si="9"/>
        <v>3935584</v>
      </c>
      <c r="Q80" s="431">
        <v>1321695</v>
      </c>
      <c r="R80" s="431">
        <v>974138</v>
      </c>
      <c r="S80" s="431">
        <v>0</v>
      </c>
      <c r="T80" s="431">
        <v>0</v>
      </c>
      <c r="U80" s="431">
        <v>0</v>
      </c>
      <c r="V80" s="431">
        <v>4852</v>
      </c>
      <c r="W80" s="431">
        <v>1032688</v>
      </c>
      <c r="X80" s="431">
        <v>106702</v>
      </c>
      <c r="Y80" s="431">
        <v>11500</v>
      </c>
      <c r="Z80" s="431">
        <v>499409</v>
      </c>
      <c r="AA80" s="431">
        <v>0</v>
      </c>
      <c r="AB80" s="431">
        <v>-15400</v>
      </c>
      <c r="AC80" s="431">
        <v>529387</v>
      </c>
      <c r="AD80" s="431">
        <v>23813</v>
      </c>
      <c r="AE80" s="431">
        <v>1000981</v>
      </c>
      <c r="AF80" s="431">
        <v>23509</v>
      </c>
      <c r="AG80" s="431">
        <v>452545</v>
      </c>
      <c r="AH80" s="431">
        <v>169442</v>
      </c>
      <c r="AI80" s="431">
        <v>1207869</v>
      </c>
      <c r="AJ80" s="431">
        <v>101856</v>
      </c>
      <c r="AK80" s="431">
        <v>0</v>
      </c>
      <c r="AL80" s="431">
        <v>425699</v>
      </c>
      <c r="AM80" s="431">
        <v>483</v>
      </c>
      <c r="AN80" s="203"/>
    </row>
    <row r="81" spans="1:40" s="155" customFormat="1" ht="12" x14ac:dyDescent="0.2">
      <c r="A81" s="205">
        <v>27</v>
      </c>
      <c r="B81" s="304" t="s">
        <v>289</v>
      </c>
      <c r="C81" s="238" t="s">
        <v>290</v>
      </c>
      <c r="D81" s="432">
        <f t="shared" si="7"/>
        <v>11205640</v>
      </c>
      <c r="E81" s="431">
        <v>6546894</v>
      </c>
      <c r="F81" s="431">
        <v>1380989</v>
      </c>
      <c r="G81" s="431">
        <v>24969</v>
      </c>
      <c r="H81" s="431">
        <v>0</v>
      </c>
      <c r="I81" s="431">
        <v>3155995</v>
      </c>
      <c r="J81" s="431">
        <v>0</v>
      </c>
      <c r="K81" s="431">
        <v>98770</v>
      </c>
      <c r="L81" s="431">
        <v>0</v>
      </c>
      <c r="M81" s="431">
        <v>726281</v>
      </c>
      <c r="N81" s="431">
        <v>468001</v>
      </c>
      <c r="O81" s="431">
        <v>209699</v>
      </c>
      <c r="P81" s="432">
        <f t="shared" si="9"/>
        <v>8825133</v>
      </c>
      <c r="Q81" s="431">
        <v>3509862</v>
      </c>
      <c r="R81" s="431">
        <v>2030986</v>
      </c>
      <c r="S81" s="431">
        <v>0</v>
      </c>
      <c r="T81" s="431">
        <v>0</v>
      </c>
      <c r="U81" s="431">
        <v>0</v>
      </c>
      <c r="V81" s="431">
        <v>3838</v>
      </c>
      <c r="W81" s="431">
        <v>598268</v>
      </c>
      <c r="X81" s="431">
        <v>139082</v>
      </c>
      <c r="Y81" s="431">
        <v>215000</v>
      </c>
      <c r="Z81" s="431">
        <v>2328097</v>
      </c>
      <c r="AA81" s="431">
        <v>0</v>
      </c>
      <c r="AB81" s="431">
        <v>0</v>
      </c>
      <c r="AC81" s="431">
        <v>972320</v>
      </c>
      <c r="AD81" s="431">
        <v>598268</v>
      </c>
      <c r="AE81" s="431">
        <v>4125055</v>
      </c>
      <c r="AF81" s="431">
        <v>0</v>
      </c>
      <c r="AG81" s="431">
        <v>393040</v>
      </c>
      <c r="AH81" s="431">
        <v>359591</v>
      </c>
      <c r="AI81" s="431">
        <v>506769</v>
      </c>
      <c r="AJ81" s="431">
        <v>485007</v>
      </c>
      <c r="AK81" s="431">
        <v>0</v>
      </c>
      <c r="AL81" s="431">
        <v>853481</v>
      </c>
      <c r="AM81" s="431">
        <v>531602</v>
      </c>
      <c r="AN81" s="203"/>
    </row>
    <row r="82" spans="1:40" s="155" customFormat="1" ht="12" x14ac:dyDescent="0.2">
      <c r="A82" s="205">
        <v>28</v>
      </c>
      <c r="B82" s="304" t="s">
        <v>291</v>
      </c>
      <c r="C82" s="238" t="s">
        <v>292</v>
      </c>
      <c r="D82" s="432">
        <f t="shared" si="7"/>
        <v>6096701</v>
      </c>
      <c r="E82" s="431">
        <v>1465730</v>
      </c>
      <c r="F82" s="431">
        <v>675916</v>
      </c>
      <c r="G82" s="431">
        <v>30659</v>
      </c>
      <c r="H82" s="431">
        <v>0</v>
      </c>
      <c r="I82" s="431">
        <v>2135899</v>
      </c>
      <c r="J82" s="431">
        <v>0</v>
      </c>
      <c r="K82" s="431">
        <v>460188</v>
      </c>
      <c r="L82" s="431">
        <v>0</v>
      </c>
      <c r="M82" s="431">
        <v>1442993</v>
      </c>
      <c r="N82" s="431">
        <v>570691</v>
      </c>
      <c r="O82" s="431">
        <v>21200</v>
      </c>
      <c r="P82" s="432">
        <f t="shared" si="9"/>
        <v>6085757</v>
      </c>
      <c r="Q82" s="431">
        <v>2305234</v>
      </c>
      <c r="R82" s="431">
        <v>609952</v>
      </c>
      <c r="S82" s="431">
        <v>56189</v>
      </c>
      <c r="T82" s="431">
        <v>0</v>
      </c>
      <c r="U82" s="431">
        <v>0</v>
      </c>
      <c r="V82" s="431">
        <v>19674</v>
      </c>
      <c r="W82" s="431">
        <v>328188</v>
      </c>
      <c r="X82" s="431">
        <v>170380</v>
      </c>
      <c r="Y82" s="431">
        <v>0</v>
      </c>
      <c r="Z82" s="431">
        <v>1102561</v>
      </c>
      <c r="AA82" s="431">
        <v>1498635</v>
      </c>
      <c r="AB82" s="431">
        <v>-5056</v>
      </c>
      <c r="AC82" s="431">
        <v>629086</v>
      </c>
      <c r="AD82" s="431">
        <v>275731</v>
      </c>
      <c r="AE82" s="431">
        <v>1832655</v>
      </c>
      <c r="AF82" s="431">
        <v>22140</v>
      </c>
      <c r="AG82" s="431">
        <v>22569</v>
      </c>
      <c r="AH82" s="431">
        <v>402490</v>
      </c>
      <c r="AI82" s="431">
        <v>649668</v>
      </c>
      <c r="AJ82" s="431">
        <v>294944</v>
      </c>
      <c r="AK82" s="431">
        <v>0</v>
      </c>
      <c r="AL82" s="431">
        <v>1956474</v>
      </c>
      <c r="AM82" s="431"/>
      <c r="AN82" s="203"/>
    </row>
    <row r="83" spans="1:40" s="155" customFormat="1" ht="12" x14ac:dyDescent="0.2">
      <c r="A83" s="205">
        <v>29</v>
      </c>
      <c r="B83" s="304" t="s">
        <v>293</v>
      </c>
      <c r="C83" s="238" t="s">
        <v>294</v>
      </c>
      <c r="D83" s="432">
        <f t="shared" si="7"/>
        <v>4492764</v>
      </c>
      <c r="E83" s="431">
        <v>747283</v>
      </c>
      <c r="F83" s="431">
        <v>126284</v>
      </c>
      <c r="G83" s="431">
        <v>227609</v>
      </c>
      <c r="H83" s="431">
        <v>0</v>
      </c>
      <c r="I83" s="431">
        <v>1508989</v>
      </c>
      <c r="J83" s="431">
        <v>0</v>
      </c>
      <c r="K83" s="431">
        <v>832421</v>
      </c>
      <c r="L83" s="431">
        <v>0</v>
      </c>
      <c r="M83" s="431">
        <v>793129</v>
      </c>
      <c r="N83" s="431">
        <v>610942</v>
      </c>
      <c r="O83" s="431"/>
      <c r="P83" s="432">
        <f t="shared" si="9"/>
        <v>4464037</v>
      </c>
      <c r="Q83" s="431">
        <v>1796761</v>
      </c>
      <c r="R83" s="431">
        <v>793244</v>
      </c>
      <c r="S83" s="431">
        <v>13717</v>
      </c>
      <c r="T83" s="431">
        <v>0</v>
      </c>
      <c r="U83" s="431">
        <v>0</v>
      </c>
      <c r="V83" s="431">
        <v>0</v>
      </c>
      <c r="W83" s="431">
        <v>349963</v>
      </c>
      <c r="X83" s="431">
        <v>163348</v>
      </c>
      <c r="Y83" s="431">
        <v>0</v>
      </c>
      <c r="Z83" s="431">
        <v>794993</v>
      </c>
      <c r="AA83" s="431">
        <v>555730</v>
      </c>
      <c r="AB83" s="431">
        <v>-3719</v>
      </c>
      <c r="AC83" s="431">
        <v>711295</v>
      </c>
      <c r="AD83" s="431">
        <v>291510</v>
      </c>
      <c r="AE83" s="431">
        <v>1421938</v>
      </c>
      <c r="AF83" s="431">
        <v>21220</v>
      </c>
      <c r="AG83" s="431">
        <v>32011</v>
      </c>
      <c r="AH83" s="431">
        <v>343840</v>
      </c>
      <c r="AI83" s="431">
        <v>263356</v>
      </c>
      <c r="AJ83" s="431">
        <v>136771</v>
      </c>
      <c r="AK83" s="431">
        <v>0</v>
      </c>
      <c r="AL83" s="431">
        <v>1226175</v>
      </c>
      <c r="AM83" s="431">
        <v>15921</v>
      </c>
      <c r="AN83" s="203"/>
    </row>
    <row r="84" spans="1:40" s="155" customFormat="1" ht="12" x14ac:dyDescent="0.2">
      <c r="A84" s="205">
        <v>30</v>
      </c>
      <c r="B84" s="304" t="s">
        <v>295</v>
      </c>
      <c r="C84" s="238" t="s">
        <v>296</v>
      </c>
      <c r="D84" s="432">
        <f t="shared" si="7"/>
        <v>5447204</v>
      </c>
      <c r="E84" s="431">
        <v>942572</v>
      </c>
      <c r="F84" s="431">
        <v>263892</v>
      </c>
      <c r="G84" s="431">
        <v>274089</v>
      </c>
      <c r="H84" s="431">
        <v>0</v>
      </c>
      <c r="I84" s="431">
        <v>1368257</v>
      </c>
      <c r="J84" s="431">
        <v>0</v>
      </c>
      <c r="K84" s="431">
        <v>1108644</v>
      </c>
      <c r="L84" s="431">
        <v>0</v>
      </c>
      <c r="M84" s="431">
        <v>2010409</v>
      </c>
      <c r="N84" s="431">
        <v>0</v>
      </c>
      <c r="O84" s="431">
        <v>17322</v>
      </c>
      <c r="P84" s="432">
        <f t="shared" si="9"/>
        <v>5376260</v>
      </c>
      <c r="Q84" s="431">
        <v>1656499</v>
      </c>
      <c r="R84" s="431">
        <v>1098385</v>
      </c>
      <c r="S84" s="431">
        <v>10000</v>
      </c>
      <c r="T84" s="431">
        <v>0</v>
      </c>
      <c r="U84" s="431">
        <v>0</v>
      </c>
      <c r="V84" s="431">
        <v>0</v>
      </c>
      <c r="W84" s="431">
        <v>395924</v>
      </c>
      <c r="X84" s="431">
        <v>112905</v>
      </c>
      <c r="Y84" s="431">
        <v>10000</v>
      </c>
      <c r="Z84" s="431">
        <v>1801159</v>
      </c>
      <c r="AA84" s="431">
        <v>292212</v>
      </c>
      <c r="AB84" s="431">
        <v>-824</v>
      </c>
      <c r="AC84" s="431">
        <v>980288</v>
      </c>
      <c r="AD84" s="431">
        <v>19564</v>
      </c>
      <c r="AE84" s="431">
        <v>1189667</v>
      </c>
      <c r="AF84" s="431">
        <v>15761</v>
      </c>
      <c r="AG84" s="431">
        <v>337393</v>
      </c>
      <c r="AH84" s="431">
        <v>266349</v>
      </c>
      <c r="AI84" s="431">
        <v>350704</v>
      </c>
      <c r="AJ84" s="431">
        <v>74052</v>
      </c>
      <c r="AK84" s="431">
        <v>0</v>
      </c>
      <c r="AL84" s="431">
        <v>2142482</v>
      </c>
      <c r="AM84" s="431"/>
      <c r="AN84" s="203"/>
    </row>
    <row r="85" spans="1:40" s="155" customFormat="1" ht="12" x14ac:dyDescent="0.2">
      <c r="A85" s="205">
        <v>31</v>
      </c>
      <c r="B85" s="304" t="s">
        <v>297</v>
      </c>
      <c r="C85" s="238" t="s">
        <v>298</v>
      </c>
      <c r="D85" s="432">
        <f t="shared" si="7"/>
        <v>14590542</v>
      </c>
      <c r="E85" s="431">
        <v>2864194</v>
      </c>
      <c r="F85" s="431">
        <v>529658</v>
      </c>
      <c r="G85" s="431">
        <v>710739</v>
      </c>
      <c r="H85" s="431">
        <v>0</v>
      </c>
      <c r="I85" s="431">
        <v>6539052</v>
      </c>
      <c r="J85" s="431">
        <v>0</v>
      </c>
      <c r="K85" s="431">
        <v>2796122</v>
      </c>
      <c r="L85" s="431">
        <v>0</v>
      </c>
      <c r="M85" s="431">
        <v>1984227</v>
      </c>
      <c r="N85" s="431">
        <v>386947</v>
      </c>
      <c r="O85" s="431">
        <v>20000</v>
      </c>
      <c r="P85" s="432">
        <f t="shared" si="9"/>
        <v>14977678</v>
      </c>
      <c r="Q85" s="431">
        <v>6171941</v>
      </c>
      <c r="R85" s="431">
        <v>3740857</v>
      </c>
      <c r="S85" s="431">
        <v>419</v>
      </c>
      <c r="T85" s="431">
        <v>0</v>
      </c>
      <c r="U85" s="431">
        <v>736643</v>
      </c>
      <c r="V85" s="431">
        <v>12000</v>
      </c>
      <c r="W85" s="431">
        <v>618109</v>
      </c>
      <c r="X85" s="431">
        <v>514831</v>
      </c>
      <c r="Y85" s="431">
        <v>0</v>
      </c>
      <c r="Z85" s="431">
        <v>2992943</v>
      </c>
      <c r="AA85" s="431">
        <v>240581</v>
      </c>
      <c r="AB85" s="431">
        <v>-50646</v>
      </c>
      <c r="AC85" s="431">
        <v>1587302</v>
      </c>
      <c r="AD85" s="431">
        <v>18831</v>
      </c>
      <c r="AE85" s="431">
        <v>8318072</v>
      </c>
      <c r="AF85" s="431">
        <v>235260</v>
      </c>
      <c r="AG85" s="431">
        <v>122278</v>
      </c>
      <c r="AH85" s="431">
        <v>1452114</v>
      </c>
      <c r="AI85" s="431">
        <v>2568268</v>
      </c>
      <c r="AJ85" s="431">
        <v>399528</v>
      </c>
      <c r="AK85" s="431">
        <v>0</v>
      </c>
      <c r="AL85" s="431">
        <v>276025</v>
      </c>
      <c r="AM85" s="431"/>
      <c r="AN85" s="203"/>
    </row>
    <row r="86" spans="1:40" s="155" customFormat="1" ht="12" x14ac:dyDescent="0.2">
      <c r="A86" s="205">
        <v>32</v>
      </c>
      <c r="B86" s="304" t="s">
        <v>299</v>
      </c>
      <c r="C86" s="238" t="s">
        <v>300</v>
      </c>
      <c r="D86" s="432">
        <f t="shared" si="7"/>
        <v>3280455</v>
      </c>
      <c r="E86" s="431">
        <v>1048606</v>
      </c>
      <c r="F86" s="431">
        <v>273800</v>
      </c>
      <c r="G86" s="431">
        <v>228399</v>
      </c>
      <c r="H86" s="431">
        <v>0</v>
      </c>
      <c r="I86" s="431">
        <v>1096173</v>
      </c>
      <c r="J86" s="431">
        <v>0</v>
      </c>
      <c r="K86" s="431">
        <v>895118</v>
      </c>
      <c r="L86" s="431">
        <v>0</v>
      </c>
      <c r="M86" s="431">
        <v>222120</v>
      </c>
      <c r="N86" s="431">
        <v>0</v>
      </c>
      <c r="O86" s="431">
        <v>18438</v>
      </c>
      <c r="P86" s="432">
        <f t="shared" si="9"/>
        <v>3242713</v>
      </c>
      <c r="Q86" s="431">
        <v>1379833</v>
      </c>
      <c r="R86" s="431">
        <v>700464</v>
      </c>
      <c r="S86" s="431">
        <v>0</v>
      </c>
      <c r="T86" s="431">
        <v>0</v>
      </c>
      <c r="U86" s="431">
        <v>0</v>
      </c>
      <c r="V86" s="431">
        <v>113412</v>
      </c>
      <c r="W86" s="431">
        <v>0</v>
      </c>
      <c r="X86" s="431">
        <v>52267</v>
      </c>
      <c r="Y86" s="431">
        <v>37500</v>
      </c>
      <c r="Z86" s="431">
        <v>924007</v>
      </c>
      <c r="AA86" s="431">
        <v>35230</v>
      </c>
      <c r="AB86" s="431">
        <v>0</v>
      </c>
      <c r="AC86" s="431">
        <v>518273</v>
      </c>
      <c r="AD86" s="431">
        <v>0</v>
      </c>
      <c r="AE86" s="431">
        <v>1070016</v>
      </c>
      <c r="AF86" s="431">
        <v>0</v>
      </c>
      <c r="AG86" s="431">
        <v>37000</v>
      </c>
      <c r="AH86" s="431">
        <v>161611</v>
      </c>
      <c r="AI86" s="431">
        <v>666244</v>
      </c>
      <c r="AJ86" s="431">
        <v>175166</v>
      </c>
      <c r="AK86" s="431">
        <v>0</v>
      </c>
      <c r="AL86" s="431">
        <v>503220</v>
      </c>
      <c r="AM86" s="431">
        <v>111183</v>
      </c>
      <c r="AN86" s="203"/>
    </row>
    <row r="87" spans="1:40" s="155" customFormat="1" ht="12" x14ac:dyDescent="0.2">
      <c r="A87" s="205">
        <v>33</v>
      </c>
      <c r="B87" s="304" t="s">
        <v>301</v>
      </c>
      <c r="C87" s="238" t="s">
        <v>302</v>
      </c>
      <c r="D87" s="432">
        <f t="shared" si="7"/>
        <v>7219376</v>
      </c>
      <c r="E87" s="431">
        <v>1005331</v>
      </c>
      <c r="F87" s="431">
        <v>162416</v>
      </c>
      <c r="G87" s="431">
        <v>372547</v>
      </c>
      <c r="H87" s="431">
        <v>0</v>
      </c>
      <c r="I87" s="431">
        <v>2919905</v>
      </c>
      <c r="J87" s="431">
        <v>0</v>
      </c>
      <c r="K87" s="431">
        <v>1217176</v>
      </c>
      <c r="L87" s="431">
        <v>0</v>
      </c>
      <c r="M87" s="431">
        <v>886511</v>
      </c>
      <c r="N87" s="431">
        <v>1165825</v>
      </c>
      <c r="O87" s="431">
        <v>24628</v>
      </c>
      <c r="P87" s="432">
        <f t="shared" si="9"/>
        <v>7033966</v>
      </c>
      <c r="Q87" s="431">
        <v>2928914</v>
      </c>
      <c r="R87" s="431">
        <v>771617</v>
      </c>
      <c r="S87" s="431">
        <v>0</v>
      </c>
      <c r="T87" s="431">
        <v>0</v>
      </c>
      <c r="U87" s="431">
        <v>0</v>
      </c>
      <c r="V87" s="431">
        <v>12000</v>
      </c>
      <c r="W87" s="431">
        <v>2489238</v>
      </c>
      <c r="X87" s="431">
        <v>359249</v>
      </c>
      <c r="Y87" s="431">
        <v>36500</v>
      </c>
      <c r="Z87" s="431">
        <v>436448</v>
      </c>
      <c r="AA87" s="431">
        <v>0</v>
      </c>
      <c r="AB87" s="431">
        <v>0</v>
      </c>
      <c r="AC87" s="431">
        <v>903706</v>
      </c>
      <c r="AD87" s="431">
        <v>4433</v>
      </c>
      <c r="AE87" s="431">
        <v>2507068</v>
      </c>
      <c r="AF87" s="431">
        <v>0</v>
      </c>
      <c r="AG87" s="431">
        <v>132774</v>
      </c>
      <c r="AH87" s="431">
        <v>631712</v>
      </c>
      <c r="AI87" s="431">
        <v>127582</v>
      </c>
      <c r="AJ87" s="431">
        <v>142034</v>
      </c>
      <c r="AK87" s="431">
        <v>0</v>
      </c>
      <c r="AL87" s="431">
        <v>2584657</v>
      </c>
      <c r="AM87" s="431"/>
      <c r="AN87" s="203"/>
    </row>
    <row r="88" spans="1:40" s="155" customFormat="1" ht="12" x14ac:dyDescent="0.2">
      <c r="A88" s="205">
        <v>34</v>
      </c>
      <c r="B88" s="304" t="s">
        <v>303</v>
      </c>
      <c r="C88" s="238" t="s">
        <v>304</v>
      </c>
      <c r="D88" s="432">
        <f t="shared" si="7"/>
        <v>8900530</v>
      </c>
      <c r="E88" s="431">
        <v>1546507</v>
      </c>
      <c r="F88" s="431">
        <v>187584</v>
      </c>
      <c r="G88" s="431">
        <v>444465</v>
      </c>
      <c r="H88" s="431">
        <v>0</v>
      </c>
      <c r="I88" s="431">
        <v>2343249</v>
      </c>
      <c r="J88" s="431">
        <v>0</v>
      </c>
      <c r="K88" s="431">
        <v>1313584</v>
      </c>
      <c r="L88" s="431">
        <v>0</v>
      </c>
      <c r="M88" s="431">
        <v>3657720</v>
      </c>
      <c r="N88" s="431">
        <v>0</v>
      </c>
      <c r="O88" s="431">
        <v>39470</v>
      </c>
      <c r="P88" s="432">
        <f t="shared" si="9"/>
        <v>8851895</v>
      </c>
      <c r="Q88" s="431">
        <v>2376957</v>
      </c>
      <c r="R88" s="431">
        <v>1447733</v>
      </c>
      <c r="S88" s="431">
        <v>45641</v>
      </c>
      <c r="T88" s="431">
        <v>0</v>
      </c>
      <c r="U88" s="431">
        <v>0</v>
      </c>
      <c r="V88" s="431">
        <v>79993</v>
      </c>
      <c r="W88" s="431">
        <v>0</v>
      </c>
      <c r="X88" s="431">
        <v>580224</v>
      </c>
      <c r="Y88" s="431">
        <v>26317</v>
      </c>
      <c r="Z88" s="431">
        <v>4168558</v>
      </c>
      <c r="AA88" s="431">
        <v>138759</v>
      </c>
      <c r="AB88" s="431">
        <v>-12287</v>
      </c>
      <c r="AC88" s="431">
        <v>938143</v>
      </c>
      <c r="AD88" s="431">
        <v>6430</v>
      </c>
      <c r="AE88" s="431">
        <v>2389062</v>
      </c>
      <c r="AF88" s="431">
        <v>22893</v>
      </c>
      <c r="AG88" s="431">
        <v>301075</v>
      </c>
      <c r="AH88" s="431">
        <v>580224</v>
      </c>
      <c r="AI88" s="431">
        <v>243690</v>
      </c>
      <c r="AJ88" s="431">
        <v>436789</v>
      </c>
      <c r="AK88" s="431">
        <v>0</v>
      </c>
      <c r="AL88" s="431">
        <v>3918091</v>
      </c>
      <c r="AM88" s="431">
        <v>15498</v>
      </c>
      <c r="AN88" s="203"/>
    </row>
    <row r="89" spans="1:40" s="155" customFormat="1" ht="12" x14ac:dyDescent="0.2">
      <c r="A89" s="205">
        <v>35</v>
      </c>
      <c r="B89" s="304" t="s">
        <v>305</v>
      </c>
      <c r="C89" s="238" t="s">
        <v>306</v>
      </c>
      <c r="D89" s="432">
        <f t="shared" si="7"/>
        <v>8409759</v>
      </c>
      <c r="E89" s="431">
        <v>1931297</v>
      </c>
      <c r="F89" s="431">
        <v>274136</v>
      </c>
      <c r="G89" s="431">
        <v>457773</v>
      </c>
      <c r="H89" s="431">
        <v>0</v>
      </c>
      <c r="I89" s="431">
        <v>2795521</v>
      </c>
      <c r="J89" s="431">
        <v>0</v>
      </c>
      <c r="K89" s="431">
        <v>1307045</v>
      </c>
      <c r="L89" s="431">
        <v>0</v>
      </c>
      <c r="M89" s="431">
        <v>852140</v>
      </c>
      <c r="N89" s="431">
        <v>1523756</v>
      </c>
      <c r="O89" s="431"/>
      <c r="P89" s="432">
        <f t="shared" si="9"/>
        <v>9081265</v>
      </c>
      <c r="Q89" s="431">
        <v>3274796</v>
      </c>
      <c r="R89" s="431">
        <v>1187769</v>
      </c>
      <c r="S89" s="431">
        <v>0</v>
      </c>
      <c r="T89" s="431">
        <v>0</v>
      </c>
      <c r="U89" s="431">
        <v>0</v>
      </c>
      <c r="V89" s="431">
        <v>110152</v>
      </c>
      <c r="W89" s="431">
        <v>3957114</v>
      </c>
      <c r="X89" s="431">
        <v>131999</v>
      </c>
      <c r="Y89" s="431">
        <v>29500</v>
      </c>
      <c r="Z89" s="431">
        <v>400643</v>
      </c>
      <c r="AA89" s="431">
        <v>0</v>
      </c>
      <c r="AB89" s="431">
        <v>-10708</v>
      </c>
      <c r="AC89" s="431">
        <v>888943</v>
      </c>
      <c r="AD89" s="431">
        <v>11990</v>
      </c>
      <c r="AE89" s="431">
        <v>2349053</v>
      </c>
      <c r="AF89" s="431">
        <v>20250</v>
      </c>
      <c r="AG89" s="431">
        <v>136239</v>
      </c>
      <c r="AH89" s="431">
        <v>671293</v>
      </c>
      <c r="AI89" s="431">
        <v>167572</v>
      </c>
      <c r="AJ89" s="431">
        <v>442581</v>
      </c>
      <c r="AK89" s="431">
        <v>0</v>
      </c>
      <c r="AL89" s="431">
        <v>4243027</v>
      </c>
      <c r="AM89" s="431">
        <v>150317</v>
      </c>
      <c r="AN89" s="203"/>
    </row>
    <row r="90" spans="1:40" s="155" customFormat="1" ht="12" x14ac:dyDescent="0.2">
      <c r="A90" s="205">
        <v>36</v>
      </c>
      <c r="B90" s="304" t="s">
        <v>307</v>
      </c>
      <c r="C90" s="238" t="s">
        <v>308</v>
      </c>
      <c r="D90" s="432">
        <f t="shared" si="7"/>
        <v>8448744</v>
      </c>
      <c r="E90" s="431">
        <v>1942322</v>
      </c>
      <c r="F90" s="431">
        <v>373972</v>
      </c>
      <c r="G90" s="431">
        <v>310795</v>
      </c>
      <c r="H90" s="431">
        <v>0</v>
      </c>
      <c r="I90" s="431">
        <v>3228921</v>
      </c>
      <c r="J90" s="431">
        <v>0</v>
      </c>
      <c r="K90" s="431">
        <v>1134144</v>
      </c>
      <c r="L90" s="431">
        <v>0</v>
      </c>
      <c r="M90" s="431">
        <v>1389797</v>
      </c>
      <c r="N90" s="431">
        <v>753560</v>
      </c>
      <c r="O90" s="431"/>
      <c r="P90" s="432">
        <f t="shared" si="9"/>
        <v>8335399</v>
      </c>
      <c r="Q90" s="431">
        <v>3694401</v>
      </c>
      <c r="R90" s="431">
        <v>1061282</v>
      </c>
      <c r="S90" s="431">
        <v>26626</v>
      </c>
      <c r="T90" s="431">
        <v>0</v>
      </c>
      <c r="U90" s="431">
        <v>0</v>
      </c>
      <c r="V90" s="431">
        <v>168504</v>
      </c>
      <c r="W90" s="431">
        <v>0</v>
      </c>
      <c r="X90" s="431">
        <v>199074</v>
      </c>
      <c r="Y90" s="431">
        <v>99440</v>
      </c>
      <c r="Z90" s="431">
        <v>2164874</v>
      </c>
      <c r="AA90" s="431">
        <v>923293</v>
      </c>
      <c r="AB90" s="431">
        <v>-2095</v>
      </c>
      <c r="AC90" s="431">
        <v>879869</v>
      </c>
      <c r="AD90" s="431">
        <v>37233</v>
      </c>
      <c r="AE90" s="431">
        <v>2623140</v>
      </c>
      <c r="AF90" s="431">
        <v>23112</v>
      </c>
      <c r="AG90" s="431">
        <v>163985</v>
      </c>
      <c r="AH90" s="431">
        <v>813156</v>
      </c>
      <c r="AI90" s="431">
        <v>399189</v>
      </c>
      <c r="AJ90" s="431">
        <v>509188</v>
      </c>
      <c r="AK90" s="431">
        <v>0</v>
      </c>
      <c r="AL90" s="431">
        <v>2885969</v>
      </c>
      <c r="AM90" s="431">
        <v>558</v>
      </c>
      <c r="AN90" s="203"/>
    </row>
    <row r="91" spans="1:40" s="155" customFormat="1" ht="12" x14ac:dyDescent="0.2">
      <c r="A91" s="205">
        <v>37</v>
      </c>
      <c r="B91" s="304" t="s">
        <v>309</v>
      </c>
      <c r="C91" s="238" t="s">
        <v>310</v>
      </c>
      <c r="D91" s="432">
        <f t="shared" si="7"/>
        <v>5073350</v>
      </c>
      <c r="E91" s="431">
        <v>1138061</v>
      </c>
      <c r="F91" s="431">
        <v>223497</v>
      </c>
      <c r="G91" s="431">
        <v>237869</v>
      </c>
      <c r="H91" s="431">
        <v>0</v>
      </c>
      <c r="I91" s="431">
        <v>1788407</v>
      </c>
      <c r="J91" s="431">
        <v>0</v>
      </c>
      <c r="K91" s="431">
        <v>810630</v>
      </c>
      <c r="L91" s="431">
        <v>0</v>
      </c>
      <c r="M91" s="431">
        <v>691779</v>
      </c>
      <c r="N91" s="431">
        <v>623596</v>
      </c>
      <c r="O91" s="431">
        <v>20877</v>
      </c>
      <c r="P91" s="432">
        <f t="shared" si="9"/>
        <v>5146350</v>
      </c>
      <c r="Q91" s="431">
        <v>2059517</v>
      </c>
      <c r="R91" s="431">
        <v>746825</v>
      </c>
      <c r="S91" s="431">
        <v>52106</v>
      </c>
      <c r="T91" s="431">
        <v>0</v>
      </c>
      <c r="U91" s="431">
        <v>0</v>
      </c>
      <c r="V91" s="431">
        <v>11232</v>
      </c>
      <c r="W91" s="431">
        <v>808432</v>
      </c>
      <c r="X91" s="431">
        <v>128046</v>
      </c>
      <c r="Y91" s="431">
        <v>26960</v>
      </c>
      <c r="Z91" s="431">
        <v>311694</v>
      </c>
      <c r="AA91" s="431">
        <v>1002322</v>
      </c>
      <c r="AB91" s="431">
        <v>-784</v>
      </c>
      <c r="AC91" s="431">
        <v>708248</v>
      </c>
      <c r="AD91" s="431">
        <v>32208</v>
      </c>
      <c r="AE91" s="431">
        <v>1930546</v>
      </c>
      <c r="AF91" s="431">
        <v>24227</v>
      </c>
      <c r="AG91" s="431">
        <v>596313</v>
      </c>
      <c r="AH91" s="431">
        <v>292622</v>
      </c>
      <c r="AI91" s="431">
        <v>75796</v>
      </c>
      <c r="AJ91" s="431">
        <v>73101</v>
      </c>
      <c r="AK91" s="431">
        <v>0</v>
      </c>
      <c r="AL91" s="431">
        <v>1370101</v>
      </c>
      <c r="AM91" s="431">
        <v>43188</v>
      </c>
      <c r="AN91" s="203"/>
    </row>
    <row r="92" spans="1:40" s="155" customFormat="1" ht="12" x14ac:dyDescent="0.2">
      <c r="A92" s="205">
        <v>38</v>
      </c>
      <c r="B92" s="304" t="s">
        <v>311</v>
      </c>
      <c r="C92" s="238" t="s">
        <v>312</v>
      </c>
      <c r="D92" s="432">
        <f t="shared" si="7"/>
        <v>6224624</v>
      </c>
      <c r="E92" s="431">
        <v>2053543</v>
      </c>
      <c r="F92" s="431">
        <v>380496</v>
      </c>
      <c r="G92" s="431">
        <v>313275</v>
      </c>
      <c r="H92" s="431">
        <v>0</v>
      </c>
      <c r="I92" s="431">
        <v>1922506</v>
      </c>
      <c r="J92" s="431">
        <v>0</v>
      </c>
      <c r="K92" s="431">
        <v>952306</v>
      </c>
      <c r="L92" s="431">
        <v>0</v>
      </c>
      <c r="M92" s="431">
        <v>630308</v>
      </c>
      <c r="N92" s="431">
        <v>665961</v>
      </c>
      <c r="O92" s="431"/>
      <c r="P92" s="432">
        <f t="shared" si="9"/>
        <v>6298102</v>
      </c>
      <c r="Q92" s="431">
        <v>2110431</v>
      </c>
      <c r="R92" s="431">
        <v>1300662</v>
      </c>
      <c r="S92" s="431">
        <v>96879</v>
      </c>
      <c r="T92" s="431">
        <v>0</v>
      </c>
      <c r="U92" s="431">
        <v>0</v>
      </c>
      <c r="V92" s="431">
        <v>15000</v>
      </c>
      <c r="W92" s="431">
        <v>526713</v>
      </c>
      <c r="X92" s="431">
        <v>268124</v>
      </c>
      <c r="Y92" s="431">
        <v>54037</v>
      </c>
      <c r="Z92" s="431">
        <v>1862047</v>
      </c>
      <c r="AA92" s="431">
        <v>64209</v>
      </c>
      <c r="AB92" s="431">
        <v>0</v>
      </c>
      <c r="AC92" s="431">
        <v>1375834</v>
      </c>
      <c r="AD92" s="431">
        <v>25123</v>
      </c>
      <c r="AE92" s="431">
        <v>1743904</v>
      </c>
      <c r="AF92" s="431">
        <v>25881</v>
      </c>
      <c r="AG92" s="431">
        <v>571962</v>
      </c>
      <c r="AH92" s="431">
        <v>434637</v>
      </c>
      <c r="AI92" s="431">
        <v>473138</v>
      </c>
      <c r="AJ92" s="431">
        <v>218803</v>
      </c>
      <c r="AK92" s="431">
        <v>0</v>
      </c>
      <c r="AL92" s="431">
        <v>1337570</v>
      </c>
      <c r="AM92" s="431">
        <v>91250</v>
      </c>
      <c r="AN92" s="203"/>
    </row>
    <row r="93" spans="1:40" s="155" customFormat="1" ht="12" x14ac:dyDescent="0.2">
      <c r="A93" s="205">
        <v>39</v>
      </c>
      <c r="B93" s="304" t="s">
        <v>313</v>
      </c>
      <c r="C93" s="238" t="s">
        <v>314</v>
      </c>
      <c r="D93" s="432">
        <f t="shared" si="7"/>
        <v>5230748</v>
      </c>
      <c r="E93" s="431">
        <v>1181572</v>
      </c>
      <c r="F93" s="431">
        <v>174082</v>
      </c>
      <c r="G93" s="431">
        <v>223509</v>
      </c>
      <c r="H93" s="431">
        <v>0</v>
      </c>
      <c r="I93" s="431">
        <v>1450634</v>
      </c>
      <c r="J93" s="431">
        <v>0</v>
      </c>
      <c r="K93" s="431">
        <v>862201</v>
      </c>
      <c r="L93" s="431">
        <v>0</v>
      </c>
      <c r="M93" s="431">
        <v>874048</v>
      </c>
      <c r="N93" s="431">
        <v>862293</v>
      </c>
      <c r="O93" s="431"/>
      <c r="P93" s="432">
        <f t="shared" si="9"/>
        <v>4969055</v>
      </c>
      <c r="Q93" s="431">
        <v>1546574</v>
      </c>
      <c r="R93" s="431">
        <v>544589</v>
      </c>
      <c r="S93" s="431">
        <v>5885</v>
      </c>
      <c r="T93" s="431">
        <v>0</v>
      </c>
      <c r="U93" s="431">
        <v>0</v>
      </c>
      <c r="V93" s="431">
        <v>108393</v>
      </c>
      <c r="W93" s="431">
        <v>1291590</v>
      </c>
      <c r="X93" s="431">
        <v>195944</v>
      </c>
      <c r="Y93" s="431">
        <v>0</v>
      </c>
      <c r="Z93" s="431">
        <v>1240354</v>
      </c>
      <c r="AA93" s="431">
        <v>35726</v>
      </c>
      <c r="AB93" s="431">
        <v>0</v>
      </c>
      <c r="AC93" s="431">
        <v>506066</v>
      </c>
      <c r="AD93" s="431">
        <v>19048</v>
      </c>
      <c r="AE93" s="431">
        <v>1934927</v>
      </c>
      <c r="AF93" s="431">
        <v>23579</v>
      </c>
      <c r="AG93" s="431">
        <v>791558</v>
      </c>
      <c r="AH93" s="431">
        <v>341100</v>
      </c>
      <c r="AI93" s="431">
        <v>763529</v>
      </c>
      <c r="AJ93" s="431">
        <v>487878</v>
      </c>
      <c r="AK93" s="431">
        <v>0</v>
      </c>
      <c r="AL93" s="431">
        <v>81112</v>
      </c>
      <c r="AM93" s="431">
        <v>20258</v>
      </c>
      <c r="AN93" s="203"/>
    </row>
    <row r="94" spans="1:40" s="155" customFormat="1" ht="12" x14ac:dyDescent="0.2">
      <c r="A94" s="205">
        <v>40</v>
      </c>
      <c r="B94" s="304" t="s">
        <v>315</v>
      </c>
      <c r="C94" s="238" t="s">
        <v>316</v>
      </c>
      <c r="D94" s="432">
        <f t="shared" si="7"/>
        <v>5149815</v>
      </c>
      <c r="E94" s="431">
        <v>956414</v>
      </c>
      <c r="F94" s="431">
        <v>196997</v>
      </c>
      <c r="G94" s="431">
        <v>287288</v>
      </c>
      <c r="H94" s="431">
        <v>0</v>
      </c>
      <c r="I94" s="431">
        <v>1544835</v>
      </c>
      <c r="J94" s="431">
        <v>0</v>
      </c>
      <c r="K94" s="431">
        <v>968410</v>
      </c>
      <c r="L94" s="431">
        <v>0</v>
      </c>
      <c r="M94" s="431">
        <v>1468956</v>
      </c>
      <c r="N94" s="431">
        <v>211200</v>
      </c>
      <c r="O94" s="431"/>
      <c r="P94" s="432">
        <f t="shared" si="9"/>
        <v>5048318</v>
      </c>
      <c r="Q94" s="431">
        <v>1931290</v>
      </c>
      <c r="R94" s="431">
        <v>993213</v>
      </c>
      <c r="S94" s="431">
        <v>10700</v>
      </c>
      <c r="T94" s="431">
        <v>0</v>
      </c>
      <c r="U94" s="431">
        <v>0</v>
      </c>
      <c r="V94" s="431">
        <v>132400</v>
      </c>
      <c r="W94" s="431">
        <v>0</v>
      </c>
      <c r="X94" s="431">
        <v>173681</v>
      </c>
      <c r="Y94" s="431">
        <v>0</v>
      </c>
      <c r="Z94" s="431">
        <v>1533824</v>
      </c>
      <c r="AA94" s="431">
        <v>273232</v>
      </c>
      <c r="AB94" s="431">
        <v>-22</v>
      </c>
      <c r="AC94" s="431">
        <v>1407907</v>
      </c>
      <c r="AD94" s="431">
        <v>0</v>
      </c>
      <c r="AE94" s="431">
        <v>1234907</v>
      </c>
      <c r="AF94" s="431">
        <v>31458</v>
      </c>
      <c r="AG94" s="431">
        <v>55871</v>
      </c>
      <c r="AH94" s="431">
        <v>482128</v>
      </c>
      <c r="AI94" s="431">
        <v>65796</v>
      </c>
      <c r="AJ94" s="431">
        <v>200404</v>
      </c>
      <c r="AK94" s="431">
        <v>0</v>
      </c>
      <c r="AL94" s="431">
        <v>1569847</v>
      </c>
      <c r="AM94" s="431"/>
      <c r="AN94" s="203"/>
    </row>
    <row r="95" spans="1:40" s="155" customFormat="1" ht="12" x14ac:dyDescent="0.2">
      <c r="A95" s="205">
        <v>41</v>
      </c>
      <c r="B95" s="304" t="s">
        <v>317</v>
      </c>
      <c r="C95" s="238" t="s">
        <v>318</v>
      </c>
      <c r="D95" s="432">
        <f t="shared" si="7"/>
        <v>6592313</v>
      </c>
      <c r="E95" s="431">
        <v>1386392</v>
      </c>
      <c r="F95" s="431">
        <v>234767</v>
      </c>
      <c r="G95" s="431">
        <v>370346</v>
      </c>
      <c r="H95" s="431">
        <v>0</v>
      </c>
      <c r="I95" s="431">
        <v>2896571</v>
      </c>
      <c r="J95" s="431">
        <v>0</v>
      </c>
      <c r="K95" s="431">
        <v>1102361</v>
      </c>
      <c r="L95" s="431">
        <v>0</v>
      </c>
      <c r="M95" s="431">
        <v>986753</v>
      </c>
      <c r="N95" s="431">
        <v>212236</v>
      </c>
      <c r="O95" s="431">
        <v>8000</v>
      </c>
      <c r="P95" s="432">
        <f t="shared" si="9"/>
        <v>6770173</v>
      </c>
      <c r="Q95" s="431">
        <v>2711295</v>
      </c>
      <c r="R95" s="431">
        <v>1226304</v>
      </c>
      <c r="S95" s="431">
        <v>46899</v>
      </c>
      <c r="T95" s="431">
        <v>0</v>
      </c>
      <c r="U95" s="431">
        <v>0</v>
      </c>
      <c r="V95" s="431">
        <v>33692</v>
      </c>
      <c r="W95" s="431">
        <v>252524</v>
      </c>
      <c r="X95" s="431">
        <v>572933</v>
      </c>
      <c r="Y95" s="431">
        <v>0</v>
      </c>
      <c r="Z95" s="431">
        <v>771493</v>
      </c>
      <c r="AA95" s="431">
        <v>1166423</v>
      </c>
      <c r="AB95" s="431">
        <v>-11390</v>
      </c>
      <c r="AC95" s="431">
        <v>693307</v>
      </c>
      <c r="AD95" s="431">
        <v>106090</v>
      </c>
      <c r="AE95" s="431">
        <v>2530978</v>
      </c>
      <c r="AF95" s="431">
        <v>62000</v>
      </c>
      <c r="AG95" s="431">
        <v>371978</v>
      </c>
      <c r="AH95" s="431">
        <v>572933</v>
      </c>
      <c r="AI95" s="431">
        <v>360257</v>
      </c>
      <c r="AJ95" s="431">
        <v>191582</v>
      </c>
      <c r="AK95" s="431">
        <v>0</v>
      </c>
      <c r="AL95" s="431">
        <v>1881048</v>
      </c>
      <c r="AM95" s="431"/>
      <c r="AN95" s="203"/>
    </row>
    <row r="96" spans="1:40" s="155" customFormat="1" ht="12" x14ac:dyDescent="0.2">
      <c r="A96" s="205">
        <v>42</v>
      </c>
      <c r="B96" s="304" t="s">
        <v>319</v>
      </c>
      <c r="C96" s="238" t="s">
        <v>320</v>
      </c>
      <c r="D96" s="432">
        <f t="shared" si="7"/>
        <v>6000631</v>
      </c>
      <c r="E96" s="431">
        <v>912165</v>
      </c>
      <c r="F96" s="431">
        <v>123872</v>
      </c>
      <c r="G96" s="431">
        <v>266069</v>
      </c>
      <c r="H96" s="431">
        <v>0</v>
      </c>
      <c r="I96" s="431">
        <v>2465571</v>
      </c>
      <c r="J96" s="431">
        <v>0</v>
      </c>
      <c r="K96" s="431">
        <v>1039944</v>
      </c>
      <c r="L96" s="431">
        <v>0</v>
      </c>
      <c r="M96" s="431">
        <v>1558804</v>
      </c>
      <c r="N96" s="431">
        <v>0</v>
      </c>
      <c r="O96" s="431">
        <v>24147</v>
      </c>
      <c r="P96" s="432">
        <f t="shared" si="9"/>
        <v>6052120</v>
      </c>
      <c r="Q96" s="431">
        <v>2584732</v>
      </c>
      <c r="R96" s="431">
        <v>961442</v>
      </c>
      <c r="S96" s="431">
        <v>0</v>
      </c>
      <c r="T96" s="431">
        <v>0</v>
      </c>
      <c r="U96" s="431">
        <v>0</v>
      </c>
      <c r="V96" s="431">
        <v>42835</v>
      </c>
      <c r="W96" s="431">
        <v>0</v>
      </c>
      <c r="X96" s="431">
        <v>123813</v>
      </c>
      <c r="Y96" s="431">
        <v>0</v>
      </c>
      <c r="Z96" s="431">
        <v>2363944</v>
      </c>
      <c r="AA96" s="431">
        <v>0</v>
      </c>
      <c r="AB96" s="431">
        <v>-24646</v>
      </c>
      <c r="AC96" s="431">
        <v>914425</v>
      </c>
      <c r="AD96" s="431">
        <v>0</v>
      </c>
      <c r="AE96" s="431">
        <v>4249454</v>
      </c>
      <c r="AF96" s="431">
        <v>0</v>
      </c>
      <c r="AG96" s="431">
        <v>47127</v>
      </c>
      <c r="AH96" s="431">
        <v>348109</v>
      </c>
      <c r="AI96" s="431">
        <v>164268</v>
      </c>
      <c r="AJ96" s="431">
        <v>106556</v>
      </c>
      <c r="AK96" s="431">
        <v>0</v>
      </c>
      <c r="AL96" s="431">
        <v>166722</v>
      </c>
      <c r="AM96" s="431">
        <v>55459</v>
      </c>
      <c r="AN96" s="203"/>
    </row>
    <row r="97" spans="1:40" s="155" customFormat="1" ht="12" x14ac:dyDescent="0.2">
      <c r="A97" s="205">
        <v>43</v>
      </c>
      <c r="B97" s="304" t="s">
        <v>321</v>
      </c>
      <c r="C97" s="238" t="s">
        <v>322</v>
      </c>
      <c r="D97" s="432">
        <f t="shared" si="7"/>
        <v>3350605</v>
      </c>
      <c r="E97" s="431">
        <v>822183</v>
      </c>
      <c r="F97" s="431">
        <v>109638</v>
      </c>
      <c r="G97" s="431">
        <v>306269</v>
      </c>
      <c r="H97" s="431">
        <v>0</v>
      </c>
      <c r="I97" s="431">
        <v>1502787</v>
      </c>
      <c r="J97" s="431">
        <v>0</v>
      </c>
      <c r="K97" s="431">
        <v>998893</v>
      </c>
      <c r="L97" s="431">
        <v>0</v>
      </c>
      <c r="M97" s="431">
        <v>15740</v>
      </c>
      <c r="N97" s="431">
        <v>0</v>
      </c>
      <c r="O97" s="431">
        <v>11002</v>
      </c>
      <c r="P97" s="432">
        <f t="shared" si="9"/>
        <v>2591278</v>
      </c>
      <c r="Q97" s="431">
        <v>1723436</v>
      </c>
      <c r="R97" s="431">
        <v>429211</v>
      </c>
      <c r="S97" s="431">
        <v>0</v>
      </c>
      <c r="T97" s="431">
        <v>0</v>
      </c>
      <c r="U97" s="431">
        <v>0</v>
      </c>
      <c r="V97" s="431">
        <v>32588</v>
      </c>
      <c r="W97" s="431">
        <v>0</v>
      </c>
      <c r="X97" s="431">
        <v>85410</v>
      </c>
      <c r="Y97" s="431">
        <v>105000</v>
      </c>
      <c r="Z97" s="431">
        <v>215633</v>
      </c>
      <c r="AA97" s="431">
        <v>0</v>
      </c>
      <c r="AB97" s="431">
        <v>0</v>
      </c>
      <c r="AC97" s="431">
        <v>686501</v>
      </c>
      <c r="AD97" s="431">
        <v>0</v>
      </c>
      <c r="AE97" s="431">
        <v>1442394</v>
      </c>
      <c r="AF97" s="431">
        <v>0</v>
      </c>
      <c r="AG97" s="431">
        <v>147804</v>
      </c>
      <c r="AH97" s="431">
        <v>129668</v>
      </c>
      <c r="AI97" s="431">
        <v>57603</v>
      </c>
      <c r="AJ97" s="431">
        <v>50418</v>
      </c>
      <c r="AK97" s="431">
        <v>0</v>
      </c>
      <c r="AL97" s="431">
        <v>69140</v>
      </c>
      <c r="AM97" s="431">
        <v>7750</v>
      </c>
      <c r="AN97" s="203"/>
    </row>
    <row r="98" spans="1:40" s="155" customFormat="1" ht="12" x14ac:dyDescent="0.2">
      <c r="A98" s="205">
        <v>44</v>
      </c>
      <c r="B98" s="304" t="s">
        <v>323</v>
      </c>
      <c r="C98" s="238" t="s">
        <v>324</v>
      </c>
      <c r="D98" s="432">
        <f t="shared" si="7"/>
        <v>11101356</v>
      </c>
      <c r="E98" s="431">
        <v>1467246</v>
      </c>
      <c r="F98" s="431">
        <v>611427</v>
      </c>
      <c r="G98" s="431">
        <v>229519</v>
      </c>
      <c r="H98" s="431">
        <v>0</v>
      </c>
      <c r="I98" s="431">
        <v>925999</v>
      </c>
      <c r="J98" s="431">
        <v>0</v>
      </c>
      <c r="K98" s="431">
        <v>607710</v>
      </c>
      <c r="L98" s="431">
        <v>0</v>
      </c>
      <c r="M98" s="431">
        <v>2392455</v>
      </c>
      <c r="N98" s="431">
        <v>5692344</v>
      </c>
      <c r="O98" s="431">
        <v>15602</v>
      </c>
      <c r="P98" s="432">
        <f t="shared" si="9"/>
        <v>7570980</v>
      </c>
      <c r="Q98" s="431">
        <v>1322928</v>
      </c>
      <c r="R98" s="431">
        <v>752668</v>
      </c>
      <c r="S98" s="431">
        <v>0</v>
      </c>
      <c r="T98" s="431">
        <v>0</v>
      </c>
      <c r="U98" s="431">
        <v>0</v>
      </c>
      <c r="V98" s="431">
        <v>8000</v>
      </c>
      <c r="W98" s="431">
        <v>4176906</v>
      </c>
      <c r="X98" s="431">
        <v>71415</v>
      </c>
      <c r="Y98" s="431">
        <v>3650</v>
      </c>
      <c r="Z98" s="431">
        <v>1240821</v>
      </c>
      <c r="AA98" s="431">
        <v>0</v>
      </c>
      <c r="AB98" s="431">
        <v>-5408</v>
      </c>
      <c r="AC98" s="431">
        <v>741370</v>
      </c>
      <c r="AD98" s="431">
        <v>29487</v>
      </c>
      <c r="AE98" s="431">
        <v>1075085</v>
      </c>
      <c r="AF98" s="431">
        <v>0</v>
      </c>
      <c r="AG98" s="431">
        <v>36348</v>
      </c>
      <c r="AH98" s="431">
        <v>161293</v>
      </c>
      <c r="AI98" s="431">
        <v>96482</v>
      </c>
      <c r="AJ98" s="431">
        <v>70813</v>
      </c>
      <c r="AK98" s="431">
        <v>0</v>
      </c>
      <c r="AL98" s="431">
        <v>5309471</v>
      </c>
      <c r="AM98" s="431">
        <v>50631</v>
      </c>
      <c r="AN98" s="203"/>
    </row>
    <row r="99" spans="1:40" s="155" customFormat="1" ht="12" x14ac:dyDescent="0.2">
      <c r="A99" s="205">
        <v>45</v>
      </c>
      <c r="B99" s="304" t="s">
        <v>325</v>
      </c>
      <c r="C99" s="238" t="s">
        <v>326</v>
      </c>
      <c r="D99" s="432">
        <f t="shared" si="7"/>
        <v>6925520</v>
      </c>
      <c r="E99" s="431">
        <v>1553631</v>
      </c>
      <c r="F99" s="431">
        <v>167086</v>
      </c>
      <c r="G99" s="431">
        <v>535572</v>
      </c>
      <c r="H99" s="431">
        <v>0</v>
      </c>
      <c r="I99" s="431">
        <v>2380138</v>
      </c>
      <c r="J99" s="431">
        <v>0</v>
      </c>
      <c r="K99" s="431">
        <v>1330649</v>
      </c>
      <c r="L99" s="431">
        <v>0</v>
      </c>
      <c r="M99" s="431">
        <v>537230</v>
      </c>
      <c r="N99" s="431">
        <v>1089673</v>
      </c>
      <c r="O99" s="431">
        <v>34199</v>
      </c>
      <c r="P99" s="432">
        <f t="shared" si="9"/>
        <v>7813739</v>
      </c>
      <c r="Q99" s="431">
        <v>2640401</v>
      </c>
      <c r="R99" s="431">
        <v>1149508</v>
      </c>
      <c r="S99" s="431">
        <v>144000</v>
      </c>
      <c r="T99" s="431">
        <v>0</v>
      </c>
      <c r="U99" s="431">
        <v>0</v>
      </c>
      <c r="V99" s="431">
        <v>8000</v>
      </c>
      <c r="W99" s="431">
        <v>1408306</v>
      </c>
      <c r="X99" s="431">
        <v>158875</v>
      </c>
      <c r="Y99" s="431">
        <v>99500</v>
      </c>
      <c r="Z99" s="431">
        <v>2001569</v>
      </c>
      <c r="AA99" s="431">
        <v>204000</v>
      </c>
      <c r="AB99" s="431">
        <v>-420</v>
      </c>
      <c r="AC99" s="431">
        <v>1274466</v>
      </c>
      <c r="AD99" s="431">
        <v>427126</v>
      </c>
      <c r="AE99" s="431">
        <v>3162750</v>
      </c>
      <c r="AF99" s="431">
        <v>0</v>
      </c>
      <c r="AG99" s="431">
        <v>121873</v>
      </c>
      <c r="AH99" s="431">
        <v>354897</v>
      </c>
      <c r="AI99" s="431">
        <v>333686</v>
      </c>
      <c r="AJ99" s="431">
        <v>950286</v>
      </c>
      <c r="AK99" s="431">
        <v>0</v>
      </c>
      <c r="AL99" s="431">
        <v>1188655</v>
      </c>
      <c r="AM99" s="431"/>
      <c r="AN99" s="203"/>
    </row>
    <row r="100" spans="1:40" s="155" customFormat="1" ht="12" x14ac:dyDescent="0.2">
      <c r="A100" s="205">
        <v>46</v>
      </c>
      <c r="B100" s="304" t="s">
        <v>327</v>
      </c>
      <c r="C100" s="238" t="s">
        <v>328</v>
      </c>
      <c r="D100" s="432">
        <f t="shared" si="7"/>
        <v>6494754</v>
      </c>
      <c r="E100" s="431">
        <v>1191371</v>
      </c>
      <c r="F100" s="431">
        <v>184012</v>
      </c>
      <c r="G100" s="431">
        <v>169439</v>
      </c>
      <c r="H100" s="431">
        <v>0</v>
      </c>
      <c r="I100" s="431">
        <v>2386515</v>
      </c>
      <c r="J100" s="431">
        <v>0</v>
      </c>
      <c r="K100" s="431">
        <v>912329</v>
      </c>
      <c r="L100" s="431">
        <v>0</v>
      </c>
      <c r="M100" s="431">
        <v>349630</v>
      </c>
      <c r="N100" s="431">
        <v>1654909</v>
      </c>
      <c r="O100" s="431"/>
      <c r="P100" s="432">
        <f t="shared" si="9"/>
        <v>4799067</v>
      </c>
      <c r="Q100" s="431">
        <v>2572881</v>
      </c>
      <c r="R100" s="431">
        <v>1027678</v>
      </c>
      <c r="S100" s="431">
        <v>1946</v>
      </c>
      <c r="T100" s="431">
        <v>0</v>
      </c>
      <c r="U100" s="431">
        <v>0</v>
      </c>
      <c r="V100" s="431">
        <v>85655</v>
      </c>
      <c r="W100" s="431">
        <v>0</v>
      </c>
      <c r="X100" s="431">
        <v>351672</v>
      </c>
      <c r="Y100" s="431">
        <v>53870</v>
      </c>
      <c r="Z100" s="431">
        <v>657635</v>
      </c>
      <c r="AA100" s="431">
        <v>47863</v>
      </c>
      <c r="AB100" s="431">
        <v>-133</v>
      </c>
      <c r="AC100" s="431">
        <v>819703</v>
      </c>
      <c r="AD100" s="431">
        <v>0</v>
      </c>
      <c r="AE100" s="431">
        <v>2024199</v>
      </c>
      <c r="AF100" s="431">
        <v>62667</v>
      </c>
      <c r="AG100" s="431">
        <v>189736</v>
      </c>
      <c r="AH100" s="431">
        <v>781568</v>
      </c>
      <c r="AI100" s="431">
        <v>204575</v>
      </c>
      <c r="AJ100" s="431">
        <v>215054</v>
      </c>
      <c r="AK100" s="431">
        <v>0</v>
      </c>
      <c r="AL100" s="431">
        <v>501565</v>
      </c>
      <c r="AM100" s="431"/>
      <c r="AN100" s="203"/>
    </row>
    <row r="101" spans="1:40" s="155" customFormat="1" ht="12" x14ac:dyDescent="0.2">
      <c r="A101" s="205">
        <v>47</v>
      </c>
      <c r="B101" s="304" t="s">
        <v>329</v>
      </c>
      <c r="C101" s="238" t="s">
        <v>330</v>
      </c>
      <c r="D101" s="432">
        <f t="shared" si="7"/>
        <v>4571454</v>
      </c>
      <c r="E101" s="431">
        <v>1354174</v>
      </c>
      <c r="F101" s="431">
        <v>433551</v>
      </c>
      <c r="G101" s="431">
        <v>125279</v>
      </c>
      <c r="H101" s="431">
        <v>0</v>
      </c>
      <c r="I101" s="431">
        <v>1474559</v>
      </c>
      <c r="J101" s="431">
        <v>0</v>
      </c>
      <c r="K101" s="431">
        <v>579508</v>
      </c>
      <c r="L101" s="431">
        <v>0</v>
      </c>
      <c r="M101" s="431">
        <v>198597</v>
      </c>
      <c r="N101" s="431">
        <v>237987</v>
      </c>
      <c r="O101" s="431">
        <v>726629</v>
      </c>
      <c r="P101" s="432">
        <f t="shared" si="9"/>
        <v>5177850</v>
      </c>
      <c r="Q101" s="431">
        <v>1854148</v>
      </c>
      <c r="R101" s="431">
        <v>871882</v>
      </c>
      <c r="S101" s="431">
        <v>1546</v>
      </c>
      <c r="T101" s="431">
        <v>0</v>
      </c>
      <c r="U101" s="431">
        <v>0</v>
      </c>
      <c r="V101" s="431">
        <v>96098</v>
      </c>
      <c r="W101" s="431">
        <v>445071</v>
      </c>
      <c r="X101" s="431">
        <v>139485</v>
      </c>
      <c r="Y101" s="431">
        <v>32570</v>
      </c>
      <c r="Z101" s="431">
        <v>1545598</v>
      </c>
      <c r="AA101" s="431">
        <v>195855</v>
      </c>
      <c r="AB101" s="431">
        <v>-4403</v>
      </c>
      <c r="AC101" s="431">
        <v>784142</v>
      </c>
      <c r="AD101" s="431">
        <v>17512</v>
      </c>
      <c r="AE101" s="431">
        <v>1413279</v>
      </c>
      <c r="AF101" s="431">
        <v>0</v>
      </c>
      <c r="AG101" s="431">
        <v>759805</v>
      </c>
      <c r="AH101" s="431">
        <v>139485</v>
      </c>
      <c r="AI101" s="431">
        <v>766197</v>
      </c>
      <c r="AJ101" s="431">
        <v>914270</v>
      </c>
      <c r="AK101" s="431">
        <v>0</v>
      </c>
      <c r="AL101" s="431">
        <v>0</v>
      </c>
      <c r="AM101" s="431">
        <v>383160</v>
      </c>
      <c r="AN101" s="203"/>
    </row>
    <row r="102" spans="1:40" s="155" customFormat="1" ht="12" x14ac:dyDescent="0.2">
      <c r="A102" s="205">
        <v>48</v>
      </c>
      <c r="B102" s="304" t="s">
        <v>331</v>
      </c>
      <c r="C102" s="238" t="s">
        <v>332</v>
      </c>
      <c r="D102" s="432">
        <f t="shared" si="7"/>
        <v>6156853</v>
      </c>
      <c r="E102" s="431">
        <v>1405267</v>
      </c>
      <c r="F102" s="431">
        <v>204693</v>
      </c>
      <c r="G102" s="431">
        <v>375227</v>
      </c>
      <c r="H102" s="431">
        <v>0</v>
      </c>
      <c r="I102" s="431">
        <v>2115990</v>
      </c>
      <c r="J102" s="431">
        <v>0</v>
      </c>
      <c r="K102" s="431">
        <v>1177671</v>
      </c>
      <c r="L102" s="431">
        <v>0</v>
      </c>
      <c r="M102" s="431">
        <v>1419701</v>
      </c>
      <c r="N102" s="431">
        <v>27353</v>
      </c>
      <c r="O102" s="431">
        <v>10871</v>
      </c>
      <c r="P102" s="432">
        <f t="shared" si="9"/>
        <v>6615178</v>
      </c>
      <c r="Q102" s="431">
        <v>2409616</v>
      </c>
      <c r="R102" s="431">
        <v>867171</v>
      </c>
      <c r="S102" s="431">
        <v>66130</v>
      </c>
      <c r="T102" s="431">
        <v>0</v>
      </c>
      <c r="U102" s="431">
        <v>0</v>
      </c>
      <c r="V102" s="431">
        <v>56000</v>
      </c>
      <c r="W102" s="431">
        <v>0</v>
      </c>
      <c r="X102" s="431">
        <v>168185</v>
      </c>
      <c r="Y102" s="431">
        <v>1150</v>
      </c>
      <c r="Z102" s="431">
        <v>2186001</v>
      </c>
      <c r="AA102" s="431">
        <v>867000</v>
      </c>
      <c r="AB102" s="431">
        <v>-6075</v>
      </c>
      <c r="AC102" s="431">
        <v>828692</v>
      </c>
      <c r="AD102" s="431">
        <v>22034</v>
      </c>
      <c r="AE102" s="431">
        <v>2185398</v>
      </c>
      <c r="AF102" s="431">
        <v>23994</v>
      </c>
      <c r="AG102" s="431">
        <v>216285</v>
      </c>
      <c r="AH102" s="431">
        <v>393958</v>
      </c>
      <c r="AI102" s="431">
        <v>720274</v>
      </c>
      <c r="AJ102" s="431">
        <v>215065</v>
      </c>
      <c r="AK102" s="431">
        <v>0</v>
      </c>
      <c r="AL102" s="431">
        <v>1737025</v>
      </c>
      <c r="AM102" s="431">
        <v>272453</v>
      </c>
      <c r="AN102" s="203"/>
    </row>
    <row r="103" spans="1:40" s="155" customFormat="1" ht="12" x14ac:dyDescent="0.2">
      <c r="A103" s="205">
        <v>49</v>
      </c>
      <c r="B103" s="304" t="s">
        <v>333</v>
      </c>
      <c r="C103" s="238" t="s">
        <v>334</v>
      </c>
      <c r="D103" s="432">
        <f t="shared" si="7"/>
        <v>3559716</v>
      </c>
      <c r="E103" s="431">
        <v>1070382</v>
      </c>
      <c r="F103" s="431">
        <v>278315</v>
      </c>
      <c r="G103" s="431">
        <v>148639</v>
      </c>
      <c r="H103" s="431">
        <v>0</v>
      </c>
      <c r="I103" s="431">
        <v>1630020</v>
      </c>
      <c r="J103" s="431">
        <v>0</v>
      </c>
      <c r="K103" s="431">
        <v>670993</v>
      </c>
      <c r="L103" s="431">
        <v>0</v>
      </c>
      <c r="M103" s="431">
        <v>163401</v>
      </c>
      <c r="N103" s="431">
        <v>0</v>
      </c>
      <c r="O103" s="431">
        <v>24920</v>
      </c>
      <c r="P103" s="432">
        <f t="shared" si="9"/>
        <v>3555664</v>
      </c>
      <c r="Q103" s="431">
        <v>1928945</v>
      </c>
      <c r="R103" s="431">
        <v>723953</v>
      </c>
      <c r="S103" s="431">
        <v>0</v>
      </c>
      <c r="T103" s="431">
        <v>0</v>
      </c>
      <c r="U103" s="431">
        <v>0</v>
      </c>
      <c r="V103" s="431">
        <v>0</v>
      </c>
      <c r="W103" s="431">
        <v>0</v>
      </c>
      <c r="X103" s="431">
        <v>145377</v>
      </c>
      <c r="Y103" s="431">
        <v>33247</v>
      </c>
      <c r="Z103" s="431">
        <v>724142</v>
      </c>
      <c r="AA103" s="431">
        <v>0</v>
      </c>
      <c r="AB103" s="431">
        <v>0</v>
      </c>
      <c r="AC103" s="431">
        <v>659711</v>
      </c>
      <c r="AD103" s="431">
        <v>52293</v>
      </c>
      <c r="AE103" s="431">
        <v>1542590</v>
      </c>
      <c r="AF103" s="431">
        <v>15344</v>
      </c>
      <c r="AG103" s="431">
        <v>208007</v>
      </c>
      <c r="AH103" s="431">
        <v>371817</v>
      </c>
      <c r="AI103" s="431">
        <v>351001</v>
      </c>
      <c r="AJ103" s="431">
        <v>74167</v>
      </c>
      <c r="AK103" s="431">
        <v>0</v>
      </c>
      <c r="AL103" s="431">
        <v>280734</v>
      </c>
      <c r="AM103" s="431"/>
      <c r="AN103" s="203"/>
    </row>
    <row r="104" spans="1:40" s="155" customFormat="1" ht="12" x14ac:dyDescent="0.2">
      <c r="A104" s="205">
        <v>50</v>
      </c>
      <c r="B104" s="304" t="s">
        <v>335</v>
      </c>
      <c r="C104" s="238" t="s">
        <v>336</v>
      </c>
      <c r="D104" s="432">
        <f t="shared" si="7"/>
        <v>5965450</v>
      </c>
      <c r="E104" s="431">
        <v>2769731</v>
      </c>
      <c r="F104" s="431">
        <v>964022</v>
      </c>
      <c r="G104" s="431">
        <v>123008</v>
      </c>
      <c r="H104" s="431">
        <v>0</v>
      </c>
      <c r="I104" s="431">
        <v>2443045</v>
      </c>
      <c r="J104" s="431">
        <v>0</v>
      </c>
      <c r="K104" s="431">
        <v>701150</v>
      </c>
      <c r="L104" s="431">
        <v>0</v>
      </c>
      <c r="M104" s="431">
        <v>37832</v>
      </c>
      <c r="N104" s="431">
        <v>0</v>
      </c>
      <c r="O104" s="431">
        <v>13692</v>
      </c>
      <c r="P104" s="432">
        <f t="shared" si="9"/>
        <v>4939546</v>
      </c>
      <c r="Q104" s="431">
        <v>2683028</v>
      </c>
      <c r="R104" s="431">
        <v>833405</v>
      </c>
      <c r="S104" s="431">
        <v>91621</v>
      </c>
      <c r="T104" s="431">
        <v>0</v>
      </c>
      <c r="U104" s="431">
        <v>0</v>
      </c>
      <c r="V104" s="431">
        <v>116245</v>
      </c>
      <c r="W104" s="431">
        <v>0</v>
      </c>
      <c r="X104" s="431">
        <v>342038</v>
      </c>
      <c r="Y104" s="431">
        <v>43500</v>
      </c>
      <c r="Z104" s="431">
        <v>732462</v>
      </c>
      <c r="AA104" s="431">
        <v>105079</v>
      </c>
      <c r="AB104" s="431">
        <v>-7832</v>
      </c>
      <c r="AC104" s="431">
        <v>981766</v>
      </c>
      <c r="AD104" s="431">
        <v>1633</v>
      </c>
      <c r="AE104" s="431">
        <v>2173046</v>
      </c>
      <c r="AF104" s="431">
        <v>18979</v>
      </c>
      <c r="AG104" s="431">
        <v>62143</v>
      </c>
      <c r="AH104" s="431">
        <v>553947</v>
      </c>
      <c r="AI104" s="431">
        <v>136744</v>
      </c>
      <c r="AJ104" s="431">
        <v>253375</v>
      </c>
      <c r="AK104" s="431">
        <v>0</v>
      </c>
      <c r="AL104" s="431">
        <v>750548</v>
      </c>
      <c r="AM104" s="431">
        <v>7365</v>
      </c>
      <c r="AN104" s="203"/>
    </row>
    <row r="105" spans="1:40" s="155" customFormat="1" ht="12" x14ac:dyDescent="0.2">
      <c r="A105" s="205">
        <v>51</v>
      </c>
      <c r="B105" s="304" t="s">
        <v>337</v>
      </c>
      <c r="C105" s="238" t="s">
        <v>338</v>
      </c>
      <c r="D105" s="432">
        <f t="shared" si="7"/>
        <v>4900004</v>
      </c>
      <c r="E105" s="431">
        <v>928861</v>
      </c>
      <c r="F105" s="431">
        <v>314074</v>
      </c>
      <c r="G105" s="431">
        <v>270979</v>
      </c>
      <c r="H105" s="431">
        <v>0</v>
      </c>
      <c r="I105" s="431">
        <v>2136775</v>
      </c>
      <c r="J105" s="431">
        <v>0</v>
      </c>
      <c r="K105" s="431">
        <v>938132</v>
      </c>
      <c r="L105" s="431">
        <v>0</v>
      </c>
      <c r="M105" s="431">
        <v>214238</v>
      </c>
      <c r="N105" s="431">
        <v>583390</v>
      </c>
      <c r="O105" s="431">
        <v>98608</v>
      </c>
      <c r="P105" s="432">
        <f t="shared" si="9"/>
        <v>4451906</v>
      </c>
      <c r="Q105" s="431">
        <v>2450096</v>
      </c>
      <c r="R105" s="431">
        <v>640566</v>
      </c>
      <c r="S105" s="431">
        <v>254</v>
      </c>
      <c r="T105" s="431">
        <v>0</v>
      </c>
      <c r="U105" s="431">
        <v>0</v>
      </c>
      <c r="V105" s="431">
        <v>12413</v>
      </c>
      <c r="W105" s="431">
        <v>609827</v>
      </c>
      <c r="X105" s="431">
        <v>47614</v>
      </c>
      <c r="Y105" s="431">
        <v>61800</v>
      </c>
      <c r="Z105" s="431">
        <v>460669</v>
      </c>
      <c r="AA105" s="431">
        <v>168943</v>
      </c>
      <c r="AB105" s="431">
        <v>-276</v>
      </c>
      <c r="AC105" s="431">
        <v>758033</v>
      </c>
      <c r="AD105" s="431">
        <v>0</v>
      </c>
      <c r="AE105" s="431">
        <v>2154463</v>
      </c>
      <c r="AF105" s="431">
        <v>15816</v>
      </c>
      <c r="AG105" s="431">
        <v>242351</v>
      </c>
      <c r="AH105" s="431">
        <v>780015</v>
      </c>
      <c r="AI105" s="431">
        <v>95928</v>
      </c>
      <c r="AJ105" s="431">
        <v>113405</v>
      </c>
      <c r="AK105" s="431">
        <v>0</v>
      </c>
      <c r="AL105" s="431">
        <v>291895</v>
      </c>
      <c r="AM105" s="431"/>
      <c r="AN105" s="203"/>
    </row>
    <row r="106" spans="1:40" s="155" customFormat="1" ht="12" x14ac:dyDescent="0.2">
      <c r="A106" s="205">
        <v>52</v>
      </c>
      <c r="B106" s="304" t="s">
        <v>339</v>
      </c>
      <c r="C106" s="238" t="s">
        <v>340</v>
      </c>
      <c r="D106" s="432">
        <f t="shared" si="7"/>
        <v>12772402</v>
      </c>
      <c r="E106" s="431">
        <v>4123148</v>
      </c>
      <c r="F106" s="431">
        <v>1148322</v>
      </c>
      <c r="G106" s="431">
        <v>451563</v>
      </c>
      <c r="H106" s="431">
        <v>0</v>
      </c>
      <c r="I106" s="431">
        <v>6046537</v>
      </c>
      <c r="J106" s="431">
        <v>0</v>
      </c>
      <c r="K106" s="431">
        <v>1720401</v>
      </c>
      <c r="L106" s="431">
        <v>0</v>
      </c>
      <c r="M106" s="431">
        <v>568624</v>
      </c>
      <c r="N106" s="431">
        <v>313692</v>
      </c>
      <c r="O106" s="431"/>
      <c r="P106" s="432">
        <f t="shared" si="9"/>
        <v>12418680</v>
      </c>
      <c r="Q106" s="431">
        <v>6555438</v>
      </c>
      <c r="R106" s="431">
        <v>3280697</v>
      </c>
      <c r="S106" s="431">
        <v>139500</v>
      </c>
      <c r="T106" s="431">
        <v>0</v>
      </c>
      <c r="U106" s="431">
        <v>0</v>
      </c>
      <c r="V106" s="431">
        <v>125046</v>
      </c>
      <c r="W106" s="431">
        <v>598571</v>
      </c>
      <c r="X106" s="431">
        <v>213358</v>
      </c>
      <c r="Y106" s="431">
        <v>35530</v>
      </c>
      <c r="Z106" s="431">
        <v>1382737</v>
      </c>
      <c r="AA106" s="431">
        <v>110249</v>
      </c>
      <c r="AB106" s="431">
        <v>-22446</v>
      </c>
      <c r="AC106" s="431">
        <v>1628489</v>
      </c>
      <c r="AD106" s="431">
        <v>10279</v>
      </c>
      <c r="AE106" s="431">
        <v>6023658</v>
      </c>
      <c r="AF106" s="431">
        <v>0</v>
      </c>
      <c r="AG106" s="431">
        <v>123084</v>
      </c>
      <c r="AH106" s="431">
        <v>611336</v>
      </c>
      <c r="AI106" s="431">
        <v>488089</v>
      </c>
      <c r="AJ106" s="431">
        <v>455605</v>
      </c>
      <c r="AK106" s="431">
        <v>0</v>
      </c>
      <c r="AL106" s="431">
        <v>3045906</v>
      </c>
      <c r="AM106" s="431">
        <v>32234</v>
      </c>
      <c r="AN106" s="203"/>
    </row>
    <row r="107" spans="1:40" s="155" customFormat="1" ht="12" x14ac:dyDescent="0.2">
      <c r="A107" s="205">
        <v>53</v>
      </c>
      <c r="B107" s="304" t="s">
        <v>341</v>
      </c>
      <c r="C107" s="238" t="s">
        <v>342</v>
      </c>
      <c r="D107" s="432">
        <f t="shared" si="7"/>
        <v>10579711</v>
      </c>
      <c r="E107" s="431">
        <v>2813697</v>
      </c>
      <c r="F107" s="431">
        <v>749885</v>
      </c>
      <c r="G107" s="431">
        <v>438203</v>
      </c>
      <c r="H107" s="431">
        <v>0</v>
      </c>
      <c r="I107" s="431">
        <v>3995413</v>
      </c>
      <c r="J107" s="431">
        <v>0</v>
      </c>
      <c r="K107" s="431">
        <v>1215216</v>
      </c>
      <c r="L107" s="431">
        <v>0</v>
      </c>
      <c r="M107" s="431">
        <v>2473191</v>
      </c>
      <c r="N107" s="431">
        <v>0</v>
      </c>
      <c r="O107" s="431">
        <v>82194</v>
      </c>
      <c r="P107" s="432">
        <f t="shared" si="9"/>
        <v>10467484</v>
      </c>
      <c r="Q107" s="431">
        <v>4175610</v>
      </c>
      <c r="R107" s="431">
        <v>1722359</v>
      </c>
      <c r="S107" s="431">
        <v>54292</v>
      </c>
      <c r="T107" s="431">
        <v>0</v>
      </c>
      <c r="U107" s="431">
        <v>519794</v>
      </c>
      <c r="V107" s="431">
        <v>66749</v>
      </c>
      <c r="W107" s="431">
        <v>0</v>
      </c>
      <c r="X107" s="431">
        <v>418164</v>
      </c>
      <c r="Y107" s="431">
        <v>9999</v>
      </c>
      <c r="Z107" s="431">
        <v>3465436</v>
      </c>
      <c r="AA107" s="431">
        <v>42265</v>
      </c>
      <c r="AB107" s="431">
        <v>-7184</v>
      </c>
      <c r="AC107" s="431">
        <v>928629</v>
      </c>
      <c r="AD107" s="431">
        <v>81569</v>
      </c>
      <c r="AE107" s="431">
        <v>3681931</v>
      </c>
      <c r="AF107" s="431">
        <v>173986</v>
      </c>
      <c r="AG107" s="431">
        <v>249241</v>
      </c>
      <c r="AH107" s="431">
        <v>1385354</v>
      </c>
      <c r="AI107" s="431">
        <v>249739</v>
      </c>
      <c r="AJ107" s="431">
        <v>480013</v>
      </c>
      <c r="AK107" s="431">
        <v>0</v>
      </c>
      <c r="AL107" s="431">
        <v>3008143</v>
      </c>
      <c r="AM107" s="431">
        <v>228879</v>
      </c>
      <c r="AN107" s="203"/>
    </row>
    <row r="108" spans="1:40" s="155" customFormat="1" ht="12" x14ac:dyDescent="0.2">
      <c r="A108" s="205">
        <v>54</v>
      </c>
      <c r="B108" s="304" t="s">
        <v>343</v>
      </c>
      <c r="C108" s="238" t="s">
        <v>344</v>
      </c>
      <c r="D108" s="432">
        <f t="shared" si="7"/>
        <v>4160926</v>
      </c>
      <c r="E108" s="431">
        <v>1255935</v>
      </c>
      <c r="F108" s="431">
        <v>298611</v>
      </c>
      <c r="G108" s="431">
        <v>228559</v>
      </c>
      <c r="H108" s="431">
        <v>0</v>
      </c>
      <c r="I108" s="431">
        <v>1726593</v>
      </c>
      <c r="J108" s="431">
        <v>0</v>
      </c>
      <c r="K108" s="431">
        <v>878450</v>
      </c>
      <c r="L108" s="431">
        <v>0</v>
      </c>
      <c r="M108" s="431">
        <v>166623</v>
      </c>
      <c r="N108" s="431">
        <v>133325</v>
      </c>
      <c r="O108" s="431"/>
      <c r="P108" s="432">
        <f t="shared" si="9"/>
        <v>4194393</v>
      </c>
      <c r="Q108" s="431">
        <v>2359573</v>
      </c>
      <c r="R108" s="431">
        <v>1286949</v>
      </c>
      <c r="S108" s="431">
        <v>5050</v>
      </c>
      <c r="T108" s="431">
        <v>0</v>
      </c>
      <c r="U108" s="431">
        <v>0</v>
      </c>
      <c r="V108" s="431">
        <v>82818</v>
      </c>
      <c r="W108" s="431">
        <v>0</v>
      </c>
      <c r="X108" s="431">
        <v>118796</v>
      </c>
      <c r="Y108" s="431">
        <v>18234</v>
      </c>
      <c r="Z108" s="431">
        <v>75112</v>
      </c>
      <c r="AA108" s="431">
        <v>259791</v>
      </c>
      <c r="AB108" s="431">
        <v>-11930</v>
      </c>
      <c r="AC108" s="431">
        <v>1233672</v>
      </c>
      <c r="AD108" s="431">
        <v>794</v>
      </c>
      <c r="AE108" s="431">
        <v>1049353</v>
      </c>
      <c r="AF108" s="431">
        <v>21130</v>
      </c>
      <c r="AG108" s="431">
        <v>38210</v>
      </c>
      <c r="AH108" s="431">
        <v>845522</v>
      </c>
      <c r="AI108" s="431">
        <v>317357</v>
      </c>
      <c r="AJ108" s="431">
        <v>555205</v>
      </c>
      <c r="AK108" s="431">
        <v>0</v>
      </c>
      <c r="AL108" s="431">
        <v>96156</v>
      </c>
      <c r="AM108" s="431">
        <v>36994</v>
      </c>
      <c r="AN108" s="203"/>
    </row>
    <row r="109" spans="1:40" s="155" customFormat="1" ht="12" x14ac:dyDescent="0.2">
      <c r="A109" s="205">
        <v>55</v>
      </c>
      <c r="B109" s="304" t="s">
        <v>345</v>
      </c>
      <c r="C109" s="238" t="s">
        <v>346</v>
      </c>
      <c r="D109" s="432">
        <f t="shared" si="7"/>
        <v>4678178</v>
      </c>
      <c r="E109" s="431">
        <v>1317811</v>
      </c>
      <c r="F109" s="431">
        <v>447424</v>
      </c>
      <c r="G109" s="431">
        <v>223409</v>
      </c>
      <c r="H109" s="431">
        <v>0</v>
      </c>
      <c r="I109" s="431">
        <v>2414799</v>
      </c>
      <c r="J109" s="431">
        <v>0</v>
      </c>
      <c r="K109" s="431">
        <v>864280</v>
      </c>
      <c r="L109" s="431">
        <v>0</v>
      </c>
      <c r="M109" s="431">
        <v>45288</v>
      </c>
      <c r="N109" s="431">
        <v>0</v>
      </c>
      <c r="O109" s="431">
        <v>36000</v>
      </c>
      <c r="P109" s="432">
        <f t="shared" si="9"/>
        <v>4493539</v>
      </c>
      <c r="Q109" s="431">
        <v>2536295</v>
      </c>
      <c r="R109" s="431">
        <v>658951</v>
      </c>
      <c r="S109" s="431">
        <v>15671</v>
      </c>
      <c r="T109" s="431">
        <v>0</v>
      </c>
      <c r="U109" s="431">
        <v>0</v>
      </c>
      <c r="V109" s="431">
        <v>156461</v>
      </c>
      <c r="W109" s="431">
        <v>597876</v>
      </c>
      <c r="X109" s="431">
        <v>194172</v>
      </c>
      <c r="Y109" s="431">
        <v>17407</v>
      </c>
      <c r="Z109" s="431">
        <v>280739</v>
      </c>
      <c r="AA109" s="431">
        <v>36267</v>
      </c>
      <c r="AB109" s="431">
        <v>-300</v>
      </c>
      <c r="AC109" s="431">
        <v>544454</v>
      </c>
      <c r="AD109" s="431">
        <v>7559</v>
      </c>
      <c r="AE109" s="431">
        <v>2359678</v>
      </c>
      <c r="AF109" s="431">
        <v>0</v>
      </c>
      <c r="AG109" s="431">
        <v>23560</v>
      </c>
      <c r="AH109" s="431">
        <v>412873</v>
      </c>
      <c r="AI109" s="431">
        <v>163941</v>
      </c>
      <c r="AJ109" s="431">
        <v>220817</v>
      </c>
      <c r="AK109" s="431">
        <v>0</v>
      </c>
      <c r="AL109" s="431">
        <v>735219</v>
      </c>
      <c r="AM109" s="431">
        <v>25438</v>
      </c>
      <c r="AN109" s="203"/>
    </row>
    <row r="110" spans="1:40" s="155" customFormat="1" ht="12" x14ac:dyDescent="0.2">
      <c r="A110" s="205">
        <v>56</v>
      </c>
      <c r="B110" s="304" t="s">
        <v>347</v>
      </c>
      <c r="C110" s="238" t="s">
        <v>348</v>
      </c>
      <c r="D110" s="432">
        <f t="shared" si="7"/>
        <v>6312304</v>
      </c>
      <c r="E110" s="431">
        <v>2990575</v>
      </c>
      <c r="F110" s="431">
        <v>948596</v>
      </c>
      <c r="G110" s="431">
        <v>168367</v>
      </c>
      <c r="H110" s="431">
        <v>0</v>
      </c>
      <c r="I110" s="431">
        <v>2670624</v>
      </c>
      <c r="J110" s="431">
        <v>0</v>
      </c>
      <c r="K110" s="431">
        <v>396394</v>
      </c>
      <c r="L110" s="431">
        <v>0</v>
      </c>
      <c r="M110" s="431">
        <v>49371</v>
      </c>
      <c r="N110" s="431">
        <v>0</v>
      </c>
      <c r="O110" s="431">
        <v>205340</v>
      </c>
      <c r="P110" s="432">
        <f t="shared" si="9"/>
        <v>6308564</v>
      </c>
      <c r="Q110" s="431">
        <v>2892548</v>
      </c>
      <c r="R110" s="431">
        <v>1333349</v>
      </c>
      <c r="S110" s="431">
        <v>38675</v>
      </c>
      <c r="T110" s="431">
        <v>0</v>
      </c>
      <c r="U110" s="431">
        <v>0</v>
      </c>
      <c r="V110" s="431">
        <v>0</v>
      </c>
      <c r="W110" s="431">
        <v>0</v>
      </c>
      <c r="X110" s="431">
        <v>206073</v>
      </c>
      <c r="Y110" s="431">
        <v>0</v>
      </c>
      <c r="Z110" s="431">
        <v>1756240</v>
      </c>
      <c r="AA110" s="431">
        <v>97322</v>
      </c>
      <c r="AB110" s="431">
        <v>-15643</v>
      </c>
      <c r="AC110" s="431">
        <v>735428</v>
      </c>
      <c r="AD110" s="431">
        <v>34967</v>
      </c>
      <c r="AE110" s="431">
        <v>2391764</v>
      </c>
      <c r="AF110" s="431">
        <v>20150</v>
      </c>
      <c r="AG110" s="431">
        <v>521639</v>
      </c>
      <c r="AH110" s="431">
        <v>364972</v>
      </c>
      <c r="AI110" s="431">
        <v>719058</v>
      </c>
      <c r="AJ110" s="431">
        <v>558766</v>
      </c>
      <c r="AK110" s="431">
        <v>0</v>
      </c>
      <c r="AL110" s="431">
        <v>921260</v>
      </c>
      <c r="AM110" s="431">
        <v>40560</v>
      </c>
      <c r="AN110" s="203"/>
    </row>
    <row r="111" spans="1:40" s="155" customFormat="1" ht="12" x14ac:dyDescent="0.2">
      <c r="A111" s="205">
        <v>57</v>
      </c>
      <c r="B111" s="304" t="s">
        <v>349</v>
      </c>
      <c r="C111" s="238" t="s">
        <v>350</v>
      </c>
      <c r="D111" s="432">
        <f t="shared" si="7"/>
        <v>3494737</v>
      </c>
      <c r="E111" s="431">
        <v>823557</v>
      </c>
      <c r="F111" s="431">
        <v>177977</v>
      </c>
      <c r="G111" s="431">
        <v>290529</v>
      </c>
      <c r="H111" s="431">
        <v>0</v>
      </c>
      <c r="I111" s="431">
        <v>1299753</v>
      </c>
      <c r="J111" s="431">
        <v>0</v>
      </c>
      <c r="K111" s="431">
        <v>964275</v>
      </c>
      <c r="L111" s="431">
        <v>0</v>
      </c>
      <c r="M111" s="431">
        <v>131297</v>
      </c>
      <c r="N111" s="431">
        <v>275855</v>
      </c>
      <c r="O111" s="431"/>
      <c r="P111" s="432">
        <f t="shared" si="9"/>
        <v>3561037</v>
      </c>
      <c r="Q111" s="431">
        <v>1614853</v>
      </c>
      <c r="R111" s="431">
        <v>653078</v>
      </c>
      <c r="S111" s="431">
        <v>0</v>
      </c>
      <c r="T111" s="431">
        <v>0</v>
      </c>
      <c r="U111" s="431">
        <v>0</v>
      </c>
      <c r="V111" s="431">
        <v>0</v>
      </c>
      <c r="W111" s="431">
        <v>608823</v>
      </c>
      <c r="X111" s="431">
        <v>26295</v>
      </c>
      <c r="Y111" s="431">
        <v>0</v>
      </c>
      <c r="Z111" s="431">
        <v>657988</v>
      </c>
      <c r="AA111" s="431">
        <v>0</v>
      </c>
      <c r="AB111" s="431">
        <v>0</v>
      </c>
      <c r="AC111" s="431">
        <v>666273</v>
      </c>
      <c r="AD111" s="431">
        <v>21510</v>
      </c>
      <c r="AE111" s="431">
        <v>1648466</v>
      </c>
      <c r="AF111" s="431">
        <v>19633</v>
      </c>
      <c r="AG111" s="431">
        <v>149549</v>
      </c>
      <c r="AH111" s="431">
        <v>192760</v>
      </c>
      <c r="AI111" s="431">
        <v>566884</v>
      </c>
      <c r="AJ111" s="431">
        <v>104593</v>
      </c>
      <c r="AK111" s="431">
        <v>0</v>
      </c>
      <c r="AL111" s="431">
        <v>181369</v>
      </c>
      <c r="AM111" s="431">
        <v>10000</v>
      </c>
      <c r="AN111" s="203"/>
    </row>
    <row r="112" spans="1:40" s="155" customFormat="1" ht="12" x14ac:dyDescent="0.2">
      <c r="A112" s="205">
        <v>58</v>
      </c>
      <c r="B112" s="304" t="s">
        <v>351</v>
      </c>
      <c r="C112" s="238" t="s">
        <v>352</v>
      </c>
      <c r="D112" s="432">
        <f t="shared" si="7"/>
        <v>7129582</v>
      </c>
      <c r="E112" s="431">
        <v>2782228</v>
      </c>
      <c r="F112" s="431">
        <v>705762</v>
      </c>
      <c r="G112" s="431">
        <v>183548</v>
      </c>
      <c r="H112" s="431">
        <v>0</v>
      </c>
      <c r="I112" s="431">
        <v>3459952</v>
      </c>
      <c r="J112" s="431">
        <v>0</v>
      </c>
      <c r="K112" s="431">
        <v>818920</v>
      </c>
      <c r="L112" s="431">
        <v>0</v>
      </c>
      <c r="M112" s="431">
        <v>56746</v>
      </c>
      <c r="N112" s="431">
        <v>0</v>
      </c>
      <c r="O112" s="431">
        <v>11736</v>
      </c>
      <c r="P112" s="432">
        <f t="shared" si="9"/>
        <v>6547123</v>
      </c>
      <c r="Q112" s="431">
        <v>3500110</v>
      </c>
      <c r="R112" s="431">
        <v>1154806</v>
      </c>
      <c r="S112" s="431">
        <v>0</v>
      </c>
      <c r="T112" s="431">
        <v>0</v>
      </c>
      <c r="U112" s="431">
        <v>0</v>
      </c>
      <c r="V112" s="431">
        <v>0</v>
      </c>
      <c r="W112" s="431">
        <v>0</v>
      </c>
      <c r="X112" s="431">
        <v>210005</v>
      </c>
      <c r="Y112" s="431">
        <v>115600</v>
      </c>
      <c r="Z112" s="431">
        <v>1418940</v>
      </c>
      <c r="AA112" s="431">
        <v>171000</v>
      </c>
      <c r="AB112" s="431">
        <v>-23338</v>
      </c>
      <c r="AC112" s="431">
        <v>1006968</v>
      </c>
      <c r="AD112" s="431">
        <v>55823</v>
      </c>
      <c r="AE112" s="431">
        <v>3449105</v>
      </c>
      <c r="AF112" s="431">
        <v>31453</v>
      </c>
      <c r="AG112" s="431">
        <v>168022</v>
      </c>
      <c r="AH112" s="431">
        <v>452439</v>
      </c>
      <c r="AI112" s="431">
        <v>514243</v>
      </c>
      <c r="AJ112" s="431">
        <v>118232</v>
      </c>
      <c r="AK112" s="431">
        <v>0</v>
      </c>
      <c r="AL112" s="431">
        <v>652034</v>
      </c>
      <c r="AM112" s="431">
        <v>98804</v>
      </c>
      <c r="AN112" s="203"/>
    </row>
    <row r="113" spans="1:40" s="155" customFormat="1" ht="12" x14ac:dyDescent="0.2">
      <c r="A113" s="205">
        <v>59</v>
      </c>
      <c r="B113" s="304" t="s">
        <v>353</v>
      </c>
      <c r="C113" s="238" t="s">
        <v>354</v>
      </c>
      <c r="D113" s="432">
        <f t="shared" si="7"/>
        <v>4040523</v>
      </c>
      <c r="E113" s="431">
        <v>954104</v>
      </c>
      <c r="F113" s="431">
        <v>127846</v>
      </c>
      <c r="G113" s="431">
        <v>253349</v>
      </c>
      <c r="H113" s="431">
        <v>0</v>
      </c>
      <c r="I113" s="431">
        <v>1028961</v>
      </c>
      <c r="J113" s="431">
        <v>0</v>
      </c>
      <c r="K113" s="431">
        <v>896429</v>
      </c>
      <c r="L113" s="431">
        <v>0</v>
      </c>
      <c r="M113" s="431">
        <v>942435</v>
      </c>
      <c r="N113" s="431">
        <v>216594</v>
      </c>
      <c r="O113" s="431">
        <v>2000</v>
      </c>
      <c r="P113" s="432">
        <f t="shared" si="9"/>
        <v>3956769</v>
      </c>
      <c r="Q113" s="431">
        <v>1087261</v>
      </c>
      <c r="R113" s="431">
        <v>819950</v>
      </c>
      <c r="S113" s="431">
        <v>8011</v>
      </c>
      <c r="T113" s="431">
        <v>0</v>
      </c>
      <c r="U113" s="431">
        <v>0</v>
      </c>
      <c r="V113" s="431">
        <v>60000</v>
      </c>
      <c r="W113" s="431">
        <v>0</v>
      </c>
      <c r="X113" s="431">
        <v>177385</v>
      </c>
      <c r="Y113" s="431">
        <v>25454</v>
      </c>
      <c r="Z113" s="431">
        <v>1499708</v>
      </c>
      <c r="AA113" s="431">
        <v>279000</v>
      </c>
      <c r="AB113" s="431">
        <v>0</v>
      </c>
      <c r="AC113" s="431">
        <v>651925</v>
      </c>
      <c r="AD113" s="431">
        <v>97639</v>
      </c>
      <c r="AE113" s="431">
        <v>1131027</v>
      </c>
      <c r="AF113" s="431">
        <v>0</v>
      </c>
      <c r="AG113" s="431">
        <v>212242</v>
      </c>
      <c r="AH113" s="431">
        <v>296685</v>
      </c>
      <c r="AI113" s="431">
        <v>74674</v>
      </c>
      <c r="AJ113" s="431">
        <v>104289</v>
      </c>
      <c r="AK113" s="431">
        <v>0</v>
      </c>
      <c r="AL113" s="431">
        <v>1388288</v>
      </c>
      <c r="AM113" s="431"/>
      <c r="AN113" s="203"/>
    </row>
    <row r="114" spans="1:40" s="155" customFormat="1" ht="12" x14ac:dyDescent="0.2">
      <c r="A114" s="205">
        <v>60</v>
      </c>
      <c r="B114" s="304" t="s">
        <v>355</v>
      </c>
      <c r="C114" s="238" t="s">
        <v>356</v>
      </c>
      <c r="D114" s="432">
        <f t="shared" si="7"/>
        <v>8116139</v>
      </c>
      <c r="E114" s="431">
        <v>1945482</v>
      </c>
      <c r="F114" s="431">
        <v>1068864</v>
      </c>
      <c r="G114" s="431">
        <v>178697</v>
      </c>
      <c r="H114" s="431">
        <v>0</v>
      </c>
      <c r="I114" s="431">
        <v>2013287</v>
      </c>
      <c r="J114" s="431">
        <v>0</v>
      </c>
      <c r="K114" s="431">
        <v>376125</v>
      </c>
      <c r="L114" s="431">
        <v>0</v>
      </c>
      <c r="M114" s="431">
        <v>2733208</v>
      </c>
      <c r="N114" s="431">
        <v>994537</v>
      </c>
      <c r="O114" s="431">
        <v>53500</v>
      </c>
      <c r="P114" s="432">
        <f t="shared" si="9"/>
        <v>8268018</v>
      </c>
      <c r="Q114" s="431">
        <v>2397098</v>
      </c>
      <c r="R114" s="431">
        <v>1138095</v>
      </c>
      <c r="S114" s="431">
        <v>30983</v>
      </c>
      <c r="T114" s="431">
        <v>0</v>
      </c>
      <c r="U114" s="431">
        <v>0</v>
      </c>
      <c r="V114" s="431">
        <v>0</v>
      </c>
      <c r="W114" s="431">
        <v>14145</v>
      </c>
      <c r="X114" s="431">
        <v>311133</v>
      </c>
      <c r="Y114" s="431">
        <v>26560</v>
      </c>
      <c r="Z114" s="431">
        <v>2714097</v>
      </c>
      <c r="AA114" s="431">
        <v>1636173</v>
      </c>
      <c r="AB114" s="431">
        <v>-266</v>
      </c>
      <c r="AC114" s="431">
        <v>1205703</v>
      </c>
      <c r="AD114" s="431">
        <v>53755</v>
      </c>
      <c r="AE114" s="431">
        <v>1927037</v>
      </c>
      <c r="AF114" s="431">
        <v>15045</v>
      </c>
      <c r="AG114" s="431">
        <v>426493</v>
      </c>
      <c r="AH114" s="431">
        <v>372405</v>
      </c>
      <c r="AI114" s="431">
        <v>2815664</v>
      </c>
      <c r="AJ114" s="431">
        <v>161311</v>
      </c>
      <c r="AK114" s="431">
        <v>0</v>
      </c>
      <c r="AL114" s="431">
        <v>1133844</v>
      </c>
      <c r="AM114" s="431">
        <v>156761</v>
      </c>
      <c r="AN114" s="203"/>
    </row>
    <row r="115" spans="1:40" s="155" customFormat="1" ht="12" x14ac:dyDescent="0.2">
      <c r="A115" s="205">
        <v>61</v>
      </c>
      <c r="B115" s="304" t="s">
        <v>357</v>
      </c>
      <c r="C115" s="238" t="s">
        <v>358</v>
      </c>
      <c r="D115" s="432">
        <f t="shared" si="7"/>
        <v>6251710</v>
      </c>
      <c r="E115" s="431">
        <v>1158326</v>
      </c>
      <c r="F115" s="431">
        <v>380634</v>
      </c>
      <c r="G115" s="431">
        <v>216499</v>
      </c>
      <c r="H115" s="431">
        <v>0</v>
      </c>
      <c r="I115" s="431">
        <v>1303984</v>
      </c>
      <c r="J115" s="431">
        <v>0</v>
      </c>
      <c r="K115" s="431">
        <v>789355</v>
      </c>
      <c r="L115" s="431">
        <v>0</v>
      </c>
      <c r="M115" s="431">
        <v>2309201</v>
      </c>
      <c r="N115" s="431">
        <v>608032</v>
      </c>
      <c r="O115" s="431">
        <v>82812</v>
      </c>
      <c r="P115" s="432">
        <f t="shared" si="9"/>
        <v>5533648</v>
      </c>
      <c r="Q115" s="431">
        <v>1512214</v>
      </c>
      <c r="R115" s="431">
        <v>739700</v>
      </c>
      <c r="S115" s="431">
        <v>0</v>
      </c>
      <c r="T115" s="431">
        <v>0</v>
      </c>
      <c r="U115" s="431">
        <v>0</v>
      </c>
      <c r="V115" s="431">
        <v>59401</v>
      </c>
      <c r="W115" s="431">
        <v>413520</v>
      </c>
      <c r="X115" s="431">
        <v>95001</v>
      </c>
      <c r="Y115" s="431">
        <v>60000</v>
      </c>
      <c r="Z115" s="431">
        <v>2534320</v>
      </c>
      <c r="AA115" s="431">
        <v>120000</v>
      </c>
      <c r="AB115" s="431">
        <v>-508</v>
      </c>
      <c r="AC115" s="431">
        <v>762473</v>
      </c>
      <c r="AD115" s="431">
        <v>4556</v>
      </c>
      <c r="AE115" s="431">
        <v>1709249</v>
      </c>
      <c r="AF115" s="431">
        <v>22076</v>
      </c>
      <c r="AG115" s="431">
        <v>182306</v>
      </c>
      <c r="AH115" s="431">
        <v>197894</v>
      </c>
      <c r="AI115" s="431">
        <v>1830567</v>
      </c>
      <c r="AJ115" s="431">
        <v>19999</v>
      </c>
      <c r="AK115" s="431">
        <v>0</v>
      </c>
      <c r="AL115" s="431">
        <v>743527</v>
      </c>
      <c r="AM115" s="431">
        <v>61001</v>
      </c>
      <c r="AN115" s="203"/>
    </row>
    <row r="116" spans="1:40" s="155" customFormat="1" ht="12" x14ac:dyDescent="0.2">
      <c r="A116" s="205">
        <v>62</v>
      </c>
      <c r="B116" s="304" t="s">
        <v>359</v>
      </c>
      <c r="C116" s="238" t="s">
        <v>360</v>
      </c>
      <c r="D116" s="432">
        <f t="shared" si="7"/>
        <v>6443936</v>
      </c>
      <c r="E116" s="431">
        <v>1455101</v>
      </c>
      <c r="F116" s="431">
        <v>343787</v>
      </c>
      <c r="G116" s="431">
        <v>301367</v>
      </c>
      <c r="H116" s="431">
        <v>0</v>
      </c>
      <c r="I116" s="431">
        <v>3350943</v>
      </c>
      <c r="J116" s="431">
        <v>0</v>
      </c>
      <c r="K116" s="431">
        <v>1016357</v>
      </c>
      <c r="L116" s="431">
        <v>0</v>
      </c>
      <c r="M116" s="431">
        <v>621535</v>
      </c>
      <c r="N116" s="431">
        <v>0</v>
      </c>
      <c r="O116" s="431"/>
      <c r="P116" s="432">
        <f t="shared" si="9"/>
        <v>6479055</v>
      </c>
      <c r="Q116" s="431">
        <v>3288383</v>
      </c>
      <c r="R116" s="431">
        <v>1662829</v>
      </c>
      <c r="S116" s="431">
        <v>42021</v>
      </c>
      <c r="T116" s="431">
        <v>0</v>
      </c>
      <c r="U116" s="431">
        <v>0</v>
      </c>
      <c r="V116" s="431">
        <v>0</v>
      </c>
      <c r="W116" s="431">
        <v>82093</v>
      </c>
      <c r="X116" s="431">
        <v>641236</v>
      </c>
      <c r="Y116" s="431">
        <v>0</v>
      </c>
      <c r="Z116" s="431">
        <v>716996</v>
      </c>
      <c r="AA116" s="431">
        <v>51809</v>
      </c>
      <c r="AB116" s="431">
        <v>-6312</v>
      </c>
      <c r="AC116" s="431">
        <v>1184104</v>
      </c>
      <c r="AD116" s="431">
        <v>3865</v>
      </c>
      <c r="AE116" s="431">
        <v>3274164</v>
      </c>
      <c r="AF116" s="431">
        <v>21232</v>
      </c>
      <c r="AG116" s="431">
        <v>123965</v>
      </c>
      <c r="AH116" s="431">
        <v>641236</v>
      </c>
      <c r="AI116" s="431">
        <v>559222</v>
      </c>
      <c r="AJ116" s="431">
        <v>451508</v>
      </c>
      <c r="AK116" s="431">
        <v>0</v>
      </c>
      <c r="AL116" s="431">
        <v>219759</v>
      </c>
      <c r="AM116" s="431"/>
      <c r="AN116" s="203"/>
    </row>
    <row r="117" spans="1:40" s="155" customFormat="1" ht="12" x14ac:dyDescent="0.2">
      <c r="A117" s="205">
        <v>63</v>
      </c>
      <c r="B117" s="304" t="s">
        <v>361</v>
      </c>
      <c r="C117" s="238" t="s">
        <v>362</v>
      </c>
      <c r="D117" s="432">
        <f t="shared" si="7"/>
        <v>5029012</v>
      </c>
      <c r="E117" s="431">
        <v>1192903</v>
      </c>
      <c r="F117" s="431">
        <v>267629</v>
      </c>
      <c r="G117" s="431">
        <v>342877</v>
      </c>
      <c r="H117" s="431">
        <v>0</v>
      </c>
      <c r="I117" s="431">
        <v>2811398</v>
      </c>
      <c r="J117" s="431">
        <v>0</v>
      </c>
      <c r="K117" s="431">
        <v>987760</v>
      </c>
      <c r="L117" s="431">
        <v>0</v>
      </c>
      <c r="M117" s="431">
        <v>36951</v>
      </c>
      <c r="N117" s="431">
        <v>0</v>
      </c>
      <c r="O117" s="431"/>
      <c r="P117" s="432">
        <f t="shared" si="9"/>
        <v>5068214</v>
      </c>
      <c r="Q117" s="431">
        <v>2564395</v>
      </c>
      <c r="R117" s="431">
        <v>1058857</v>
      </c>
      <c r="S117" s="431">
        <v>0</v>
      </c>
      <c r="T117" s="431">
        <v>0</v>
      </c>
      <c r="U117" s="431">
        <v>0</v>
      </c>
      <c r="V117" s="431">
        <v>122786</v>
      </c>
      <c r="W117" s="431">
        <v>0</v>
      </c>
      <c r="X117" s="431">
        <v>460361</v>
      </c>
      <c r="Y117" s="431">
        <v>50000</v>
      </c>
      <c r="Z117" s="431">
        <v>811815</v>
      </c>
      <c r="AA117" s="431">
        <v>0</v>
      </c>
      <c r="AB117" s="431">
        <v>0</v>
      </c>
      <c r="AC117" s="431">
        <v>516671</v>
      </c>
      <c r="AD117" s="431">
        <v>6370</v>
      </c>
      <c r="AE117" s="431">
        <v>2322774</v>
      </c>
      <c r="AF117" s="431">
        <v>0</v>
      </c>
      <c r="AG117" s="431">
        <v>181273</v>
      </c>
      <c r="AH117" s="431">
        <v>699314</v>
      </c>
      <c r="AI117" s="431">
        <v>211395</v>
      </c>
      <c r="AJ117" s="431">
        <v>206732</v>
      </c>
      <c r="AK117" s="431">
        <v>0</v>
      </c>
      <c r="AL117" s="431">
        <v>807337</v>
      </c>
      <c r="AM117" s="431">
        <v>116348</v>
      </c>
      <c r="AN117" s="203"/>
    </row>
    <row r="118" spans="1:40" s="155" customFormat="1" ht="12" x14ac:dyDescent="0.2">
      <c r="A118" s="205">
        <v>64</v>
      </c>
      <c r="B118" s="304" t="s">
        <v>363</v>
      </c>
      <c r="C118" s="238" t="s">
        <v>364</v>
      </c>
      <c r="D118" s="432">
        <f t="shared" ref="D118:D152" si="10">E118+SUM(H118:O118)</f>
        <v>5040861</v>
      </c>
      <c r="E118" s="431">
        <v>1179216</v>
      </c>
      <c r="F118" s="431">
        <v>257834</v>
      </c>
      <c r="G118" s="431">
        <v>242649</v>
      </c>
      <c r="H118" s="431">
        <v>0</v>
      </c>
      <c r="I118" s="431">
        <v>2908248</v>
      </c>
      <c r="J118" s="431">
        <v>0</v>
      </c>
      <c r="K118" s="431">
        <v>882660</v>
      </c>
      <c r="L118" s="431">
        <v>0</v>
      </c>
      <c r="M118" s="431">
        <v>70737</v>
      </c>
      <c r="N118" s="431">
        <v>0</v>
      </c>
      <c r="O118" s="431"/>
      <c r="P118" s="432">
        <f t="shared" si="9"/>
        <v>5016454</v>
      </c>
      <c r="Q118" s="431">
        <v>3053936</v>
      </c>
      <c r="R118" s="431">
        <v>843240</v>
      </c>
      <c r="S118" s="431">
        <v>0</v>
      </c>
      <c r="T118" s="431">
        <v>0</v>
      </c>
      <c r="U118" s="431">
        <v>0</v>
      </c>
      <c r="V118" s="431">
        <v>0</v>
      </c>
      <c r="W118" s="431">
        <v>0</v>
      </c>
      <c r="X118" s="431">
        <v>139104</v>
      </c>
      <c r="Y118" s="431">
        <v>21340</v>
      </c>
      <c r="Z118" s="431">
        <v>829834</v>
      </c>
      <c r="AA118" s="431">
        <v>129000</v>
      </c>
      <c r="AB118" s="431">
        <v>0</v>
      </c>
      <c r="AC118" s="431">
        <v>664781</v>
      </c>
      <c r="AD118" s="431">
        <v>4052</v>
      </c>
      <c r="AE118" s="431">
        <v>2851590</v>
      </c>
      <c r="AF118" s="431">
        <v>16807</v>
      </c>
      <c r="AG118" s="431">
        <v>237398</v>
      </c>
      <c r="AH118" s="431">
        <v>186004</v>
      </c>
      <c r="AI118" s="431">
        <v>400977</v>
      </c>
      <c r="AJ118" s="431">
        <v>43045</v>
      </c>
      <c r="AK118" s="431">
        <v>0</v>
      </c>
      <c r="AL118" s="431">
        <v>587576</v>
      </c>
      <c r="AM118" s="431">
        <v>24224</v>
      </c>
      <c r="AN118" s="203"/>
    </row>
    <row r="119" spans="1:40" s="155" customFormat="1" ht="12" x14ac:dyDescent="0.2">
      <c r="A119" s="205">
        <v>65</v>
      </c>
      <c r="B119" s="304" t="s">
        <v>365</v>
      </c>
      <c r="C119" s="238" t="s">
        <v>366</v>
      </c>
      <c r="D119" s="432">
        <f t="shared" si="10"/>
        <v>8275541</v>
      </c>
      <c r="E119" s="431">
        <v>4874740</v>
      </c>
      <c r="F119" s="431">
        <v>157922</v>
      </c>
      <c r="G119" s="431">
        <v>236126</v>
      </c>
      <c r="H119" s="431">
        <v>0</v>
      </c>
      <c r="I119" s="431">
        <v>1182182</v>
      </c>
      <c r="J119" s="431">
        <v>0</v>
      </c>
      <c r="K119" s="431">
        <v>843809</v>
      </c>
      <c r="L119" s="431">
        <v>0</v>
      </c>
      <c r="M119" s="431">
        <v>1374810</v>
      </c>
      <c r="N119" s="431">
        <v>0</v>
      </c>
      <c r="O119" s="431"/>
      <c r="P119" s="432">
        <f t="shared" si="9"/>
        <v>9450420</v>
      </c>
      <c r="Q119" s="431">
        <v>1478684</v>
      </c>
      <c r="R119" s="431">
        <v>2117093</v>
      </c>
      <c r="S119" s="431">
        <v>5030</v>
      </c>
      <c r="T119" s="431">
        <v>0</v>
      </c>
      <c r="U119" s="431">
        <v>0</v>
      </c>
      <c r="V119" s="431">
        <v>0</v>
      </c>
      <c r="W119" s="431">
        <v>0</v>
      </c>
      <c r="X119" s="431">
        <v>104144</v>
      </c>
      <c r="Y119" s="431">
        <v>348064</v>
      </c>
      <c r="Z119" s="431">
        <v>5318510</v>
      </c>
      <c r="AA119" s="431">
        <v>79655</v>
      </c>
      <c r="AB119" s="431">
        <v>-760</v>
      </c>
      <c r="AC119" s="431">
        <v>1235914</v>
      </c>
      <c r="AD119" s="431">
        <v>0</v>
      </c>
      <c r="AE119" s="431">
        <v>1146312</v>
      </c>
      <c r="AF119" s="431">
        <v>21754</v>
      </c>
      <c r="AG119" s="431">
        <v>3691776</v>
      </c>
      <c r="AH119" s="431">
        <v>184964</v>
      </c>
      <c r="AI119" s="431">
        <v>419388</v>
      </c>
      <c r="AJ119" s="431">
        <v>1594855</v>
      </c>
      <c r="AK119" s="431">
        <v>0</v>
      </c>
      <c r="AL119" s="431">
        <v>392133</v>
      </c>
      <c r="AM119" s="431">
        <v>763324</v>
      </c>
      <c r="AN119" s="203"/>
    </row>
    <row r="120" spans="1:40" s="155" customFormat="1" ht="12" x14ac:dyDescent="0.2">
      <c r="A120" s="205">
        <v>66</v>
      </c>
      <c r="B120" s="304" t="s">
        <v>367</v>
      </c>
      <c r="C120" s="238" t="s">
        <v>368</v>
      </c>
      <c r="D120" s="432">
        <f t="shared" si="10"/>
        <v>5642177</v>
      </c>
      <c r="E120" s="431">
        <v>2329860</v>
      </c>
      <c r="F120" s="431">
        <v>1078989</v>
      </c>
      <c r="G120" s="431">
        <v>80589</v>
      </c>
      <c r="H120" s="431">
        <v>0</v>
      </c>
      <c r="I120" s="431">
        <v>1314955</v>
      </c>
      <c r="J120" s="431">
        <v>0</v>
      </c>
      <c r="K120" s="431">
        <v>298012</v>
      </c>
      <c r="L120" s="431">
        <v>0</v>
      </c>
      <c r="M120" s="431">
        <v>1062244</v>
      </c>
      <c r="N120" s="431">
        <v>636525</v>
      </c>
      <c r="O120" s="431">
        <v>581</v>
      </c>
      <c r="P120" s="432">
        <f t="shared" si="9"/>
        <v>6007231</v>
      </c>
      <c r="Q120" s="431">
        <v>1888544</v>
      </c>
      <c r="R120" s="431">
        <v>933152</v>
      </c>
      <c r="S120" s="431">
        <v>43515</v>
      </c>
      <c r="T120" s="431">
        <v>0</v>
      </c>
      <c r="U120" s="431">
        <v>0</v>
      </c>
      <c r="V120" s="431">
        <v>8000</v>
      </c>
      <c r="W120" s="431">
        <v>556446</v>
      </c>
      <c r="X120" s="431">
        <v>117486</v>
      </c>
      <c r="Y120" s="431">
        <v>70000</v>
      </c>
      <c r="Z120" s="431">
        <v>1362443</v>
      </c>
      <c r="AA120" s="431">
        <v>1041204</v>
      </c>
      <c r="AB120" s="431">
        <v>-13559</v>
      </c>
      <c r="AC120" s="431">
        <v>1021780</v>
      </c>
      <c r="AD120" s="431">
        <v>51761</v>
      </c>
      <c r="AE120" s="431">
        <v>1397160</v>
      </c>
      <c r="AF120" s="431">
        <v>714093</v>
      </c>
      <c r="AG120" s="431">
        <v>408918</v>
      </c>
      <c r="AH120" s="431">
        <v>350716</v>
      </c>
      <c r="AI120" s="431">
        <v>836666</v>
      </c>
      <c r="AJ120" s="431">
        <v>172532</v>
      </c>
      <c r="AK120" s="431">
        <v>0</v>
      </c>
      <c r="AL120" s="431">
        <v>1021682</v>
      </c>
      <c r="AM120" s="431">
        <v>31923</v>
      </c>
      <c r="AN120" s="203"/>
    </row>
    <row r="121" spans="1:40" s="155" customFormat="1" ht="12" x14ac:dyDescent="0.2">
      <c r="A121" s="205">
        <v>67</v>
      </c>
      <c r="B121" s="304" t="s">
        <v>369</v>
      </c>
      <c r="C121" s="238" t="s">
        <v>370</v>
      </c>
      <c r="D121" s="432">
        <f t="shared" si="10"/>
        <v>7487420</v>
      </c>
      <c r="E121" s="431">
        <v>1524011</v>
      </c>
      <c r="F121" s="431">
        <v>307782</v>
      </c>
      <c r="G121" s="431">
        <v>544834</v>
      </c>
      <c r="H121" s="431">
        <v>0</v>
      </c>
      <c r="I121" s="431">
        <v>4077482</v>
      </c>
      <c r="J121" s="431">
        <v>0</v>
      </c>
      <c r="K121" s="431">
        <v>1698582</v>
      </c>
      <c r="L121" s="431">
        <v>0</v>
      </c>
      <c r="M121" s="431">
        <v>187345</v>
      </c>
      <c r="N121" s="431">
        <v>0</v>
      </c>
      <c r="O121" s="431"/>
      <c r="P121" s="432">
        <f t="shared" si="9"/>
        <v>7465871</v>
      </c>
      <c r="Q121" s="431">
        <v>4401692</v>
      </c>
      <c r="R121" s="431">
        <v>1816711</v>
      </c>
      <c r="S121" s="431">
        <v>63887</v>
      </c>
      <c r="T121" s="431">
        <v>0</v>
      </c>
      <c r="U121" s="431">
        <v>0</v>
      </c>
      <c r="V121" s="431">
        <v>19070</v>
      </c>
      <c r="W121" s="431">
        <v>0</v>
      </c>
      <c r="X121" s="431">
        <v>430217</v>
      </c>
      <c r="Y121" s="431">
        <v>65602</v>
      </c>
      <c r="Z121" s="431">
        <v>615834</v>
      </c>
      <c r="AA121" s="431">
        <v>52858</v>
      </c>
      <c r="AB121" s="431">
        <v>0</v>
      </c>
      <c r="AC121" s="431">
        <v>1111288</v>
      </c>
      <c r="AD121" s="431">
        <v>95597</v>
      </c>
      <c r="AE121" s="431">
        <v>3480662</v>
      </c>
      <c r="AF121" s="431">
        <v>0</v>
      </c>
      <c r="AG121" s="431">
        <v>328705</v>
      </c>
      <c r="AH121" s="431">
        <v>973651</v>
      </c>
      <c r="AI121" s="431">
        <v>347251</v>
      </c>
      <c r="AJ121" s="431">
        <v>70892</v>
      </c>
      <c r="AK121" s="431">
        <v>0</v>
      </c>
      <c r="AL121" s="431">
        <v>1055850</v>
      </c>
      <c r="AM121" s="431">
        <v>1975</v>
      </c>
      <c r="AN121" s="203"/>
    </row>
    <row r="122" spans="1:40" s="155" customFormat="1" ht="12" x14ac:dyDescent="0.2">
      <c r="A122" s="205">
        <v>68</v>
      </c>
      <c r="B122" s="304" t="s">
        <v>371</v>
      </c>
      <c r="C122" s="238" t="s">
        <v>372</v>
      </c>
      <c r="D122" s="432">
        <f t="shared" si="10"/>
        <v>7933244</v>
      </c>
      <c r="E122" s="431">
        <v>1948278</v>
      </c>
      <c r="F122" s="431">
        <v>390589</v>
      </c>
      <c r="G122" s="431">
        <v>230846</v>
      </c>
      <c r="H122" s="431">
        <v>0</v>
      </c>
      <c r="I122" s="431">
        <v>1689980</v>
      </c>
      <c r="J122" s="431">
        <v>0</v>
      </c>
      <c r="K122" s="431">
        <v>547960</v>
      </c>
      <c r="L122" s="431">
        <v>0</v>
      </c>
      <c r="M122" s="431">
        <v>3449496</v>
      </c>
      <c r="N122" s="431">
        <v>293063</v>
      </c>
      <c r="O122" s="431">
        <v>4467</v>
      </c>
      <c r="P122" s="432">
        <f t="shared" si="9"/>
        <v>8071440</v>
      </c>
      <c r="Q122" s="431">
        <v>1901038</v>
      </c>
      <c r="R122" s="431">
        <v>1840420</v>
      </c>
      <c r="S122" s="431">
        <v>11293</v>
      </c>
      <c r="T122" s="431">
        <v>0</v>
      </c>
      <c r="U122" s="431">
        <v>0</v>
      </c>
      <c r="V122" s="431">
        <v>16000</v>
      </c>
      <c r="W122" s="431">
        <v>164074</v>
      </c>
      <c r="X122" s="431">
        <v>262053</v>
      </c>
      <c r="Y122" s="431">
        <v>64700</v>
      </c>
      <c r="Z122" s="431">
        <v>2763934</v>
      </c>
      <c r="AA122" s="431">
        <v>1047928</v>
      </c>
      <c r="AB122" s="431">
        <v>0</v>
      </c>
      <c r="AC122" s="431">
        <v>894111</v>
      </c>
      <c r="AD122" s="431">
        <v>24771</v>
      </c>
      <c r="AE122" s="431">
        <v>1696855</v>
      </c>
      <c r="AF122" s="431">
        <v>25270</v>
      </c>
      <c r="AG122" s="431">
        <v>299939</v>
      </c>
      <c r="AH122" s="431">
        <v>262053</v>
      </c>
      <c r="AI122" s="431">
        <v>390259</v>
      </c>
      <c r="AJ122" s="431">
        <v>730284</v>
      </c>
      <c r="AK122" s="431">
        <v>0</v>
      </c>
      <c r="AL122" s="431">
        <v>3618693</v>
      </c>
      <c r="AM122" s="431">
        <v>129205</v>
      </c>
      <c r="AN122" s="203"/>
    </row>
    <row r="123" spans="1:40" s="155" customFormat="1" ht="12" x14ac:dyDescent="0.2">
      <c r="A123" s="205">
        <v>69</v>
      </c>
      <c r="B123" s="304" t="s">
        <v>373</v>
      </c>
      <c r="C123" s="238" t="s">
        <v>374</v>
      </c>
      <c r="D123" s="432">
        <f t="shared" si="10"/>
        <v>3723597</v>
      </c>
      <c r="E123" s="431">
        <v>1063141</v>
      </c>
      <c r="F123" s="431">
        <v>180284</v>
      </c>
      <c r="G123" s="431">
        <v>226219</v>
      </c>
      <c r="H123" s="431">
        <v>0</v>
      </c>
      <c r="I123" s="431">
        <v>1733625</v>
      </c>
      <c r="J123" s="431">
        <v>0</v>
      </c>
      <c r="K123" s="431">
        <v>901662</v>
      </c>
      <c r="L123" s="431">
        <v>0</v>
      </c>
      <c r="M123" s="431">
        <v>25169</v>
      </c>
      <c r="N123" s="431">
        <v>0</v>
      </c>
      <c r="O123" s="431"/>
      <c r="P123" s="432">
        <f t="shared" si="9"/>
        <v>3471075</v>
      </c>
      <c r="Q123" s="431">
        <v>1879023</v>
      </c>
      <c r="R123" s="431">
        <v>783354</v>
      </c>
      <c r="S123" s="431">
        <v>1374</v>
      </c>
      <c r="T123" s="431">
        <v>0</v>
      </c>
      <c r="U123" s="431">
        <v>0</v>
      </c>
      <c r="V123" s="431">
        <v>138835</v>
      </c>
      <c r="W123" s="431">
        <v>0</v>
      </c>
      <c r="X123" s="431">
        <v>313983</v>
      </c>
      <c r="Y123" s="431">
        <v>25000</v>
      </c>
      <c r="Z123" s="431">
        <v>272610</v>
      </c>
      <c r="AA123" s="431">
        <v>56896</v>
      </c>
      <c r="AB123" s="431">
        <v>0</v>
      </c>
      <c r="AC123" s="431">
        <v>681378</v>
      </c>
      <c r="AD123" s="431">
        <v>64243</v>
      </c>
      <c r="AE123" s="431">
        <v>1479024</v>
      </c>
      <c r="AF123" s="431">
        <v>0</v>
      </c>
      <c r="AG123" s="431">
        <v>102888</v>
      </c>
      <c r="AH123" s="431">
        <v>313983</v>
      </c>
      <c r="AI123" s="431">
        <v>341695</v>
      </c>
      <c r="AJ123" s="431">
        <v>222385</v>
      </c>
      <c r="AK123" s="431">
        <v>0</v>
      </c>
      <c r="AL123" s="431">
        <v>257979</v>
      </c>
      <c r="AM123" s="431">
        <v>7500</v>
      </c>
      <c r="AN123" s="203"/>
    </row>
    <row r="124" spans="1:40" s="155" customFormat="1" ht="12" x14ac:dyDescent="0.2">
      <c r="A124" s="205">
        <v>70</v>
      </c>
      <c r="B124" s="304" t="s">
        <v>375</v>
      </c>
      <c r="C124" s="238" t="s">
        <v>376</v>
      </c>
      <c r="D124" s="432">
        <f t="shared" si="10"/>
        <v>7432871</v>
      </c>
      <c r="E124" s="431">
        <v>1056739</v>
      </c>
      <c r="F124" s="431">
        <v>354480</v>
      </c>
      <c r="G124" s="431">
        <v>243549</v>
      </c>
      <c r="H124" s="431">
        <v>0</v>
      </c>
      <c r="I124" s="431">
        <v>3120686</v>
      </c>
      <c r="J124" s="431">
        <v>0</v>
      </c>
      <c r="K124" s="431">
        <v>1245012</v>
      </c>
      <c r="L124" s="431">
        <v>0</v>
      </c>
      <c r="M124" s="431">
        <v>233379</v>
      </c>
      <c r="N124" s="431">
        <v>1661854</v>
      </c>
      <c r="O124" s="431">
        <v>115201</v>
      </c>
      <c r="P124" s="432">
        <f t="shared" si="9"/>
        <v>5611786</v>
      </c>
      <c r="Q124" s="431">
        <v>3216278</v>
      </c>
      <c r="R124" s="431">
        <v>1208908</v>
      </c>
      <c r="S124" s="431">
        <v>1612</v>
      </c>
      <c r="T124" s="431">
        <v>0</v>
      </c>
      <c r="U124" s="431">
        <v>0</v>
      </c>
      <c r="V124" s="431">
        <v>50000</v>
      </c>
      <c r="W124" s="431">
        <v>0</v>
      </c>
      <c r="X124" s="431">
        <v>251534</v>
      </c>
      <c r="Y124" s="431">
        <v>10000</v>
      </c>
      <c r="Z124" s="431">
        <v>827689</v>
      </c>
      <c r="AA124" s="431">
        <v>45765</v>
      </c>
      <c r="AB124" s="431">
        <v>0</v>
      </c>
      <c r="AC124" s="431">
        <v>1156907</v>
      </c>
      <c r="AD124" s="431">
        <v>4746</v>
      </c>
      <c r="AE124" s="431">
        <v>2660277</v>
      </c>
      <c r="AF124" s="431">
        <v>13996</v>
      </c>
      <c r="AG124" s="431">
        <v>147644</v>
      </c>
      <c r="AH124" s="431">
        <v>698017</v>
      </c>
      <c r="AI124" s="431">
        <v>278781</v>
      </c>
      <c r="AJ124" s="431">
        <v>97317</v>
      </c>
      <c r="AK124" s="431">
        <v>0</v>
      </c>
      <c r="AL124" s="431">
        <v>554101</v>
      </c>
      <c r="AM124" s="431"/>
      <c r="AN124" s="203"/>
    </row>
    <row r="125" spans="1:40" s="155" customFormat="1" ht="12" x14ac:dyDescent="0.2">
      <c r="A125" s="205">
        <v>71</v>
      </c>
      <c r="B125" s="304" t="s">
        <v>377</v>
      </c>
      <c r="C125" s="238" t="s">
        <v>378</v>
      </c>
      <c r="D125" s="432">
        <f t="shared" si="10"/>
        <v>5900172</v>
      </c>
      <c r="E125" s="431">
        <v>2113120</v>
      </c>
      <c r="F125" s="431">
        <v>220626</v>
      </c>
      <c r="G125" s="431">
        <v>125408</v>
      </c>
      <c r="H125" s="431">
        <v>0</v>
      </c>
      <c r="I125" s="431">
        <v>1073027</v>
      </c>
      <c r="J125" s="431">
        <v>0</v>
      </c>
      <c r="K125" s="431">
        <v>570846</v>
      </c>
      <c r="L125" s="431">
        <v>0</v>
      </c>
      <c r="M125" s="431">
        <v>1544739</v>
      </c>
      <c r="N125" s="431">
        <v>571708</v>
      </c>
      <c r="O125" s="431">
        <v>26732</v>
      </c>
      <c r="P125" s="432">
        <f t="shared" si="9"/>
        <v>6510412</v>
      </c>
      <c r="Q125" s="431">
        <v>1388119</v>
      </c>
      <c r="R125" s="431">
        <v>773672</v>
      </c>
      <c r="S125" s="431">
        <v>25877</v>
      </c>
      <c r="T125" s="431">
        <v>0</v>
      </c>
      <c r="U125" s="431">
        <v>0</v>
      </c>
      <c r="V125" s="431">
        <v>10000</v>
      </c>
      <c r="W125" s="431">
        <v>727063</v>
      </c>
      <c r="X125" s="431">
        <v>31281</v>
      </c>
      <c r="Y125" s="431">
        <v>10157</v>
      </c>
      <c r="Z125" s="431">
        <v>3393820</v>
      </c>
      <c r="AA125" s="431">
        <v>152148</v>
      </c>
      <c r="AB125" s="431">
        <v>-1725</v>
      </c>
      <c r="AC125" s="431">
        <v>977688</v>
      </c>
      <c r="AD125" s="431">
        <v>3966</v>
      </c>
      <c r="AE125" s="431">
        <v>1233301</v>
      </c>
      <c r="AF125" s="431">
        <v>0</v>
      </c>
      <c r="AG125" s="431">
        <v>607193</v>
      </c>
      <c r="AH125" s="431">
        <v>154760</v>
      </c>
      <c r="AI125" s="431">
        <v>521546</v>
      </c>
      <c r="AJ125" s="431">
        <v>141451</v>
      </c>
      <c r="AK125" s="431">
        <v>0</v>
      </c>
      <c r="AL125" s="431">
        <v>2775360</v>
      </c>
      <c r="AM125" s="431">
        <v>95147</v>
      </c>
      <c r="AN125" s="203"/>
    </row>
    <row r="126" spans="1:40" s="155" customFormat="1" ht="12" x14ac:dyDescent="0.2">
      <c r="A126" s="205">
        <v>72</v>
      </c>
      <c r="B126" s="304" t="s">
        <v>379</v>
      </c>
      <c r="C126" s="238" t="s">
        <v>380</v>
      </c>
      <c r="D126" s="432">
        <f t="shared" si="10"/>
        <v>7145167</v>
      </c>
      <c r="E126" s="431">
        <v>3678902</v>
      </c>
      <c r="F126" s="431">
        <v>617858</v>
      </c>
      <c r="G126" s="431">
        <v>163187</v>
      </c>
      <c r="H126" s="431">
        <v>0</v>
      </c>
      <c r="I126" s="431">
        <v>2198947</v>
      </c>
      <c r="J126" s="431">
        <v>0</v>
      </c>
      <c r="K126" s="431">
        <v>529050</v>
      </c>
      <c r="L126" s="431">
        <v>0</v>
      </c>
      <c r="M126" s="431">
        <v>531651</v>
      </c>
      <c r="N126" s="431">
        <v>191366</v>
      </c>
      <c r="O126" s="431">
        <v>15251</v>
      </c>
      <c r="P126" s="432">
        <f t="shared" si="9"/>
        <v>7042244</v>
      </c>
      <c r="Q126" s="431">
        <v>2440917</v>
      </c>
      <c r="R126" s="431">
        <v>1482082</v>
      </c>
      <c r="S126" s="431">
        <v>165000</v>
      </c>
      <c r="T126" s="431">
        <v>0</v>
      </c>
      <c r="U126" s="431">
        <v>0</v>
      </c>
      <c r="V126" s="431">
        <v>18525</v>
      </c>
      <c r="W126" s="431">
        <v>249995</v>
      </c>
      <c r="X126" s="431">
        <v>119073</v>
      </c>
      <c r="Y126" s="431">
        <v>46909</v>
      </c>
      <c r="Z126" s="431">
        <v>2519743</v>
      </c>
      <c r="AA126" s="431">
        <v>0</v>
      </c>
      <c r="AB126" s="431">
        <v>0</v>
      </c>
      <c r="AC126" s="431">
        <v>1142991</v>
      </c>
      <c r="AD126" s="431">
        <v>58228</v>
      </c>
      <c r="AE126" s="431">
        <v>2157855</v>
      </c>
      <c r="AF126" s="431">
        <v>16931</v>
      </c>
      <c r="AG126" s="431">
        <v>478742</v>
      </c>
      <c r="AH126" s="431">
        <v>454175</v>
      </c>
      <c r="AI126" s="431">
        <v>225434</v>
      </c>
      <c r="AJ126" s="431">
        <v>190300</v>
      </c>
      <c r="AK126" s="431">
        <v>0</v>
      </c>
      <c r="AL126" s="431">
        <v>2229406</v>
      </c>
      <c r="AM126" s="431">
        <v>88182</v>
      </c>
      <c r="AN126" s="203"/>
    </row>
    <row r="127" spans="1:40" s="155" customFormat="1" ht="12" x14ac:dyDescent="0.2">
      <c r="A127" s="205">
        <v>73</v>
      </c>
      <c r="B127" s="304" t="s">
        <v>381</v>
      </c>
      <c r="C127" s="238" t="s">
        <v>382</v>
      </c>
      <c r="D127" s="432">
        <f t="shared" si="10"/>
        <v>3200575</v>
      </c>
      <c r="E127" s="431">
        <v>971955</v>
      </c>
      <c r="F127" s="431">
        <v>95948</v>
      </c>
      <c r="G127" s="431">
        <v>274559</v>
      </c>
      <c r="H127" s="431">
        <v>0</v>
      </c>
      <c r="I127" s="431">
        <v>1559904</v>
      </c>
      <c r="J127" s="431">
        <v>0</v>
      </c>
      <c r="K127" s="431">
        <v>1041229</v>
      </c>
      <c r="L127" s="431">
        <v>0</v>
      </c>
      <c r="M127" s="431">
        <v>-372513</v>
      </c>
      <c r="N127" s="431">
        <v>0</v>
      </c>
      <c r="O127" s="431"/>
      <c r="P127" s="432">
        <f t="shared" si="9"/>
        <v>3066208</v>
      </c>
      <c r="Q127" s="431">
        <v>1809994</v>
      </c>
      <c r="R127" s="431">
        <v>564426</v>
      </c>
      <c r="S127" s="431">
        <v>22367</v>
      </c>
      <c r="T127" s="431">
        <v>0</v>
      </c>
      <c r="U127" s="431">
        <v>0</v>
      </c>
      <c r="V127" s="431">
        <v>12000</v>
      </c>
      <c r="W127" s="431">
        <v>0</v>
      </c>
      <c r="X127" s="431">
        <v>106736</v>
      </c>
      <c r="Y127" s="431">
        <v>5500</v>
      </c>
      <c r="Z127" s="431">
        <v>571570</v>
      </c>
      <c r="AA127" s="431">
        <v>18116</v>
      </c>
      <c r="AB127" s="431">
        <v>-44501</v>
      </c>
      <c r="AC127" s="431">
        <v>550178</v>
      </c>
      <c r="AD127" s="431">
        <v>22028</v>
      </c>
      <c r="AE127" s="431">
        <v>1484775</v>
      </c>
      <c r="AF127" s="431">
        <v>108839</v>
      </c>
      <c r="AG127" s="431">
        <v>182488</v>
      </c>
      <c r="AH127" s="431">
        <v>185616</v>
      </c>
      <c r="AI127" s="431">
        <v>242403</v>
      </c>
      <c r="AJ127" s="431">
        <v>116812</v>
      </c>
      <c r="AK127" s="431">
        <v>0</v>
      </c>
      <c r="AL127" s="431">
        <v>148089</v>
      </c>
      <c r="AM127" s="431">
        <v>24980</v>
      </c>
      <c r="AN127" s="203"/>
    </row>
    <row r="128" spans="1:40" s="155" customFormat="1" ht="12" x14ac:dyDescent="0.2">
      <c r="A128" s="205">
        <v>74</v>
      </c>
      <c r="B128" s="304" t="s">
        <v>383</v>
      </c>
      <c r="C128" s="238" t="s">
        <v>384</v>
      </c>
      <c r="D128" s="432">
        <f t="shared" si="10"/>
        <v>5815902</v>
      </c>
      <c r="E128" s="431">
        <v>1315029</v>
      </c>
      <c r="F128" s="431">
        <v>301831</v>
      </c>
      <c r="G128" s="431">
        <v>259669</v>
      </c>
      <c r="H128" s="431">
        <v>0</v>
      </c>
      <c r="I128" s="431">
        <v>3367561</v>
      </c>
      <c r="J128" s="431">
        <v>0</v>
      </c>
      <c r="K128" s="431">
        <v>897000</v>
      </c>
      <c r="L128" s="431">
        <v>0</v>
      </c>
      <c r="M128" s="431">
        <v>164517</v>
      </c>
      <c r="N128" s="431">
        <v>0</v>
      </c>
      <c r="O128" s="431">
        <v>71795</v>
      </c>
      <c r="P128" s="432">
        <f t="shared" si="9"/>
        <v>5855936</v>
      </c>
      <c r="Q128" s="431">
        <v>3148819</v>
      </c>
      <c r="R128" s="431">
        <v>677906</v>
      </c>
      <c r="S128" s="431">
        <v>0</v>
      </c>
      <c r="T128" s="431">
        <v>0</v>
      </c>
      <c r="U128" s="431">
        <v>0</v>
      </c>
      <c r="V128" s="431">
        <v>0</v>
      </c>
      <c r="W128" s="431">
        <v>0</v>
      </c>
      <c r="X128" s="431">
        <v>605914</v>
      </c>
      <c r="Y128" s="431">
        <v>68000</v>
      </c>
      <c r="Z128" s="431">
        <v>1371578</v>
      </c>
      <c r="AA128" s="431">
        <v>0</v>
      </c>
      <c r="AB128" s="431">
        <v>-16281</v>
      </c>
      <c r="AC128" s="431">
        <v>435774</v>
      </c>
      <c r="AD128" s="431">
        <v>0</v>
      </c>
      <c r="AE128" s="431">
        <v>3039189</v>
      </c>
      <c r="AF128" s="431">
        <v>33998</v>
      </c>
      <c r="AG128" s="431">
        <v>127242</v>
      </c>
      <c r="AH128" s="431">
        <v>620616</v>
      </c>
      <c r="AI128" s="431">
        <v>64986</v>
      </c>
      <c r="AJ128" s="431">
        <v>79978</v>
      </c>
      <c r="AK128" s="431">
        <v>0</v>
      </c>
      <c r="AL128" s="431">
        <v>1371567</v>
      </c>
      <c r="AM128" s="431">
        <v>82586</v>
      </c>
      <c r="AN128" s="203"/>
    </row>
    <row r="129" spans="1:40" s="155" customFormat="1" ht="12" x14ac:dyDescent="0.2">
      <c r="A129" s="205">
        <v>75</v>
      </c>
      <c r="B129" s="304" t="s">
        <v>385</v>
      </c>
      <c r="C129" s="238" t="s">
        <v>386</v>
      </c>
      <c r="D129" s="432">
        <f t="shared" si="10"/>
        <v>5569849</v>
      </c>
      <c r="E129" s="431">
        <v>1586038</v>
      </c>
      <c r="F129" s="431">
        <v>283031</v>
      </c>
      <c r="G129" s="431">
        <v>371225</v>
      </c>
      <c r="H129" s="431">
        <v>0</v>
      </c>
      <c r="I129" s="431">
        <v>2764907</v>
      </c>
      <c r="J129" s="431">
        <v>0</v>
      </c>
      <c r="K129" s="431">
        <v>1171306</v>
      </c>
      <c r="L129" s="431">
        <v>0</v>
      </c>
      <c r="M129" s="431">
        <v>47598</v>
      </c>
      <c r="N129" s="431">
        <v>0</v>
      </c>
      <c r="O129" s="431"/>
      <c r="P129" s="432">
        <f t="shared" si="9"/>
        <v>5572907</v>
      </c>
      <c r="Q129" s="431">
        <v>2870075</v>
      </c>
      <c r="R129" s="431">
        <v>1321248</v>
      </c>
      <c r="S129" s="431">
        <v>38677</v>
      </c>
      <c r="T129" s="431">
        <v>0</v>
      </c>
      <c r="U129" s="431">
        <v>0</v>
      </c>
      <c r="V129" s="431">
        <v>10069</v>
      </c>
      <c r="W129" s="431">
        <v>0</v>
      </c>
      <c r="X129" s="431">
        <v>259996</v>
      </c>
      <c r="Y129" s="431">
        <v>16800</v>
      </c>
      <c r="Z129" s="431">
        <v>989370</v>
      </c>
      <c r="AA129" s="431">
        <v>66672</v>
      </c>
      <c r="AB129" s="431">
        <v>0</v>
      </c>
      <c r="AC129" s="431">
        <v>1202716</v>
      </c>
      <c r="AD129" s="431">
        <v>31572</v>
      </c>
      <c r="AE129" s="431">
        <v>2364496</v>
      </c>
      <c r="AF129" s="431">
        <v>21693</v>
      </c>
      <c r="AG129" s="431">
        <v>242579</v>
      </c>
      <c r="AH129" s="431">
        <v>624887</v>
      </c>
      <c r="AI129" s="431">
        <v>245909</v>
      </c>
      <c r="AJ129" s="431">
        <v>204821</v>
      </c>
      <c r="AK129" s="431">
        <v>0</v>
      </c>
      <c r="AL129" s="431">
        <v>616834</v>
      </c>
      <c r="AM129" s="431">
        <v>17400</v>
      </c>
      <c r="AN129" s="203"/>
    </row>
    <row r="130" spans="1:40" s="155" customFormat="1" ht="12" x14ac:dyDescent="0.2">
      <c r="A130" s="205">
        <v>76</v>
      </c>
      <c r="B130" s="304" t="s">
        <v>387</v>
      </c>
      <c r="C130" s="238" t="s">
        <v>388</v>
      </c>
      <c r="D130" s="432">
        <f t="shared" si="10"/>
        <v>4785281</v>
      </c>
      <c r="E130" s="431">
        <v>1034567</v>
      </c>
      <c r="F130" s="431">
        <v>186055</v>
      </c>
      <c r="G130" s="431">
        <v>235779</v>
      </c>
      <c r="H130" s="431">
        <v>0</v>
      </c>
      <c r="I130" s="431">
        <v>1751824</v>
      </c>
      <c r="J130" s="431">
        <v>0</v>
      </c>
      <c r="K130" s="431">
        <v>912220</v>
      </c>
      <c r="L130" s="431">
        <v>0</v>
      </c>
      <c r="M130" s="431">
        <v>1086670</v>
      </c>
      <c r="N130" s="431">
        <v>0</v>
      </c>
      <c r="O130" s="431"/>
      <c r="P130" s="432">
        <f t="shared" si="9"/>
        <v>4759614</v>
      </c>
      <c r="Q130" s="431">
        <v>1994357</v>
      </c>
      <c r="R130" s="431">
        <v>671907</v>
      </c>
      <c r="S130" s="431">
        <v>0</v>
      </c>
      <c r="T130" s="431">
        <v>0</v>
      </c>
      <c r="U130" s="431">
        <v>0</v>
      </c>
      <c r="V130" s="431">
        <v>0</v>
      </c>
      <c r="W130" s="431">
        <v>0</v>
      </c>
      <c r="X130" s="431">
        <v>274071</v>
      </c>
      <c r="Y130" s="431">
        <v>75999</v>
      </c>
      <c r="Z130" s="431">
        <v>1746047</v>
      </c>
      <c r="AA130" s="431">
        <v>0</v>
      </c>
      <c r="AB130" s="431">
        <v>-2767</v>
      </c>
      <c r="AC130" s="431">
        <v>688074</v>
      </c>
      <c r="AD130" s="431">
        <v>0</v>
      </c>
      <c r="AE130" s="431">
        <v>1893881</v>
      </c>
      <c r="AF130" s="431">
        <v>0</v>
      </c>
      <c r="AG130" s="431">
        <v>106969</v>
      </c>
      <c r="AH130" s="431">
        <v>397592</v>
      </c>
      <c r="AI130" s="431">
        <v>276989</v>
      </c>
      <c r="AJ130" s="431">
        <v>104000</v>
      </c>
      <c r="AK130" s="431">
        <v>0</v>
      </c>
      <c r="AL130" s="431">
        <v>1284494</v>
      </c>
      <c r="AM130" s="431">
        <v>7615</v>
      </c>
      <c r="AN130" s="203"/>
    </row>
    <row r="131" spans="1:40" s="155" customFormat="1" ht="12" x14ac:dyDescent="0.2">
      <c r="A131" s="205">
        <v>77</v>
      </c>
      <c r="B131" s="304" t="s">
        <v>389</v>
      </c>
      <c r="C131" s="238" t="s">
        <v>390</v>
      </c>
      <c r="D131" s="432">
        <f t="shared" si="10"/>
        <v>8674449</v>
      </c>
      <c r="E131" s="431">
        <v>1886352</v>
      </c>
      <c r="F131" s="431">
        <v>425729</v>
      </c>
      <c r="G131" s="431">
        <v>430454</v>
      </c>
      <c r="H131" s="431">
        <v>0</v>
      </c>
      <c r="I131" s="431">
        <v>4038651</v>
      </c>
      <c r="J131" s="431">
        <v>0</v>
      </c>
      <c r="K131" s="431">
        <v>1021510</v>
      </c>
      <c r="L131" s="431">
        <v>0</v>
      </c>
      <c r="M131" s="431">
        <v>986495</v>
      </c>
      <c r="N131" s="431">
        <v>620529</v>
      </c>
      <c r="O131" s="431">
        <v>120912</v>
      </c>
      <c r="P131" s="432">
        <f t="shared" si="9"/>
        <v>8515625</v>
      </c>
      <c r="Q131" s="431">
        <v>4260935</v>
      </c>
      <c r="R131" s="431">
        <v>1491032</v>
      </c>
      <c r="S131" s="431">
        <v>0</v>
      </c>
      <c r="T131" s="431">
        <v>0</v>
      </c>
      <c r="U131" s="431">
        <v>0</v>
      </c>
      <c r="V131" s="431">
        <v>0</v>
      </c>
      <c r="W131" s="431">
        <v>817453</v>
      </c>
      <c r="X131" s="431">
        <v>309755</v>
      </c>
      <c r="Y131" s="431">
        <v>64731</v>
      </c>
      <c r="Z131" s="431">
        <v>1574965</v>
      </c>
      <c r="AA131" s="431">
        <v>0</v>
      </c>
      <c r="AB131" s="431">
        <v>-3246</v>
      </c>
      <c r="AC131" s="431">
        <v>827988</v>
      </c>
      <c r="AD131" s="431">
        <v>36483</v>
      </c>
      <c r="AE131" s="431">
        <v>3876616</v>
      </c>
      <c r="AF131" s="431">
        <v>18954</v>
      </c>
      <c r="AG131" s="431">
        <v>77999</v>
      </c>
      <c r="AH131" s="431">
        <v>647859</v>
      </c>
      <c r="AI131" s="431">
        <v>295068</v>
      </c>
      <c r="AJ131" s="431">
        <v>1195405</v>
      </c>
      <c r="AK131" s="431">
        <v>0</v>
      </c>
      <c r="AL131" s="431">
        <v>1335511</v>
      </c>
      <c r="AM131" s="431">
        <v>203742</v>
      </c>
      <c r="AN131" s="203"/>
    </row>
    <row r="132" spans="1:40" s="155" customFormat="1" ht="12" x14ac:dyDescent="0.2">
      <c r="A132" s="205">
        <v>78</v>
      </c>
      <c r="B132" s="304" t="s">
        <v>391</v>
      </c>
      <c r="C132" s="238" t="s">
        <v>392</v>
      </c>
      <c r="D132" s="432">
        <f t="shared" si="10"/>
        <v>6745548</v>
      </c>
      <c r="E132" s="431">
        <v>1667638</v>
      </c>
      <c r="F132" s="431">
        <v>394139</v>
      </c>
      <c r="G132" s="431">
        <v>239536</v>
      </c>
      <c r="H132" s="431">
        <v>0</v>
      </c>
      <c r="I132" s="431">
        <v>1732418</v>
      </c>
      <c r="J132" s="431">
        <v>0</v>
      </c>
      <c r="K132" s="431">
        <v>769519</v>
      </c>
      <c r="L132" s="431">
        <v>0</v>
      </c>
      <c r="M132" s="431">
        <v>2185292</v>
      </c>
      <c r="N132" s="431">
        <v>334993</v>
      </c>
      <c r="O132" s="431">
        <v>55688</v>
      </c>
      <c r="P132" s="432">
        <f t="shared" si="9"/>
        <v>7912041</v>
      </c>
      <c r="Q132" s="431">
        <v>2452695</v>
      </c>
      <c r="R132" s="431">
        <v>1196489</v>
      </c>
      <c r="S132" s="431">
        <v>66974</v>
      </c>
      <c r="T132" s="431">
        <v>0</v>
      </c>
      <c r="U132" s="431">
        <v>0</v>
      </c>
      <c r="V132" s="431">
        <v>57491</v>
      </c>
      <c r="W132" s="431">
        <v>1062420</v>
      </c>
      <c r="X132" s="431">
        <v>82774</v>
      </c>
      <c r="Y132" s="431">
        <v>0</v>
      </c>
      <c r="Z132" s="431">
        <v>2462330</v>
      </c>
      <c r="AA132" s="431">
        <v>530868</v>
      </c>
      <c r="AB132" s="431">
        <v>0</v>
      </c>
      <c r="AC132" s="431">
        <v>1485930</v>
      </c>
      <c r="AD132" s="431">
        <v>12479</v>
      </c>
      <c r="AE132" s="431">
        <v>1800046</v>
      </c>
      <c r="AF132" s="431">
        <v>0</v>
      </c>
      <c r="AG132" s="431">
        <v>26500</v>
      </c>
      <c r="AH132" s="431">
        <v>166525</v>
      </c>
      <c r="AI132" s="431">
        <v>759685</v>
      </c>
      <c r="AJ132" s="431">
        <v>136210</v>
      </c>
      <c r="AK132" s="431">
        <v>0</v>
      </c>
      <c r="AL132" s="431">
        <v>3260089</v>
      </c>
      <c r="AM132" s="431">
        <v>264577</v>
      </c>
      <c r="AN132" s="203"/>
    </row>
    <row r="133" spans="1:40" s="155" customFormat="1" ht="12" x14ac:dyDescent="0.2">
      <c r="A133" s="205">
        <v>79</v>
      </c>
      <c r="B133" s="304" t="s">
        <v>393</v>
      </c>
      <c r="C133" s="238" t="s">
        <v>394</v>
      </c>
      <c r="D133" s="432">
        <f t="shared" si="10"/>
        <v>8581498</v>
      </c>
      <c r="E133" s="431">
        <v>2347397</v>
      </c>
      <c r="F133" s="431">
        <v>346548</v>
      </c>
      <c r="G133" s="431">
        <v>186397</v>
      </c>
      <c r="H133" s="431">
        <v>0</v>
      </c>
      <c r="I133" s="431">
        <v>1964351</v>
      </c>
      <c r="J133" s="431">
        <v>0</v>
      </c>
      <c r="K133" s="431">
        <v>718600</v>
      </c>
      <c r="L133" s="431">
        <v>0</v>
      </c>
      <c r="M133" s="431">
        <v>822112</v>
      </c>
      <c r="N133" s="431">
        <v>867038</v>
      </c>
      <c r="O133" s="431">
        <v>1862000</v>
      </c>
      <c r="P133" s="432">
        <f t="shared" si="9"/>
        <v>8438372</v>
      </c>
      <c r="Q133" s="431">
        <v>2376720</v>
      </c>
      <c r="R133" s="431">
        <v>1994552</v>
      </c>
      <c r="S133" s="431">
        <v>122548</v>
      </c>
      <c r="T133" s="431">
        <v>0</v>
      </c>
      <c r="U133" s="431">
        <v>0</v>
      </c>
      <c r="V133" s="431">
        <v>10000</v>
      </c>
      <c r="W133" s="431">
        <v>199026</v>
      </c>
      <c r="X133" s="431">
        <v>106473</v>
      </c>
      <c r="Y133" s="431">
        <v>0</v>
      </c>
      <c r="Z133" s="431">
        <v>2328223</v>
      </c>
      <c r="AA133" s="431">
        <v>1300830</v>
      </c>
      <c r="AB133" s="431">
        <v>0</v>
      </c>
      <c r="AC133" s="431">
        <v>1834772</v>
      </c>
      <c r="AD133" s="431">
        <v>3756</v>
      </c>
      <c r="AE133" s="431">
        <v>1862650</v>
      </c>
      <c r="AF133" s="431">
        <v>0</v>
      </c>
      <c r="AG133" s="431">
        <v>44048</v>
      </c>
      <c r="AH133" s="431">
        <v>427200</v>
      </c>
      <c r="AI133" s="431">
        <v>2436102</v>
      </c>
      <c r="AJ133" s="431">
        <v>10000</v>
      </c>
      <c r="AK133" s="431">
        <v>0</v>
      </c>
      <c r="AL133" s="431">
        <v>1819844</v>
      </c>
      <c r="AM133" s="431"/>
      <c r="AN133" s="203"/>
    </row>
    <row r="134" spans="1:40" s="155" customFormat="1" ht="12" x14ac:dyDescent="0.2">
      <c r="A134" s="205">
        <v>80</v>
      </c>
      <c r="B134" s="304" t="s">
        <v>395</v>
      </c>
      <c r="C134" s="238" t="s">
        <v>396</v>
      </c>
      <c r="D134" s="432">
        <f t="shared" si="10"/>
        <v>14149500</v>
      </c>
      <c r="E134" s="431">
        <v>10197646</v>
      </c>
      <c r="F134" s="431">
        <v>5073992</v>
      </c>
      <c r="G134" s="431">
        <v>6170</v>
      </c>
      <c r="H134" s="431">
        <v>0</v>
      </c>
      <c r="I134" s="431">
        <v>3731263</v>
      </c>
      <c r="J134" s="431">
        <v>0</v>
      </c>
      <c r="K134" s="431">
        <v>142022</v>
      </c>
      <c r="L134" s="431">
        <v>0</v>
      </c>
      <c r="M134" s="431">
        <v>44057</v>
      </c>
      <c r="N134" s="431">
        <v>0</v>
      </c>
      <c r="O134" s="431">
        <v>34512</v>
      </c>
      <c r="P134" s="432">
        <f t="shared" si="9"/>
        <v>13892592</v>
      </c>
      <c r="Q134" s="431">
        <v>3885603</v>
      </c>
      <c r="R134" s="431">
        <v>5078053</v>
      </c>
      <c r="S134" s="431">
        <v>226000</v>
      </c>
      <c r="T134" s="431">
        <v>0</v>
      </c>
      <c r="U134" s="431">
        <v>0</v>
      </c>
      <c r="V134" s="431">
        <v>191208</v>
      </c>
      <c r="W134" s="431">
        <v>0</v>
      </c>
      <c r="X134" s="431">
        <v>426606</v>
      </c>
      <c r="Y134" s="431">
        <v>8470</v>
      </c>
      <c r="Z134" s="431">
        <v>3860812</v>
      </c>
      <c r="AA134" s="431">
        <v>222230</v>
      </c>
      <c r="AB134" s="431">
        <v>-6390</v>
      </c>
      <c r="AC134" s="431">
        <v>1587912</v>
      </c>
      <c r="AD134" s="431">
        <v>0</v>
      </c>
      <c r="AE134" s="431">
        <v>4643666</v>
      </c>
      <c r="AF134" s="431">
        <v>0</v>
      </c>
      <c r="AG134" s="431">
        <v>254361</v>
      </c>
      <c r="AH134" s="431">
        <v>947672</v>
      </c>
      <c r="AI134" s="431">
        <v>1020336</v>
      </c>
      <c r="AJ134" s="431">
        <v>2284630</v>
      </c>
      <c r="AK134" s="431">
        <v>0</v>
      </c>
      <c r="AL134" s="431">
        <v>3154015</v>
      </c>
      <c r="AM134" s="431"/>
      <c r="AN134" s="203"/>
    </row>
    <row r="135" spans="1:40" s="155" customFormat="1" ht="12" x14ac:dyDescent="0.2">
      <c r="A135" s="205">
        <v>81</v>
      </c>
      <c r="B135" s="304" t="s">
        <v>397</v>
      </c>
      <c r="C135" s="238" t="s">
        <v>398</v>
      </c>
      <c r="D135" s="432">
        <f t="shared" si="10"/>
        <v>5443007</v>
      </c>
      <c r="E135" s="431">
        <v>929117</v>
      </c>
      <c r="F135" s="431">
        <v>134129</v>
      </c>
      <c r="G135" s="431">
        <v>285739</v>
      </c>
      <c r="H135" s="431">
        <v>0</v>
      </c>
      <c r="I135" s="431">
        <v>1825701</v>
      </c>
      <c r="J135" s="431">
        <v>0</v>
      </c>
      <c r="K135" s="431">
        <v>1068496</v>
      </c>
      <c r="L135" s="431">
        <v>0</v>
      </c>
      <c r="M135" s="431">
        <v>195628</v>
      </c>
      <c r="N135" s="431">
        <v>1424065</v>
      </c>
      <c r="O135" s="431"/>
      <c r="P135" s="432">
        <f t="shared" si="9"/>
        <v>3812201</v>
      </c>
      <c r="Q135" s="431">
        <v>1763034</v>
      </c>
      <c r="R135" s="431">
        <v>858044</v>
      </c>
      <c r="S135" s="431">
        <v>2682</v>
      </c>
      <c r="T135" s="431">
        <v>0</v>
      </c>
      <c r="U135" s="431">
        <v>0</v>
      </c>
      <c r="V135" s="431">
        <v>0</v>
      </c>
      <c r="W135" s="431">
        <v>0</v>
      </c>
      <c r="X135" s="431">
        <v>406290</v>
      </c>
      <c r="Y135" s="431">
        <v>22000</v>
      </c>
      <c r="Z135" s="431">
        <v>760851</v>
      </c>
      <c r="AA135" s="431">
        <v>0</v>
      </c>
      <c r="AB135" s="431">
        <v>-700</v>
      </c>
      <c r="AC135" s="431">
        <v>976075</v>
      </c>
      <c r="AD135" s="431">
        <v>28044</v>
      </c>
      <c r="AE135" s="431">
        <v>1606048</v>
      </c>
      <c r="AF135" s="431">
        <v>23387</v>
      </c>
      <c r="AG135" s="431">
        <v>117939</v>
      </c>
      <c r="AH135" s="431">
        <v>420992</v>
      </c>
      <c r="AI135" s="431">
        <v>112101</v>
      </c>
      <c r="AJ135" s="431">
        <v>78000</v>
      </c>
      <c r="AK135" s="431">
        <v>0</v>
      </c>
      <c r="AL135" s="431">
        <v>449615</v>
      </c>
      <c r="AM135" s="431"/>
      <c r="AN135" s="203"/>
    </row>
    <row r="136" spans="1:40" s="155" customFormat="1" ht="12" x14ac:dyDescent="0.2">
      <c r="A136" s="205">
        <v>82</v>
      </c>
      <c r="B136" s="304" t="s">
        <v>399</v>
      </c>
      <c r="C136" s="238" t="s">
        <v>400</v>
      </c>
      <c r="D136" s="432">
        <f t="shared" si="10"/>
        <v>6930290</v>
      </c>
      <c r="E136" s="431">
        <v>1731981</v>
      </c>
      <c r="F136" s="431">
        <v>346463</v>
      </c>
      <c r="G136" s="431">
        <v>422894</v>
      </c>
      <c r="H136" s="431">
        <v>0</v>
      </c>
      <c r="I136" s="431">
        <v>2644276</v>
      </c>
      <c r="J136" s="431">
        <v>0</v>
      </c>
      <c r="K136" s="431">
        <v>1178349</v>
      </c>
      <c r="L136" s="431">
        <v>0</v>
      </c>
      <c r="M136" s="431">
        <v>1338724</v>
      </c>
      <c r="N136" s="431">
        <v>0</v>
      </c>
      <c r="O136" s="431">
        <v>36960</v>
      </c>
      <c r="P136" s="432">
        <f t="shared" si="9"/>
        <v>6810266</v>
      </c>
      <c r="Q136" s="431">
        <v>2663922</v>
      </c>
      <c r="R136" s="431">
        <v>1627210</v>
      </c>
      <c r="S136" s="431">
        <v>71395</v>
      </c>
      <c r="T136" s="431">
        <v>0</v>
      </c>
      <c r="U136" s="431">
        <v>0</v>
      </c>
      <c r="V136" s="431">
        <v>118348</v>
      </c>
      <c r="W136" s="431">
        <v>0</v>
      </c>
      <c r="X136" s="431">
        <v>769934</v>
      </c>
      <c r="Y136" s="431">
        <v>36545</v>
      </c>
      <c r="Z136" s="431">
        <v>1417045</v>
      </c>
      <c r="AA136" s="431">
        <v>125860</v>
      </c>
      <c r="AB136" s="431">
        <v>-19993</v>
      </c>
      <c r="AC136" s="431">
        <v>1209968</v>
      </c>
      <c r="AD136" s="431">
        <v>93682</v>
      </c>
      <c r="AE136" s="431">
        <v>2121049</v>
      </c>
      <c r="AF136" s="431">
        <v>17966</v>
      </c>
      <c r="AG136" s="431">
        <v>155510</v>
      </c>
      <c r="AH136" s="431">
        <v>924306</v>
      </c>
      <c r="AI136" s="431">
        <v>1683445</v>
      </c>
      <c r="AJ136" s="431">
        <v>293736</v>
      </c>
      <c r="AK136" s="431">
        <v>0</v>
      </c>
      <c r="AL136" s="431">
        <v>193804</v>
      </c>
      <c r="AM136" s="431">
        <v>116800</v>
      </c>
      <c r="AN136" s="203"/>
    </row>
    <row r="137" spans="1:40" s="155" customFormat="1" ht="12" x14ac:dyDescent="0.2">
      <c r="A137" s="205">
        <v>83</v>
      </c>
      <c r="B137" s="304" t="s">
        <v>401</v>
      </c>
      <c r="C137" s="238" t="s">
        <v>402</v>
      </c>
      <c r="D137" s="432">
        <f t="shared" si="10"/>
        <v>11991728</v>
      </c>
      <c r="E137" s="431">
        <v>2162823</v>
      </c>
      <c r="F137" s="431">
        <v>332156</v>
      </c>
      <c r="G137" s="431">
        <v>787148</v>
      </c>
      <c r="H137" s="431">
        <v>0</v>
      </c>
      <c r="I137" s="431">
        <v>4745128</v>
      </c>
      <c r="J137" s="431">
        <v>0</v>
      </c>
      <c r="K137" s="431">
        <v>1545600</v>
      </c>
      <c r="L137" s="431">
        <v>0</v>
      </c>
      <c r="M137" s="431">
        <v>1345387</v>
      </c>
      <c r="N137" s="431">
        <v>2147256</v>
      </c>
      <c r="O137" s="431">
        <v>45534</v>
      </c>
      <c r="P137" s="432">
        <f t="shared" si="9"/>
        <v>13534865</v>
      </c>
      <c r="Q137" s="431">
        <v>5046856</v>
      </c>
      <c r="R137" s="431">
        <v>1288152</v>
      </c>
      <c r="S137" s="431">
        <v>0</v>
      </c>
      <c r="T137" s="431">
        <v>0</v>
      </c>
      <c r="U137" s="431">
        <v>0</v>
      </c>
      <c r="V137" s="431">
        <v>234775</v>
      </c>
      <c r="W137" s="431">
        <v>5203523</v>
      </c>
      <c r="X137" s="431">
        <v>222741</v>
      </c>
      <c r="Y137" s="431">
        <v>43500</v>
      </c>
      <c r="Z137" s="431">
        <v>1451827</v>
      </c>
      <c r="AA137" s="431">
        <v>43491</v>
      </c>
      <c r="AB137" s="431">
        <v>0</v>
      </c>
      <c r="AC137" s="431">
        <v>1392486</v>
      </c>
      <c r="AD137" s="431">
        <v>0</v>
      </c>
      <c r="AE137" s="431">
        <v>4251832</v>
      </c>
      <c r="AF137" s="431">
        <v>0</v>
      </c>
      <c r="AG137" s="431">
        <v>276189</v>
      </c>
      <c r="AH137" s="431">
        <v>918713</v>
      </c>
      <c r="AI137" s="431">
        <v>280017</v>
      </c>
      <c r="AJ137" s="431">
        <v>347008</v>
      </c>
      <c r="AK137" s="431">
        <v>0</v>
      </c>
      <c r="AL137" s="431">
        <v>5982120</v>
      </c>
      <c r="AM137" s="431">
        <v>86500</v>
      </c>
      <c r="AN137" s="203"/>
    </row>
    <row r="138" spans="1:40" s="155" customFormat="1" ht="12" x14ac:dyDescent="0.2">
      <c r="A138" s="205">
        <v>84</v>
      </c>
      <c r="B138" s="304" t="s">
        <v>403</v>
      </c>
      <c r="C138" s="238" t="s">
        <v>404</v>
      </c>
      <c r="D138" s="432">
        <f t="shared" si="10"/>
        <v>3655363</v>
      </c>
      <c r="E138" s="431">
        <v>695489</v>
      </c>
      <c r="F138" s="431">
        <v>114974</v>
      </c>
      <c r="G138" s="431">
        <v>335609</v>
      </c>
      <c r="H138" s="431">
        <v>0</v>
      </c>
      <c r="I138" s="431">
        <v>1786399</v>
      </c>
      <c r="J138" s="431">
        <v>0</v>
      </c>
      <c r="K138" s="431">
        <v>1039120</v>
      </c>
      <c r="L138" s="431">
        <v>0</v>
      </c>
      <c r="M138" s="431">
        <v>133622</v>
      </c>
      <c r="N138" s="431">
        <v>733</v>
      </c>
      <c r="O138" s="431"/>
      <c r="P138" s="432">
        <f t="shared" si="9"/>
        <v>2945445</v>
      </c>
      <c r="Q138" s="431">
        <v>2007828</v>
      </c>
      <c r="R138" s="431">
        <v>592239</v>
      </c>
      <c r="S138" s="431">
        <v>0</v>
      </c>
      <c r="T138" s="431">
        <v>0</v>
      </c>
      <c r="U138" s="431">
        <v>0</v>
      </c>
      <c r="V138" s="431">
        <v>0</v>
      </c>
      <c r="W138" s="431">
        <v>0</v>
      </c>
      <c r="X138" s="431">
        <v>23658</v>
      </c>
      <c r="Y138" s="431">
        <v>0</v>
      </c>
      <c r="Z138" s="431">
        <v>321720</v>
      </c>
      <c r="AA138" s="431">
        <v>0</v>
      </c>
      <c r="AB138" s="431">
        <v>0</v>
      </c>
      <c r="AC138" s="431">
        <v>461952</v>
      </c>
      <c r="AD138" s="431">
        <v>1604</v>
      </c>
      <c r="AE138" s="431">
        <v>1551256</v>
      </c>
      <c r="AF138" s="431">
        <v>8759</v>
      </c>
      <c r="AG138" s="431">
        <v>29932</v>
      </c>
      <c r="AH138" s="431">
        <v>320693</v>
      </c>
      <c r="AI138" s="431">
        <v>25824</v>
      </c>
      <c r="AJ138" s="431">
        <v>100527</v>
      </c>
      <c r="AK138" s="431">
        <v>0</v>
      </c>
      <c r="AL138" s="431">
        <v>381732</v>
      </c>
      <c r="AM138" s="431">
        <v>63166</v>
      </c>
      <c r="AN138" s="203"/>
    </row>
    <row r="139" spans="1:40" s="155" customFormat="1" ht="12" x14ac:dyDescent="0.2">
      <c r="A139" s="205">
        <v>85</v>
      </c>
      <c r="B139" s="304" t="s">
        <v>405</v>
      </c>
      <c r="C139" s="238" t="s">
        <v>406</v>
      </c>
      <c r="D139" s="432">
        <f t="shared" si="10"/>
        <v>7313515</v>
      </c>
      <c r="E139" s="431">
        <v>1321496</v>
      </c>
      <c r="F139" s="431">
        <v>270779</v>
      </c>
      <c r="G139" s="431">
        <v>266378</v>
      </c>
      <c r="H139" s="431">
        <v>0</v>
      </c>
      <c r="I139" s="431">
        <v>2510787</v>
      </c>
      <c r="J139" s="431">
        <v>0</v>
      </c>
      <c r="K139" s="431">
        <v>1108814</v>
      </c>
      <c r="L139" s="431">
        <v>0</v>
      </c>
      <c r="M139" s="431">
        <v>2343896</v>
      </c>
      <c r="N139" s="431">
        <v>0</v>
      </c>
      <c r="O139" s="431">
        <v>28522</v>
      </c>
      <c r="P139" s="432">
        <f t="shared" si="9"/>
        <v>7403641</v>
      </c>
      <c r="Q139" s="431">
        <v>2731008</v>
      </c>
      <c r="R139" s="431">
        <v>828452</v>
      </c>
      <c r="S139" s="431">
        <v>55367</v>
      </c>
      <c r="T139" s="431">
        <v>0</v>
      </c>
      <c r="U139" s="431">
        <v>0</v>
      </c>
      <c r="V139" s="431">
        <v>28997</v>
      </c>
      <c r="W139" s="431">
        <v>0</v>
      </c>
      <c r="X139" s="431">
        <v>163148</v>
      </c>
      <c r="Y139" s="431">
        <v>33785</v>
      </c>
      <c r="Z139" s="431">
        <v>3456548</v>
      </c>
      <c r="AA139" s="431">
        <v>106336</v>
      </c>
      <c r="AB139" s="431">
        <v>0</v>
      </c>
      <c r="AC139" s="431">
        <v>817522</v>
      </c>
      <c r="AD139" s="431">
        <v>0</v>
      </c>
      <c r="AE139" s="431">
        <v>2324828</v>
      </c>
      <c r="AF139" s="431">
        <v>10000</v>
      </c>
      <c r="AG139" s="431">
        <v>86017</v>
      </c>
      <c r="AH139" s="431">
        <v>405566</v>
      </c>
      <c r="AI139" s="431">
        <v>260909</v>
      </c>
      <c r="AJ139" s="431">
        <v>59197</v>
      </c>
      <c r="AK139" s="431">
        <v>32833</v>
      </c>
      <c r="AL139" s="431">
        <v>3396813</v>
      </c>
      <c r="AM139" s="431">
        <v>9956</v>
      </c>
      <c r="AN139" s="203"/>
    </row>
    <row r="140" spans="1:40" s="155" customFormat="1" ht="12" x14ac:dyDescent="0.2">
      <c r="A140" s="205">
        <v>86</v>
      </c>
      <c r="B140" s="304" t="s">
        <v>407</v>
      </c>
      <c r="C140" s="238" t="s">
        <v>408</v>
      </c>
      <c r="D140" s="432">
        <f t="shared" si="10"/>
        <v>6922453</v>
      </c>
      <c r="E140" s="431">
        <v>780061</v>
      </c>
      <c r="F140" s="431">
        <v>155313</v>
      </c>
      <c r="G140" s="431">
        <v>312929</v>
      </c>
      <c r="H140" s="431">
        <v>0</v>
      </c>
      <c r="I140" s="431">
        <v>2912636</v>
      </c>
      <c r="J140" s="431">
        <v>0</v>
      </c>
      <c r="K140" s="431">
        <v>1062524</v>
      </c>
      <c r="L140" s="431">
        <v>0</v>
      </c>
      <c r="M140" s="431">
        <v>536095</v>
      </c>
      <c r="N140" s="431">
        <v>1613537</v>
      </c>
      <c r="O140" s="431">
        <v>17600</v>
      </c>
      <c r="P140" s="432">
        <f t="shared" si="9"/>
        <v>5163464</v>
      </c>
      <c r="Q140" s="431">
        <v>2785746</v>
      </c>
      <c r="R140" s="431">
        <v>1414511</v>
      </c>
      <c r="S140" s="431">
        <v>42737</v>
      </c>
      <c r="T140" s="431">
        <v>0</v>
      </c>
      <c r="U140" s="431">
        <v>0</v>
      </c>
      <c r="V140" s="431">
        <v>0</v>
      </c>
      <c r="W140" s="431">
        <v>0</v>
      </c>
      <c r="X140" s="431">
        <v>386482</v>
      </c>
      <c r="Y140" s="431">
        <v>80315</v>
      </c>
      <c r="Z140" s="431">
        <v>419265</v>
      </c>
      <c r="AA140" s="431">
        <v>34557</v>
      </c>
      <c r="AB140" s="431">
        <v>-149</v>
      </c>
      <c r="AC140" s="431">
        <v>733368</v>
      </c>
      <c r="AD140" s="431">
        <v>10992</v>
      </c>
      <c r="AE140" s="431">
        <v>2380571</v>
      </c>
      <c r="AF140" s="431">
        <v>14766</v>
      </c>
      <c r="AG140" s="431">
        <v>165700</v>
      </c>
      <c r="AH140" s="431">
        <v>650575</v>
      </c>
      <c r="AI140" s="431">
        <v>161619</v>
      </c>
      <c r="AJ140" s="431">
        <v>187236</v>
      </c>
      <c r="AK140" s="431">
        <v>0</v>
      </c>
      <c r="AL140" s="431">
        <v>858637</v>
      </c>
      <c r="AM140" s="431"/>
      <c r="AN140" s="203"/>
    </row>
    <row r="141" spans="1:40" s="155" customFormat="1" ht="12" x14ac:dyDescent="0.2">
      <c r="A141" s="205">
        <v>87</v>
      </c>
      <c r="B141" s="304" t="s">
        <v>409</v>
      </c>
      <c r="C141" s="238" t="s">
        <v>410</v>
      </c>
      <c r="D141" s="432">
        <f t="shared" si="10"/>
        <v>6522800</v>
      </c>
      <c r="E141" s="431">
        <v>1974868</v>
      </c>
      <c r="F141" s="431">
        <v>745989</v>
      </c>
      <c r="G141" s="431">
        <v>235376</v>
      </c>
      <c r="H141" s="431">
        <v>0</v>
      </c>
      <c r="I141" s="431">
        <v>3017484</v>
      </c>
      <c r="J141" s="431">
        <v>0</v>
      </c>
      <c r="K141" s="431">
        <v>913032</v>
      </c>
      <c r="L141" s="431">
        <v>0</v>
      </c>
      <c r="M141" s="431">
        <v>380206</v>
      </c>
      <c r="N141" s="431">
        <v>210012</v>
      </c>
      <c r="O141" s="431">
        <v>27198</v>
      </c>
      <c r="P141" s="432">
        <f t="shared" si="9"/>
        <v>6661925</v>
      </c>
      <c r="Q141" s="431">
        <v>3619205</v>
      </c>
      <c r="R141" s="431">
        <v>1487818</v>
      </c>
      <c r="S141" s="431">
        <v>0</v>
      </c>
      <c r="T141" s="431">
        <v>0</v>
      </c>
      <c r="U141" s="431">
        <v>0</v>
      </c>
      <c r="V141" s="431">
        <v>90000</v>
      </c>
      <c r="W141" s="431">
        <v>368146</v>
      </c>
      <c r="X141" s="431">
        <v>327625</v>
      </c>
      <c r="Y141" s="431">
        <v>15100</v>
      </c>
      <c r="Z141" s="431">
        <v>564920</v>
      </c>
      <c r="AA141" s="431">
        <v>191575</v>
      </c>
      <c r="AB141" s="431">
        <v>-2464</v>
      </c>
      <c r="AC141" s="431">
        <v>1377053</v>
      </c>
      <c r="AD141" s="431">
        <v>23428</v>
      </c>
      <c r="AE141" s="431">
        <v>2689333</v>
      </c>
      <c r="AF141" s="431">
        <v>0</v>
      </c>
      <c r="AG141" s="431">
        <v>242893</v>
      </c>
      <c r="AH141" s="431">
        <v>761560</v>
      </c>
      <c r="AI141" s="431">
        <v>790759</v>
      </c>
      <c r="AJ141" s="431">
        <v>326264</v>
      </c>
      <c r="AK141" s="431">
        <v>0</v>
      </c>
      <c r="AL141" s="431">
        <v>357459</v>
      </c>
      <c r="AM141" s="431">
        <v>93176</v>
      </c>
      <c r="AN141" s="203"/>
    </row>
    <row r="142" spans="1:40" s="155" customFormat="1" ht="12" x14ac:dyDescent="0.2">
      <c r="A142" s="205">
        <v>88</v>
      </c>
      <c r="B142" s="304" t="s">
        <v>411</v>
      </c>
      <c r="C142" s="238" t="s">
        <v>412</v>
      </c>
      <c r="D142" s="432">
        <f t="shared" si="10"/>
        <v>5506760</v>
      </c>
      <c r="E142" s="431">
        <v>1947137</v>
      </c>
      <c r="F142" s="431">
        <v>277894</v>
      </c>
      <c r="G142" s="431">
        <v>289475</v>
      </c>
      <c r="H142" s="431">
        <v>0</v>
      </c>
      <c r="I142" s="431">
        <v>2788207</v>
      </c>
      <c r="J142" s="431">
        <v>0</v>
      </c>
      <c r="K142" s="431">
        <v>711910</v>
      </c>
      <c r="L142" s="431">
        <v>0</v>
      </c>
      <c r="M142" s="431">
        <v>34020</v>
      </c>
      <c r="N142" s="431">
        <v>0</v>
      </c>
      <c r="O142" s="431">
        <v>25486</v>
      </c>
      <c r="P142" s="432">
        <f t="shared" si="9"/>
        <v>5497299</v>
      </c>
      <c r="Q142" s="431">
        <v>3141860</v>
      </c>
      <c r="R142" s="431">
        <v>1398455</v>
      </c>
      <c r="S142" s="431">
        <v>0</v>
      </c>
      <c r="T142" s="431">
        <v>0</v>
      </c>
      <c r="U142" s="431">
        <v>0</v>
      </c>
      <c r="V142" s="431">
        <v>0</v>
      </c>
      <c r="W142" s="431">
        <v>229069</v>
      </c>
      <c r="X142" s="431">
        <v>127230</v>
      </c>
      <c r="Y142" s="431">
        <v>46868</v>
      </c>
      <c r="Z142" s="431">
        <v>597418</v>
      </c>
      <c r="AA142" s="431">
        <v>0</v>
      </c>
      <c r="AB142" s="431">
        <v>-43601</v>
      </c>
      <c r="AC142" s="431">
        <v>1058180</v>
      </c>
      <c r="AD142" s="431">
        <v>36324</v>
      </c>
      <c r="AE142" s="431">
        <v>2507301</v>
      </c>
      <c r="AF142" s="431">
        <v>0</v>
      </c>
      <c r="AG142" s="431">
        <v>293859</v>
      </c>
      <c r="AH142" s="431">
        <v>459169</v>
      </c>
      <c r="AI142" s="431">
        <v>152061</v>
      </c>
      <c r="AJ142" s="431">
        <v>179044</v>
      </c>
      <c r="AK142" s="431">
        <v>0</v>
      </c>
      <c r="AL142" s="431">
        <v>562063</v>
      </c>
      <c r="AM142" s="431">
        <v>249298</v>
      </c>
      <c r="AN142" s="203"/>
    </row>
    <row r="143" spans="1:40" s="155" customFormat="1" ht="12" x14ac:dyDescent="0.2">
      <c r="A143" s="205">
        <v>89</v>
      </c>
      <c r="B143" s="304" t="s">
        <v>413</v>
      </c>
      <c r="C143" s="238" t="s">
        <v>414</v>
      </c>
      <c r="D143" s="432">
        <f t="shared" si="10"/>
        <v>9021382</v>
      </c>
      <c r="E143" s="431">
        <v>2360119</v>
      </c>
      <c r="F143" s="431">
        <v>963358</v>
      </c>
      <c r="G143" s="431">
        <v>271976</v>
      </c>
      <c r="H143" s="431">
        <v>0</v>
      </c>
      <c r="I143" s="431">
        <v>3298262</v>
      </c>
      <c r="J143" s="431">
        <v>0</v>
      </c>
      <c r="K143" s="431">
        <v>785943</v>
      </c>
      <c r="L143" s="431">
        <v>0</v>
      </c>
      <c r="M143" s="431">
        <v>1080020</v>
      </c>
      <c r="N143" s="431">
        <v>1497038</v>
      </c>
      <c r="O143" s="431"/>
      <c r="P143" s="432">
        <f>IF(SUM(Q143:AB143)=SUM(AC143:AM143),SUM(Q143:AB143),"  EROARE ART/CAP")</f>
        <v>6997198</v>
      </c>
      <c r="Q143" s="431">
        <v>3326875</v>
      </c>
      <c r="R143" s="431">
        <v>1845712</v>
      </c>
      <c r="S143" s="431">
        <v>0</v>
      </c>
      <c r="T143" s="431">
        <v>0</v>
      </c>
      <c r="U143" s="431">
        <v>0</v>
      </c>
      <c r="V143" s="431">
        <v>0</v>
      </c>
      <c r="W143" s="431">
        <v>0</v>
      </c>
      <c r="X143" s="431">
        <v>511396</v>
      </c>
      <c r="Y143" s="431">
        <v>23080</v>
      </c>
      <c r="Z143" s="431">
        <v>1290135</v>
      </c>
      <c r="AA143" s="431">
        <v>0</v>
      </c>
      <c r="AB143" s="431">
        <v>0</v>
      </c>
      <c r="AC143" s="431">
        <v>1067022</v>
      </c>
      <c r="AD143" s="431">
        <v>4200</v>
      </c>
      <c r="AE143" s="431">
        <v>3197441</v>
      </c>
      <c r="AF143" s="431">
        <v>0</v>
      </c>
      <c r="AG143" s="431">
        <v>153622</v>
      </c>
      <c r="AH143" s="431">
        <v>517214</v>
      </c>
      <c r="AI143" s="431">
        <v>179899</v>
      </c>
      <c r="AJ143" s="431">
        <v>200417</v>
      </c>
      <c r="AK143" s="431">
        <v>0</v>
      </c>
      <c r="AL143" s="431">
        <v>1677383</v>
      </c>
      <c r="AM143" s="431"/>
      <c r="AN143" s="203"/>
    </row>
    <row r="144" spans="1:40" s="155" customFormat="1" ht="11.25" x14ac:dyDescent="0.2">
      <c r="A144" s="205">
        <v>90</v>
      </c>
      <c r="B144" s="304" t="s">
        <v>415</v>
      </c>
      <c r="C144" s="140" t="s">
        <v>416</v>
      </c>
      <c r="D144" s="272">
        <f t="shared" si="10"/>
        <v>11291339</v>
      </c>
      <c r="E144" s="273">
        <v>1491656</v>
      </c>
      <c r="F144" s="273">
        <v>368633</v>
      </c>
      <c r="G144" s="273">
        <v>286597</v>
      </c>
      <c r="H144" s="273">
        <v>0</v>
      </c>
      <c r="I144" s="273">
        <v>3266854</v>
      </c>
      <c r="J144" s="273">
        <v>0</v>
      </c>
      <c r="K144" s="273">
        <v>1033103</v>
      </c>
      <c r="L144" s="273">
        <v>0</v>
      </c>
      <c r="M144" s="273">
        <v>4492795</v>
      </c>
      <c r="N144" s="273">
        <v>1006931</v>
      </c>
      <c r="O144" s="273"/>
      <c r="P144" s="272">
        <f t="shared" ref="P144:P150" si="11">IF(SUM(Q144:AB144)=SUM(AC144:AM144),SUM(Q144:AB144),"  EROARE ART/CAP")</f>
        <v>11411929</v>
      </c>
      <c r="Q144" s="273">
        <v>3538947</v>
      </c>
      <c r="R144" s="273">
        <v>1225787</v>
      </c>
      <c r="S144" s="273">
        <v>9783</v>
      </c>
      <c r="T144" s="273">
        <v>0</v>
      </c>
      <c r="U144" s="273">
        <v>0</v>
      </c>
      <c r="V144" s="273">
        <v>16000</v>
      </c>
      <c r="W144" s="273">
        <v>1959196</v>
      </c>
      <c r="X144" s="273">
        <v>215267</v>
      </c>
      <c r="Y144" s="273">
        <v>20000</v>
      </c>
      <c r="Z144" s="273">
        <v>4382949</v>
      </c>
      <c r="AA144" s="273">
        <v>44000</v>
      </c>
      <c r="AB144" s="273">
        <v>0</v>
      </c>
      <c r="AC144" s="273">
        <v>1101424</v>
      </c>
      <c r="AD144" s="273">
        <v>25406</v>
      </c>
      <c r="AE144" s="273">
        <v>2761674</v>
      </c>
      <c r="AF144" s="273">
        <v>19026</v>
      </c>
      <c r="AG144" s="273">
        <v>20000</v>
      </c>
      <c r="AH144" s="273">
        <v>659310</v>
      </c>
      <c r="AI144" s="273">
        <v>215368</v>
      </c>
      <c r="AJ144" s="273">
        <v>182013</v>
      </c>
      <c r="AK144" s="273">
        <v>0</v>
      </c>
      <c r="AL144" s="273">
        <v>6357718</v>
      </c>
      <c r="AM144" s="273">
        <v>69990</v>
      </c>
      <c r="AN144" s="203"/>
    </row>
    <row r="145" spans="1:40" s="155" customFormat="1" ht="11.25" x14ac:dyDescent="0.2">
      <c r="A145" s="205">
        <v>91</v>
      </c>
      <c r="B145" s="304" t="s">
        <v>417</v>
      </c>
      <c r="C145" s="140" t="s">
        <v>418</v>
      </c>
      <c r="D145" s="198">
        <f t="shared" si="10"/>
        <v>5166297</v>
      </c>
      <c r="E145" s="140">
        <v>1262118</v>
      </c>
      <c r="F145" s="140">
        <v>159634</v>
      </c>
      <c r="G145" s="140">
        <v>398896</v>
      </c>
      <c r="H145" s="140">
        <v>0</v>
      </c>
      <c r="I145" s="140">
        <v>2018665</v>
      </c>
      <c r="J145" s="140">
        <v>0</v>
      </c>
      <c r="K145" s="140">
        <v>1172679</v>
      </c>
      <c r="L145" s="140">
        <v>0</v>
      </c>
      <c r="M145" s="140">
        <v>333372</v>
      </c>
      <c r="N145" s="140">
        <v>379463</v>
      </c>
      <c r="O145" s="140"/>
      <c r="P145" s="198">
        <f t="shared" si="11"/>
        <v>4868698</v>
      </c>
      <c r="Q145" s="140">
        <v>2263404</v>
      </c>
      <c r="R145" s="140">
        <v>728589</v>
      </c>
      <c r="S145" s="140">
        <v>124650</v>
      </c>
      <c r="T145" s="140">
        <v>0</v>
      </c>
      <c r="U145" s="140">
        <v>0</v>
      </c>
      <c r="V145" s="140">
        <v>116936</v>
      </c>
      <c r="W145" s="140">
        <v>533867</v>
      </c>
      <c r="X145" s="140">
        <v>174708</v>
      </c>
      <c r="Y145" s="140">
        <v>0</v>
      </c>
      <c r="Z145" s="140">
        <v>818144</v>
      </c>
      <c r="AA145" s="140">
        <v>108400</v>
      </c>
      <c r="AB145" s="140">
        <v>0</v>
      </c>
      <c r="AC145" s="140">
        <v>1046341</v>
      </c>
      <c r="AD145" s="140">
        <v>11000</v>
      </c>
      <c r="AE145" s="140">
        <v>1968243</v>
      </c>
      <c r="AF145" s="140">
        <v>24007</v>
      </c>
      <c r="AG145" s="140">
        <v>194216</v>
      </c>
      <c r="AH145" s="140">
        <v>263151</v>
      </c>
      <c r="AI145" s="140">
        <v>124959</v>
      </c>
      <c r="AJ145" s="140">
        <v>238480</v>
      </c>
      <c r="AK145" s="140">
        <v>0</v>
      </c>
      <c r="AL145" s="140">
        <v>998301</v>
      </c>
      <c r="AM145" s="140"/>
      <c r="AN145" s="203"/>
    </row>
    <row r="146" spans="1:40" s="155" customFormat="1" ht="11.25" x14ac:dyDescent="0.2">
      <c r="A146" s="205">
        <v>92</v>
      </c>
      <c r="B146" s="304" t="s">
        <v>419</v>
      </c>
      <c r="C146" s="140" t="s">
        <v>420</v>
      </c>
      <c r="D146" s="198">
        <f t="shared" si="10"/>
        <v>6588430</v>
      </c>
      <c r="E146" s="140">
        <v>1924268</v>
      </c>
      <c r="F146" s="140">
        <v>358073</v>
      </c>
      <c r="G146" s="140">
        <v>506892</v>
      </c>
      <c r="H146" s="140">
        <v>0</v>
      </c>
      <c r="I146" s="140">
        <v>2628939</v>
      </c>
      <c r="J146" s="140">
        <v>0</v>
      </c>
      <c r="K146" s="140">
        <v>1282850</v>
      </c>
      <c r="L146" s="140">
        <v>0</v>
      </c>
      <c r="M146" s="140">
        <v>175993</v>
      </c>
      <c r="N146" s="140">
        <v>563113</v>
      </c>
      <c r="O146" s="140">
        <v>13267</v>
      </c>
      <c r="P146" s="198">
        <f t="shared" si="11"/>
        <v>6763401</v>
      </c>
      <c r="Q146" s="140">
        <v>2903535</v>
      </c>
      <c r="R146" s="140">
        <v>1085397</v>
      </c>
      <c r="S146" s="140">
        <v>5251</v>
      </c>
      <c r="T146" s="140">
        <v>0</v>
      </c>
      <c r="U146" s="140">
        <v>0</v>
      </c>
      <c r="V146" s="140">
        <v>148000</v>
      </c>
      <c r="W146" s="140">
        <v>878762</v>
      </c>
      <c r="X146" s="140">
        <v>127679</v>
      </c>
      <c r="Y146" s="140">
        <v>42000</v>
      </c>
      <c r="Z146" s="140">
        <v>1395767</v>
      </c>
      <c r="AA146" s="140">
        <v>177010</v>
      </c>
      <c r="AB146" s="140">
        <v>0</v>
      </c>
      <c r="AC146" s="140">
        <v>2077247</v>
      </c>
      <c r="AD146" s="140">
        <v>9957</v>
      </c>
      <c r="AE146" s="140">
        <v>2218846</v>
      </c>
      <c r="AF146" s="140">
        <v>0</v>
      </c>
      <c r="AG146" s="140">
        <v>91430</v>
      </c>
      <c r="AH146" s="140">
        <v>464734</v>
      </c>
      <c r="AI146" s="140">
        <v>342983</v>
      </c>
      <c r="AJ146" s="140">
        <v>257246</v>
      </c>
      <c r="AK146" s="140">
        <v>0</v>
      </c>
      <c r="AL146" s="140">
        <v>1300958</v>
      </c>
      <c r="AM146" s="140"/>
      <c r="AN146" s="203"/>
    </row>
    <row r="147" spans="1:40" s="155" customFormat="1" ht="11.25" x14ac:dyDescent="0.2">
      <c r="A147" s="205">
        <v>93</v>
      </c>
      <c r="B147" s="304" t="s">
        <v>421</v>
      </c>
      <c r="C147" s="140" t="s">
        <v>422</v>
      </c>
      <c r="D147" s="198">
        <f t="shared" si="10"/>
        <v>5475576</v>
      </c>
      <c r="E147" s="140">
        <v>954909</v>
      </c>
      <c r="F147" s="140">
        <v>132470</v>
      </c>
      <c r="G147" s="140">
        <v>367768</v>
      </c>
      <c r="H147" s="140">
        <v>0</v>
      </c>
      <c r="I147" s="140">
        <v>2371898</v>
      </c>
      <c r="J147" s="140">
        <v>0</v>
      </c>
      <c r="K147" s="140">
        <v>1160612</v>
      </c>
      <c r="L147" s="140">
        <v>0</v>
      </c>
      <c r="M147" s="140">
        <v>164055</v>
      </c>
      <c r="N147" s="140">
        <v>793238</v>
      </c>
      <c r="O147" s="140">
        <v>30864</v>
      </c>
      <c r="P147" s="198">
        <f t="shared" si="11"/>
        <v>5491593</v>
      </c>
      <c r="Q147" s="140">
        <v>2681831</v>
      </c>
      <c r="R147" s="140">
        <v>1097656</v>
      </c>
      <c r="S147" s="140">
        <v>0</v>
      </c>
      <c r="T147" s="140">
        <v>0</v>
      </c>
      <c r="U147" s="140">
        <v>0</v>
      </c>
      <c r="V147" s="140">
        <v>20000</v>
      </c>
      <c r="W147" s="140">
        <v>1053053</v>
      </c>
      <c r="X147" s="140">
        <v>251859</v>
      </c>
      <c r="Y147" s="140">
        <v>11000</v>
      </c>
      <c r="Z147" s="140">
        <v>386414</v>
      </c>
      <c r="AA147" s="140">
        <v>0</v>
      </c>
      <c r="AB147" s="140">
        <v>-10220</v>
      </c>
      <c r="AC147" s="140">
        <v>1355762</v>
      </c>
      <c r="AD147" s="140">
        <v>7070</v>
      </c>
      <c r="AE147" s="140">
        <v>3248151</v>
      </c>
      <c r="AF147" s="140">
        <v>17051</v>
      </c>
      <c r="AG147" s="140">
        <v>91292</v>
      </c>
      <c r="AH147" s="140">
        <v>370191</v>
      </c>
      <c r="AI147" s="140">
        <v>93597</v>
      </c>
      <c r="AJ147" s="140">
        <v>69958</v>
      </c>
      <c r="AK147" s="140">
        <v>0</v>
      </c>
      <c r="AL147" s="140">
        <v>238521</v>
      </c>
      <c r="AM147" s="140"/>
      <c r="AN147" s="203"/>
    </row>
    <row r="148" spans="1:40" s="155" customFormat="1" ht="11.25" x14ac:dyDescent="0.2">
      <c r="A148" s="205">
        <v>94</v>
      </c>
      <c r="B148" s="304" t="s">
        <v>423</v>
      </c>
      <c r="C148" s="140" t="s">
        <v>424</v>
      </c>
      <c r="D148" s="198">
        <f t="shared" si="10"/>
        <v>5887466</v>
      </c>
      <c r="E148" s="140">
        <v>885828</v>
      </c>
      <c r="F148" s="140">
        <v>114677</v>
      </c>
      <c r="G148" s="140">
        <v>285959</v>
      </c>
      <c r="H148" s="140">
        <v>0</v>
      </c>
      <c r="I148" s="140">
        <v>1954904</v>
      </c>
      <c r="J148" s="140">
        <v>0</v>
      </c>
      <c r="K148" s="140">
        <v>1047657</v>
      </c>
      <c r="L148" s="140">
        <v>0</v>
      </c>
      <c r="M148" s="140">
        <v>192403</v>
      </c>
      <c r="N148" s="140">
        <v>1776200</v>
      </c>
      <c r="O148" s="140">
        <v>30474</v>
      </c>
      <c r="P148" s="198">
        <f t="shared" si="11"/>
        <v>4096636</v>
      </c>
      <c r="Q148" s="140">
        <v>2099396</v>
      </c>
      <c r="R148" s="140">
        <v>1029758</v>
      </c>
      <c r="S148" s="140">
        <v>0</v>
      </c>
      <c r="T148" s="140">
        <v>0</v>
      </c>
      <c r="U148" s="140">
        <v>0</v>
      </c>
      <c r="V148" s="140">
        <v>50000</v>
      </c>
      <c r="W148" s="140">
        <v>390133</v>
      </c>
      <c r="X148" s="140">
        <v>295065</v>
      </c>
      <c r="Y148" s="140">
        <v>0</v>
      </c>
      <c r="Z148" s="140">
        <v>232284</v>
      </c>
      <c r="AA148" s="140">
        <v>0</v>
      </c>
      <c r="AB148" s="140">
        <v>0</v>
      </c>
      <c r="AC148" s="140">
        <v>865333</v>
      </c>
      <c r="AD148" s="140">
        <v>16983</v>
      </c>
      <c r="AE148" s="140">
        <v>2055252</v>
      </c>
      <c r="AF148" s="140">
        <v>23832</v>
      </c>
      <c r="AG148" s="140">
        <v>108094</v>
      </c>
      <c r="AH148" s="140">
        <v>406993</v>
      </c>
      <c r="AI148" s="140">
        <v>107429</v>
      </c>
      <c r="AJ148" s="140">
        <v>142600</v>
      </c>
      <c r="AK148" s="140">
        <v>0</v>
      </c>
      <c r="AL148" s="140">
        <v>370120</v>
      </c>
      <c r="AM148" s="140"/>
      <c r="AN148" s="203"/>
    </row>
    <row r="149" spans="1:40" s="155" customFormat="1" ht="11.25" x14ac:dyDescent="0.2">
      <c r="A149" s="205">
        <v>95</v>
      </c>
      <c r="B149" s="304" t="s">
        <v>425</v>
      </c>
      <c r="C149" s="140" t="s">
        <v>426</v>
      </c>
      <c r="D149" s="198">
        <f t="shared" si="10"/>
        <v>7952202</v>
      </c>
      <c r="E149" s="140">
        <v>1714579</v>
      </c>
      <c r="F149" s="140">
        <v>298764</v>
      </c>
      <c r="G149" s="140">
        <v>479924</v>
      </c>
      <c r="H149" s="140">
        <v>0</v>
      </c>
      <c r="I149" s="140">
        <v>3363947</v>
      </c>
      <c r="J149" s="140">
        <v>0</v>
      </c>
      <c r="K149" s="140">
        <v>1453288</v>
      </c>
      <c r="L149" s="140">
        <v>0</v>
      </c>
      <c r="M149" s="140">
        <v>1306584</v>
      </c>
      <c r="N149" s="140">
        <v>113804</v>
      </c>
      <c r="O149" s="140"/>
      <c r="P149" s="198">
        <f t="shared" si="11"/>
        <v>7898476</v>
      </c>
      <c r="Q149" s="140">
        <v>3167295</v>
      </c>
      <c r="R149" s="140">
        <v>1327021</v>
      </c>
      <c r="S149" s="140">
        <v>0</v>
      </c>
      <c r="T149" s="140">
        <v>0</v>
      </c>
      <c r="U149" s="140">
        <v>389560</v>
      </c>
      <c r="V149" s="140">
        <v>0</v>
      </c>
      <c r="W149" s="140">
        <v>243356</v>
      </c>
      <c r="X149" s="140">
        <v>506248</v>
      </c>
      <c r="Y149" s="140">
        <v>60000</v>
      </c>
      <c r="Z149" s="140">
        <v>2128022</v>
      </c>
      <c r="AA149" s="140">
        <v>84520</v>
      </c>
      <c r="AB149" s="140">
        <v>-7546</v>
      </c>
      <c r="AC149" s="140">
        <v>817599</v>
      </c>
      <c r="AD149" s="140">
        <v>185518</v>
      </c>
      <c r="AE149" s="140">
        <v>3651973</v>
      </c>
      <c r="AF149" s="140">
        <v>134800</v>
      </c>
      <c r="AG149" s="140">
        <v>84466</v>
      </c>
      <c r="AH149" s="140">
        <v>1004364</v>
      </c>
      <c r="AI149" s="140">
        <v>379177</v>
      </c>
      <c r="AJ149" s="140">
        <v>181881</v>
      </c>
      <c r="AK149" s="140">
        <v>0</v>
      </c>
      <c r="AL149" s="140">
        <v>1458698</v>
      </c>
      <c r="AM149" s="140"/>
      <c r="AN149" s="203"/>
    </row>
    <row r="150" spans="1:40" s="155" customFormat="1" ht="11.25" x14ac:dyDescent="0.2">
      <c r="A150" s="205">
        <v>96</v>
      </c>
      <c r="B150" s="304" t="s">
        <v>427</v>
      </c>
      <c r="C150" s="140" t="s">
        <v>428</v>
      </c>
      <c r="D150" s="198">
        <f t="shared" si="10"/>
        <v>2717893</v>
      </c>
      <c r="E150" s="140">
        <v>595525</v>
      </c>
      <c r="F150" s="140">
        <v>74086</v>
      </c>
      <c r="G150" s="140">
        <v>207648</v>
      </c>
      <c r="H150" s="140">
        <v>0</v>
      </c>
      <c r="I150" s="140">
        <v>1084962</v>
      </c>
      <c r="J150" s="140">
        <v>0</v>
      </c>
      <c r="K150" s="140">
        <v>655461</v>
      </c>
      <c r="L150" s="140">
        <v>0</v>
      </c>
      <c r="M150" s="140">
        <v>101324</v>
      </c>
      <c r="N150" s="140">
        <v>280621</v>
      </c>
      <c r="O150" s="140"/>
      <c r="P150" s="198">
        <f t="shared" si="11"/>
        <v>2467448</v>
      </c>
      <c r="Q150" s="140">
        <v>1266957</v>
      </c>
      <c r="R150" s="140">
        <v>555035</v>
      </c>
      <c r="S150" s="140">
        <v>10000</v>
      </c>
      <c r="T150" s="140">
        <v>0</v>
      </c>
      <c r="U150" s="140">
        <v>0</v>
      </c>
      <c r="V150" s="140">
        <v>28000</v>
      </c>
      <c r="W150" s="140">
        <v>0</v>
      </c>
      <c r="X150" s="140">
        <v>48785</v>
      </c>
      <c r="Y150" s="140">
        <v>3050</v>
      </c>
      <c r="Z150" s="140">
        <v>190274</v>
      </c>
      <c r="AA150" s="140">
        <v>367040</v>
      </c>
      <c r="AB150" s="140">
        <v>-1693</v>
      </c>
      <c r="AC150" s="140">
        <v>524351</v>
      </c>
      <c r="AD150" s="140">
        <v>6272</v>
      </c>
      <c r="AE150" s="140">
        <v>971306</v>
      </c>
      <c r="AF150" s="140">
        <v>0</v>
      </c>
      <c r="AG150" s="140">
        <v>80550</v>
      </c>
      <c r="AH150" s="140">
        <v>172012</v>
      </c>
      <c r="AI150" s="140">
        <v>137732</v>
      </c>
      <c r="AJ150" s="140">
        <v>67297</v>
      </c>
      <c r="AK150" s="140">
        <v>0</v>
      </c>
      <c r="AL150" s="140">
        <v>507928</v>
      </c>
      <c r="AM150" s="140"/>
      <c r="AN150" s="203"/>
    </row>
    <row r="151" spans="1:40" s="155" customFormat="1" ht="11.25" x14ac:dyDescent="0.2">
      <c r="A151" s="205">
        <v>97</v>
      </c>
      <c r="B151" s="304" t="s">
        <v>429</v>
      </c>
      <c r="C151" s="140" t="s">
        <v>430</v>
      </c>
      <c r="D151" s="198">
        <f t="shared" si="10"/>
        <v>6710756</v>
      </c>
      <c r="E151" s="140">
        <v>813774</v>
      </c>
      <c r="F151" s="140">
        <v>107746</v>
      </c>
      <c r="G151" s="140">
        <v>269969</v>
      </c>
      <c r="H151" s="140">
        <v>0</v>
      </c>
      <c r="I151" s="140">
        <v>1946873</v>
      </c>
      <c r="J151" s="140">
        <v>0</v>
      </c>
      <c r="K151" s="140">
        <v>953263</v>
      </c>
      <c r="L151" s="140">
        <v>0</v>
      </c>
      <c r="M151" s="140">
        <v>2699777</v>
      </c>
      <c r="N151" s="140">
        <v>297069</v>
      </c>
      <c r="O151" s="140"/>
      <c r="P151" s="198">
        <f>IF(SUM(Q151:AB151)=SUM(AC151:AM151),SUM(Q151:AB151),"  EROARE ART/CAP")</f>
        <v>6732626</v>
      </c>
      <c r="Q151" s="140">
        <v>2231360</v>
      </c>
      <c r="R151" s="140">
        <v>688088</v>
      </c>
      <c r="S151" s="140">
        <v>53250</v>
      </c>
      <c r="T151" s="140">
        <v>0</v>
      </c>
      <c r="U151" s="140">
        <v>0</v>
      </c>
      <c r="V151" s="140">
        <v>16440</v>
      </c>
      <c r="W151" s="140">
        <v>1163694</v>
      </c>
      <c r="X151" s="140">
        <v>254828</v>
      </c>
      <c r="Y151" s="140">
        <v>0</v>
      </c>
      <c r="Z151" s="140">
        <v>2257966</v>
      </c>
      <c r="AA151" s="140">
        <v>67000</v>
      </c>
      <c r="AB151" s="140">
        <v>0</v>
      </c>
      <c r="AC151" s="140">
        <v>932358</v>
      </c>
      <c r="AD151" s="140">
        <v>3220</v>
      </c>
      <c r="AE151" s="140">
        <v>1669653</v>
      </c>
      <c r="AF151" s="140">
        <v>22618</v>
      </c>
      <c r="AG151" s="140">
        <v>86671</v>
      </c>
      <c r="AH151" s="140">
        <v>445402</v>
      </c>
      <c r="AI151" s="140">
        <v>2065125</v>
      </c>
      <c r="AJ151" s="140">
        <v>155597</v>
      </c>
      <c r="AK151" s="140">
        <v>0</v>
      </c>
      <c r="AL151" s="140">
        <v>1314756</v>
      </c>
      <c r="AM151" s="140">
        <v>37226</v>
      </c>
      <c r="AN151" s="203"/>
    </row>
    <row r="152" spans="1:40" s="155" customFormat="1" ht="11.25" x14ac:dyDescent="0.2">
      <c r="A152" s="205">
        <v>98</v>
      </c>
      <c r="B152" s="304" t="s">
        <v>431</v>
      </c>
      <c r="C152" s="140" t="s">
        <v>432</v>
      </c>
      <c r="D152" s="198">
        <f t="shared" si="10"/>
        <v>6610488</v>
      </c>
      <c r="E152" s="140">
        <v>679823</v>
      </c>
      <c r="F152" s="140">
        <v>70159</v>
      </c>
      <c r="G152" s="140">
        <v>334459</v>
      </c>
      <c r="H152" s="140">
        <v>0</v>
      </c>
      <c r="I152" s="140">
        <v>1136417</v>
      </c>
      <c r="J152" s="140">
        <v>0</v>
      </c>
      <c r="K152" s="140">
        <v>1133809</v>
      </c>
      <c r="L152" s="140">
        <v>0</v>
      </c>
      <c r="M152" s="140">
        <v>3007534</v>
      </c>
      <c r="N152" s="140">
        <v>343245</v>
      </c>
      <c r="O152" s="140">
        <v>309660</v>
      </c>
      <c r="P152" s="198">
        <f t="shared" ref="P152" si="12">IF(SUM(Q152:AB152)=SUM(AC152:AM152),SUM(Q152:AB152),"  EROARE ART/CAP")</f>
        <v>6450396</v>
      </c>
      <c r="Q152" s="140">
        <v>1427076</v>
      </c>
      <c r="R152" s="140">
        <v>667364</v>
      </c>
      <c r="S152" s="140">
        <v>5072</v>
      </c>
      <c r="T152" s="140">
        <v>0</v>
      </c>
      <c r="U152" s="140">
        <v>0</v>
      </c>
      <c r="V152" s="140">
        <v>72570</v>
      </c>
      <c r="W152" s="140">
        <v>471362</v>
      </c>
      <c r="X152" s="140">
        <v>67432</v>
      </c>
      <c r="Y152" s="140">
        <v>0</v>
      </c>
      <c r="Z152" s="140">
        <v>3496101</v>
      </c>
      <c r="AA152" s="140">
        <v>270620</v>
      </c>
      <c r="AB152" s="140">
        <v>-27201</v>
      </c>
      <c r="AC152" s="140">
        <v>692428</v>
      </c>
      <c r="AD152" s="140">
        <v>0</v>
      </c>
      <c r="AE152" s="140">
        <v>1009656</v>
      </c>
      <c r="AF152" s="140">
        <v>0</v>
      </c>
      <c r="AG152" s="140">
        <v>177511</v>
      </c>
      <c r="AH152" s="140">
        <v>235929</v>
      </c>
      <c r="AI152" s="140">
        <v>541653</v>
      </c>
      <c r="AJ152" s="140">
        <v>736332</v>
      </c>
      <c r="AK152" s="140">
        <v>0</v>
      </c>
      <c r="AL152" s="140">
        <v>3056887</v>
      </c>
      <c r="AM152" s="140"/>
      <c r="AN152" s="203"/>
    </row>
    <row r="153" spans="1:40" s="155" customFormat="1" ht="11.25" x14ac:dyDescent="0.2">
      <c r="A153" s="203"/>
      <c r="B153" s="203"/>
      <c r="C153" s="203"/>
      <c r="D153" s="203"/>
      <c r="E153" s="203"/>
      <c r="F153" s="203"/>
      <c r="G153" s="203"/>
      <c r="H153" s="203"/>
      <c r="I153" s="203"/>
      <c r="J153" s="203"/>
      <c r="K153" s="203"/>
      <c r="L153" s="203"/>
      <c r="M153" s="203"/>
      <c r="N153" s="203"/>
      <c r="O153" s="203"/>
      <c r="P153" s="203"/>
      <c r="Q153" s="203"/>
      <c r="R153" s="203"/>
      <c r="S153" s="203"/>
      <c r="T153" s="203"/>
      <c r="U153" s="203"/>
      <c r="V153" s="203"/>
      <c r="W153" s="203"/>
      <c r="X153" s="203"/>
      <c r="Y153" s="203"/>
      <c r="Z153" s="203"/>
      <c r="AA153" s="203"/>
      <c r="AB153" s="203"/>
      <c r="AC153" s="203"/>
      <c r="AD153" s="203"/>
      <c r="AE153" s="203"/>
      <c r="AF153" s="203"/>
      <c r="AG153" s="203"/>
      <c r="AH153" s="203"/>
      <c r="AI153" s="203"/>
      <c r="AJ153" s="203"/>
      <c r="AK153" s="203"/>
      <c r="AL153" s="203"/>
      <c r="AM153" s="203"/>
      <c r="AN153" s="203"/>
    </row>
    <row r="154" spans="1:40" s="155" customFormat="1" ht="11.25" x14ac:dyDescent="0.2">
      <c r="A154" s="203"/>
      <c r="B154" s="203"/>
      <c r="C154" s="203"/>
      <c r="D154" s="203"/>
      <c r="E154" s="203"/>
      <c r="F154" s="203"/>
      <c r="G154" s="203"/>
      <c r="H154" s="203"/>
      <c r="I154" s="203"/>
      <c r="J154" s="203"/>
      <c r="K154" s="203"/>
      <c r="L154" s="203"/>
      <c r="M154" s="203"/>
      <c r="N154" s="203"/>
      <c r="O154" s="203"/>
      <c r="P154" s="203"/>
      <c r="Q154" s="203"/>
      <c r="R154" s="203"/>
      <c r="S154" s="203"/>
      <c r="T154" s="203"/>
      <c r="U154" s="203"/>
      <c r="V154" s="203"/>
      <c r="W154" s="203"/>
      <c r="X154" s="203"/>
      <c r="Y154" s="203"/>
      <c r="Z154" s="203"/>
      <c r="AA154" s="203"/>
      <c r="AB154" s="203"/>
      <c r="AC154" s="203"/>
      <c r="AD154" s="203"/>
      <c r="AE154" s="203"/>
      <c r="AF154" s="203"/>
      <c r="AG154" s="203"/>
      <c r="AH154" s="203"/>
      <c r="AI154" s="203"/>
      <c r="AJ154" s="203"/>
      <c r="AK154" s="203"/>
      <c r="AL154" s="203"/>
      <c r="AM154" s="203"/>
    </row>
    <row r="155" spans="1:40" s="155" customFormat="1" ht="11.25" x14ac:dyDescent="0.2"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203"/>
      <c r="O155" s="203"/>
      <c r="P155" s="203"/>
      <c r="Q155" s="203"/>
      <c r="R155" s="203"/>
      <c r="S155" s="203"/>
      <c r="T155" s="203"/>
      <c r="U155" s="203"/>
      <c r="V155" s="203"/>
      <c r="W155" s="203"/>
      <c r="X155" s="203"/>
      <c r="Y155" s="203"/>
      <c r="Z155" s="203"/>
      <c r="AA155" s="203"/>
      <c r="AB155" s="203"/>
      <c r="AC155" s="203"/>
      <c r="AD155" s="203"/>
      <c r="AE155" s="203"/>
      <c r="AF155" s="203"/>
      <c r="AG155" s="203"/>
      <c r="AH155" s="203"/>
      <c r="AI155" s="203"/>
      <c r="AJ155" s="203"/>
      <c r="AK155" s="203"/>
      <c r="AL155" s="203"/>
      <c r="AM155" s="203"/>
    </row>
    <row r="156" spans="1:40" s="155" customFormat="1" ht="11.25" x14ac:dyDescent="0.2">
      <c r="D156" s="203"/>
      <c r="E156" s="203"/>
      <c r="F156" s="203"/>
      <c r="G156" s="203"/>
      <c r="H156" s="203"/>
      <c r="I156" s="203"/>
      <c r="J156" s="203"/>
      <c r="K156" s="203"/>
      <c r="L156" s="203"/>
      <c r="M156" s="203"/>
      <c r="N156" s="203"/>
      <c r="O156" s="203"/>
      <c r="P156" s="203"/>
      <c r="Q156" s="203"/>
      <c r="R156" s="203"/>
      <c r="S156" s="203"/>
      <c r="T156" s="203"/>
      <c r="U156" s="203"/>
      <c r="V156" s="203"/>
      <c r="W156" s="203"/>
      <c r="X156" s="203"/>
      <c r="Y156" s="203"/>
      <c r="Z156" s="203"/>
      <c r="AA156" s="203"/>
      <c r="AB156" s="203"/>
      <c r="AC156" s="203"/>
      <c r="AD156" s="203"/>
      <c r="AE156" s="203"/>
      <c r="AF156" s="203"/>
      <c r="AG156" s="203"/>
      <c r="AH156" s="203"/>
      <c r="AI156" s="203"/>
      <c r="AJ156" s="203"/>
      <c r="AK156" s="203"/>
      <c r="AL156" s="203"/>
      <c r="AM156" s="203"/>
    </row>
    <row r="157" spans="1:40" s="155" customFormat="1" ht="11.25" x14ac:dyDescent="0.2">
      <c r="D157" s="203"/>
      <c r="E157" s="203"/>
      <c r="F157" s="203"/>
      <c r="G157" s="203"/>
      <c r="H157" s="203"/>
      <c r="I157" s="203"/>
      <c r="J157" s="203"/>
      <c r="K157" s="203"/>
      <c r="L157" s="203"/>
      <c r="M157" s="203"/>
      <c r="N157" s="203"/>
      <c r="O157" s="203"/>
      <c r="P157" s="203"/>
      <c r="Q157" s="203"/>
      <c r="R157" s="203"/>
      <c r="S157" s="203"/>
      <c r="T157" s="203"/>
      <c r="U157" s="203"/>
      <c r="V157" s="203"/>
      <c r="W157" s="203"/>
      <c r="X157" s="203"/>
      <c r="Y157" s="203"/>
      <c r="Z157" s="203"/>
      <c r="AA157" s="203"/>
      <c r="AB157" s="203"/>
      <c r="AC157" s="203"/>
      <c r="AD157" s="203"/>
      <c r="AE157" s="203"/>
      <c r="AF157" s="203"/>
      <c r="AG157" s="203"/>
      <c r="AH157" s="203"/>
      <c r="AI157" s="203"/>
      <c r="AJ157" s="203"/>
      <c r="AK157" s="203"/>
      <c r="AL157" s="203"/>
      <c r="AM157" s="203"/>
    </row>
    <row r="158" spans="1:40" s="155" customFormat="1" ht="11.25" x14ac:dyDescent="0.2">
      <c r="D158" s="203"/>
      <c r="E158" s="203"/>
      <c r="F158" s="203"/>
      <c r="G158" s="203"/>
      <c r="H158" s="203"/>
      <c r="I158" s="203"/>
      <c r="J158" s="203"/>
      <c r="K158" s="203"/>
      <c r="L158" s="203"/>
      <c r="M158" s="203"/>
      <c r="N158" s="203"/>
      <c r="O158" s="203"/>
      <c r="P158" s="203"/>
      <c r="Q158" s="203"/>
      <c r="R158" s="203"/>
      <c r="S158" s="203"/>
      <c r="T158" s="203"/>
      <c r="U158" s="203"/>
      <c r="V158" s="203"/>
      <c r="W158" s="203"/>
      <c r="X158" s="203"/>
      <c r="Y158" s="203"/>
      <c r="Z158" s="203"/>
      <c r="AA158" s="203"/>
      <c r="AB158" s="203"/>
      <c r="AC158" s="203"/>
      <c r="AD158" s="203"/>
      <c r="AE158" s="203"/>
      <c r="AF158" s="203"/>
      <c r="AG158" s="203"/>
      <c r="AH158" s="203"/>
      <c r="AI158" s="203"/>
      <c r="AJ158" s="203"/>
      <c r="AK158" s="203"/>
      <c r="AL158" s="203"/>
      <c r="AM158" s="203"/>
    </row>
    <row r="159" spans="1:40" s="155" customFormat="1" ht="11.25" x14ac:dyDescent="0.2">
      <c r="D159" s="203"/>
      <c r="E159" s="203"/>
      <c r="F159" s="203"/>
      <c r="G159" s="203"/>
      <c r="H159" s="203"/>
      <c r="I159" s="203"/>
      <c r="J159" s="203"/>
      <c r="K159" s="203"/>
      <c r="L159" s="203"/>
      <c r="M159" s="203"/>
      <c r="N159" s="203"/>
      <c r="O159" s="203"/>
      <c r="P159" s="203"/>
      <c r="Q159" s="203"/>
      <c r="R159" s="203"/>
      <c r="S159" s="203"/>
      <c r="T159" s="203"/>
      <c r="U159" s="203"/>
      <c r="V159" s="203"/>
      <c r="W159" s="203"/>
      <c r="X159" s="203"/>
      <c r="Y159" s="203"/>
      <c r="Z159" s="203"/>
      <c r="AA159" s="203"/>
      <c r="AB159" s="203"/>
      <c r="AC159" s="203"/>
      <c r="AD159" s="203"/>
      <c r="AE159" s="203"/>
      <c r="AF159" s="203"/>
      <c r="AG159" s="203"/>
      <c r="AH159" s="203"/>
      <c r="AI159" s="203"/>
      <c r="AJ159" s="203"/>
      <c r="AK159" s="203"/>
      <c r="AL159" s="203"/>
      <c r="AM159" s="203"/>
    </row>
    <row r="160" spans="1:40" s="155" customFormat="1" ht="11.25" x14ac:dyDescent="0.2">
      <c r="D160" s="203"/>
      <c r="E160" s="203"/>
      <c r="F160" s="203"/>
      <c r="G160" s="203"/>
      <c r="H160" s="203"/>
      <c r="I160" s="203"/>
      <c r="J160" s="203"/>
      <c r="K160" s="203"/>
      <c r="L160" s="203"/>
      <c r="M160" s="203"/>
      <c r="N160" s="203"/>
      <c r="O160" s="203"/>
      <c r="P160" s="203"/>
      <c r="Q160" s="203"/>
      <c r="R160" s="203"/>
      <c r="S160" s="203"/>
      <c r="T160" s="203"/>
      <c r="U160" s="203"/>
      <c r="V160" s="203"/>
      <c r="W160" s="203"/>
      <c r="X160" s="203"/>
      <c r="Y160" s="203"/>
      <c r="Z160" s="203"/>
      <c r="AA160" s="203"/>
      <c r="AB160" s="203"/>
      <c r="AC160" s="203"/>
      <c r="AD160" s="203"/>
      <c r="AE160" s="203"/>
      <c r="AF160" s="203"/>
      <c r="AG160" s="203"/>
      <c r="AH160" s="203"/>
      <c r="AI160" s="203"/>
      <c r="AJ160" s="203"/>
      <c r="AK160" s="203"/>
      <c r="AL160" s="203"/>
      <c r="AM160" s="203"/>
    </row>
    <row r="161" spans="4:39" s="155" customFormat="1" ht="11.25" x14ac:dyDescent="0.2">
      <c r="D161" s="203"/>
      <c r="E161" s="203"/>
      <c r="F161" s="203"/>
      <c r="G161" s="203"/>
      <c r="H161" s="203"/>
      <c r="I161" s="203"/>
      <c r="J161" s="203"/>
      <c r="K161" s="203"/>
      <c r="L161" s="203"/>
      <c r="M161" s="203"/>
      <c r="N161" s="203"/>
      <c r="O161" s="203"/>
      <c r="P161" s="203"/>
      <c r="Q161" s="203"/>
      <c r="R161" s="203"/>
      <c r="S161" s="203"/>
      <c r="T161" s="203"/>
      <c r="U161" s="203"/>
      <c r="V161" s="203"/>
      <c r="W161" s="203"/>
      <c r="X161" s="203"/>
      <c r="Y161" s="203"/>
      <c r="Z161" s="203"/>
      <c r="AA161" s="203"/>
      <c r="AB161" s="203"/>
      <c r="AC161" s="203"/>
      <c r="AD161" s="203"/>
      <c r="AE161" s="203"/>
      <c r="AF161" s="203"/>
      <c r="AG161" s="203"/>
      <c r="AH161" s="203"/>
      <c r="AI161" s="203"/>
      <c r="AJ161" s="203"/>
      <c r="AK161" s="203"/>
      <c r="AL161" s="203"/>
      <c r="AM161" s="203"/>
    </row>
    <row r="162" spans="4:39" s="155" customFormat="1" ht="11.25" x14ac:dyDescent="0.2">
      <c r="D162" s="203"/>
      <c r="E162" s="203"/>
      <c r="F162" s="203"/>
      <c r="G162" s="203"/>
      <c r="H162" s="203"/>
      <c r="I162" s="203"/>
      <c r="J162" s="203"/>
      <c r="K162" s="203"/>
      <c r="L162" s="203"/>
      <c r="M162" s="203"/>
      <c r="N162" s="203"/>
      <c r="O162" s="203"/>
      <c r="P162" s="203"/>
      <c r="Q162" s="203"/>
      <c r="R162" s="203"/>
      <c r="S162" s="203"/>
      <c r="T162" s="203"/>
      <c r="U162" s="203"/>
      <c r="V162" s="203"/>
      <c r="W162" s="203"/>
      <c r="X162" s="203"/>
      <c r="Y162" s="203"/>
      <c r="Z162" s="203"/>
      <c r="AA162" s="203"/>
      <c r="AB162" s="203"/>
      <c r="AC162" s="203"/>
      <c r="AD162" s="203"/>
      <c r="AE162" s="203"/>
      <c r="AF162" s="203"/>
      <c r="AG162" s="203"/>
      <c r="AH162" s="203"/>
      <c r="AI162" s="203"/>
      <c r="AJ162" s="203"/>
      <c r="AK162" s="203"/>
      <c r="AL162" s="203"/>
      <c r="AM162" s="203"/>
    </row>
    <row r="163" spans="4:39" s="155" customFormat="1" ht="11.25" x14ac:dyDescent="0.2">
      <c r="D163" s="203"/>
      <c r="E163" s="203"/>
      <c r="F163" s="203"/>
      <c r="G163" s="203"/>
      <c r="H163" s="203"/>
      <c r="I163" s="203"/>
      <c r="J163" s="203"/>
      <c r="K163" s="203"/>
      <c r="L163" s="203"/>
      <c r="M163" s="203"/>
      <c r="N163" s="203"/>
      <c r="O163" s="203"/>
      <c r="P163" s="203"/>
      <c r="Q163" s="203"/>
      <c r="R163" s="203"/>
      <c r="S163" s="203"/>
      <c r="T163" s="203"/>
      <c r="U163" s="203"/>
      <c r="V163" s="203"/>
      <c r="W163" s="203"/>
      <c r="X163" s="203"/>
      <c r="Y163" s="203"/>
      <c r="Z163" s="203"/>
      <c r="AA163" s="203"/>
      <c r="AB163" s="203"/>
      <c r="AC163" s="203"/>
      <c r="AD163" s="203"/>
      <c r="AE163" s="203"/>
      <c r="AF163" s="203"/>
      <c r="AG163" s="203"/>
      <c r="AH163" s="203"/>
      <c r="AI163" s="203"/>
      <c r="AJ163" s="203"/>
      <c r="AK163" s="203"/>
      <c r="AL163" s="203"/>
      <c r="AM163" s="203"/>
    </row>
    <row r="164" spans="4:39" s="155" customFormat="1" ht="11.25" x14ac:dyDescent="0.2">
      <c r="D164" s="203"/>
      <c r="E164" s="203"/>
      <c r="F164" s="203"/>
      <c r="G164" s="203"/>
      <c r="H164" s="203"/>
      <c r="I164" s="203"/>
      <c r="J164" s="203"/>
      <c r="K164" s="203"/>
      <c r="L164" s="203"/>
      <c r="M164" s="203"/>
      <c r="N164" s="203"/>
      <c r="O164" s="203"/>
      <c r="P164" s="203"/>
      <c r="Q164" s="203"/>
      <c r="R164" s="203"/>
      <c r="S164" s="203"/>
      <c r="T164" s="203"/>
      <c r="U164" s="203"/>
      <c r="V164" s="203"/>
      <c r="W164" s="203"/>
      <c r="X164" s="203"/>
      <c r="Y164" s="203"/>
      <c r="Z164" s="203"/>
      <c r="AA164" s="203"/>
      <c r="AB164" s="203"/>
      <c r="AC164" s="203"/>
      <c r="AD164" s="203"/>
      <c r="AE164" s="203"/>
      <c r="AF164" s="203"/>
      <c r="AG164" s="203"/>
      <c r="AH164" s="203"/>
      <c r="AI164" s="203"/>
      <c r="AJ164" s="203"/>
      <c r="AK164" s="203"/>
      <c r="AL164" s="203"/>
      <c r="AM164" s="203"/>
    </row>
    <row r="165" spans="4:39" s="155" customFormat="1" ht="11.25" x14ac:dyDescent="0.2">
      <c r="D165" s="203"/>
      <c r="E165" s="203"/>
      <c r="F165" s="203"/>
      <c r="G165" s="203"/>
      <c r="H165" s="203"/>
      <c r="I165" s="203"/>
      <c r="J165" s="203"/>
      <c r="K165" s="203"/>
      <c r="L165" s="203"/>
      <c r="M165" s="203"/>
      <c r="N165" s="203"/>
      <c r="O165" s="203"/>
      <c r="P165" s="203"/>
      <c r="Q165" s="203"/>
      <c r="R165" s="203"/>
      <c r="S165" s="203"/>
      <c r="T165" s="203"/>
      <c r="U165" s="203"/>
      <c r="V165" s="203"/>
      <c r="W165" s="203"/>
      <c r="X165" s="203"/>
      <c r="Y165" s="203"/>
      <c r="Z165" s="203"/>
      <c r="AA165" s="203"/>
      <c r="AB165" s="203"/>
      <c r="AC165" s="203"/>
      <c r="AD165" s="203"/>
      <c r="AE165" s="203"/>
      <c r="AF165" s="203"/>
      <c r="AG165" s="203"/>
      <c r="AH165" s="203"/>
      <c r="AI165" s="203"/>
      <c r="AJ165" s="203"/>
      <c r="AK165" s="203"/>
      <c r="AL165" s="203"/>
      <c r="AM165" s="203"/>
    </row>
    <row r="166" spans="4:39" s="155" customFormat="1" ht="11.25" x14ac:dyDescent="0.2">
      <c r="D166" s="203"/>
      <c r="E166" s="203"/>
      <c r="F166" s="203"/>
      <c r="G166" s="203"/>
      <c r="H166" s="203"/>
      <c r="I166" s="203"/>
      <c r="J166" s="203"/>
      <c r="K166" s="203"/>
      <c r="L166" s="203"/>
      <c r="M166" s="203"/>
      <c r="N166" s="203"/>
      <c r="O166" s="203"/>
      <c r="P166" s="203"/>
      <c r="Q166" s="203"/>
      <c r="R166" s="203"/>
      <c r="S166" s="203"/>
      <c r="T166" s="203"/>
      <c r="U166" s="203"/>
      <c r="V166" s="203"/>
      <c r="W166" s="203"/>
      <c r="X166" s="203"/>
      <c r="Y166" s="203"/>
      <c r="Z166" s="203"/>
      <c r="AA166" s="203"/>
      <c r="AB166" s="203"/>
      <c r="AC166" s="203"/>
      <c r="AD166" s="203"/>
      <c r="AE166" s="203"/>
      <c r="AF166" s="203"/>
      <c r="AG166" s="203"/>
      <c r="AH166" s="203"/>
      <c r="AI166" s="203"/>
      <c r="AJ166" s="203"/>
      <c r="AK166" s="203"/>
      <c r="AL166" s="203"/>
      <c r="AM166" s="203"/>
    </row>
    <row r="167" spans="4:39" s="155" customFormat="1" ht="11.25" x14ac:dyDescent="0.2">
      <c r="D167" s="203"/>
      <c r="E167" s="203"/>
      <c r="F167" s="203"/>
      <c r="G167" s="203"/>
      <c r="H167" s="203"/>
      <c r="I167" s="203"/>
      <c r="J167" s="203"/>
      <c r="K167" s="203"/>
      <c r="L167" s="203"/>
      <c r="M167" s="203"/>
      <c r="N167" s="203"/>
      <c r="O167" s="203"/>
      <c r="P167" s="203"/>
      <c r="Q167" s="203"/>
      <c r="R167" s="203"/>
      <c r="S167" s="203"/>
      <c r="T167" s="203"/>
      <c r="U167" s="203"/>
      <c r="V167" s="203"/>
      <c r="W167" s="203"/>
      <c r="X167" s="203"/>
      <c r="Y167" s="203"/>
      <c r="Z167" s="203"/>
      <c r="AA167" s="203"/>
      <c r="AB167" s="203"/>
      <c r="AC167" s="203"/>
      <c r="AD167" s="203"/>
      <c r="AE167" s="203"/>
      <c r="AF167" s="203"/>
      <c r="AG167" s="203"/>
      <c r="AH167" s="203"/>
      <c r="AI167" s="203"/>
      <c r="AJ167" s="203"/>
      <c r="AK167" s="203"/>
      <c r="AL167" s="203"/>
      <c r="AM167" s="203"/>
    </row>
    <row r="168" spans="4:39" s="155" customFormat="1" ht="11.25" x14ac:dyDescent="0.2">
      <c r="D168" s="203"/>
      <c r="E168" s="203"/>
      <c r="F168" s="203"/>
      <c r="G168" s="203"/>
      <c r="H168" s="203"/>
      <c r="I168" s="203"/>
      <c r="J168" s="203"/>
      <c r="K168" s="203"/>
      <c r="L168" s="203"/>
      <c r="M168" s="203"/>
      <c r="N168" s="203"/>
      <c r="O168" s="203"/>
      <c r="P168" s="203"/>
      <c r="Q168" s="203"/>
      <c r="R168" s="203"/>
      <c r="S168" s="203"/>
      <c r="T168" s="203"/>
      <c r="U168" s="203"/>
      <c r="V168" s="203"/>
      <c r="W168" s="203"/>
      <c r="X168" s="203"/>
      <c r="Y168" s="203"/>
      <c r="Z168" s="203"/>
      <c r="AA168" s="203"/>
      <c r="AB168" s="203"/>
      <c r="AC168" s="203"/>
      <c r="AD168" s="203"/>
      <c r="AE168" s="203"/>
      <c r="AF168" s="203"/>
      <c r="AG168" s="203"/>
      <c r="AH168" s="203"/>
      <c r="AI168" s="203"/>
      <c r="AJ168" s="203"/>
      <c r="AK168" s="203"/>
      <c r="AL168" s="203"/>
      <c r="AM168" s="203"/>
    </row>
    <row r="169" spans="4:39" s="155" customFormat="1" ht="11.25" x14ac:dyDescent="0.2">
      <c r="D169" s="203"/>
      <c r="E169" s="203"/>
      <c r="F169" s="203"/>
      <c r="G169" s="203"/>
      <c r="H169" s="203"/>
      <c r="I169" s="203"/>
      <c r="J169" s="203"/>
      <c r="K169" s="203"/>
      <c r="L169" s="203"/>
      <c r="M169" s="203"/>
      <c r="N169" s="203"/>
      <c r="O169" s="203"/>
      <c r="P169" s="203"/>
      <c r="Q169" s="203"/>
      <c r="R169" s="203"/>
      <c r="S169" s="203"/>
      <c r="T169" s="203"/>
      <c r="U169" s="203"/>
      <c r="V169" s="203"/>
      <c r="W169" s="203"/>
      <c r="X169" s="203"/>
      <c r="Y169" s="203"/>
      <c r="Z169" s="203"/>
      <c r="AA169" s="203"/>
      <c r="AB169" s="203"/>
      <c r="AC169" s="203"/>
      <c r="AD169" s="203"/>
      <c r="AE169" s="203"/>
      <c r="AF169" s="203"/>
      <c r="AG169" s="203"/>
      <c r="AH169" s="203"/>
      <c r="AI169" s="203"/>
      <c r="AJ169" s="203"/>
      <c r="AK169" s="203"/>
      <c r="AL169" s="203"/>
      <c r="AM169" s="203"/>
    </row>
    <row r="170" spans="4:39" s="155" customFormat="1" ht="11.25" x14ac:dyDescent="0.2">
      <c r="D170" s="203"/>
      <c r="E170" s="203"/>
      <c r="F170" s="203"/>
      <c r="G170" s="203"/>
      <c r="H170" s="203"/>
      <c r="I170" s="203"/>
      <c r="J170" s="203"/>
      <c r="K170" s="203"/>
      <c r="L170" s="203"/>
      <c r="M170" s="203"/>
      <c r="N170" s="203"/>
      <c r="O170" s="203"/>
      <c r="P170" s="203"/>
      <c r="Q170" s="203"/>
      <c r="R170" s="203"/>
      <c r="S170" s="203"/>
      <c r="T170" s="203"/>
      <c r="U170" s="203"/>
      <c r="V170" s="203"/>
      <c r="W170" s="203"/>
      <c r="X170" s="203"/>
      <c r="Y170" s="203"/>
      <c r="Z170" s="203"/>
      <c r="AA170" s="203"/>
      <c r="AB170" s="203"/>
      <c r="AC170" s="203"/>
      <c r="AD170" s="203"/>
      <c r="AE170" s="203"/>
      <c r="AF170" s="203"/>
      <c r="AG170" s="203"/>
      <c r="AH170" s="203"/>
      <c r="AI170" s="203"/>
      <c r="AJ170" s="203"/>
      <c r="AK170" s="203"/>
      <c r="AL170" s="203"/>
      <c r="AM170" s="203"/>
    </row>
    <row r="171" spans="4:39" s="155" customFormat="1" ht="11.25" x14ac:dyDescent="0.2">
      <c r="D171" s="203"/>
      <c r="E171" s="203"/>
      <c r="F171" s="203"/>
      <c r="G171" s="203"/>
      <c r="H171" s="203"/>
      <c r="I171" s="203"/>
      <c r="J171" s="203"/>
      <c r="K171" s="203"/>
      <c r="L171" s="203"/>
      <c r="M171" s="203"/>
      <c r="N171" s="203"/>
      <c r="O171" s="203"/>
      <c r="P171" s="203"/>
      <c r="Q171" s="203"/>
      <c r="R171" s="203"/>
      <c r="S171" s="203"/>
      <c r="T171" s="203"/>
      <c r="U171" s="203"/>
      <c r="V171" s="203"/>
      <c r="W171" s="203"/>
      <c r="X171" s="203"/>
      <c r="Y171" s="203"/>
      <c r="Z171" s="203"/>
      <c r="AA171" s="203"/>
      <c r="AB171" s="203"/>
      <c r="AC171" s="203"/>
      <c r="AD171" s="203"/>
      <c r="AE171" s="203"/>
      <c r="AF171" s="203"/>
      <c r="AG171" s="203"/>
      <c r="AH171" s="203"/>
      <c r="AI171" s="203"/>
      <c r="AJ171" s="203"/>
      <c r="AK171" s="203"/>
      <c r="AL171" s="203"/>
      <c r="AM171" s="203"/>
    </row>
    <row r="172" spans="4:39" s="155" customFormat="1" ht="11.25" x14ac:dyDescent="0.2">
      <c r="D172" s="203"/>
      <c r="E172" s="203"/>
      <c r="F172" s="203"/>
      <c r="G172" s="203"/>
      <c r="H172" s="203"/>
      <c r="I172" s="203"/>
      <c r="J172" s="203"/>
      <c r="K172" s="203"/>
      <c r="L172" s="203"/>
      <c r="M172" s="203"/>
      <c r="N172" s="203"/>
      <c r="O172" s="203"/>
      <c r="P172" s="203"/>
      <c r="Q172" s="203"/>
      <c r="R172" s="203"/>
      <c r="S172" s="203"/>
      <c r="T172" s="203"/>
      <c r="U172" s="203"/>
      <c r="V172" s="203"/>
      <c r="W172" s="203"/>
      <c r="X172" s="203"/>
      <c r="Y172" s="203"/>
      <c r="Z172" s="203"/>
      <c r="AA172" s="203"/>
      <c r="AB172" s="203"/>
      <c r="AC172" s="203"/>
      <c r="AD172" s="203"/>
      <c r="AE172" s="203"/>
      <c r="AF172" s="203"/>
      <c r="AG172" s="203"/>
      <c r="AH172" s="203"/>
      <c r="AI172" s="203"/>
      <c r="AJ172" s="203"/>
      <c r="AK172" s="203"/>
      <c r="AL172" s="203"/>
      <c r="AM172" s="203"/>
    </row>
    <row r="173" spans="4:39" s="155" customFormat="1" ht="11.25" x14ac:dyDescent="0.2">
      <c r="D173" s="203"/>
      <c r="E173" s="203"/>
      <c r="F173" s="203"/>
      <c r="G173" s="203"/>
      <c r="H173" s="203"/>
      <c r="I173" s="203"/>
      <c r="J173" s="203"/>
      <c r="K173" s="203"/>
      <c r="L173" s="203"/>
      <c r="M173" s="203"/>
      <c r="N173" s="203"/>
      <c r="O173" s="203"/>
      <c r="P173" s="203"/>
      <c r="Q173" s="203"/>
      <c r="R173" s="203"/>
      <c r="S173" s="203"/>
      <c r="T173" s="203"/>
      <c r="U173" s="203"/>
      <c r="V173" s="203"/>
      <c r="W173" s="203"/>
      <c r="X173" s="203"/>
      <c r="Y173" s="203"/>
      <c r="Z173" s="203"/>
      <c r="AA173" s="203"/>
      <c r="AB173" s="203"/>
      <c r="AC173" s="203"/>
      <c r="AD173" s="203"/>
      <c r="AE173" s="203"/>
      <c r="AF173" s="203"/>
      <c r="AG173" s="203"/>
      <c r="AH173" s="203"/>
      <c r="AI173" s="203"/>
      <c r="AJ173" s="203"/>
      <c r="AK173" s="203"/>
      <c r="AL173" s="203"/>
      <c r="AM173" s="203"/>
    </row>
    <row r="174" spans="4:39" s="155" customFormat="1" ht="11.25" x14ac:dyDescent="0.2">
      <c r="D174" s="203"/>
      <c r="E174" s="203"/>
      <c r="F174" s="203"/>
      <c r="G174" s="203"/>
      <c r="H174" s="203"/>
      <c r="I174" s="203"/>
      <c r="J174" s="203"/>
      <c r="K174" s="203"/>
      <c r="L174" s="203"/>
      <c r="M174" s="203"/>
      <c r="N174" s="203"/>
      <c r="O174" s="203"/>
      <c r="P174" s="203"/>
      <c r="Q174" s="203"/>
      <c r="R174" s="203"/>
      <c r="S174" s="203"/>
      <c r="T174" s="203"/>
      <c r="U174" s="203"/>
      <c r="V174" s="203"/>
      <c r="W174" s="203"/>
      <c r="X174" s="203"/>
      <c r="Y174" s="203"/>
      <c r="Z174" s="203"/>
      <c r="AA174" s="203"/>
      <c r="AB174" s="203"/>
      <c r="AC174" s="203"/>
      <c r="AD174" s="203"/>
      <c r="AE174" s="203"/>
      <c r="AF174" s="203"/>
      <c r="AG174" s="203"/>
      <c r="AH174" s="203"/>
      <c r="AI174" s="203"/>
      <c r="AJ174" s="203"/>
      <c r="AK174" s="203"/>
      <c r="AL174" s="203"/>
      <c r="AM174" s="203"/>
    </row>
    <row r="175" spans="4:39" s="155" customFormat="1" ht="11.25" x14ac:dyDescent="0.2">
      <c r="D175" s="203"/>
      <c r="E175" s="203"/>
      <c r="F175" s="203"/>
      <c r="G175" s="203"/>
      <c r="H175" s="203"/>
      <c r="I175" s="203"/>
      <c r="J175" s="203"/>
      <c r="K175" s="203"/>
      <c r="L175" s="203"/>
      <c r="M175" s="203"/>
      <c r="N175" s="203"/>
      <c r="O175" s="203"/>
      <c r="P175" s="203"/>
      <c r="Q175" s="203"/>
      <c r="R175" s="203"/>
      <c r="S175" s="203"/>
      <c r="T175" s="203"/>
      <c r="U175" s="203"/>
      <c r="V175" s="203"/>
      <c r="W175" s="203"/>
      <c r="X175" s="203"/>
      <c r="Y175" s="203"/>
      <c r="Z175" s="203"/>
      <c r="AA175" s="203"/>
      <c r="AB175" s="203"/>
      <c r="AC175" s="203"/>
      <c r="AD175" s="203"/>
      <c r="AE175" s="203"/>
      <c r="AF175" s="203"/>
      <c r="AG175" s="203"/>
      <c r="AH175" s="203"/>
      <c r="AI175" s="203"/>
      <c r="AJ175" s="203"/>
      <c r="AK175" s="203"/>
      <c r="AL175" s="203"/>
      <c r="AM175" s="203"/>
    </row>
    <row r="176" spans="4:39" s="155" customFormat="1" ht="11.25" x14ac:dyDescent="0.2">
      <c r="D176" s="203"/>
      <c r="E176" s="203"/>
      <c r="F176" s="203"/>
      <c r="G176" s="203"/>
      <c r="H176" s="203"/>
      <c r="I176" s="203"/>
      <c r="J176" s="203"/>
      <c r="K176" s="203"/>
      <c r="L176" s="203"/>
      <c r="M176" s="203"/>
      <c r="N176" s="203"/>
      <c r="O176" s="203"/>
      <c r="P176" s="203"/>
      <c r="Q176" s="203"/>
      <c r="R176" s="203"/>
      <c r="S176" s="203"/>
      <c r="T176" s="203"/>
      <c r="U176" s="203"/>
      <c r="V176" s="203"/>
      <c r="W176" s="203"/>
      <c r="X176" s="203"/>
      <c r="Y176" s="203"/>
      <c r="Z176" s="203"/>
      <c r="AA176" s="203"/>
      <c r="AB176" s="203"/>
      <c r="AC176" s="203"/>
      <c r="AD176" s="203"/>
      <c r="AE176" s="203"/>
      <c r="AF176" s="203"/>
      <c r="AG176" s="203"/>
      <c r="AH176" s="203"/>
      <c r="AI176" s="203"/>
      <c r="AJ176" s="203"/>
      <c r="AK176" s="203"/>
      <c r="AL176" s="203"/>
      <c r="AM176" s="203"/>
    </row>
    <row r="177" spans="4:39" s="155" customFormat="1" ht="11.25" x14ac:dyDescent="0.2">
      <c r="D177" s="203"/>
      <c r="E177" s="203"/>
      <c r="F177" s="203"/>
      <c r="G177" s="203"/>
      <c r="H177" s="203"/>
      <c r="I177" s="203"/>
      <c r="J177" s="203"/>
      <c r="K177" s="203"/>
      <c r="L177" s="203"/>
      <c r="M177" s="203"/>
      <c r="N177" s="203"/>
      <c r="O177" s="203"/>
      <c r="P177" s="203"/>
      <c r="Q177" s="203"/>
      <c r="R177" s="203"/>
      <c r="S177" s="203"/>
      <c r="T177" s="203"/>
      <c r="U177" s="203"/>
      <c r="V177" s="203"/>
      <c r="W177" s="203"/>
      <c r="X177" s="203"/>
      <c r="Y177" s="203"/>
      <c r="Z177" s="203"/>
      <c r="AA177" s="203"/>
      <c r="AB177" s="203"/>
      <c r="AC177" s="203"/>
      <c r="AD177" s="203"/>
      <c r="AE177" s="203"/>
      <c r="AF177" s="203"/>
      <c r="AG177" s="203"/>
      <c r="AH177" s="203"/>
      <c r="AI177" s="203"/>
      <c r="AJ177" s="203"/>
      <c r="AK177" s="203"/>
      <c r="AL177" s="203"/>
      <c r="AM177" s="203"/>
    </row>
    <row r="178" spans="4:39" s="155" customFormat="1" ht="11.25" x14ac:dyDescent="0.2">
      <c r="D178" s="203"/>
      <c r="E178" s="203"/>
      <c r="F178" s="203"/>
      <c r="G178" s="203"/>
      <c r="H178" s="203"/>
      <c r="I178" s="203"/>
      <c r="J178" s="203"/>
      <c r="K178" s="203"/>
      <c r="L178" s="203"/>
      <c r="M178" s="203"/>
      <c r="N178" s="203"/>
      <c r="O178" s="203"/>
      <c r="P178" s="203"/>
      <c r="Q178" s="203"/>
      <c r="R178" s="203"/>
      <c r="S178" s="203"/>
      <c r="T178" s="203"/>
      <c r="U178" s="203"/>
      <c r="V178" s="203"/>
      <c r="W178" s="203"/>
      <c r="X178" s="203"/>
      <c r="Y178" s="203"/>
      <c r="Z178" s="203"/>
      <c r="AA178" s="203"/>
      <c r="AB178" s="203"/>
      <c r="AC178" s="203"/>
      <c r="AD178" s="203"/>
      <c r="AE178" s="203"/>
      <c r="AF178" s="203"/>
      <c r="AG178" s="203"/>
      <c r="AH178" s="203"/>
      <c r="AI178" s="203"/>
      <c r="AJ178" s="203"/>
      <c r="AK178" s="203"/>
      <c r="AL178" s="203"/>
      <c r="AM178" s="203"/>
    </row>
    <row r="179" spans="4:39" s="155" customFormat="1" ht="11.25" x14ac:dyDescent="0.2">
      <c r="D179" s="203"/>
      <c r="E179" s="203"/>
      <c r="F179" s="203"/>
      <c r="G179" s="203"/>
      <c r="H179" s="203"/>
      <c r="I179" s="203"/>
      <c r="J179" s="203"/>
      <c r="K179" s="203"/>
      <c r="L179" s="203"/>
      <c r="M179" s="203"/>
      <c r="N179" s="203"/>
      <c r="O179" s="203"/>
      <c r="P179" s="203"/>
      <c r="Q179" s="203"/>
      <c r="R179" s="203"/>
      <c r="S179" s="203"/>
      <c r="T179" s="203"/>
      <c r="U179" s="203"/>
      <c r="V179" s="203"/>
      <c r="W179" s="203"/>
      <c r="X179" s="203"/>
      <c r="Y179" s="203"/>
      <c r="Z179" s="203"/>
      <c r="AA179" s="203"/>
      <c r="AB179" s="203"/>
      <c r="AC179" s="203"/>
      <c r="AD179" s="203"/>
      <c r="AE179" s="203"/>
      <c r="AF179" s="203"/>
      <c r="AG179" s="203"/>
      <c r="AH179" s="203"/>
      <c r="AI179" s="203"/>
      <c r="AJ179" s="203"/>
      <c r="AK179" s="203"/>
      <c r="AL179" s="203"/>
      <c r="AM179" s="203"/>
    </row>
    <row r="180" spans="4:39" s="155" customFormat="1" ht="11.25" x14ac:dyDescent="0.2">
      <c r="D180" s="203"/>
      <c r="E180" s="203"/>
      <c r="F180" s="203"/>
      <c r="G180" s="203"/>
      <c r="H180" s="203"/>
      <c r="I180" s="203"/>
      <c r="J180" s="203"/>
      <c r="K180" s="203"/>
      <c r="L180" s="203"/>
      <c r="M180" s="203"/>
      <c r="N180" s="203"/>
      <c r="O180" s="203"/>
      <c r="P180" s="203"/>
      <c r="Q180" s="203"/>
      <c r="R180" s="203"/>
      <c r="S180" s="203"/>
      <c r="T180" s="203"/>
      <c r="U180" s="203"/>
      <c r="V180" s="203"/>
      <c r="W180" s="203"/>
      <c r="X180" s="203"/>
      <c r="Y180" s="203"/>
      <c r="Z180" s="203"/>
      <c r="AA180" s="203"/>
      <c r="AB180" s="203"/>
      <c r="AC180" s="203"/>
      <c r="AD180" s="203"/>
      <c r="AE180" s="203"/>
      <c r="AF180" s="203"/>
      <c r="AG180" s="203"/>
      <c r="AH180" s="203"/>
      <c r="AI180" s="203"/>
      <c r="AJ180" s="203"/>
      <c r="AK180" s="203"/>
      <c r="AL180" s="203"/>
      <c r="AM180" s="203"/>
    </row>
    <row r="181" spans="4:39" s="155" customFormat="1" ht="11.25" x14ac:dyDescent="0.2">
      <c r="D181" s="203"/>
      <c r="E181" s="203"/>
      <c r="F181" s="203"/>
      <c r="G181" s="203"/>
      <c r="H181" s="203"/>
      <c r="I181" s="203"/>
      <c r="J181" s="203"/>
      <c r="K181" s="203"/>
      <c r="L181" s="203"/>
      <c r="M181" s="203"/>
      <c r="N181" s="203"/>
      <c r="O181" s="203"/>
      <c r="P181" s="203"/>
      <c r="Q181" s="203"/>
      <c r="R181" s="203"/>
      <c r="S181" s="203"/>
      <c r="T181" s="203"/>
      <c r="U181" s="203"/>
      <c r="V181" s="203"/>
      <c r="W181" s="203"/>
      <c r="X181" s="203"/>
      <c r="Y181" s="203"/>
      <c r="Z181" s="203"/>
      <c r="AA181" s="203"/>
      <c r="AB181" s="203"/>
      <c r="AC181" s="203"/>
      <c r="AD181" s="203"/>
      <c r="AE181" s="203"/>
      <c r="AF181" s="203"/>
      <c r="AG181" s="203"/>
      <c r="AH181" s="203"/>
      <c r="AI181" s="203"/>
      <c r="AJ181" s="203"/>
      <c r="AK181" s="203"/>
      <c r="AL181" s="203"/>
      <c r="AM181" s="203"/>
    </row>
    <row r="182" spans="4:39" s="155" customFormat="1" ht="11.25" x14ac:dyDescent="0.2">
      <c r="D182" s="203"/>
      <c r="E182" s="203"/>
      <c r="F182" s="203"/>
      <c r="G182" s="203"/>
      <c r="H182" s="203"/>
      <c r="I182" s="203"/>
      <c r="J182" s="203"/>
      <c r="K182" s="203"/>
      <c r="L182" s="203"/>
      <c r="M182" s="203"/>
      <c r="N182" s="203"/>
      <c r="O182" s="203"/>
      <c r="P182" s="203"/>
      <c r="Q182" s="203"/>
      <c r="R182" s="203"/>
      <c r="S182" s="203"/>
      <c r="T182" s="203"/>
      <c r="U182" s="203"/>
      <c r="V182" s="203"/>
      <c r="W182" s="203"/>
      <c r="X182" s="203"/>
      <c r="Y182" s="203"/>
      <c r="Z182" s="203"/>
      <c r="AA182" s="203"/>
      <c r="AB182" s="203"/>
      <c r="AC182" s="203"/>
      <c r="AD182" s="203"/>
      <c r="AE182" s="203"/>
      <c r="AF182" s="203"/>
      <c r="AG182" s="203"/>
      <c r="AH182" s="203"/>
      <c r="AI182" s="203"/>
      <c r="AJ182" s="203"/>
      <c r="AK182" s="203"/>
      <c r="AL182" s="203"/>
      <c r="AM182" s="203"/>
    </row>
    <row r="183" spans="4:39" s="155" customFormat="1" ht="11.25" x14ac:dyDescent="0.2">
      <c r="D183" s="203"/>
      <c r="E183" s="203"/>
      <c r="F183" s="203"/>
      <c r="G183" s="203"/>
      <c r="H183" s="203"/>
      <c r="I183" s="203"/>
      <c r="J183" s="203"/>
      <c r="K183" s="203"/>
      <c r="L183" s="203"/>
      <c r="M183" s="203"/>
      <c r="N183" s="203"/>
      <c r="O183" s="203"/>
      <c r="P183" s="203"/>
      <c r="Q183" s="203"/>
      <c r="R183" s="203"/>
      <c r="S183" s="203"/>
      <c r="T183" s="203"/>
      <c r="U183" s="203"/>
      <c r="V183" s="203"/>
      <c r="W183" s="203"/>
      <c r="X183" s="203"/>
      <c r="Y183" s="203"/>
      <c r="Z183" s="203"/>
      <c r="AA183" s="203"/>
      <c r="AB183" s="203"/>
      <c r="AC183" s="203"/>
      <c r="AD183" s="203"/>
      <c r="AE183" s="203"/>
      <c r="AF183" s="203"/>
      <c r="AG183" s="203"/>
      <c r="AH183" s="203"/>
      <c r="AI183" s="203"/>
      <c r="AJ183" s="203"/>
      <c r="AK183" s="203"/>
      <c r="AL183" s="203"/>
      <c r="AM183" s="203"/>
    </row>
    <row r="184" spans="4:39" s="155" customFormat="1" ht="11.25" x14ac:dyDescent="0.2">
      <c r="D184" s="203"/>
      <c r="E184" s="203"/>
      <c r="F184" s="203"/>
      <c r="G184" s="203"/>
      <c r="H184" s="203"/>
      <c r="I184" s="203"/>
      <c r="J184" s="203"/>
      <c r="K184" s="203"/>
      <c r="L184" s="203"/>
      <c r="M184" s="203"/>
      <c r="N184" s="203"/>
      <c r="O184" s="203"/>
      <c r="P184" s="203"/>
      <c r="Q184" s="203"/>
      <c r="R184" s="203"/>
      <c r="S184" s="203"/>
      <c r="T184" s="203"/>
      <c r="U184" s="203"/>
      <c r="V184" s="203"/>
      <c r="W184" s="203"/>
      <c r="X184" s="203"/>
      <c r="Y184" s="203"/>
      <c r="Z184" s="203"/>
      <c r="AA184" s="203"/>
      <c r="AB184" s="203"/>
      <c r="AC184" s="203"/>
      <c r="AD184" s="203"/>
      <c r="AE184" s="203"/>
      <c r="AF184" s="203"/>
      <c r="AG184" s="203"/>
      <c r="AH184" s="203"/>
      <c r="AI184" s="203"/>
      <c r="AJ184" s="203"/>
      <c r="AK184" s="203"/>
      <c r="AL184" s="203"/>
      <c r="AM184" s="203"/>
    </row>
    <row r="185" spans="4:39" s="155" customFormat="1" ht="11.25" x14ac:dyDescent="0.2">
      <c r="D185" s="203"/>
      <c r="E185" s="203"/>
      <c r="F185" s="203"/>
      <c r="G185" s="203"/>
      <c r="H185" s="203"/>
      <c r="I185" s="203"/>
      <c r="J185" s="203"/>
      <c r="K185" s="203"/>
      <c r="L185" s="203"/>
      <c r="M185" s="203"/>
      <c r="N185" s="203"/>
      <c r="O185" s="203"/>
      <c r="P185" s="203"/>
      <c r="Q185" s="203"/>
      <c r="R185" s="203"/>
      <c r="S185" s="203"/>
      <c r="T185" s="203"/>
      <c r="U185" s="203"/>
      <c r="V185" s="203"/>
      <c r="W185" s="203"/>
      <c r="X185" s="203"/>
      <c r="Y185" s="203"/>
      <c r="Z185" s="203"/>
      <c r="AA185" s="203"/>
      <c r="AB185" s="203"/>
      <c r="AC185" s="203"/>
      <c r="AD185" s="203"/>
      <c r="AE185" s="203"/>
      <c r="AF185" s="203"/>
      <c r="AG185" s="203"/>
      <c r="AH185" s="203"/>
      <c r="AI185" s="203"/>
      <c r="AJ185" s="203"/>
      <c r="AK185" s="203"/>
      <c r="AL185" s="203"/>
      <c r="AM185" s="203"/>
    </row>
    <row r="186" spans="4:39" s="155" customFormat="1" ht="11.25" x14ac:dyDescent="0.2">
      <c r="D186" s="203"/>
      <c r="E186" s="203"/>
      <c r="F186" s="203"/>
      <c r="G186" s="203"/>
      <c r="H186" s="203"/>
      <c r="I186" s="203"/>
      <c r="J186" s="203"/>
      <c r="K186" s="203"/>
      <c r="L186" s="203"/>
      <c r="M186" s="203"/>
      <c r="N186" s="203"/>
      <c r="O186" s="203"/>
      <c r="P186" s="203"/>
      <c r="Q186" s="203"/>
      <c r="R186" s="203"/>
      <c r="S186" s="203"/>
      <c r="T186" s="203"/>
      <c r="U186" s="203"/>
      <c r="V186" s="203"/>
      <c r="W186" s="203"/>
      <c r="X186" s="203"/>
      <c r="Y186" s="203"/>
      <c r="Z186" s="203"/>
      <c r="AA186" s="203"/>
      <c r="AB186" s="203"/>
      <c r="AC186" s="203"/>
      <c r="AD186" s="203"/>
      <c r="AE186" s="203"/>
      <c r="AF186" s="203"/>
      <c r="AG186" s="203"/>
      <c r="AH186" s="203"/>
      <c r="AI186" s="203"/>
      <c r="AJ186" s="203"/>
      <c r="AK186" s="203"/>
      <c r="AL186" s="203"/>
      <c r="AM186" s="203"/>
    </row>
    <row r="187" spans="4:39" s="155" customFormat="1" ht="11.25" x14ac:dyDescent="0.2">
      <c r="D187" s="203"/>
      <c r="E187" s="203"/>
      <c r="F187" s="203"/>
      <c r="G187" s="203"/>
      <c r="H187" s="203"/>
      <c r="I187" s="203"/>
      <c r="J187" s="203"/>
      <c r="K187" s="203"/>
      <c r="L187" s="203"/>
      <c r="M187" s="203"/>
      <c r="N187" s="203"/>
      <c r="O187" s="203"/>
      <c r="P187" s="203"/>
      <c r="Q187" s="203"/>
      <c r="R187" s="203"/>
      <c r="S187" s="203"/>
      <c r="T187" s="203"/>
      <c r="U187" s="203"/>
      <c r="V187" s="203"/>
      <c r="W187" s="203"/>
      <c r="X187" s="203"/>
      <c r="Y187" s="203"/>
      <c r="Z187" s="203"/>
      <c r="AA187" s="203"/>
      <c r="AB187" s="203"/>
      <c r="AC187" s="203"/>
      <c r="AD187" s="203"/>
      <c r="AE187" s="203"/>
      <c r="AF187" s="203"/>
      <c r="AG187" s="203"/>
      <c r="AH187" s="203"/>
      <c r="AI187" s="203"/>
      <c r="AJ187" s="203"/>
      <c r="AK187" s="203"/>
      <c r="AL187" s="203"/>
      <c r="AM187" s="203"/>
    </row>
    <row r="188" spans="4:39" s="155" customFormat="1" ht="11.25" x14ac:dyDescent="0.2">
      <c r="D188" s="203"/>
      <c r="E188" s="203"/>
      <c r="F188" s="203"/>
      <c r="G188" s="203"/>
      <c r="H188" s="203"/>
      <c r="I188" s="203"/>
      <c r="J188" s="203"/>
      <c r="K188" s="203"/>
      <c r="L188" s="203"/>
      <c r="M188" s="203"/>
      <c r="N188" s="203"/>
      <c r="O188" s="203"/>
      <c r="P188" s="203"/>
      <c r="Q188" s="203"/>
      <c r="R188" s="203"/>
      <c r="S188" s="203"/>
      <c r="T188" s="203"/>
      <c r="U188" s="203"/>
      <c r="V188" s="203"/>
      <c r="W188" s="203"/>
      <c r="X188" s="203"/>
      <c r="Y188" s="203"/>
      <c r="Z188" s="203"/>
      <c r="AA188" s="203"/>
      <c r="AB188" s="203"/>
      <c r="AC188" s="203"/>
      <c r="AD188" s="203"/>
      <c r="AE188" s="203"/>
      <c r="AF188" s="203"/>
      <c r="AG188" s="203"/>
      <c r="AH188" s="203"/>
      <c r="AI188" s="203"/>
      <c r="AJ188" s="203"/>
      <c r="AK188" s="203"/>
      <c r="AL188" s="203"/>
      <c r="AM188" s="203"/>
    </row>
    <row r="189" spans="4:39" s="155" customFormat="1" ht="11.25" x14ac:dyDescent="0.2">
      <c r="D189" s="203"/>
      <c r="E189" s="203"/>
      <c r="F189" s="203"/>
      <c r="G189" s="203"/>
      <c r="H189" s="203"/>
      <c r="I189" s="203"/>
      <c r="J189" s="203"/>
      <c r="K189" s="203"/>
      <c r="L189" s="203"/>
      <c r="M189" s="203"/>
      <c r="N189" s="203"/>
      <c r="O189" s="203"/>
      <c r="P189" s="203"/>
      <c r="Q189" s="203"/>
      <c r="R189" s="203"/>
      <c r="S189" s="203"/>
      <c r="T189" s="203"/>
      <c r="U189" s="203"/>
      <c r="V189" s="203"/>
      <c r="W189" s="203"/>
      <c r="X189" s="203"/>
      <c r="Y189" s="203"/>
      <c r="Z189" s="203"/>
      <c r="AA189" s="203"/>
      <c r="AB189" s="203"/>
      <c r="AC189" s="203"/>
      <c r="AD189" s="203"/>
      <c r="AE189" s="203"/>
      <c r="AF189" s="203"/>
      <c r="AG189" s="203"/>
      <c r="AH189" s="203"/>
      <c r="AI189" s="203"/>
      <c r="AJ189" s="203"/>
      <c r="AK189" s="203"/>
      <c r="AL189" s="203"/>
      <c r="AM189" s="203"/>
    </row>
    <row r="190" spans="4:39" s="155" customFormat="1" ht="11.25" x14ac:dyDescent="0.2">
      <c r="D190" s="203"/>
      <c r="E190" s="203"/>
      <c r="F190" s="203"/>
      <c r="G190" s="203"/>
      <c r="H190" s="203"/>
      <c r="I190" s="203"/>
      <c r="J190" s="203"/>
      <c r="K190" s="203"/>
      <c r="L190" s="203"/>
      <c r="M190" s="203"/>
      <c r="N190" s="203"/>
      <c r="O190" s="203"/>
      <c r="P190" s="203"/>
      <c r="Q190" s="203"/>
      <c r="R190" s="203"/>
      <c r="S190" s="203"/>
      <c r="T190" s="203"/>
      <c r="U190" s="203"/>
      <c r="V190" s="203"/>
      <c r="W190" s="203"/>
      <c r="X190" s="203"/>
      <c r="Y190" s="203"/>
      <c r="Z190" s="203"/>
      <c r="AA190" s="203"/>
      <c r="AB190" s="203"/>
      <c r="AC190" s="203"/>
      <c r="AD190" s="203"/>
      <c r="AE190" s="203"/>
      <c r="AF190" s="203"/>
      <c r="AG190" s="203"/>
      <c r="AH190" s="203"/>
      <c r="AI190" s="203"/>
      <c r="AJ190" s="203"/>
      <c r="AK190" s="203"/>
      <c r="AL190" s="203"/>
      <c r="AM190" s="203"/>
    </row>
    <row r="191" spans="4:39" s="155" customFormat="1" ht="11.25" x14ac:dyDescent="0.2">
      <c r="D191" s="203"/>
      <c r="E191" s="203"/>
      <c r="F191" s="203"/>
      <c r="G191" s="203"/>
      <c r="H191" s="203"/>
      <c r="I191" s="203"/>
      <c r="J191" s="203"/>
      <c r="K191" s="203"/>
      <c r="L191" s="203"/>
      <c r="M191" s="203"/>
      <c r="N191" s="203"/>
      <c r="O191" s="203"/>
      <c r="P191" s="203"/>
      <c r="Q191" s="203"/>
      <c r="R191" s="203"/>
      <c r="S191" s="203"/>
      <c r="T191" s="203"/>
      <c r="U191" s="203"/>
      <c r="V191" s="203"/>
      <c r="W191" s="203"/>
      <c r="X191" s="203"/>
      <c r="Y191" s="203"/>
      <c r="Z191" s="203"/>
      <c r="AA191" s="203"/>
      <c r="AB191" s="203"/>
      <c r="AC191" s="203"/>
      <c r="AD191" s="203"/>
      <c r="AE191" s="203"/>
      <c r="AF191" s="203"/>
      <c r="AG191" s="203"/>
      <c r="AH191" s="203"/>
      <c r="AI191" s="203"/>
      <c r="AJ191" s="203"/>
      <c r="AK191" s="203"/>
      <c r="AL191" s="203"/>
      <c r="AM191" s="203"/>
    </row>
    <row r="192" spans="4:39" s="155" customFormat="1" ht="11.25" x14ac:dyDescent="0.2">
      <c r="D192" s="203"/>
      <c r="E192" s="203"/>
      <c r="F192" s="203"/>
      <c r="G192" s="203"/>
      <c r="H192" s="203"/>
      <c r="I192" s="203"/>
      <c r="J192" s="203"/>
      <c r="K192" s="203"/>
      <c r="L192" s="203"/>
      <c r="M192" s="203"/>
      <c r="N192" s="203"/>
      <c r="O192" s="203"/>
      <c r="P192" s="203"/>
      <c r="Q192" s="203"/>
      <c r="R192" s="203"/>
      <c r="S192" s="203"/>
      <c r="T192" s="203"/>
      <c r="U192" s="203"/>
      <c r="V192" s="203"/>
      <c r="W192" s="203"/>
      <c r="X192" s="203"/>
      <c r="Y192" s="203"/>
      <c r="Z192" s="203"/>
      <c r="AA192" s="203"/>
      <c r="AB192" s="203"/>
      <c r="AC192" s="203"/>
      <c r="AD192" s="203"/>
      <c r="AE192" s="203"/>
      <c r="AF192" s="203"/>
      <c r="AG192" s="203"/>
      <c r="AH192" s="203"/>
      <c r="AI192" s="203"/>
      <c r="AJ192" s="203"/>
      <c r="AK192" s="203"/>
      <c r="AL192" s="203"/>
      <c r="AM192" s="203"/>
    </row>
    <row r="193" spans="4:39" s="155" customFormat="1" ht="11.25" x14ac:dyDescent="0.2">
      <c r="D193" s="203"/>
      <c r="E193" s="203"/>
      <c r="F193" s="203"/>
      <c r="G193" s="203"/>
      <c r="H193" s="203"/>
      <c r="I193" s="203"/>
      <c r="J193" s="203"/>
      <c r="K193" s="203"/>
      <c r="L193" s="203"/>
      <c r="M193" s="203"/>
      <c r="N193" s="203"/>
      <c r="O193" s="203"/>
      <c r="P193" s="203"/>
      <c r="Q193" s="203"/>
      <c r="R193" s="203"/>
      <c r="S193" s="203"/>
      <c r="T193" s="203"/>
      <c r="U193" s="203"/>
      <c r="V193" s="203"/>
      <c r="W193" s="203"/>
      <c r="X193" s="203"/>
      <c r="Y193" s="203"/>
      <c r="Z193" s="203"/>
      <c r="AA193" s="203"/>
      <c r="AB193" s="203"/>
      <c r="AC193" s="203"/>
      <c r="AD193" s="203"/>
      <c r="AE193" s="203"/>
      <c r="AF193" s="203"/>
      <c r="AG193" s="203"/>
      <c r="AH193" s="203"/>
      <c r="AI193" s="203"/>
      <c r="AJ193" s="203"/>
      <c r="AK193" s="203"/>
      <c r="AL193" s="203"/>
      <c r="AM193" s="203"/>
    </row>
    <row r="194" spans="4:39" s="155" customFormat="1" ht="11.25" x14ac:dyDescent="0.2">
      <c r="D194" s="203"/>
      <c r="E194" s="203"/>
      <c r="F194" s="203"/>
      <c r="G194" s="203"/>
      <c r="H194" s="203"/>
      <c r="I194" s="203"/>
      <c r="J194" s="203"/>
      <c r="K194" s="203"/>
      <c r="L194" s="203"/>
      <c r="M194" s="203"/>
      <c r="N194" s="203"/>
      <c r="O194" s="203"/>
      <c r="P194" s="203"/>
      <c r="Q194" s="203"/>
      <c r="R194" s="203"/>
      <c r="S194" s="203"/>
      <c r="T194" s="203"/>
      <c r="U194" s="203"/>
      <c r="V194" s="203"/>
      <c r="W194" s="203"/>
      <c r="X194" s="203"/>
      <c r="Y194" s="203"/>
      <c r="Z194" s="203"/>
      <c r="AA194" s="203"/>
      <c r="AB194" s="203"/>
      <c r="AC194" s="203"/>
      <c r="AD194" s="203"/>
      <c r="AE194" s="203"/>
      <c r="AF194" s="203"/>
      <c r="AG194" s="203"/>
      <c r="AH194" s="203"/>
      <c r="AI194" s="203"/>
      <c r="AJ194" s="203"/>
      <c r="AK194" s="203"/>
      <c r="AL194" s="203"/>
      <c r="AM194" s="203"/>
    </row>
    <row r="195" spans="4:39" s="155" customFormat="1" ht="11.25" x14ac:dyDescent="0.2">
      <c r="D195" s="203"/>
      <c r="E195" s="203"/>
      <c r="F195" s="203"/>
      <c r="G195" s="203"/>
      <c r="H195" s="203"/>
      <c r="I195" s="203"/>
      <c r="J195" s="203"/>
      <c r="K195" s="203"/>
      <c r="L195" s="203"/>
      <c r="M195" s="203"/>
      <c r="N195" s="203"/>
      <c r="O195" s="203"/>
      <c r="P195" s="203"/>
      <c r="Q195" s="203"/>
      <c r="R195" s="203"/>
      <c r="S195" s="203"/>
      <c r="T195" s="203"/>
      <c r="U195" s="203"/>
      <c r="V195" s="203"/>
      <c r="W195" s="203"/>
      <c r="X195" s="203"/>
      <c r="Y195" s="203"/>
      <c r="Z195" s="203"/>
      <c r="AA195" s="203"/>
      <c r="AB195" s="203"/>
      <c r="AC195" s="203"/>
      <c r="AD195" s="203"/>
      <c r="AE195" s="203"/>
      <c r="AF195" s="203"/>
      <c r="AG195" s="203"/>
      <c r="AH195" s="203"/>
      <c r="AI195" s="203"/>
      <c r="AJ195" s="203"/>
      <c r="AK195" s="203"/>
      <c r="AL195" s="203"/>
      <c r="AM195" s="203"/>
    </row>
    <row r="196" spans="4:39" s="155" customFormat="1" ht="11.25" x14ac:dyDescent="0.2">
      <c r="D196" s="203"/>
      <c r="E196" s="203"/>
      <c r="F196" s="203"/>
      <c r="G196" s="203"/>
      <c r="H196" s="203"/>
      <c r="I196" s="203"/>
      <c r="J196" s="203"/>
      <c r="K196" s="203"/>
      <c r="L196" s="203"/>
      <c r="M196" s="203"/>
      <c r="N196" s="203"/>
      <c r="O196" s="203"/>
      <c r="P196" s="203"/>
      <c r="Q196" s="203"/>
      <c r="R196" s="203"/>
      <c r="S196" s="203"/>
      <c r="T196" s="203"/>
      <c r="U196" s="203"/>
      <c r="V196" s="203"/>
      <c r="W196" s="203"/>
      <c r="X196" s="203"/>
      <c r="Y196" s="203"/>
      <c r="Z196" s="203"/>
      <c r="AA196" s="203"/>
      <c r="AB196" s="203"/>
      <c r="AC196" s="203"/>
      <c r="AD196" s="203"/>
      <c r="AE196" s="203"/>
      <c r="AF196" s="203"/>
      <c r="AG196" s="203"/>
      <c r="AH196" s="203"/>
      <c r="AI196" s="203"/>
      <c r="AJ196" s="203"/>
      <c r="AK196" s="203"/>
      <c r="AL196" s="203"/>
      <c r="AM196" s="203"/>
    </row>
    <row r="197" spans="4:39" s="155" customFormat="1" ht="11.25" x14ac:dyDescent="0.2">
      <c r="D197" s="203"/>
      <c r="E197" s="203"/>
      <c r="F197" s="203"/>
      <c r="G197" s="203"/>
      <c r="H197" s="203"/>
      <c r="I197" s="203"/>
      <c r="J197" s="203"/>
      <c r="K197" s="203"/>
      <c r="L197" s="203"/>
      <c r="M197" s="203"/>
      <c r="N197" s="203"/>
      <c r="O197" s="203"/>
      <c r="P197" s="203"/>
      <c r="Q197" s="203"/>
      <c r="R197" s="203"/>
      <c r="S197" s="203"/>
      <c r="T197" s="203"/>
      <c r="U197" s="203"/>
      <c r="V197" s="203"/>
      <c r="W197" s="203"/>
      <c r="X197" s="203"/>
      <c r="Y197" s="203"/>
      <c r="Z197" s="203"/>
      <c r="AA197" s="203"/>
      <c r="AB197" s="203"/>
      <c r="AC197" s="203"/>
      <c r="AD197" s="203"/>
      <c r="AE197" s="203"/>
      <c r="AF197" s="203"/>
      <c r="AG197" s="203"/>
      <c r="AH197" s="203"/>
      <c r="AI197" s="203"/>
      <c r="AJ197" s="203"/>
      <c r="AK197" s="203"/>
      <c r="AL197" s="203"/>
      <c r="AM197" s="203"/>
    </row>
    <row r="198" spans="4:39" s="155" customFormat="1" ht="11.25" x14ac:dyDescent="0.2">
      <c r="D198" s="203"/>
      <c r="E198" s="203"/>
      <c r="F198" s="203"/>
      <c r="G198" s="203"/>
      <c r="H198" s="203"/>
      <c r="I198" s="203"/>
      <c r="J198" s="203"/>
      <c r="K198" s="203"/>
      <c r="L198" s="203"/>
      <c r="M198" s="203"/>
      <c r="N198" s="203"/>
      <c r="O198" s="203"/>
      <c r="P198" s="203"/>
      <c r="Q198" s="203"/>
      <c r="R198" s="203"/>
      <c r="S198" s="203"/>
      <c r="T198" s="203"/>
      <c r="U198" s="203"/>
      <c r="V198" s="203"/>
      <c r="W198" s="203"/>
      <c r="X198" s="203"/>
      <c r="Y198" s="203"/>
      <c r="Z198" s="203"/>
      <c r="AA198" s="203"/>
      <c r="AB198" s="203"/>
      <c r="AC198" s="203"/>
      <c r="AD198" s="203"/>
      <c r="AE198" s="203"/>
      <c r="AF198" s="203"/>
      <c r="AG198" s="203"/>
      <c r="AH198" s="203"/>
      <c r="AI198" s="203"/>
      <c r="AJ198" s="203"/>
      <c r="AK198" s="203"/>
      <c r="AL198" s="203"/>
      <c r="AM198" s="203"/>
    </row>
    <row r="199" spans="4:39" s="155" customFormat="1" ht="11.25" x14ac:dyDescent="0.2">
      <c r="D199" s="203"/>
      <c r="E199" s="203"/>
      <c r="F199" s="203"/>
      <c r="G199" s="203"/>
      <c r="H199" s="203"/>
      <c r="I199" s="203"/>
      <c r="J199" s="203"/>
      <c r="K199" s="203"/>
      <c r="L199" s="203"/>
      <c r="M199" s="203"/>
      <c r="N199" s="203"/>
      <c r="O199" s="203"/>
      <c r="P199" s="203"/>
      <c r="Q199" s="203"/>
      <c r="R199" s="203"/>
      <c r="S199" s="203"/>
      <c r="T199" s="203"/>
      <c r="U199" s="203"/>
      <c r="V199" s="203"/>
      <c r="W199" s="203"/>
      <c r="X199" s="203"/>
      <c r="Y199" s="203"/>
      <c r="Z199" s="203"/>
      <c r="AA199" s="203"/>
      <c r="AB199" s="203"/>
      <c r="AC199" s="203"/>
      <c r="AD199" s="203"/>
      <c r="AE199" s="203"/>
      <c r="AF199" s="203"/>
      <c r="AG199" s="203"/>
      <c r="AH199" s="203"/>
      <c r="AI199" s="203"/>
      <c r="AJ199" s="203"/>
      <c r="AK199" s="203"/>
      <c r="AL199" s="203"/>
      <c r="AM199" s="203"/>
    </row>
    <row r="200" spans="4:39" s="155" customFormat="1" ht="11.25" x14ac:dyDescent="0.2">
      <c r="D200" s="203"/>
      <c r="E200" s="203"/>
      <c r="F200" s="203"/>
      <c r="G200" s="203"/>
      <c r="H200" s="203"/>
      <c r="I200" s="203"/>
      <c r="J200" s="203"/>
      <c r="K200" s="203"/>
      <c r="L200" s="203"/>
      <c r="M200" s="203"/>
      <c r="N200" s="203"/>
      <c r="O200" s="203"/>
      <c r="P200" s="203"/>
      <c r="Q200" s="203"/>
      <c r="R200" s="203"/>
      <c r="S200" s="203"/>
      <c r="T200" s="203"/>
      <c r="U200" s="203"/>
      <c r="V200" s="203"/>
      <c r="W200" s="203"/>
      <c r="X200" s="203"/>
      <c r="Y200" s="203"/>
      <c r="Z200" s="203"/>
      <c r="AA200" s="203"/>
      <c r="AB200" s="203"/>
      <c r="AC200" s="203"/>
      <c r="AD200" s="203"/>
      <c r="AE200" s="203"/>
      <c r="AF200" s="203"/>
      <c r="AG200" s="203"/>
      <c r="AH200" s="203"/>
      <c r="AI200" s="203"/>
      <c r="AJ200" s="203"/>
      <c r="AK200" s="203"/>
      <c r="AL200" s="203"/>
      <c r="AM200" s="203"/>
    </row>
    <row r="201" spans="4:39" s="155" customFormat="1" ht="11.25" x14ac:dyDescent="0.2">
      <c r="D201" s="203"/>
      <c r="E201" s="203"/>
      <c r="F201" s="203"/>
      <c r="G201" s="203"/>
      <c r="H201" s="203"/>
      <c r="I201" s="203"/>
      <c r="J201" s="203"/>
      <c r="K201" s="203"/>
      <c r="L201" s="203"/>
      <c r="M201" s="203"/>
      <c r="N201" s="203"/>
      <c r="O201" s="203"/>
      <c r="P201" s="203"/>
      <c r="Q201" s="203"/>
      <c r="R201" s="203"/>
      <c r="S201" s="203"/>
      <c r="T201" s="203"/>
      <c r="U201" s="203"/>
      <c r="V201" s="203"/>
      <c r="W201" s="203"/>
      <c r="X201" s="203"/>
      <c r="Y201" s="203"/>
      <c r="Z201" s="203"/>
      <c r="AA201" s="203"/>
      <c r="AB201" s="203"/>
      <c r="AC201" s="203"/>
      <c r="AD201" s="203"/>
      <c r="AE201" s="203"/>
      <c r="AF201" s="203"/>
      <c r="AG201" s="203"/>
      <c r="AH201" s="203"/>
      <c r="AI201" s="203"/>
      <c r="AJ201" s="203"/>
      <c r="AK201" s="203"/>
      <c r="AL201" s="203"/>
      <c r="AM201" s="203"/>
    </row>
    <row r="202" spans="4:39" s="155" customFormat="1" ht="11.25" x14ac:dyDescent="0.2">
      <c r="D202" s="203"/>
      <c r="E202" s="203"/>
      <c r="F202" s="203"/>
      <c r="G202" s="203"/>
      <c r="H202" s="203"/>
      <c r="I202" s="203"/>
      <c r="J202" s="203"/>
      <c r="K202" s="203"/>
      <c r="L202" s="203"/>
      <c r="M202" s="203"/>
      <c r="N202" s="203"/>
      <c r="O202" s="203"/>
      <c r="P202" s="203"/>
      <c r="Q202" s="203"/>
      <c r="R202" s="203"/>
      <c r="S202" s="203"/>
      <c r="T202" s="203"/>
      <c r="U202" s="203"/>
      <c r="V202" s="203"/>
      <c r="W202" s="203"/>
      <c r="X202" s="203"/>
      <c r="Y202" s="203"/>
      <c r="Z202" s="203"/>
      <c r="AA202" s="203"/>
      <c r="AB202" s="203"/>
      <c r="AC202" s="203"/>
      <c r="AD202" s="203"/>
      <c r="AE202" s="203"/>
      <c r="AF202" s="203"/>
      <c r="AG202" s="203"/>
      <c r="AH202" s="203"/>
      <c r="AI202" s="203"/>
      <c r="AJ202" s="203"/>
      <c r="AK202" s="203"/>
      <c r="AL202" s="203"/>
      <c r="AM202" s="203"/>
    </row>
    <row r="203" spans="4:39" s="155" customFormat="1" ht="11.25" x14ac:dyDescent="0.2">
      <c r="D203" s="203"/>
      <c r="E203" s="203"/>
      <c r="F203" s="203"/>
      <c r="G203" s="203"/>
      <c r="H203" s="203"/>
      <c r="I203" s="203"/>
      <c r="J203" s="203"/>
      <c r="K203" s="203"/>
      <c r="L203" s="203"/>
      <c r="M203" s="203"/>
      <c r="N203" s="203"/>
      <c r="O203" s="203"/>
      <c r="P203" s="203"/>
      <c r="Q203" s="203"/>
      <c r="R203" s="203"/>
      <c r="S203" s="203"/>
      <c r="T203" s="203"/>
      <c r="U203" s="203"/>
      <c r="V203" s="203"/>
      <c r="W203" s="203"/>
      <c r="X203" s="203"/>
      <c r="Y203" s="203"/>
      <c r="Z203" s="203"/>
      <c r="AA203" s="203"/>
      <c r="AB203" s="203"/>
      <c r="AC203" s="203"/>
      <c r="AD203" s="203"/>
      <c r="AE203" s="203"/>
      <c r="AF203" s="203"/>
      <c r="AG203" s="203"/>
      <c r="AH203" s="203"/>
      <c r="AI203" s="203"/>
      <c r="AJ203" s="203"/>
      <c r="AK203" s="203"/>
      <c r="AL203" s="203"/>
      <c r="AM203" s="203"/>
    </row>
    <row r="204" spans="4:39" s="155" customFormat="1" ht="11.25" x14ac:dyDescent="0.2">
      <c r="D204" s="203"/>
      <c r="E204" s="203"/>
      <c r="F204" s="203"/>
      <c r="G204" s="203"/>
      <c r="H204" s="203"/>
      <c r="I204" s="203"/>
      <c r="J204" s="203"/>
      <c r="K204" s="203"/>
      <c r="L204" s="203"/>
      <c r="M204" s="203"/>
      <c r="N204" s="203"/>
      <c r="O204" s="203"/>
      <c r="P204" s="203"/>
      <c r="Q204" s="203"/>
      <c r="R204" s="203"/>
      <c r="S204" s="203"/>
      <c r="T204" s="203"/>
      <c r="U204" s="203"/>
      <c r="V204" s="203"/>
      <c r="W204" s="203"/>
      <c r="X204" s="203"/>
      <c r="Y204" s="203"/>
      <c r="Z204" s="203"/>
      <c r="AA204" s="203"/>
      <c r="AB204" s="203"/>
      <c r="AC204" s="203"/>
      <c r="AD204" s="203"/>
      <c r="AE204" s="203"/>
      <c r="AF204" s="203"/>
      <c r="AG204" s="203"/>
      <c r="AH204" s="203"/>
      <c r="AI204" s="203"/>
      <c r="AJ204" s="203"/>
      <c r="AK204" s="203"/>
      <c r="AL204" s="203"/>
      <c r="AM204" s="203"/>
    </row>
    <row r="205" spans="4:39" s="155" customFormat="1" ht="11.25" x14ac:dyDescent="0.2">
      <c r="D205" s="203"/>
      <c r="E205" s="203"/>
      <c r="F205" s="203"/>
      <c r="G205" s="203"/>
      <c r="H205" s="203"/>
      <c r="I205" s="203"/>
      <c r="J205" s="203"/>
      <c r="K205" s="203"/>
      <c r="L205" s="203"/>
      <c r="M205" s="203"/>
      <c r="N205" s="203"/>
      <c r="O205" s="203"/>
      <c r="P205" s="203"/>
      <c r="Q205" s="203"/>
      <c r="R205" s="203"/>
      <c r="S205" s="203"/>
      <c r="T205" s="203"/>
      <c r="U205" s="203"/>
      <c r="V205" s="203"/>
      <c r="W205" s="203"/>
      <c r="X205" s="203"/>
      <c r="Y205" s="203"/>
      <c r="Z205" s="203"/>
      <c r="AA205" s="203"/>
      <c r="AB205" s="203"/>
      <c r="AC205" s="203"/>
      <c r="AD205" s="203"/>
      <c r="AE205" s="203"/>
      <c r="AF205" s="203"/>
      <c r="AG205" s="203"/>
      <c r="AH205" s="203"/>
      <c r="AI205" s="203"/>
      <c r="AJ205" s="203"/>
      <c r="AK205" s="203"/>
      <c r="AL205" s="203"/>
      <c r="AM205" s="203"/>
    </row>
    <row r="206" spans="4:39" s="155" customFormat="1" ht="11.25" x14ac:dyDescent="0.2">
      <c r="D206" s="203"/>
      <c r="E206" s="203"/>
      <c r="F206" s="203"/>
      <c r="G206" s="203"/>
      <c r="H206" s="203"/>
      <c r="I206" s="203"/>
      <c r="J206" s="203"/>
      <c r="K206" s="203"/>
      <c r="L206" s="203"/>
      <c r="M206" s="203"/>
      <c r="N206" s="203"/>
      <c r="O206" s="203"/>
      <c r="P206" s="203"/>
      <c r="Q206" s="203"/>
      <c r="R206" s="203"/>
      <c r="S206" s="203"/>
      <c r="T206" s="203"/>
      <c r="U206" s="203"/>
      <c r="V206" s="203"/>
      <c r="W206" s="203"/>
      <c r="X206" s="203"/>
      <c r="Y206" s="203"/>
      <c r="Z206" s="203"/>
      <c r="AA206" s="203"/>
      <c r="AB206" s="203"/>
      <c r="AC206" s="203"/>
      <c r="AD206" s="203"/>
      <c r="AE206" s="203"/>
      <c r="AF206" s="203"/>
      <c r="AG206" s="203"/>
      <c r="AH206" s="203"/>
      <c r="AI206" s="203"/>
      <c r="AJ206" s="203"/>
      <c r="AK206" s="203"/>
      <c r="AL206" s="203"/>
      <c r="AM206" s="203"/>
    </row>
    <row r="207" spans="4:39" s="155" customFormat="1" ht="11.25" x14ac:dyDescent="0.2">
      <c r="D207" s="203"/>
      <c r="E207" s="203"/>
      <c r="F207" s="203"/>
      <c r="G207" s="203"/>
      <c r="H207" s="203"/>
      <c r="I207" s="203"/>
      <c r="J207" s="203"/>
      <c r="K207" s="203"/>
      <c r="L207" s="203"/>
      <c r="M207" s="203"/>
      <c r="N207" s="203"/>
      <c r="O207" s="203"/>
      <c r="P207" s="203"/>
      <c r="Q207" s="203"/>
      <c r="R207" s="203"/>
      <c r="S207" s="203"/>
      <c r="T207" s="203"/>
      <c r="U207" s="203"/>
      <c r="V207" s="203"/>
      <c r="W207" s="203"/>
      <c r="X207" s="203"/>
      <c r="Y207" s="203"/>
      <c r="Z207" s="203"/>
      <c r="AA207" s="203"/>
      <c r="AB207" s="203"/>
      <c r="AC207" s="203"/>
      <c r="AD207" s="203"/>
      <c r="AE207" s="203"/>
      <c r="AF207" s="203"/>
      <c r="AG207" s="203"/>
      <c r="AH207" s="203"/>
      <c r="AI207" s="203"/>
      <c r="AJ207" s="203"/>
      <c r="AK207" s="203"/>
      <c r="AL207" s="203"/>
      <c r="AM207" s="203"/>
    </row>
    <row r="208" spans="4:39" s="155" customFormat="1" ht="11.25" x14ac:dyDescent="0.2">
      <c r="D208" s="203"/>
      <c r="E208" s="203"/>
      <c r="F208" s="203"/>
      <c r="G208" s="203"/>
      <c r="H208" s="203"/>
      <c r="I208" s="203"/>
      <c r="J208" s="203"/>
      <c r="K208" s="203"/>
      <c r="L208" s="203"/>
      <c r="M208" s="203"/>
      <c r="N208" s="203"/>
      <c r="O208" s="203"/>
      <c r="P208" s="203"/>
      <c r="Q208" s="203"/>
      <c r="R208" s="203"/>
      <c r="S208" s="203"/>
      <c r="T208" s="203"/>
      <c r="U208" s="203"/>
      <c r="V208" s="203"/>
      <c r="W208" s="203"/>
      <c r="X208" s="203"/>
      <c r="Y208" s="203"/>
      <c r="Z208" s="203"/>
      <c r="AA208" s="203"/>
      <c r="AB208" s="203"/>
      <c r="AC208" s="203"/>
      <c r="AD208" s="203"/>
      <c r="AE208" s="203"/>
      <c r="AF208" s="203"/>
      <c r="AG208" s="203"/>
      <c r="AH208" s="203"/>
      <c r="AI208" s="203"/>
      <c r="AJ208" s="203"/>
      <c r="AK208" s="203"/>
      <c r="AL208" s="203"/>
      <c r="AM208" s="203"/>
    </row>
    <row r="209" spans="4:39" s="155" customFormat="1" ht="11.25" x14ac:dyDescent="0.2">
      <c r="D209" s="203"/>
      <c r="E209" s="203"/>
      <c r="F209" s="203"/>
      <c r="G209" s="203"/>
      <c r="H209" s="203"/>
      <c r="I209" s="203"/>
      <c r="J209" s="203"/>
      <c r="K209" s="203"/>
      <c r="L209" s="203"/>
      <c r="M209" s="203"/>
      <c r="N209" s="203"/>
      <c r="O209" s="203"/>
      <c r="P209" s="203"/>
      <c r="Q209" s="203"/>
      <c r="R209" s="203"/>
      <c r="S209" s="203"/>
      <c r="T209" s="203"/>
      <c r="U209" s="203"/>
      <c r="V209" s="203"/>
      <c r="W209" s="203"/>
      <c r="X209" s="203"/>
      <c r="Y209" s="203"/>
      <c r="Z209" s="203"/>
      <c r="AA209" s="203"/>
      <c r="AB209" s="203"/>
      <c r="AC209" s="203"/>
      <c r="AD209" s="203"/>
      <c r="AE209" s="203"/>
      <c r="AF209" s="203"/>
      <c r="AG209" s="203"/>
      <c r="AH209" s="203"/>
      <c r="AI209" s="203"/>
      <c r="AJ209" s="203"/>
      <c r="AK209" s="203"/>
      <c r="AL209" s="203"/>
      <c r="AM209" s="203"/>
    </row>
    <row r="210" spans="4:39" s="155" customFormat="1" ht="11.25" x14ac:dyDescent="0.2">
      <c r="D210" s="203"/>
      <c r="E210" s="203"/>
      <c r="F210" s="203"/>
      <c r="G210" s="203"/>
      <c r="H210" s="203"/>
      <c r="I210" s="203"/>
      <c r="J210" s="203"/>
      <c r="K210" s="203"/>
      <c r="L210" s="203"/>
      <c r="M210" s="203"/>
      <c r="N210" s="203"/>
      <c r="O210" s="203"/>
      <c r="P210" s="203"/>
      <c r="Q210" s="203"/>
      <c r="R210" s="203"/>
      <c r="S210" s="203"/>
      <c r="T210" s="203"/>
      <c r="U210" s="203"/>
      <c r="V210" s="203"/>
      <c r="W210" s="203"/>
      <c r="X210" s="203"/>
      <c r="Y210" s="203"/>
      <c r="Z210" s="203"/>
      <c r="AA210" s="203"/>
      <c r="AB210" s="203"/>
      <c r="AC210" s="203"/>
      <c r="AD210" s="203"/>
      <c r="AE210" s="203"/>
      <c r="AF210" s="203"/>
      <c r="AG210" s="203"/>
      <c r="AH210" s="203"/>
      <c r="AI210" s="203"/>
      <c r="AJ210" s="203"/>
      <c r="AK210" s="203"/>
      <c r="AL210" s="203"/>
      <c r="AM210" s="203"/>
    </row>
    <row r="211" spans="4:39" s="155" customFormat="1" ht="11.25" x14ac:dyDescent="0.2">
      <c r="D211" s="203"/>
      <c r="E211" s="203"/>
      <c r="F211" s="203"/>
      <c r="G211" s="203"/>
      <c r="H211" s="203"/>
      <c r="I211" s="203"/>
      <c r="J211" s="203"/>
      <c r="K211" s="203"/>
      <c r="L211" s="203"/>
      <c r="M211" s="203"/>
      <c r="N211" s="203"/>
      <c r="O211" s="203"/>
      <c r="P211" s="203"/>
      <c r="Q211" s="203"/>
      <c r="R211" s="203"/>
      <c r="S211" s="203"/>
      <c r="T211" s="203"/>
      <c r="U211" s="203"/>
      <c r="V211" s="203"/>
      <c r="W211" s="203"/>
      <c r="X211" s="203"/>
      <c r="Y211" s="203"/>
      <c r="Z211" s="203"/>
      <c r="AA211" s="203"/>
      <c r="AB211" s="203"/>
      <c r="AC211" s="203"/>
      <c r="AD211" s="203"/>
      <c r="AE211" s="203"/>
      <c r="AF211" s="203"/>
      <c r="AG211" s="203"/>
      <c r="AH211" s="203"/>
      <c r="AI211" s="203"/>
      <c r="AJ211" s="203"/>
      <c r="AK211" s="203"/>
      <c r="AL211" s="203"/>
      <c r="AM211" s="203"/>
    </row>
    <row r="212" spans="4:39" s="155" customFormat="1" ht="11.25" x14ac:dyDescent="0.2">
      <c r="D212" s="203"/>
      <c r="E212" s="203"/>
      <c r="F212" s="203"/>
      <c r="G212" s="203"/>
      <c r="H212" s="203"/>
      <c r="I212" s="203"/>
      <c r="J212" s="203"/>
      <c r="K212" s="203"/>
      <c r="L212" s="203"/>
      <c r="M212" s="203"/>
      <c r="N212" s="203"/>
      <c r="O212" s="203"/>
      <c r="P212" s="203"/>
      <c r="Q212" s="203"/>
      <c r="R212" s="203"/>
      <c r="S212" s="203"/>
      <c r="T212" s="203"/>
      <c r="U212" s="203"/>
      <c r="V212" s="203"/>
      <c r="W212" s="203"/>
      <c r="X212" s="203"/>
      <c r="Y212" s="203"/>
      <c r="Z212" s="203"/>
      <c r="AA212" s="203"/>
      <c r="AB212" s="203"/>
      <c r="AC212" s="203"/>
      <c r="AD212" s="203"/>
      <c r="AE212" s="203"/>
      <c r="AF212" s="203"/>
      <c r="AG212" s="203"/>
      <c r="AH212" s="203"/>
      <c r="AI212" s="203"/>
      <c r="AJ212" s="203"/>
      <c r="AK212" s="203"/>
      <c r="AL212" s="203"/>
      <c r="AM212" s="203"/>
    </row>
    <row r="213" spans="4:39" s="155" customFormat="1" ht="11.25" x14ac:dyDescent="0.2">
      <c r="D213" s="203"/>
      <c r="E213" s="203"/>
      <c r="F213" s="203"/>
      <c r="G213" s="203"/>
      <c r="H213" s="203"/>
      <c r="I213" s="203"/>
      <c r="J213" s="203"/>
      <c r="K213" s="203"/>
      <c r="L213" s="203"/>
      <c r="M213" s="203"/>
      <c r="N213" s="203"/>
      <c r="O213" s="203"/>
      <c r="P213" s="203"/>
      <c r="Q213" s="203"/>
      <c r="R213" s="203"/>
      <c r="S213" s="203"/>
      <c r="T213" s="203"/>
      <c r="U213" s="203"/>
      <c r="V213" s="203"/>
      <c r="W213" s="203"/>
      <c r="X213" s="203"/>
      <c r="Y213" s="203"/>
      <c r="Z213" s="203"/>
      <c r="AA213" s="203"/>
      <c r="AB213" s="203"/>
      <c r="AC213" s="203"/>
      <c r="AD213" s="203"/>
      <c r="AE213" s="203"/>
      <c r="AF213" s="203"/>
      <c r="AG213" s="203"/>
      <c r="AH213" s="203"/>
      <c r="AI213" s="203"/>
      <c r="AJ213" s="203"/>
      <c r="AK213" s="203"/>
      <c r="AL213" s="203"/>
      <c r="AM213" s="203"/>
    </row>
    <row r="214" spans="4:39" s="155" customFormat="1" ht="11.25" x14ac:dyDescent="0.2">
      <c r="D214" s="203"/>
      <c r="E214" s="203"/>
      <c r="F214" s="203"/>
      <c r="G214" s="203"/>
      <c r="H214" s="203"/>
      <c r="I214" s="203"/>
      <c r="J214" s="203"/>
      <c r="K214" s="203"/>
      <c r="L214" s="203"/>
      <c r="M214" s="203"/>
      <c r="N214" s="203"/>
      <c r="O214" s="203"/>
      <c r="P214" s="203"/>
      <c r="Q214" s="203"/>
      <c r="R214" s="203"/>
      <c r="S214" s="203"/>
      <c r="T214" s="203"/>
      <c r="U214" s="203"/>
      <c r="V214" s="203"/>
      <c r="W214" s="203"/>
      <c r="X214" s="203"/>
      <c r="Y214" s="203"/>
      <c r="Z214" s="203"/>
      <c r="AA214" s="203"/>
      <c r="AB214" s="203"/>
      <c r="AC214" s="203"/>
      <c r="AD214" s="203"/>
      <c r="AE214" s="203"/>
      <c r="AF214" s="203"/>
      <c r="AG214" s="203"/>
      <c r="AH214" s="203"/>
      <c r="AI214" s="203"/>
      <c r="AJ214" s="203"/>
      <c r="AK214" s="203"/>
      <c r="AL214" s="203"/>
      <c r="AM214" s="203"/>
    </row>
    <row r="215" spans="4:39" s="155" customFormat="1" ht="11.25" x14ac:dyDescent="0.2">
      <c r="D215" s="203"/>
      <c r="E215" s="203"/>
      <c r="F215" s="203"/>
      <c r="G215" s="203"/>
      <c r="H215" s="203"/>
      <c r="I215" s="203"/>
      <c r="J215" s="203"/>
      <c r="K215" s="203"/>
      <c r="L215" s="203"/>
      <c r="M215" s="203"/>
      <c r="N215" s="203"/>
      <c r="O215" s="203"/>
      <c r="P215" s="203"/>
      <c r="Q215" s="203"/>
      <c r="R215" s="203"/>
      <c r="S215" s="203"/>
      <c r="T215" s="203"/>
      <c r="U215" s="203"/>
      <c r="V215" s="203"/>
      <c r="W215" s="203"/>
      <c r="X215" s="203"/>
      <c r="Y215" s="203"/>
      <c r="Z215" s="203"/>
      <c r="AA215" s="203"/>
      <c r="AB215" s="203"/>
      <c r="AC215" s="203"/>
      <c r="AD215" s="203"/>
      <c r="AE215" s="203"/>
      <c r="AF215" s="203"/>
      <c r="AG215" s="203"/>
      <c r="AH215" s="203"/>
      <c r="AI215" s="203"/>
      <c r="AJ215" s="203"/>
      <c r="AK215" s="203"/>
      <c r="AL215" s="203"/>
      <c r="AM215" s="203"/>
    </row>
    <row r="216" spans="4:39" s="155" customFormat="1" ht="11.25" x14ac:dyDescent="0.2">
      <c r="D216" s="203"/>
      <c r="E216" s="203"/>
      <c r="F216" s="203"/>
      <c r="G216" s="203"/>
      <c r="H216" s="203"/>
      <c r="I216" s="203"/>
      <c r="J216" s="203"/>
      <c r="K216" s="203"/>
      <c r="L216" s="203"/>
      <c r="M216" s="203"/>
      <c r="N216" s="203"/>
      <c r="O216" s="203"/>
      <c r="P216" s="203"/>
      <c r="Q216" s="203"/>
      <c r="R216" s="203"/>
      <c r="S216" s="203"/>
      <c r="T216" s="203"/>
      <c r="U216" s="203"/>
      <c r="V216" s="203"/>
      <c r="W216" s="203"/>
      <c r="X216" s="203"/>
      <c r="Y216" s="203"/>
      <c r="Z216" s="203"/>
      <c r="AA216" s="203"/>
      <c r="AB216" s="203"/>
      <c r="AC216" s="203"/>
      <c r="AD216" s="203"/>
      <c r="AE216" s="203"/>
      <c r="AF216" s="203"/>
      <c r="AG216" s="203"/>
      <c r="AH216" s="203"/>
      <c r="AI216" s="203"/>
      <c r="AJ216" s="203"/>
      <c r="AK216" s="203"/>
      <c r="AL216" s="203"/>
      <c r="AM216" s="203"/>
    </row>
    <row r="217" spans="4:39" s="155" customFormat="1" ht="11.25" x14ac:dyDescent="0.2">
      <c r="D217" s="203"/>
      <c r="E217" s="203"/>
      <c r="F217" s="203"/>
      <c r="G217" s="203"/>
      <c r="H217" s="203"/>
      <c r="I217" s="203"/>
      <c r="J217" s="203"/>
      <c r="K217" s="203"/>
      <c r="L217" s="203"/>
      <c r="M217" s="203"/>
      <c r="N217" s="203"/>
      <c r="O217" s="203"/>
      <c r="P217" s="203"/>
      <c r="Q217" s="203"/>
      <c r="R217" s="203"/>
      <c r="S217" s="203"/>
      <c r="T217" s="203"/>
      <c r="U217" s="203"/>
      <c r="V217" s="203"/>
      <c r="W217" s="203"/>
      <c r="X217" s="203"/>
      <c r="Y217" s="203"/>
      <c r="Z217" s="203"/>
      <c r="AA217" s="203"/>
      <c r="AB217" s="203"/>
      <c r="AC217" s="203"/>
      <c r="AD217" s="203"/>
      <c r="AE217" s="203"/>
      <c r="AF217" s="203"/>
      <c r="AG217" s="203"/>
      <c r="AH217" s="203"/>
      <c r="AI217" s="203"/>
      <c r="AJ217" s="203"/>
      <c r="AK217" s="203"/>
      <c r="AL217" s="203"/>
      <c r="AM217" s="203"/>
    </row>
    <row r="218" spans="4:39" s="155" customFormat="1" ht="11.25" x14ac:dyDescent="0.2">
      <c r="D218" s="203"/>
      <c r="E218" s="203"/>
      <c r="F218" s="203"/>
      <c r="G218" s="203"/>
      <c r="H218" s="203"/>
      <c r="I218" s="203"/>
      <c r="J218" s="203"/>
      <c r="K218" s="203"/>
      <c r="L218" s="203"/>
      <c r="M218" s="203"/>
      <c r="N218" s="203"/>
      <c r="O218" s="203"/>
      <c r="P218" s="203"/>
      <c r="Q218" s="203"/>
      <c r="R218" s="203"/>
      <c r="S218" s="203"/>
      <c r="T218" s="203"/>
      <c r="U218" s="203"/>
      <c r="V218" s="203"/>
      <c r="W218" s="203"/>
      <c r="X218" s="203"/>
      <c r="Y218" s="203"/>
      <c r="Z218" s="203"/>
      <c r="AA218" s="203"/>
      <c r="AB218" s="203"/>
      <c r="AC218" s="203"/>
      <c r="AD218" s="203"/>
      <c r="AE218" s="203"/>
      <c r="AF218" s="203"/>
      <c r="AG218" s="203"/>
      <c r="AH218" s="203"/>
      <c r="AI218" s="203"/>
      <c r="AJ218" s="203"/>
      <c r="AK218" s="203"/>
      <c r="AL218" s="203"/>
      <c r="AM218" s="203"/>
    </row>
    <row r="219" spans="4:39" s="155" customFormat="1" ht="11.25" x14ac:dyDescent="0.2">
      <c r="D219" s="203"/>
      <c r="E219" s="203"/>
      <c r="F219" s="203"/>
      <c r="G219" s="203"/>
      <c r="H219" s="203"/>
      <c r="I219" s="203"/>
      <c r="J219" s="203"/>
      <c r="K219" s="203"/>
      <c r="L219" s="203"/>
      <c r="M219" s="203"/>
      <c r="N219" s="203"/>
      <c r="O219" s="203"/>
      <c r="P219" s="203"/>
      <c r="Q219" s="203"/>
      <c r="R219" s="203"/>
      <c r="S219" s="203"/>
      <c r="T219" s="203"/>
      <c r="U219" s="203"/>
      <c r="V219" s="203"/>
      <c r="W219" s="203"/>
      <c r="X219" s="203"/>
      <c r="Y219" s="203"/>
      <c r="Z219" s="203"/>
      <c r="AA219" s="203"/>
      <c r="AB219" s="203"/>
      <c r="AC219" s="203"/>
      <c r="AD219" s="203"/>
      <c r="AE219" s="203"/>
      <c r="AF219" s="203"/>
      <c r="AG219" s="203"/>
      <c r="AH219" s="203"/>
      <c r="AI219" s="203"/>
      <c r="AJ219" s="203"/>
      <c r="AK219" s="203"/>
      <c r="AL219" s="203"/>
      <c r="AM219" s="203"/>
    </row>
    <row r="220" spans="4:39" s="155" customFormat="1" ht="11.25" x14ac:dyDescent="0.2">
      <c r="D220" s="203"/>
      <c r="E220" s="203"/>
      <c r="F220" s="203"/>
      <c r="G220" s="203"/>
      <c r="H220" s="203"/>
      <c r="I220" s="203"/>
      <c r="J220" s="203"/>
      <c r="K220" s="203"/>
      <c r="L220" s="203"/>
      <c r="M220" s="203"/>
      <c r="N220" s="203"/>
      <c r="O220" s="203"/>
      <c r="P220" s="203"/>
      <c r="Q220" s="203"/>
      <c r="R220" s="203"/>
      <c r="S220" s="203"/>
      <c r="T220" s="203"/>
      <c r="U220" s="203"/>
      <c r="V220" s="203"/>
      <c r="W220" s="203"/>
      <c r="X220" s="203"/>
      <c r="Y220" s="203"/>
      <c r="Z220" s="203"/>
      <c r="AA220" s="203"/>
      <c r="AB220" s="203"/>
      <c r="AC220" s="203"/>
      <c r="AD220" s="203"/>
      <c r="AE220" s="203"/>
      <c r="AF220" s="203"/>
      <c r="AG220" s="203"/>
      <c r="AH220" s="203"/>
      <c r="AI220" s="203"/>
      <c r="AJ220" s="203"/>
      <c r="AK220" s="203"/>
      <c r="AL220" s="203"/>
      <c r="AM220" s="203"/>
    </row>
    <row r="221" spans="4:39" s="155" customFormat="1" ht="11.25" x14ac:dyDescent="0.2">
      <c r="D221" s="203"/>
      <c r="E221" s="203"/>
      <c r="F221" s="203"/>
      <c r="G221" s="203"/>
      <c r="H221" s="203"/>
      <c r="I221" s="203"/>
      <c r="J221" s="203"/>
      <c r="K221" s="203"/>
      <c r="L221" s="203"/>
      <c r="M221" s="203"/>
      <c r="N221" s="203"/>
      <c r="O221" s="203"/>
      <c r="P221" s="203"/>
      <c r="Q221" s="203"/>
      <c r="R221" s="203"/>
      <c r="S221" s="203"/>
      <c r="T221" s="203"/>
      <c r="U221" s="203"/>
      <c r="V221" s="203"/>
      <c r="W221" s="203"/>
      <c r="X221" s="203"/>
      <c r="Y221" s="203"/>
      <c r="Z221" s="203"/>
      <c r="AA221" s="203"/>
      <c r="AB221" s="203"/>
      <c r="AC221" s="203"/>
      <c r="AD221" s="203"/>
      <c r="AE221" s="203"/>
      <c r="AF221" s="203"/>
      <c r="AG221" s="203"/>
      <c r="AH221" s="203"/>
      <c r="AI221" s="203"/>
      <c r="AJ221" s="203"/>
      <c r="AK221" s="203"/>
      <c r="AL221" s="203"/>
      <c r="AM221" s="203"/>
    </row>
    <row r="222" spans="4:39" s="155" customFormat="1" ht="11.25" x14ac:dyDescent="0.2">
      <c r="D222" s="203"/>
      <c r="E222" s="203"/>
      <c r="F222" s="203"/>
      <c r="G222" s="203"/>
      <c r="H222" s="203"/>
      <c r="I222" s="203"/>
      <c r="J222" s="203"/>
      <c r="K222" s="203"/>
      <c r="L222" s="203"/>
      <c r="M222" s="203"/>
      <c r="N222" s="203"/>
      <c r="O222" s="203"/>
      <c r="P222" s="203"/>
      <c r="Q222" s="203"/>
      <c r="R222" s="203"/>
      <c r="S222" s="203"/>
      <c r="T222" s="203"/>
      <c r="U222" s="203"/>
      <c r="V222" s="203"/>
      <c r="W222" s="203"/>
      <c r="X222" s="203"/>
      <c r="Y222" s="203"/>
      <c r="Z222" s="203"/>
      <c r="AA222" s="203"/>
      <c r="AB222" s="203"/>
      <c r="AC222" s="203"/>
      <c r="AD222" s="203"/>
      <c r="AE222" s="203"/>
      <c r="AF222" s="203"/>
      <c r="AG222" s="203"/>
      <c r="AH222" s="203"/>
      <c r="AI222" s="203"/>
      <c r="AJ222" s="203"/>
      <c r="AK222" s="203"/>
      <c r="AL222" s="203"/>
      <c r="AM222" s="203"/>
    </row>
    <row r="223" spans="4:39" s="155" customFormat="1" ht="11.25" x14ac:dyDescent="0.2">
      <c r="D223" s="203"/>
      <c r="E223" s="203"/>
      <c r="F223" s="203"/>
      <c r="G223" s="203"/>
      <c r="H223" s="203"/>
      <c r="I223" s="203"/>
      <c r="J223" s="203"/>
      <c r="K223" s="203"/>
      <c r="L223" s="203"/>
      <c r="M223" s="203"/>
      <c r="N223" s="203"/>
      <c r="O223" s="203"/>
      <c r="P223" s="203"/>
      <c r="Q223" s="203"/>
      <c r="R223" s="203"/>
      <c r="S223" s="203"/>
      <c r="T223" s="203"/>
      <c r="U223" s="203"/>
      <c r="V223" s="203"/>
      <c r="W223" s="203"/>
      <c r="X223" s="203"/>
      <c r="Y223" s="203"/>
      <c r="Z223" s="203"/>
      <c r="AA223" s="203"/>
      <c r="AB223" s="203"/>
      <c r="AC223" s="203"/>
      <c r="AD223" s="203"/>
      <c r="AE223" s="203"/>
      <c r="AF223" s="203"/>
      <c r="AG223" s="203"/>
      <c r="AH223" s="203"/>
      <c r="AI223" s="203"/>
      <c r="AJ223" s="203"/>
      <c r="AK223" s="203"/>
      <c r="AL223" s="203"/>
      <c r="AM223" s="203"/>
    </row>
    <row r="224" spans="4:39" s="155" customFormat="1" ht="11.25" x14ac:dyDescent="0.2">
      <c r="D224" s="203"/>
      <c r="E224" s="203"/>
      <c r="F224" s="203"/>
      <c r="G224" s="203"/>
      <c r="H224" s="203"/>
      <c r="I224" s="203"/>
      <c r="J224" s="203"/>
      <c r="K224" s="203"/>
      <c r="L224" s="203"/>
      <c r="M224" s="203"/>
      <c r="N224" s="203"/>
      <c r="O224" s="203"/>
      <c r="P224" s="203"/>
      <c r="Q224" s="203"/>
      <c r="R224" s="203"/>
      <c r="S224" s="203"/>
      <c r="T224" s="203"/>
      <c r="U224" s="203"/>
      <c r="V224" s="203"/>
      <c r="W224" s="203"/>
      <c r="X224" s="203"/>
      <c r="Y224" s="203"/>
      <c r="Z224" s="203"/>
      <c r="AA224" s="203"/>
      <c r="AB224" s="203"/>
      <c r="AC224" s="203"/>
      <c r="AD224" s="203"/>
      <c r="AE224" s="203"/>
      <c r="AF224" s="203"/>
      <c r="AG224" s="203"/>
      <c r="AH224" s="203"/>
      <c r="AI224" s="203"/>
      <c r="AJ224" s="203"/>
      <c r="AK224" s="203"/>
      <c r="AL224" s="203"/>
      <c r="AM224" s="203"/>
    </row>
    <row r="225" spans="4:39" s="155" customFormat="1" ht="11.25" x14ac:dyDescent="0.2">
      <c r="D225" s="203"/>
      <c r="E225" s="203"/>
      <c r="F225" s="203"/>
      <c r="G225" s="203"/>
      <c r="H225" s="203"/>
      <c r="I225" s="203"/>
      <c r="J225" s="203"/>
      <c r="K225" s="203"/>
      <c r="L225" s="203"/>
      <c r="M225" s="203"/>
      <c r="N225" s="203"/>
      <c r="O225" s="203"/>
      <c r="P225" s="203"/>
      <c r="Q225" s="203"/>
      <c r="R225" s="203"/>
      <c r="S225" s="203"/>
      <c r="T225" s="203"/>
      <c r="U225" s="203"/>
      <c r="V225" s="203"/>
      <c r="W225" s="203"/>
      <c r="X225" s="203"/>
      <c r="Y225" s="203"/>
      <c r="Z225" s="203"/>
      <c r="AA225" s="203"/>
      <c r="AB225" s="203"/>
      <c r="AC225" s="203"/>
      <c r="AD225" s="203"/>
      <c r="AE225" s="203"/>
      <c r="AF225" s="203"/>
      <c r="AG225" s="203"/>
      <c r="AH225" s="203"/>
      <c r="AI225" s="203"/>
      <c r="AJ225" s="203"/>
      <c r="AK225" s="203"/>
      <c r="AL225" s="203"/>
      <c r="AM225" s="203"/>
    </row>
    <row r="226" spans="4:39" s="155" customFormat="1" ht="11.25" x14ac:dyDescent="0.2">
      <c r="D226" s="203"/>
      <c r="E226" s="203"/>
      <c r="F226" s="203"/>
      <c r="G226" s="203"/>
      <c r="H226" s="203"/>
      <c r="I226" s="203"/>
      <c r="J226" s="203"/>
      <c r="K226" s="203"/>
      <c r="L226" s="203"/>
      <c r="M226" s="203"/>
      <c r="N226" s="203"/>
      <c r="O226" s="203"/>
      <c r="P226" s="203"/>
      <c r="Q226" s="203"/>
      <c r="R226" s="203"/>
      <c r="S226" s="203"/>
      <c r="T226" s="203"/>
      <c r="U226" s="203"/>
      <c r="V226" s="203"/>
      <c r="W226" s="203"/>
      <c r="X226" s="203"/>
      <c r="Y226" s="203"/>
      <c r="Z226" s="203"/>
      <c r="AA226" s="203"/>
      <c r="AB226" s="203"/>
      <c r="AC226" s="203"/>
      <c r="AD226" s="203"/>
      <c r="AE226" s="203"/>
      <c r="AF226" s="203"/>
      <c r="AG226" s="203"/>
      <c r="AH226" s="203"/>
      <c r="AI226" s="203"/>
      <c r="AJ226" s="203"/>
      <c r="AK226" s="203"/>
      <c r="AL226" s="203"/>
      <c r="AM226" s="203"/>
    </row>
    <row r="227" spans="4:39" s="155" customFormat="1" ht="11.25" x14ac:dyDescent="0.2">
      <c r="D227" s="203"/>
      <c r="E227" s="203"/>
      <c r="F227" s="203"/>
      <c r="G227" s="203"/>
      <c r="H227" s="203"/>
      <c r="I227" s="203"/>
      <c r="J227" s="203"/>
      <c r="K227" s="203"/>
      <c r="L227" s="203"/>
      <c r="M227" s="203"/>
      <c r="N227" s="203"/>
      <c r="O227" s="203"/>
      <c r="P227" s="203"/>
      <c r="Q227" s="203"/>
      <c r="R227" s="203"/>
      <c r="S227" s="203"/>
      <c r="T227" s="203"/>
      <c r="U227" s="203"/>
      <c r="V227" s="203"/>
      <c r="W227" s="203"/>
      <c r="X227" s="203"/>
      <c r="Y227" s="203"/>
      <c r="Z227" s="203"/>
      <c r="AA227" s="203"/>
      <c r="AB227" s="203"/>
      <c r="AC227" s="203"/>
      <c r="AD227" s="203"/>
      <c r="AE227" s="203"/>
      <c r="AF227" s="203"/>
      <c r="AG227" s="203"/>
      <c r="AH227" s="203"/>
      <c r="AI227" s="203"/>
      <c r="AJ227" s="203"/>
      <c r="AK227" s="203"/>
      <c r="AL227" s="203"/>
      <c r="AM227" s="203"/>
    </row>
    <row r="228" spans="4:39" s="155" customFormat="1" ht="11.25" x14ac:dyDescent="0.2">
      <c r="D228" s="203"/>
      <c r="E228" s="203"/>
      <c r="F228" s="203"/>
      <c r="G228" s="203"/>
      <c r="H228" s="203"/>
      <c r="I228" s="203"/>
      <c r="J228" s="203"/>
      <c r="K228" s="203"/>
      <c r="L228" s="203"/>
      <c r="M228" s="203"/>
      <c r="N228" s="203"/>
      <c r="O228" s="203"/>
      <c r="P228" s="203"/>
      <c r="Q228" s="203"/>
      <c r="R228" s="203"/>
      <c r="S228" s="203"/>
      <c r="T228" s="203"/>
      <c r="U228" s="203"/>
      <c r="V228" s="203"/>
      <c r="W228" s="203"/>
      <c r="X228" s="203"/>
      <c r="Y228" s="203"/>
      <c r="Z228" s="203"/>
      <c r="AA228" s="203"/>
      <c r="AB228" s="203"/>
      <c r="AC228" s="203"/>
      <c r="AD228" s="203"/>
      <c r="AE228" s="203"/>
      <c r="AF228" s="203"/>
      <c r="AG228" s="203"/>
      <c r="AH228" s="203"/>
      <c r="AI228" s="203"/>
      <c r="AJ228" s="203"/>
      <c r="AK228" s="203"/>
      <c r="AL228" s="203"/>
      <c r="AM228" s="203"/>
    </row>
    <row r="229" spans="4:39" s="155" customFormat="1" ht="11.25" x14ac:dyDescent="0.2">
      <c r="D229" s="203"/>
      <c r="E229" s="203"/>
      <c r="F229" s="203"/>
      <c r="G229" s="203"/>
      <c r="H229" s="203"/>
      <c r="I229" s="203"/>
      <c r="J229" s="203"/>
      <c r="K229" s="203"/>
      <c r="L229" s="203"/>
      <c r="M229" s="203"/>
      <c r="N229" s="203"/>
      <c r="O229" s="203"/>
      <c r="P229" s="203"/>
      <c r="Q229" s="203"/>
      <c r="R229" s="203"/>
      <c r="S229" s="203"/>
      <c r="T229" s="203"/>
      <c r="U229" s="203"/>
      <c r="V229" s="203"/>
      <c r="W229" s="203"/>
      <c r="X229" s="203"/>
      <c r="Y229" s="203"/>
      <c r="Z229" s="203"/>
      <c r="AA229" s="203"/>
      <c r="AB229" s="203"/>
      <c r="AC229" s="203"/>
      <c r="AD229" s="203"/>
      <c r="AE229" s="203"/>
      <c r="AF229" s="203"/>
      <c r="AG229" s="203"/>
      <c r="AH229" s="203"/>
      <c r="AI229" s="203"/>
      <c r="AJ229" s="203"/>
      <c r="AK229" s="203"/>
      <c r="AL229" s="203"/>
      <c r="AM229" s="203"/>
    </row>
    <row r="230" spans="4:39" s="155" customFormat="1" ht="11.25" x14ac:dyDescent="0.2">
      <c r="D230" s="203"/>
      <c r="E230" s="203"/>
      <c r="F230" s="203"/>
      <c r="G230" s="203"/>
      <c r="H230" s="203"/>
      <c r="I230" s="203"/>
      <c r="J230" s="203"/>
      <c r="K230" s="203"/>
      <c r="L230" s="203"/>
      <c r="M230" s="203"/>
      <c r="N230" s="203"/>
      <c r="O230" s="203"/>
      <c r="P230" s="203"/>
      <c r="Q230" s="203"/>
      <c r="R230" s="203"/>
      <c r="S230" s="203"/>
      <c r="T230" s="203"/>
      <c r="U230" s="203"/>
      <c r="V230" s="203"/>
      <c r="W230" s="203"/>
      <c r="X230" s="203"/>
      <c r="Y230" s="203"/>
      <c r="Z230" s="203"/>
      <c r="AA230" s="203"/>
      <c r="AB230" s="203"/>
      <c r="AC230" s="203"/>
      <c r="AD230" s="203"/>
      <c r="AE230" s="203"/>
      <c r="AF230" s="203"/>
      <c r="AG230" s="203"/>
      <c r="AH230" s="203"/>
      <c r="AI230" s="203"/>
      <c r="AJ230" s="203"/>
      <c r="AK230" s="203"/>
      <c r="AL230" s="203"/>
      <c r="AM230" s="203"/>
    </row>
    <row r="231" spans="4:39" s="155" customFormat="1" ht="11.25" x14ac:dyDescent="0.2">
      <c r="D231" s="203"/>
      <c r="E231" s="203"/>
      <c r="F231" s="203"/>
      <c r="G231" s="203"/>
      <c r="H231" s="203"/>
      <c r="I231" s="203"/>
      <c r="J231" s="203"/>
      <c r="K231" s="203"/>
      <c r="L231" s="203"/>
      <c r="M231" s="203"/>
      <c r="N231" s="203"/>
      <c r="O231" s="203"/>
      <c r="P231" s="203"/>
      <c r="Q231" s="203"/>
      <c r="R231" s="203"/>
      <c r="S231" s="203"/>
      <c r="T231" s="203"/>
      <c r="U231" s="203"/>
      <c r="V231" s="203"/>
      <c r="W231" s="203"/>
      <c r="X231" s="203"/>
      <c r="Y231" s="203"/>
      <c r="Z231" s="203"/>
      <c r="AA231" s="203"/>
      <c r="AB231" s="203"/>
      <c r="AC231" s="203"/>
      <c r="AD231" s="203"/>
      <c r="AE231" s="203"/>
      <c r="AF231" s="203"/>
      <c r="AG231" s="203"/>
      <c r="AH231" s="203"/>
      <c r="AI231" s="203"/>
      <c r="AJ231" s="203"/>
      <c r="AK231" s="203"/>
      <c r="AL231" s="203"/>
      <c r="AM231" s="203"/>
    </row>
    <row r="232" spans="4:39" s="155" customFormat="1" ht="11.25" x14ac:dyDescent="0.2">
      <c r="D232" s="203"/>
      <c r="E232" s="203"/>
      <c r="F232" s="203"/>
      <c r="G232" s="203"/>
      <c r="H232" s="203"/>
      <c r="I232" s="203"/>
      <c r="J232" s="203"/>
      <c r="K232" s="203"/>
      <c r="L232" s="203"/>
      <c r="M232" s="203"/>
      <c r="N232" s="203"/>
      <c r="O232" s="203"/>
      <c r="P232" s="203"/>
      <c r="Q232" s="203"/>
      <c r="R232" s="203"/>
      <c r="S232" s="203"/>
      <c r="T232" s="203"/>
      <c r="U232" s="203"/>
      <c r="V232" s="203"/>
      <c r="W232" s="203"/>
      <c r="X232" s="203"/>
      <c r="Y232" s="203"/>
      <c r="Z232" s="203"/>
      <c r="AA232" s="203"/>
      <c r="AB232" s="203"/>
      <c r="AC232" s="203"/>
      <c r="AD232" s="203"/>
      <c r="AE232" s="203"/>
      <c r="AF232" s="203"/>
      <c r="AG232" s="203"/>
      <c r="AH232" s="203"/>
      <c r="AI232" s="203"/>
      <c r="AJ232" s="203"/>
      <c r="AK232" s="203"/>
      <c r="AL232" s="203"/>
      <c r="AM232" s="203"/>
    </row>
    <row r="233" spans="4:39" s="155" customFormat="1" ht="11.25" x14ac:dyDescent="0.2">
      <c r="D233" s="203"/>
      <c r="E233" s="203"/>
      <c r="F233" s="203"/>
      <c r="G233" s="203"/>
      <c r="H233" s="203"/>
      <c r="I233" s="203"/>
      <c r="J233" s="203"/>
      <c r="K233" s="203"/>
      <c r="L233" s="203"/>
      <c r="M233" s="203"/>
      <c r="N233" s="203"/>
      <c r="O233" s="203"/>
      <c r="P233" s="203"/>
      <c r="Q233" s="203"/>
      <c r="R233" s="203"/>
      <c r="S233" s="203"/>
      <c r="T233" s="203"/>
      <c r="U233" s="203"/>
      <c r="V233" s="203"/>
      <c r="W233" s="203"/>
      <c r="X233" s="203"/>
      <c r="Y233" s="203"/>
      <c r="Z233" s="203"/>
      <c r="AA233" s="203"/>
      <c r="AB233" s="203"/>
      <c r="AC233" s="203"/>
      <c r="AD233" s="203"/>
      <c r="AE233" s="203"/>
      <c r="AF233" s="203"/>
      <c r="AG233" s="203"/>
      <c r="AH233" s="203"/>
      <c r="AI233" s="203"/>
      <c r="AJ233" s="203"/>
      <c r="AK233" s="203"/>
      <c r="AL233" s="203"/>
      <c r="AM233" s="203"/>
    </row>
    <row r="234" spans="4:39" s="155" customFormat="1" ht="11.25" x14ac:dyDescent="0.2">
      <c r="D234" s="203"/>
      <c r="E234" s="203"/>
      <c r="F234" s="203"/>
      <c r="G234" s="203"/>
      <c r="H234" s="203"/>
      <c r="I234" s="203"/>
      <c r="J234" s="203"/>
      <c r="K234" s="203"/>
      <c r="L234" s="203"/>
      <c r="M234" s="203"/>
      <c r="N234" s="203"/>
      <c r="O234" s="203"/>
      <c r="P234" s="203"/>
      <c r="Q234" s="203"/>
      <c r="R234" s="203"/>
      <c r="S234" s="203"/>
      <c r="T234" s="203"/>
      <c r="U234" s="203"/>
      <c r="V234" s="203"/>
      <c r="W234" s="203"/>
      <c r="X234" s="203"/>
      <c r="Y234" s="203"/>
      <c r="Z234" s="203"/>
      <c r="AA234" s="203"/>
      <c r="AB234" s="203"/>
      <c r="AC234" s="203"/>
      <c r="AD234" s="203"/>
      <c r="AE234" s="203"/>
      <c r="AF234" s="203"/>
      <c r="AG234" s="203"/>
      <c r="AH234" s="203"/>
      <c r="AI234" s="203"/>
      <c r="AJ234" s="203"/>
      <c r="AK234" s="203"/>
      <c r="AL234" s="203"/>
      <c r="AM234" s="203"/>
    </row>
    <row r="235" spans="4:39" s="155" customFormat="1" ht="11.25" x14ac:dyDescent="0.2">
      <c r="D235" s="203"/>
      <c r="E235" s="203"/>
      <c r="F235" s="203"/>
      <c r="G235" s="203"/>
      <c r="H235" s="203"/>
      <c r="I235" s="203"/>
      <c r="J235" s="203"/>
      <c r="K235" s="203"/>
      <c r="L235" s="203"/>
      <c r="M235" s="203"/>
      <c r="N235" s="203"/>
      <c r="O235" s="203"/>
      <c r="P235" s="203"/>
      <c r="Q235" s="203"/>
      <c r="R235" s="203"/>
      <c r="S235" s="203"/>
      <c r="T235" s="203"/>
      <c r="U235" s="203"/>
      <c r="V235" s="203"/>
      <c r="W235" s="203"/>
      <c r="X235" s="203"/>
      <c r="Y235" s="203"/>
      <c r="Z235" s="203"/>
      <c r="AA235" s="203"/>
      <c r="AB235" s="203"/>
      <c r="AC235" s="203"/>
      <c r="AD235" s="203"/>
      <c r="AE235" s="203"/>
      <c r="AF235" s="203"/>
      <c r="AG235" s="203"/>
      <c r="AH235" s="203"/>
      <c r="AI235" s="203"/>
      <c r="AJ235" s="203"/>
      <c r="AK235" s="203"/>
      <c r="AL235" s="203"/>
      <c r="AM235" s="203"/>
    </row>
    <row r="236" spans="4:39" s="155" customFormat="1" ht="11.25" x14ac:dyDescent="0.2">
      <c r="D236" s="203"/>
      <c r="E236" s="203"/>
      <c r="F236" s="203"/>
      <c r="G236" s="203"/>
      <c r="H236" s="203"/>
      <c r="I236" s="203"/>
      <c r="J236" s="203"/>
      <c r="K236" s="203"/>
      <c r="L236" s="203"/>
      <c r="M236" s="203"/>
      <c r="N236" s="203"/>
      <c r="O236" s="203"/>
      <c r="P236" s="203"/>
      <c r="Q236" s="203"/>
      <c r="R236" s="203"/>
      <c r="S236" s="203"/>
      <c r="T236" s="203"/>
      <c r="U236" s="203"/>
      <c r="V236" s="203"/>
      <c r="W236" s="203"/>
      <c r="X236" s="203"/>
      <c r="Y236" s="203"/>
      <c r="Z236" s="203"/>
      <c r="AA236" s="203"/>
      <c r="AB236" s="203"/>
      <c r="AC236" s="203"/>
      <c r="AD236" s="203"/>
      <c r="AE236" s="203"/>
      <c r="AF236" s="203"/>
      <c r="AG236" s="203"/>
      <c r="AH236" s="203"/>
      <c r="AI236" s="203"/>
      <c r="AJ236" s="203"/>
      <c r="AK236" s="203"/>
      <c r="AL236" s="203"/>
      <c r="AM236" s="203"/>
    </row>
    <row r="237" spans="4:39" s="155" customFormat="1" ht="11.25" x14ac:dyDescent="0.2">
      <c r="D237" s="203"/>
      <c r="E237" s="203"/>
      <c r="F237" s="203"/>
      <c r="G237" s="203"/>
      <c r="H237" s="203"/>
      <c r="I237" s="203"/>
      <c r="J237" s="203"/>
      <c r="K237" s="203"/>
      <c r="L237" s="203"/>
      <c r="M237" s="203"/>
      <c r="N237" s="203"/>
      <c r="O237" s="203"/>
      <c r="P237" s="203"/>
      <c r="Q237" s="203"/>
      <c r="R237" s="203"/>
      <c r="S237" s="203"/>
      <c r="T237" s="203"/>
      <c r="U237" s="203"/>
      <c r="V237" s="203"/>
      <c r="W237" s="203"/>
      <c r="X237" s="203"/>
      <c r="Y237" s="203"/>
      <c r="Z237" s="203"/>
      <c r="AA237" s="203"/>
      <c r="AB237" s="203"/>
      <c r="AC237" s="203"/>
      <c r="AD237" s="203"/>
      <c r="AE237" s="203"/>
      <c r="AF237" s="203"/>
      <c r="AG237" s="203"/>
      <c r="AH237" s="203"/>
      <c r="AI237" s="203"/>
      <c r="AJ237" s="203"/>
      <c r="AK237" s="203"/>
      <c r="AL237" s="203"/>
      <c r="AM237" s="203"/>
    </row>
    <row r="238" spans="4:39" s="155" customFormat="1" ht="11.25" x14ac:dyDescent="0.2">
      <c r="D238" s="203"/>
      <c r="E238" s="203"/>
      <c r="F238" s="203"/>
      <c r="G238" s="203"/>
      <c r="H238" s="203"/>
      <c r="I238" s="203"/>
      <c r="J238" s="203"/>
      <c r="K238" s="203"/>
      <c r="L238" s="203"/>
      <c r="M238" s="203"/>
      <c r="N238" s="203"/>
      <c r="O238" s="203"/>
      <c r="P238" s="203"/>
      <c r="Q238" s="203"/>
      <c r="R238" s="203"/>
      <c r="S238" s="203"/>
      <c r="T238" s="203"/>
      <c r="U238" s="203"/>
      <c r="V238" s="203"/>
      <c r="W238" s="203"/>
      <c r="X238" s="203"/>
      <c r="Y238" s="203"/>
      <c r="Z238" s="203"/>
      <c r="AA238" s="203"/>
      <c r="AB238" s="203"/>
      <c r="AC238" s="203"/>
      <c r="AD238" s="203"/>
      <c r="AE238" s="203"/>
      <c r="AF238" s="203"/>
      <c r="AG238" s="203"/>
      <c r="AH238" s="203"/>
      <c r="AI238" s="203"/>
      <c r="AJ238" s="203"/>
      <c r="AK238" s="203"/>
      <c r="AL238" s="203"/>
      <c r="AM238" s="203"/>
    </row>
    <row r="239" spans="4:39" s="155" customFormat="1" ht="11.25" x14ac:dyDescent="0.2">
      <c r="D239" s="203"/>
      <c r="E239" s="203"/>
      <c r="F239" s="203"/>
      <c r="G239" s="203"/>
      <c r="H239" s="203"/>
      <c r="I239" s="203"/>
      <c r="J239" s="203"/>
      <c r="K239" s="203"/>
      <c r="L239" s="203"/>
      <c r="M239" s="203"/>
      <c r="N239" s="203"/>
      <c r="O239" s="203"/>
      <c r="P239" s="203"/>
      <c r="Q239" s="203"/>
      <c r="R239" s="203"/>
      <c r="S239" s="203"/>
      <c r="T239" s="203"/>
      <c r="U239" s="203"/>
      <c r="V239" s="203"/>
      <c r="W239" s="203"/>
      <c r="X239" s="203"/>
      <c r="Y239" s="203"/>
      <c r="Z239" s="203"/>
      <c r="AA239" s="203"/>
      <c r="AB239" s="203"/>
      <c r="AC239" s="203"/>
      <c r="AD239" s="203"/>
      <c r="AE239" s="203"/>
      <c r="AF239" s="203"/>
      <c r="AG239" s="203"/>
      <c r="AH239" s="203"/>
      <c r="AI239" s="203"/>
      <c r="AJ239" s="203"/>
      <c r="AK239" s="203"/>
      <c r="AL239" s="203"/>
      <c r="AM239" s="203"/>
    </row>
    <row r="240" spans="4:39" s="155" customFormat="1" ht="11.25" x14ac:dyDescent="0.2">
      <c r="D240" s="203"/>
      <c r="E240" s="203"/>
      <c r="F240" s="203"/>
      <c r="G240" s="203"/>
      <c r="H240" s="203"/>
      <c r="I240" s="203"/>
      <c r="J240" s="203"/>
      <c r="K240" s="203"/>
      <c r="L240" s="203"/>
      <c r="M240" s="203"/>
      <c r="N240" s="203"/>
      <c r="O240" s="203"/>
      <c r="P240" s="203"/>
      <c r="Q240" s="203"/>
      <c r="R240" s="203"/>
      <c r="S240" s="203"/>
      <c r="T240" s="203"/>
      <c r="U240" s="203"/>
      <c r="V240" s="203"/>
      <c r="W240" s="203"/>
      <c r="X240" s="203"/>
      <c r="Y240" s="203"/>
      <c r="Z240" s="203"/>
      <c r="AA240" s="203"/>
      <c r="AB240" s="203"/>
      <c r="AC240" s="203"/>
      <c r="AD240" s="203"/>
      <c r="AE240" s="203"/>
      <c r="AF240" s="203"/>
      <c r="AG240" s="203"/>
      <c r="AH240" s="203"/>
      <c r="AI240" s="203"/>
      <c r="AJ240" s="203"/>
      <c r="AK240" s="203"/>
      <c r="AL240" s="203"/>
      <c r="AM240" s="203"/>
    </row>
    <row r="241" spans="4:39" s="155" customFormat="1" ht="11.25" x14ac:dyDescent="0.2">
      <c r="D241" s="203"/>
      <c r="E241" s="203"/>
      <c r="F241" s="203"/>
      <c r="G241" s="203"/>
      <c r="H241" s="203"/>
      <c r="I241" s="203"/>
      <c r="J241" s="203"/>
      <c r="K241" s="203"/>
      <c r="L241" s="203"/>
      <c r="M241" s="203"/>
      <c r="N241" s="203"/>
      <c r="O241" s="203"/>
      <c r="P241" s="203"/>
      <c r="Q241" s="203"/>
      <c r="R241" s="203"/>
      <c r="S241" s="203"/>
      <c r="T241" s="203"/>
      <c r="U241" s="203"/>
      <c r="V241" s="203"/>
      <c r="W241" s="203"/>
      <c r="X241" s="203"/>
      <c r="Y241" s="203"/>
      <c r="Z241" s="203"/>
      <c r="AA241" s="203"/>
      <c r="AB241" s="203"/>
      <c r="AC241" s="203"/>
      <c r="AD241" s="203"/>
      <c r="AE241" s="203"/>
      <c r="AF241" s="203"/>
      <c r="AG241" s="203"/>
      <c r="AH241" s="203"/>
      <c r="AI241" s="203"/>
      <c r="AJ241" s="203"/>
      <c r="AK241" s="203"/>
      <c r="AL241" s="203"/>
      <c r="AM241" s="203"/>
    </row>
    <row r="242" spans="4:39" s="155" customFormat="1" ht="11.25" x14ac:dyDescent="0.2">
      <c r="D242" s="203"/>
      <c r="E242" s="203"/>
      <c r="F242" s="203"/>
      <c r="G242" s="203"/>
      <c r="H242" s="203"/>
      <c r="I242" s="203"/>
      <c r="J242" s="203"/>
      <c r="K242" s="203"/>
      <c r="L242" s="203"/>
      <c r="M242" s="203"/>
      <c r="N242" s="203"/>
      <c r="O242" s="203"/>
      <c r="P242" s="203"/>
      <c r="Q242" s="203"/>
      <c r="R242" s="203"/>
      <c r="S242" s="203"/>
      <c r="T242" s="203"/>
      <c r="U242" s="203"/>
      <c r="V242" s="203"/>
      <c r="W242" s="203"/>
      <c r="X242" s="203"/>
      <c r="Y242" s="203"/>
      <c r="Z242" s="203"/>
      <c r="AA242" s="203"/>
      <c r="AB242" s="203"/>
      <c r="AC242" s="203"/>
      <c r="AD242" s="203"/>
      <c r="AE242" s="203"/>
      <c r="AF242" s="203"/>
      <c r="AG242" s="203"/>
      <c r="AH242" s="203"/>
      <c r="AI242" s="203"/>
      <c r="AJ242" s="203"/>
      <c r="AK242" s="203"/>
      <c r="AL242" s="203"/>
      <c r="AM242" s="203"/>
    </row>
    <row r="243" spans="4:39" s="155" customFormat="1" ht="11.25" x14ac:dyDescent="0.2">
      <c r="D243" s="203"/>
      <c r="E243" s="203"/>
      <c r="F243" s="203"/>
      <c r="G243" s="203"/>
      <c r="H243" s="203"/>
      <c r="I243" s="203"/>
      <c r="J243" s="203"/>
      <c r="K243" s="203"/>
      <c r="L243" s="203"/>
      <c r="M243" s="203"/>
      <c r="N243" s="203"/>
      <c r="O243" s="203"/>
      <c r="P243" s="203"/>
      <c r="Q243" s="203"/>
      <c r="R243" s="203"/>
      <c r="S243" s="203"/>
      <c r="T243" s="203"/>
      <c r="U243" s="203"/>
      <c r="V243" s="203"/>
      <c r="W243" s="203"/>
      <c r="X243" s="203"/>
      <c r="Y243" s="203"/>
      <c r="Z243" s="203"/>
      <c r="AA243" s="203"/>
      <c r="AB243" s="203"/>
      <c r="AC243" s="203"/>
      <c r="AD243" s="203"/>
      <c r="AE243" s="203"/>
      <c r="AF243" s="203"/>
      <c r="AG243" s="203"/>
      <c r="AH243" s="203"/>
      <c r="AI243" s="203"/>
      <c r="AJ243" s="203"/>
      <c r="AK243" s="203"/>
      <c r="AL243" s="203"/>
      <c r="AM243" s="203"/>
    </row>
    <row r="244" spans="4:39" s="155" customFormat="1" ht="11.25" x14ac:dyDescent="0.2">
      <c r="D244" s="203"/>
      <c r="E244" s="203"/>
      <c r="F244" s="203"/>
      <c r="G244" s="203"/>
      <c r="H244" s="203"/>
      <c r="I244" s="203"/>
      <c r="J244" s="203"/>
      <c r="K244" s="203"/>
      <c r="L244" s="203"/>
      <c r="M244" s="203"/>
      <c r="N244" s="203"/>
      <c r="O244" s="203"/>
      <c r="P244" s="203"/>
      <c r="Q244" s="203"/>
      <c r="R244" s="203"/>
      <c r="S244" s="203"/>
      <c r="T244" s="203"/>
      <c r="U244" s="203"/>
      <c r="V244" s="203"/>
      <c r="W244" s="203"/>
      <c r="X244" s="203"/>
      <c r="Y244" s="203"/>
      <c r="Z244" s="203"/>
      <c r="AA244" s="203"/>
      <c r="AB244" s="203"/>
      <c r="AC244" s="203"/>
      <c r="AD244" s="203"/>
      <c r="AE244" s="203"/>
      <c r="AF244" s="203"/>
      <c r="AG244" s="203"/>
      <c r="AH244" s="203"/>
      <c r="AI244" s="203"/>
      <c r="AJ244" s="203"/>
      <c r="AK244" s="203"/>
      <c r="AL244" s="203"/>
      <c r="AM244" s="203"/>
    </row>
    <row r="245" spans="4:39" s="155" customFormat="1" ht="11.25" x14ac:dyDescent="0.2">
      <c r="D245" s="203"/>
      <c r="E245" s="203"/>
      <c r="F245" s="203"/>
      <c r="G245" s="203"/>
      <c r="H245" s="203"/>
      <c r="I245" s="203"/>
      <c r="J245" s="203"/>
      <c r="K245" s="203"/>
      <c r="L245" s="203"/>
      <c r="M245" s="203"/>
      <c r="N245" s="203"/>
      <c r="O245" s="203"/>
      <c r="P245" s="203"/>
      <c r="Q245" s="203"/>
      <c r="R245" s="203"/>
      <c r="S245" s="203"/>
      <c r="T245" s="203"/>
      <c r="U245" s="203"/>
      <c r="V245" s="203"/>
      <c r="W245" s="203"/>
      <c r="X245" s="203"/>
      <c r="Y245" s="203"/>
      <c r="Z245" s="203"/>
      <c r="AA245" s="203"/>
      <c r="AB245" s="203"/>
      <c r="AC245" s="203"/>
      <c r="AD245" s="203"/>
      <c r="AE245" s="203"/>
      <c r="AF245" s="203"/>
      <c r="AG245" s="203"/>
      <c r="AH245" s="203"/>
      <c r="AI245" s="203"/>
      <c r="AJ245" s="203"/>
      <c r="AK245" s="203"/>
      <c r="AL245" s="203"/>
      <c r="AM245" s="203"/>
    </row>
    <row r="246" spans="4:39" s="155" customFormat="1" ht="11.25" x14ac:dyDescent="0.2">
      <c r="D246" s="203"/>
      <c r="E246" s="203"/>
      <c r="F246" s="203"/>
      <c r="G246" s="203"/>
      <c r="H246" s="203"/>
      <c r="I246" s="203"/>
      <c r="J246" s="203"/>
      <c r="K246" s="203"/>
      <c r="L246" s="203"/>
      <c r="M246" s="203"/>
      <c r="N246" s="203"/>
      <c r="O246" s="203"/>
      <c r="P246" s="203"/>
      <c r="Q246" s="203"/>
      <c r="R246" s="203"/>
      <c r="S246" s="203"/>
      <c r="T246" s="203"/>
      <c r="U246" s="203"/>
      <c r="V246" s="203"/>
      <c r="W246" s="203"/>
      <c r="X246" s="203"/>
      <c r="Y246" s="203"/>
      <c r="Z246" s="203"/>
      <c r="AA246" s="203"/>
      <c r="AB246" s="203"/>
      <c r="AC246" s="203"/>
      <c r="AD246" s="203"/>
      <c r="AE246" s="203"/>
      <c r="AF246" s="203"/>
      <c r="AG246" s="203"/>
      <c r="AH246" s="203"/>
      <c r="AI246" s="203"/>
      <c r="AJ246" s="203"/>
      <c r="AK246" s="203"/>
      <c r="AL246" s="203"/>
      <c r="AM246" s="203"/>
    </row>
    <row r="247" spans="4:39" s="155" customFormat="1" ht="11.25" x14ac:dyDescent="0.2">
      <c r="D247" s="203"/>
      <c r="E247" s="203"/>
      <c r="F247" s="203"/>
      <c r="G247" s="203"/>
      <c r="H247" s="203"/>
      <c r="I247" s="203"/>
      <c r="J247" s="203"/>
      <c r="K247" s="203"/>
      <c r="L247" s="203"/>
      <c r="M247" s="203"/>
      <c r="N247" s="203"/>
      <c r="O247" s="203"/>
      <c r="P247" s="203"/>
      <c r="Q247" s="203"/>
      <c r="R247" s="203"/>
      <c r="S247" s="203"/>
      <c r="T247" s="203"/>
      <c r="U247" s="203"/>
      <c r="V247" s="203"/>
      <c r="W247" s="203"/>
      <c r="X247" s="203"/>
      <c r="Y247" s="203"/>
      <c r="Z247" s="203"/>
      <c r="AA247" s="203"/>
      <c r="AB247" s="203"/>
      <c r="AC247" s="203"/>
      <c r="AD247" s="203"/>
      <c r="AE247" s="203"/>
      <c r="AF247" s="203"/>
      <c r="AG247" s="203"/>
      <c r="AH247" s="203"/>
      <c r="AI247" s="203"/>
      <c r="AJ247" s="203"/>
      <c r="AK247" s="203"/>
      <c r="AL247" s="203"/>
      <c r="AM247" s="203"/>
    </row>
    <row r="248" spans="4:39" s="155" customFormat="1" ht="11.25" x14ac:dyDescent="0.2">
      <c r="D248" s="203"/>
      <c r="E248" s="203"/>
      <c r="F248" s="203"/>
      <c r="G248" s="203"/>
      <c r="H248" s="203"/>
      <c r="I248" s="203"/>
      <c r="J248" s="203"/>
      <c r="K248" s="203"/>
      <c r="L248" s="203"/>
      <c r="M248" s="203"/>
      <c r="N248" s="203"/>
      <c r="O248" s="203"/>
      <c r="P248" s="203"/>
      <c r="Q248" s="203"/>
      <c r="R248" s="203"/>
      <c r="S248" s="203"/>
      <c r="T248" s="203"/>
      <c r="U248" s="203"/>
      <c r="V248" s="203"/>
      <c r="W248" s="203"/>
      <c r="X248" s="203"/>
      <c r="Y248" s="203"/>
      <c r="Z248" s="203"/>
      <c r="AA248" s="203"/>
      <c r="AB248" s="203"/>
      <c r="AC248" s="203"/>
      <c r="AD248" s="203"/>
      <c r="AE248" s="203"/>
      <c r="AF248" s="203"/>
      <c r="AG248" s="203"/>
      <c r="AH248" s="203"/>
      <c r="AI248" s="203"/>
      <c r="AJ248" s="203"/>
      <c r="AK248" s="203"/>
      <c r="AL248" s="203"/>
      <c r="AM248" s="203"/>
    </row>
    <row r="249" spans="4:39" s="155" customFormat="1" ht="11.25" x14ac:dyDescent="0.2">
      <c r="D249" s="203"/>
      <c r="E249" s="203"/>
      <c r="F249" s="203"/>
      <c r="G249" s="203"/>
      <c r="H249" s="203"/>
      <c r="I249" s="203"/>
      <c r="J249" s="203"/>
      <c r="K249" s="203"/>
      <c r="L249" s="203"/>
      <c r="M249" s="203"/>
      <c r="N249" s="203"/>
      <c r="O249" s="203"/>
      <c r="P249" s="203"/>
      <c r="Q249" s="203"/>
      <c r="R249" s="203"/>
      <c r="S249" s="203"/>
      <c r="T249" s="203"/>
      <c r="U249" s="203"/>
      <c r="V249" s="203"/>
      <c r="W249" s="203"/>
      <c r="X249" s="203"/>
      <c r="Y249" s="203"/>
      <c r="Z249" s="203"/>
      <c r="AA249" s="203"/>
      <c r="AB249" s="203"/>
      <c r="AC249" s="203"/>
      <c r="AD249" s="203"/>
      <c r="AE249" s="203"/>
      <c r="AF249" s="203"/>
      <c r="AG249" s="203"/>
      <c r="AH249" s="203"/>
      <c r="AI249" s="203"/>
      <c r="AJ249" s="203"/>
      <c r="AK249" s="203"/>
      <c r="AL249" s="203"/>
      <c r="AM249" s="203"/>
    </row>
    <row r="250" spans="4:39" s="155" customFormat="1" ht="11.25" x14ac:dyDescent="0.2">
      <c r="D250" s="203"/>
      <c r="E250" s="203"/>
      <c r="F250" s="203"/>
      <c r="G250" s="203"/>
      <c r="H250" s="203"/>
      <c r="I250" s="203"/>
      <c r="J250" s="203"/>
      <c r="K250" s="203"/>
      <c r="L250" s="203"/>
      <c r="M250" s="203"/>
      <c r="N250" s="203"/>
      <c r="O250" s="203"/>
      <c r="P250" s="203"/>
      <c r="Q250" s="203"/>
      <c r="R250" s="203"/>
      <c r="S250" s="203"/>
      <c r="T250" s="203"/>
      <c r="U250" s="203"/>
      <c r="V250" s="203"/>
      <c r="W250" s="203"/>
      <c r="X250" s="203"/>
      <c r="Y250" s="203"/>
      <c r="Z250" s="203"/>
      <c r="AA250" s="203"/>
      <c r="AB250" s="203"/>
      <c r="AC250" s="203"/>
      <c r="AD250" s="203"/>
      <c r="AE250" s="203"/>
      <c r="AF250" s="203"/>
      <c r="AG250" s="203"/>
      <c r="AH250" s="203"/>
      <c r="AI250" s="203"/>
      <c r="AJ250" s="203"/>
      <c r="AK250" s="203"/>
      <c r="AL250" s="203"/>
      <c r="AM250" s="203"/>
    </row>
    <row r="251" spans="4:39" s="155" customFormat="1" ht="11.25" x14ac:dyDescent="0.2">
      <c r="D251" s="203"/>
      <c r="E251" s="203"/>
      <c r="F251" s="203"/>
      <c r="G251" s="203"/>
      <c r="H251" s="203"/>
      <c r="I251" s="203"/>
      <c r="J251" s="203"/>
      <c r="K251" s="203"/>
      <c r="L251" s="203"/>
      <c r="M251" s="203"/>
      <c r="N251" s="203"/>
      <c r="O251" s="203"/>
      <c r="P251" s="203"/>
      <c r="Q251" s="203"/>
      <c r="R251" s="203"/>
      <c r="S251" s="203"/>
      <c r="T251" s="203"/>
      <c r="U251" s="203"/>
      <c r="V251" s="203"/>
      <c r="W251" s="203"/>
      <c r="X251" s="203"/>
      <c r="Y251" s="203"/>
      <c r="Z251" s="203"/>
      <c r="AA251" s="203"/>
      <c r="AB251" s="203"/>
      <c r="AC251" s="203"/>
      <c r="AD251" s="203"/>
      <c r="AE251" s="203"/>
      <c r="AF251" s="203"/>
      <c r="AG251" s="203"/>
      <c r="AH251" s="203"/>
      <c r="AI251" s="203"/>
      <c r="AJ251" s="203"/>
      <c r="AK251" s="203"/>
      <c r="AL251" s="203"/>
      <c r="AM251" s="203"/>
    </row>
    <row r="252" spans="4:39" s="155" customFormat="1" ht="11.25" x14ac:dyDescent="0.2">
      <c r="D252" s="203"/>
      <c r="E252" s="203"/>
      <c r="F252" s="203"/>
      <c r="G252" s="203"/>
      <c r="H252" s="203"/>
      <c r="I252" s="203"/>
      <c r="J252" s="203"/>
      <c r="K252" s="203"/>
      <c r="L252" s="203"/>
      <c r="M252" s="203"/>
      <c r="N252" s="203"/>
      <c r="O252" s="203"/>
      <c r="P252" s="203"/>
      <c r="Q252" s="203"/>
      <c r="R252" s="203"/>
      <c r="S252" s="203"/>
      <c r="T252" s="203"/>
      <c r="U252" s="203"/>
      <c r="V252" s="203"/>
      <c r="W252" s="203"/>
      <c r="X252" s="203"/>
      <c r="Y252" s="203"/>
      <c r="Z252" s="203"/>
      <c r="AA252" s="203"/>
      <c r="AB252" s="203"/>
      <c r="AC252" s="203"/>
      <c r="AD252" s="203"/>
      <c r="AE252" s="203"/>
      <c r="AF252" s="203"/>
      <c r="AG252" s="203"/>
      <c r="AH252" s="203"/>
      <c r="AI252" s="203"/>
      <c r="AJ252" s="203"/>
      <c r="AK252" s="203"/>
      <c r="AL252" s="203"/>
      <c r="AM252" s="203"/>
    </row>
    <row r="253" spans="4:39" s="155" customFormat="1" ht="11.25" x14ac:dyDescent="0.2">
      <c r="D253" s="203"/>
      <c r="E253" s="203"/>
      <c r="F253" s="203"/>
      <c r="G253" s="203"/>
      <c r="H253" s="203"/>
      <c r="I253" s="203"/>
      <c r="J253" s="203"/>
      <c r="K253" s="203"/>
      <c r="L253" s="203"/>
      <c r="M253" s="203"/>
      <c r="N253" s="203"/>
      <c r="O253" s="203"/>
      <c r="P253" s="203"/>
      <c r="Q253" s="203"/>
      <c r="R253" s="203"/>
      <c r="S253" s="203"/>
      <c r="T253" s="203"/>
      <c r="U253" s="203"/>
      <c r="V253" s="203"/>
      <c r="W253" s="203"/>
      <c r="X253" s="203"/>
      <c r="Y253" s="203"/>
      <c r="Z253" s="203"/>
      <c r="AA253" s="203"/>
      <c r="AB253" s="203"/>
      <c r="AC253" s="203"/>
      <c r="AD253" s="203"/>
      <c r="AE253" s="203"/>
      <c r="AF253" s="203"/>
      <c r="AG253" s="203"/>
      <c r="AH253" s="203"/>
      <c r="AI253" s="203"/>
      <c r="AJ253" s="203"/>
      <c r="AK253" s="203"/>
      <c r="AL253" s="203"/>
      <c r="AM253" s="203"/>
    </row>
    <row r="254" spans="4:39" s="155" customFormat="1" ht="11.25" x14ac:dyDescent="0.2">
      <c r="D254" s="203"/>
      <c r="E254" s="203"/>
      <c r="F254" s="203"/>
      <c r="G254" s="203"/>
      <c r="H254" s="203"/>
      <c r="I254" s="203"/>
      <c r="J254" s="203"/>
      <c r="K254" s="203"/>
      <c r="L254" s="203"/>
      <c r="M254" s="203"/>
      <c r="N254" s="203"/>
      <c r="O254" s="203"/>
      <c r="P254" s="203"/>
      <c r="Q254" s="203"/>
      <c r="R254" s="203"/>
      <c r="S254" s="203"/>
      <c r="T254" s="203"/>
      <c r="U254" s="203"/>
      <c r="V254" s="203"/>
      <c r="W254" s="203"/>
      <c r="X254" s="203"/>
      <c r="Y254" s="203"/>
      <c r="Z254" s="203"/>
      <c r="AA254" s="203"/>
      <c r="AB254" s="203"/>
      <c r="AC254" s="203"/>
      <c r="AD254" s="203"/>
      <c r="AE254" s="203"/>
      <c r="AF254" s="203"/>
      <c r="AG254" s="203"/>
      <c r="AH254" s="203"/>
      <c r="AI254" s="203"/>
      <c r="AJ254" s="203"/>
      <c r="AK254" s="203"/>
      <c r="AL254" s="203"/>
      <c r="AM254" s="203"/>
    </row>
    <row r="255" spans="4:39" s="155" customFormat="1" ht="11.25" x14ac:dyDescent="0.2">
      <c r="D255" s="203"/>
      <c r="E255" s="203"/>
      <c r="F255" s="203"/>
      <c r="G255" s="203"/>
      <c r="H255" s="203"/>
      <c r="I255" s="203"/>
      <c r="J255" s="203"/>
      <c r="K255" s="203"/>
      <c r="L255" s="203"/>
      <c r="M255" s="203"/>
      <c r="N255" s="203"/>
      <c r="O255" s="203"/>
      <c r="P255" s="203"/>
      <c r="Q255" s="203"/>
      <c r="R255" s="203"/>
      <c r="S255" s="203"/>
      <c r="T255" s="203"/>
      <c r="U255" s="203"/>
      <c r="V255" s="203"/>
      <c r="W255" s="203"/>
      <c r="X255" s="203"/>
      <c r="Y255" s="203"/>
      <c r="Z255" s="203"/>
      <c r="AA255" s="203"/>
      <c r="AB255" s="203"/>
      <c r="AC255" s="203"/>
      <c r="AD255" s="203"/>
      <c r="AE255" s="203"/>
      <c r="AF255" s="203"/>
      <c r="AG255" s="203"/>
      <c r="AH255" s="203"/>
      <c r="AI255" s="203"/>
      <c r="AJ255" s="203"/>
      <c r="AK255" s="203"/>
      <c r="AL255" s="203"/>
      <c r="AM255" s="203"/>
    </row>
    <row r="256" spans="4:39" s="155" customFormat="1" ht="11.25" x14ac:dyDescent="0.2">
      <c r="D256" s="203"/>
      <c r="E256" s="203"/>
      <c r="F256" s="203"/>
      <c r="G256" s="203"/>
      <c r="H256" s="203"/>
      <c r="I256" s="203"/>
      <c r="J256" s="203"/>
      <c r="K256" s="203"/>
      <c r="L256" s="203"/>
      <c r="M256" s="203"/>
      <c r="N256" s="203"/>
      <c r="O256" s="203"/>
      <c r="P256" s="203"/>
      <c r="Q256" s="203"/>
      <c r="R256" s="203"/>
      <c r="S256" s="203"/>
      <c r="T256" s="203"/>
      <c r="U256" s="203"/>
      <c r="V256" s="203"/>
      <c r="W256" s="203"/>
      <c r="X256" s="203"/>
      <c r="Y256" s="203"/>
      <c r="Z256" s="203"/>
      <c r="AA256" s="203"/>
      <c r="AB256" s="203"/>
      <c r="AC256" s="203"/>
      <c r="AD256" s="203"/>
      <c r="AE256" s="203"/>
      <c r="AF256" s="203"/>
      <c r="AG256" s="203"/>
      <c r="AH256" s="203"/>
      <c r="AI256" s="203"/>
      <c r="AJ256" s="203"/>
      <c r="AK256" s="203"/>
      <c r="AL256" s="203"/>
      <c r="AM256" s="203"/>
    </row>
    <row r="257" spans="4:39" s="155" customFormat="1" ht="11.25" x14ac:dyDescent="0.2">
      <c r="D257" s="203"/>
      <c r="E257" s="203"/>
      <c r="F257" s="203"/>
      <c r="G257" s="203"/>
      <c r="H257" s="203"/>
      <c r="I257" s="203"/>
      <c r="J257" s="203"/>
      <c r="K257" s="203"/>
      <c r="L257" s="203"/>
      <c r="M257" s="203"/>
      <c r="N257" s="203"/>
      <c r="O257" s="203"/>
      <c r="P257" s="203"/>
      <c r="Q257" s="203"/>
      <c r="R257" s="203"/>
      <c r="S257" s="203"/>
      <c r="T257" s="203"/>
      <c r="U257" s="203"/>
      <c r="V257" s="203"/>
      <c r="W257" s="203"/>
      <c r="X257" s="203"/>
      <c r="Y257" s="203"/>
      <c r="Z257" s="203"/>
      <c r="AA257" s="203"/>
      <c r="AB257" s="203"/>
      <c r="AC257" s="203"/>
      <c r="AD257" s="203"/>
      <c r="AE257" s="203"/>
      <c r="AF257" s="203"/>
      <c r="AG257" s="203"/>
      <c r="AH257" s="203"/>
      <c r="AI257" s="203"/>
      <c r="AJ257" s="203"/>
      <c r="AK257" s="203"/>
      <c r="AL257" s="203"/>
      <c r="AM257" s="203"/>
    </row>
    <row r="258" spans="4:39" s="155" customFormat="1" ht="11.25" x14ac:dyDescent="0.2">
      <c r="D258" s="203"/>
      <c r="E258" s="203"/>
      <c r="F258" s="203"/>
      <c r="G258" s="203"/>
      <c r="H258" s="203"/>
      <c r="I258" s="203"/>
      <c r="J258" s="203"/>
      <c r="K258" s="203"/>
      <c r="L258" s="203"/>
      <c r="M258" s="203"/>
      <c r="N258" s="203"/>
      <c r="O258" s="203"/>
      <c r="P258" s="203"/>
      <c r="Q258" s="203"/>
      <c r="R258" s="203"/>
      <c r="S258" s="203"/>
      <c r="T258" s="203"/>
      <c r="U258" s="203"/>
      <c r="V258" s="203"/>
      <c r="W258" s="203"/>
      <c r="X258" s="203"/>
      <c r="Y258" s="203"/>
      <c r="Z258" s="203"/>
      <c r="AA258" s="203"/>
      <c r="AB258" s="203"/>
      <c r="AC258" s="203"/>
      <c r="AD258" s="203"/>
      <c r="AE258" s="203"/>
      <c r="AF258" s="203"/>
      <c r="AG258" s="203"/>
      <c r="AH258" s="203"/>
      <c r="AI258" s="203"/>
      <c r="AJ258" s="203"/>
      <c r="AK258" s="203"/>
      <c r="AL258" s="203"/>
      <c r="AM258" s="203"/>
    </row>
    <row r="259" spans="4:39" s="155" customFormat="1" ht="11.25" x14ac:dyDescent="0.2">
      <c r="D259" s="203"/>
      <c r="E259" s="203"/>
      <c r="F259" s="203"/>
      <c r="G259" s="203"/>
      <c r="H259" s="203"/>
      <c r="I259" s="203"/>
      <c r="J259" s="203"/>
      <c r="K259" s="203"/>
      <c r="L259" s="203"/>
      <c r="M259" s="203"/>
      <c r="N259" s="203"/>
      <c r="O259" s="203"/>
      <c r="P259" s="203"/>
      <c r="Q259" s="203"/>
      <c r="R259" s="203"/>
      <c r="S259" s="203"/>
      <c r="T259" s="203"/>
      <c r="U259" s="203"/>
      <c r="V259" s="203"/>
      <c r="W259" s="203"/>
      <c r="X259" s="203"/>
      <c r="Y259" s="203"/>
      <c r="Z259" s="203"/>
      <c r="AA259" s="203"/>
      <c r="AB259" s="203"/>
      <c r="AC259" s="203"/>
      <c r="AD259" s="203"/>
      <c r="AE259" s="203"/>
      <c r="AF259" s="203"/>
      <c r="AG259" s="203"/>
      <c r="AH259" s="203"/>
      <c r="AI259" s="203"/>
      <c r="AJ259" s="203"/>
      <c r="AK259" s="203"/>
      <c r="AL259" s="203"/>
      <c r="AM259" s="203"/>
    </row>
    <row r="260" spans="4:39" s="155" customFormat="1" ht="11.25" x14ac:dyDescent="0.2">
      <c r="D260" s="203"/>
      <c r="E260" s="203"/>
      <c r="F260" s="203"/>
      <c r="G260" s="203"/>
      <c r="H260" s="203"/>
      <c r="I260" s="203"/>
      <c r="J260" s="203"/>
      <c r="K260" s="203"/>
      <c r="L260" s="203"/>
      <c r="M260" s="203"/>
      <c r="N260" s="203"/>
      <c r="O260" s="203"/>
      <c r="P260" s="203"/>
      <c r="Q260" s="203"/>
      <c r="R260" s="203"/>
      <c r="S260" s="203"/>
      <c r="T260" s="203"/>
      <c r="U260" s="203"/>
      <c r="V260" s="203"/>
      <c r="W260" s="203"/>
      <c r="X260" s="203"/>
      <c r="Y260" s="203"/>
      <c r="Z260" s="203"/>
      <c r="AA260" s="203"/>
      <c r="AB260" s="203"/>
      <c r="AC260" s="203"/>
      <c r="AD260" s="203"/>
      <c r="AE260" s="203"/>
      <c r="AF260" s="203"/>
      <c r="AG260" s="203"/>
      <c r="AH260" s="203"/>
      <c r="AI260" s="203"/>
      <c r="AJ260" s="203"/>
      <c r="AK260" s="203"/>
      <c r="AL260" s="203"/>
      <c r="AM260" s="203"/>
    </row>
    <row r="261" spans="4:39" s="155" customFormat="1" ht="11.25" x14ac:dyDescent="0.2">
      <c r="D261" s="203"/>
      <c r="E261" s="203"/>
      <c r="F261" s="203"/>
      <c r="G261" s="203"/>
      <c r="H261" s="203"/>
      <c r="I261" s="203"/>
      <c r="J261" s="203"/>
      <c r="K261" s="203"/>
      <c r="L261" s="203"/>
      <c r="M261" s="203"/>
      <c r="N261" s="203"/>
      <c r="O261" s="203"/>
      <c r="P261" s="203"/>
      <c r="Q261" s="203"/>
      <c r="R261" s="203"/>
      <c r="S261" s="203"/>
      <c r="T261" s="203"/>
      <c r="U261" s="203"/>
      <c r="V261" s="203"/>
      <c r="W261" s="203"/>
      <c r="X261" s="203"/>
      <c r="Y261" s="203"/>
      <c r="Z261" s="203"/>
      <c r="AA261" s="203"/>
      <c r="AB261" s="203"/>
      <c r="AC261" s="203"/>
      <c r="AD261" s="203"/>
      <c r="AE261" s="203"/>
      <c r="AF261" s="203"/>
      <c r="AG261" s="203"/>
      <c r="AH261" s="203"/>
      <c r="AI261" s="203"/>
      <c r="AJ261" s="203"/>
      <c r="AK261" s="203"/>
      <c r="AL261" s="203"/>
      <c r="AM261" s="203"/>
    </row>
    <row r="262" spans="4:39" s="155" customFormat="1" ht="11.25" x14ac:dyDescent="0.2">
      <c r="D262" s="203"/>
      <c r="E262" s="203"/>
      <c r="F262" s="203"/>
      <c r="G262" s="203"/>
      <c r="H262" s="203"/>
      <c r="I262" s="203"/>
      <c r="J262" s="203"/>
      <c r="K262" s="203"/>
      <c r="L262" s="203"/>
      <c r="M262" s="203"/>
      <c r="N262" s="203"/>
      <c r="O262" s="203"/>
      <c r="P262" s="203"/>
      <c r="Q262" s="203"/>
      <c r="R262" s="203"/>
      <c r="S262" s="203"/>
      <c r="T262" s="203"/>
      <c r="U262" s="203"/>
      <c r="V262" s="203"/>
      <c r="W262" s="203"/>
      <c r="X262" s="203"/>
      <c r="Y262" s="203"/>
      <c r="Z262" s="203"/>
      <c r="AA262" s="203"/>
      <c r="AB262" s="203"/>
      <c r="AC262" s="203"/>
      <c r="AD262" s="203"/>
      <c r="AE262" s="203"/>
      <c r="AF262" s="203"/>
      <c r="AG262" s="203"/>
      <c r="AH262" s="203"/>
      <c r="AI262" s="203"/>
      <c r="AJ262" s="203"/>
      <c r="AK262" s="203"/>
      <c r="AL262" s="203"/>
      <c r="AM262" s="203"/>
    </row>
    <row r="263" spans="4:39" s="155" customFormat="1" ht="11.25" x14ac:dyDescent="0.2">
      <c r="D263" s="203"/>
      <c r="E263" s="203"/>
      <c r="F263" s="203"/>
      <c r="G263" s="203"/>
      <c r="H263" s="203"/>
      <c r="I263" s="203"/>
      <c r="J263" s="203"/>
      <c r="K263" s="203"/>
      <c r="L263" s="203"/>
      <c r="M263" s="203"/>
      <c r="N263" s="203"/>
      <c r="O263" s="203"/>
      <c r="P263" s="203"/>
      <c r="Q263" s="203"/>
      <c r="R263" s="203"/>
      <c r="S263" s="203"/>
      <c r="T263" s="203"/>
      <c r="U263" s="203"/>
      <c r="V263" s="203"/>
      <c r="W263" s="203"/>
      <c r="X263" s="203"/>
      <c r="Y263" s="203"/>
      <c r="Z263" s="203"/>
      <c r="AA263" s="203"/>
      <c r="AB263" s="203"/>
      <c r="AC263" s="203"/>
      <c r="AD263" s="203"/>
      <c r="AE263" s="203"/>
      <c r="AF263" s="203"/>
      <c r="AG263" s="203"/>
      <c r="AH263" s="203"/>
      <c r="AI263" s="203"/>
      <c r="AJ263" s="203"/>
      <c r="AK263" s="203"/>
      <c r="AL263" s="203"/>
      <c r="AM263" s="203"/>
    </row>
    <row r="264" spans="4:39" s="155" customFormat="1" ht="11.25" x14ac:dyDescent="0.2">
      <c r="D264" s="203"/>
      <c r="E264" s="203"/>
      <c r="F264" s="203"/>
      <c r="G264" s="203"/>
      <c r="H264" s="203"/>
      <c r="I264" s="203"/>
      <c r="J264" s="203"/>
      <c r="K264" s="203"/>
      <c r="L264" s="203"/>
      <c r="M264" s="203"/>
      <c r="N264" s="203"/>
      <c r="O264" s="203"/>
      <c r="P264" s="203"/>
      <c r="Q264" s="203"/>
      <c r="R264" s="203"/>
      <c r="S264" s="203"/>
      <c r="T264" s="203"/>
      <c r="U264" s="203"/>
      <c r="V264" s="203"/>
      <c r="W264" s="203"/>
      <c r="X264" s="203"/>
      <c r="Y264" s="203"/>
      <c r="Z264" s="203"/>
      <c r="AA264" s="203"/>
      <c r="AB264" s="203"/>
      <c r="AC264" s="203"/>
      <c r="AD264" s="203"/>
      <c r="AE264" s="203"/>
      <c r="AF264" s="203"/>
      <c r="AG264" s="203"/>
      <c r="AH264" s="203"/>
      <c r="AI264" s="203"/>
      <c r="AJ264" s="203"/>
      <c r="AK264" s="203"/>
      <c r="AL264" s="203"/>
      <c r="AM264" s="203"/>
    </row>
    <row r="265" spans="4:39" s="155" customFormat="1" ht="11.25" x14ac:dyDescent="0.2">
      <c r="D265" s="203"/>
      <c r="E265" s="203"/>
      <c r="F265" s="203"/>
      <c r="G265" s="203"/>
      <c r="H265" s="203"/>
      <c r="I265" s="203"/>
      <c r="J265" s="203"/>
      <c r="K265" s="203"/>
      <c r="L265" s="203"/>
      <c r="M265" s="203"/>
      <c r="N265" s="203"/>
      <c r="O265" s="203"/>
      <c r="P265" s="203"/>
      <c r="Q265" s="203"/>
      <c r="R265" s="203"/>
      <c r="S265" s="203"/>
      <c r="T265" s="203"/>
      <c r="U265" s="203"/>
      <c r="V265" s="203"/>
      <c r="W265" s="203"/>
      <c r="X265" s="203"/>
      <c r="Y265" s="203"/>
      <c r="Z265" s="203"/>
      <c r="AA265" s="203"/>
      <c r="AB265" s="203"/>
      <c r="AC265" s="203"/>
      <c r="AD265" s="203"/>
      <c r="AE265" s="203"/>
      <c r="AF265" s="203"/>
      <c r="AG265" s="203"/>
      <c r="AH265" s="203"/>
      <c r="AI265" s="203"/>
      <c r="AJ265" s="203"/>
      <c r="AK265" s="203"/>
      <c r="AL265" s="203"/>
      <c r="AM265" s="203"/>
    </row>
    <row r="266" spans="4:39" s="155" customFormat="1" ht="11.25" x14ac:dyDescent="0.2">
      <c r="D266" s="203"/>
      <c r="E266" s="203"/>
      <c r="F266" s="203"/>
      <c r="G266" s="203"/>
      <c r="H266" s="203"/>
      <c r="I266" s="203"/>
      <c r="J266" s="203"/>
      <c r="K266" s="203"/>
      <c r="L266" s="203"/>
      <c r="M266" s="203"/>
      <c r="N266" s="203"/>
      <c r="O266" s="203"/>
      <c r="P266" s="203"/>
      <c r="Q266" s="203"/>
      <c r="R266" s="203"/>
      <c r="S266" s="203"/>
      <c r="T266" s="203"/>
      <c r="U266" s="203"/>
      <c r="V266" s="203"/>
      <c r="W266" s="203"/>
      <c r="X266" s="203"/>
      <c r="Y266" s="203"/>
      <c r="Z266" s="203"/>
      <c r="AA266" s="203"/>
      <c r="AB266" s="203"/>
      <c r="AC266" s="203"/>
      <c r="AD266" s="203"/>
      <c r="AE266" s="203"/>
      <c r="AF266" s="203"/>
      <c r="AG266" s="203"/>
      <c r="AH266" s="203"/>
      <c r="AI266" s="203"/>
      <c r="AJ266" s="203"/>
      <c r="AK266" s="203"/>
      <c r="AL266" s="203"/>
      <c r="AM266" s="203"/>
    </row>
    <row r="267" spans="4:39" s="155" customFormat="1" ht="11.25" x14ac:dyDescent="0.2">
      <c r="D267" s="203"/>
      <c r="E267" s="203"/>
      <c r="F267" s="203"/>
      <c r="G267" s="203"/>
      <c r="H267" s="203"/>
      <c r="I267" s="203"/>
      <c r="J267" s="203"/>
      <c r="K267" s="203"/>
      <c r="L267" s="203"/>
      <c r="M267" s="203"/>
      <c r="N267" s="203"/>
      <c r="O267" s="203"/>
      <c r="P267" s="203"/>
      <c r="Q267" s="203"/>
      <c r="R267" s="203"/>
      <c r="S267" s="203"/>
      <c r="T267" s="203"/>
      <c r="U267" s="203"/>
      <c r="V267" s="203"/>
      <c r="W267" s="203"/>
      <c r="X267" s="203"/>
      <c r="Y267" s="203"/>
      <c r="Z267" s="203"/>
      <c r="AA267" s="203"/>
      <c r="AB267" s="203"/>
      <c r="AC267" s="203"/>
      <c r="AD267" s="203"/>
      <c r="AE267" s="203"/>
      <c r="AF267" s="203"/>
      <c r="AG267" s="203"/>
      <c r="AH267" s="203"/>
      <c r="AI267" s="203"/>
      <c r="AJ267" s="203"/>
      <c r="AK267" s="203"/>
      <c r="AL267" s="203"/>
      <c r="AM267" s="203"/>
    </row>
    <row r="268" spans="4:39" s="155" customFormat="1" ht="11.25" x14ac:dyDescent="0.2">
      <c r="D268" s="203"/>
      <c r="E268" s="203"/>
      <c r="F268" s="203"/>
      <c r="G268" s="203"/>
      <c r="H268" s="203"/>
      <c r="I268" s="203"/>
      <c r="J268" s="203"/>
      <c r="K268" s="203"/>
      <c r="L268" s="203"/>
      <c r="M268" s="203"/>
      <c r="N268" s="203"/>
      <c r="O268" s="203"/>
      <c r="P268" s="203"/>
      <c r="Q268" s="203"/>
      <c r="R268" s="203"/>
      <c r="S268" s="203"/>
      <c r="T268" s="203"/>
      <c r="U268" s="203"/>
      <c r="V268" s="203"/>
      <c r="W268" s="203"/>
      <c r="X268" s="203"/>
      <c r="Y268" s="203"/>
      <c r="Z268" s="203"/>
      <c r="AA268" s="203"/>
      <c r="AB268" s="203"/>
      <c r="AC268" s="203"/>
      <c r="AD268" s="203"/>
      <c r="AE268" s="203"/>
      <c r="AF268" s="203"/>
      <c r="AG268" s="203"/>
      <c r="AH268" s="203"/>
      <c r="AI268" s="203"/>
      <c r="AJ268" s="203"/>
      <c r="AK268" s="203"/>
      <c r="AL268" s="203"/>
      <c r="AM268" s="203"/>
    </row>
    <row r="269" spans="4:39" s="155" customFormat="1" ht="11.25" x14ac:dyDescent="0.2">
      <c r="D269" s="203"/>
      <c r="E269" s="203"/>
      <c r="F269" s="203"/>
      <c r="G269" s="203"/>
      <c r="H269" s="203"/>
      <c r="I269" s="203"/>
      <c r="J269" s="203"/>
      <c r="K269" s="203"/>
      <c r="L269" s="203"/>
      <c r="M269" s="203"/>
      <c r="N269" s="203"/>
      <c r="O269" s="203"/>
      <c r="P269" s="203"/>
      <c r="Q269" s="203"/>
      <c r="R269" s="203"/>
      <c r="S269" s="203"/>
      <c r="T269" s="203"/>
      <c r="U269" s="203"/>
      <c r="V269" s="203"/>
      <c r="W269" s="203"/>
      <c r="X269" s="203"/>
      <c r="Y269" s="203"/>
      <c r="Z269" s="203"/>
      <c r="AA269" s="203"/>
      <c r="AB269" s="203"/>
      <c r="AC269" s="203"/>
      <c r="AD269" s="203"/>
      <c r="AE269" s="203"/>
      <c r="AF269" s="203"/>
      <c r="AG269" s="203"/>
      <c r="AH269" s="203"/>
      <c r="AI269" s="203"/>
      <c r="AJ269" s="203"/>
      <c r="AK269" s="203"/>
      <c r="AL269" s="203"/>
      <c r="AM269" s="203"/>
    </row>
    <row r="270" spans="4:39" s="155" customFormat="1" ht="11.25" x14ac:dyDescent="0.2">
      <c r="D270" s="203"/>
      <c r="E270" s="203"/>
      <c r="F270" s="203"/>
      <c r="G270" s="203"/>
      <c r="H270" s="203"/>
      <c r="I270" s="203"/>
      <c r="J270" s="203"/>
      <c r="K270" s="203"/>
      <c r="L270" s="203"/>
      <c r="M270" s="203"/>
      <c r="N270" s="203"/>
      <c r="O270" s="203"/>
      <c r="P270" s="203"/>
      <c r="Q270" s="203"/>
      <c r="R270" s="203"/>
      <c r="S270" s="203"/>
      <c r="T270" s="203"/>
      <c r="U270" s="203"/>
      <c r="V270" s="203"/>
      <c r="W270" s="203"/>
      <c r="X270" s="203"/>
      <c r="Y270" s="203"/>
      <c r="Z270" s="203"/>
      <c r="AA270" s="203"/>
      <c r="AB270" s="203"/>
      <c r="AC270" s="203"/>
      <c r="AD270" s="203"/>
      <c r="AE270" s="203"/>
      <c r="AF270" s="203"/>
      <c r="AG270" s="203"/>
      <c r="AH270" s="203"/>
      <c r="AI270" s="203"/>
      <c r="AJ270" s="203"/>
      <c r="AK270" s="203"/>
      <c r="AL270" s="203"/>
      <c r="AM270" s="203"/>
    </row>
    <row r="271" spans="4:39" s="155" customFormat="1" ht="11.25" x14ac:dyDescent="0.2">
      <c r="D271" s="203"/>
      <c r="E271" s="203"/>
      <c r="F271" s="203"/>
      <c r="G271" s="203"/>
      <c r="H271" s="203"/>
      <c r="I271" s="203"/>
      <c r="J271" s="203"/>
      <c r="K271" s="203"/>
      <c r="L271" s="203"/>
      <c r="M271" s="203"/>
      <c r="N271" s="203"/>
      <c r="O271" s="203"/>
      <c r="P271" s="203"/>
      <c r="Q271" s="203"/>
      <c r="R271" s="203"/>
      <c r="S271" s="203"/>
      <c r="T271" s="203"/>
      <c r="U271" s="203"/>
      <c r="V271" s="203"/>
      <c r="W271" s="203"/>
      <c r="X271" s="203"/>
      <c r="Y271" s="203"/>
      <c r="Z271" s="203"/>
      <c r="AA271" s="203"/>
      <c r="AB271" s="203"/>
      <c r="AC271" s="203"/>
      <c r="AD271" s="203"/>
      <c r="AE271" s="203"/>
      <c r="AF271" s="203"/>
      <c r="AG271" s="203"/>
      <c r="AH271" s="203"/>
      <c r="AI271" s="203"/>
      <c r="AJ271" s="203"/>
      <c r="AK271" s="203"/>
      <c r="AL271" s="203"/>
      <c r="AM271" s="203"/>
    </row>
    <row r="272" spans="4:39" s="155" customFormat="1" ht="11.25" x14ac:dyDescent="0.2">
      <c r="D272" s="203"/>
      <c r="E272" s="203"/>
      <c r="F272" s="203"/>
      <c r="G272" s="203"/>
      <c r="H272" s="203"/>
      <c r="I272" s="203"/>
      <c r="J272" s="203"/>
      <c r="K272" s="203"/>
      <c r="L272" s="203"/>
      <c r="M272" s="203"/>
      <c r="N272" s="203"/>
      <c r="O272" s="203"/>
      <c r="P272" s="203"/>
      <c r="Q272" s="203"/>
      <c r="R272" s="203"/>
      <c r="S272" s="203"/>
      <c r="T272" s="203"/>
      <c r="U272" s="203"/>
      <c r="V272" s="203"/>
      <c r="W272" s="203"/>
      <c r="X272" s="203"/>
      <c r="Y272" s="203"/>
      <c r="Z272" s="203"/>
      <c r="AA272" s="203"/>
      <c r="AB272" s="203"/>
      <c r="AC272" s="203"/>
      <c r="AD272" s="203"/>
      <c r="AE272" s="203"/>
      <c r="AF272" s="203"/>
      <c r="AG272" s="203"/>
      <c r="AH272" s="203"/>
      <c r="AI272" s="203"/>
      <c r="AJ272" s="203"/>
      <c r="AK272" s="203"/>
      <c r="AL272" s="203"/>
      <c r="AM272" s="203"/>
    </row>
    <row r="273" spans="4:39" s="155" customFormat="1" ht="11.25" x14ac:dyDescent="0.2">
      <c r="D273" s="203"/>
      <c r="E273" s="203"/>
      <c r="F273" s="203"/>
      <c r="G273" s="203"/>
      <c r="H273" s="203"/>
      <c r="I273" s="203"/>
      <c r="J273" s="203"/>
      <c r="K273" s="203"/>
      <c r="L273" s="203"/>
      <c r="M273" s="203"/>
      <c r="N273" s="203"/>
      <c r="O273" s="203"/>
      <c r="P273" s="203"/>
      <c r="Q273" s="203"/>
      <c r="R273" s="203"/>
      <c r="S273" s="203"/>
      <c r="T273" s="203"/>
      <c r="U273" s="203"/>
      <c r="V273" s="203"/>
      <c r="W273" s="203"/>
      <c r="X273" s="203"/>
      <c r="Y273" s="203"/>
      <c r="Z273" s="203"/>
      <c r="AA273" s="203"/>
      <c r="AB273" s="203"/>
      <c r="AC273" s="203"/>
      <c r="AD273" s="203"/>
      <c r="AE273" s="203"/>
      <c r="AF273" s="203"/>
      <c r="AG273" s="203"/>
      <c r="AH273" s="203"/>
      <c r="AI273" s="203"/>
      <c r="AJ273" s="203"/>
      <c r="AK273" s="203"/>
      <c r="AL273" s="203"/>
      <c r="AM273" s="203"/>
    </row>
    <row r="274" spans="4:39" s="155" customFormat="1" ht="11.25" x14ac:dyDescent="0.2">
      <c r="D274" s="203"/>
      <c r="E274" s="203"/>
      <c r="F274" s="203"/>
      <c r="G274" s="203"/>
      <c r="H274" s="203"/>
      <c r="I274" s="203"/>
      <c r="J274" s="203"/>
      <c r="K274" s="203"/>
      <c r="L274" s="203"/>
      <c r="M274" s="203"/>
      <c r="N274" s="203"/>
      <c r="O274" s="203"/>
      <c r="P274" s="203"/>
      <c r="Q274" s="203"/>
      <c r="R274" s="203"/>
      <c r="S274" s="203"/>
      <c r="T274" s="203"/>
      <c r="U274" s="203"/>
      <c r="V274" s="203"/>
      <c r="W274" s="203"/>
      <c r="X274" s="203"/>
      <c r="Y274" s="203"/>
      <c r="Z274" s="203"/>
      <c r="AA274" s="203"/>
      <c r="AB274" s="203"/>
      <c r="AC274" s="203"/>
      <c r="AD274" s="203"/>
      <c r="AE274" s="203"/>
      <c r="AF274" s="203"/>
      <c r="AG274" s="203"/>
      <c r="AH274" s="203"/>
      <c r="AI274" s="203"/>
      <c r="AJ274" s="203"/>
      <c r="AK274" s="203"/>
      <c r="AL274" s="203"/>
      <c r="AM274" s="203"/>
    </row>
    <row r="275" spans="4:39" s="155" customFormat="1" ht="11.25" x14ac:dyDescent="0.2">
      <c r="D275" s="203"/>
      <c r="E275" s="203"/>
      <c r="F275" s="203"/>
      <c r="G275" s="203"/>
      <c r="H275" s="203"/>
      <c r="I275" s="203"/>
      <c r="J275" s="203"/>
      <c r="K275" s="203"/>
      <c r="L275" s="203"/>
      <c r="M275" s="203"/>
      <c r="N275" s="203"/>
      <c r="O275" s="203"/>
      <c r="P275" s="203"/>
      <c r="Q275" s="203"/>
      <c r="R275" s="203"/>
      <c r="S275" s="203"/>
      <c r="T275" s="203"/>
      <c r="U275" s="203"/>
      <c r="V275" s="203"/>
      <c r="W275" s="203"/>
      <c r="X275" s="203"/>
      <c r="Y275" s="203"/>
      <c r="Z275" s="203"/>
      <c r="AA275" s="203"/>
      <c r="AB275" s="203"/>
      <c r="AC275" s="203"/>
      <c r="AD275" s="203"/>
      <c r="AE275" s="203"/>
      <c r="AF275" s="203"/>
      <c r="AG275" s="203"/>
      <c r="AH275" s="203"/>
      <c r="AI275" s="203"/>
      <c r="AJ275" s="203"/>
      <c r="AK275" s="203"/>
      <c r="AL275" s="203"/>
      <c r="AM275" s="203"/>
    </row>
    <row r="276" spans="4:39" s="155" customFormat="1" ht="11.25" x14ac:dyDescent="0.2">
      <c r="D276" s="203"/>
      <c r="E276" s="203"/>
      <c r="F276" s="203"/>
      <c r="G276" s="203"/>
      <c r="H276" s="203"/>
      <c r="I276" s="203"/>
      <c r="J276" s="203"/>
      <c r="K276" s="203"/>
      <c r="L276" s="203"/>
      <c r="M276" s="203"/>
      <c r="N276" s="203"/>
      <c r="O276" s="203"/>
      <c r="P276" s="203"/>
      <c r="Q276" s="203"/>
      <c r="R276" s="203"/>
      <c r="S276" s="203"/>
      <c r="T276" s="203"/>
      <c r="U276" s="203"/>
      <c r="V276" s="203"/>
      <c r="W276" s="203"/>
      <c r="X276" s="203"/>
      <c r="Y276" s="203"/>
      <c r="Z276" s="203"/>
      <c r="AA276" s="203"/>
      <c r="AB276" s="203"/>
      <c r="AC276" s="203"/>
      <c r="AD276" s="203"/>
      <c r="AE276" s="203"/>
      <c r="AF276" s="203"/>
      <c r="AG276" s="203"/>
      <c r="AH276" s="203"/>
      <c r="AI276" s="203"/>
      <c r="AJ276" s="203"/>
      <c r="AK276" s="203"/>
      <c r="AL276" s="203"/>
      <c r="AM276" s="203"/>
    </row>
    <row r="277" spans="4:39" s="155" customFormat="1" ht="11.25" x14ac:dyDescent="0.2">
      <c r="D277" s="203"/>
      <c r="E277" s="203"/>
      <c r="F277" s="203"/>
      <c r="G277" s="203"/>
      <c r="H277" s="203"/>
      <c r="I277" s="203"/>
      <c r="J277" s="203"/>
      <c r="K277" s="203"/>
      <c r="L277" s="203"/>
      <c r="M277" s="203"/>
      <c r="N277" s="203"/>
      <c r="O277" s="203"/>
      <c r="P277" s="203"/>
      <c r="Q277" s="203"/>
      <c r="R277" s="203"/>
      <c r="S277" s="203"/>
      <c r="T277" s="203"/>
      <c r="U277" s="203"/>
      <c r="V277" s="203"/>
      <c r="W277" s="203"/>
      <c r="X277" s="203"/>
      <c r="Y277" s="203"/>
      <c r="Z277" s="203"/>
      <c r="AA277" s="203"/>
      <c r="AB277" s="203"/>
      <c r="AC277" s="203"/>
      <c r="AD277" s="203"/>
      <c r="AE277" s="203"/>
      <c r="AF277" s="203"/>
      <c r="AG277" s="203"/>
      <c r="AH277" s="203"/>
      <c r="AI277" s="203"/>
      <c r="AJ277" s="203"/>
      <c r="AK277" s="203"/>
      <c r="AL277" s="203"/>
      <c r="AM277" s="203"/>
    </row>
    <row r="278" spans="4:39" s="155" customFormat="1" ht="11.25" x14ac:dyDescent="0.2">
      <c r="D278" s="203"/>
      <c r="E278" s="203"/>
      <c r="F278" s="203"/>
      <c r="G278" s="203"/>
      <c r="H278" s="203"/>
      <c r="I278" s="203"/>
      <c r="J278" s="203"/>
      <c r="K278" s="203"/>
      <c r="L278" s="203"/>
      <c r="M278" s="203"/>
      <c r="N278" s="203"/>
      <c r="O278" s="203"/>
      <c r="P278" s="203"/>
      <c r="Q278" s="203"/>
      <c r="R278" s="203"/>
      <c r="S278" s="203"/>
      <c r="T278" s="203"/>
      <c r="U278" s="203"/>
      <c r="V278" s="203"/>
      <c r="W278" s="203"/>
      <c r="X278" s="203"/>
      <c r="Y278" s="203"/>
      <c r="Z278" s="203"/>
      <c r="AA278" s="203"/>
      <c r="AB278" s="203"/>
      <c r="AC278" s="203"/>
      <c r="AD278" s="203"/>
      <c r="AE278" s="203"/>
      <c r="AF278" s="203"/>
      <c r="AG278" s="203"/>
      <c r="AH278" s="203"/>
      <c r="AI278" s="203"/>
      <c r="AJ278" s="203"/>
      <c r="AK278" s="203"/>
      <c r="AL278" s="203"/>
      <c r="AM278" s="203"/>
    </row>
    <row r="279" spans="4:39" s="155" customFormat="1" ht="11.25" x14ac:dyDescent="0.2">
      <c r="D279" s="203"/>
      <c r="E279" s="203"/>
      <c r="F279" s="203"/>
      <c r="G279" s="203"/>
      <c r="H279" s="203"/>
      <c r="I279" s="203"/>
      <c r="J279" s="203"/>
      <c r="K279" s="203"/>
      <c r="L279" s="203"/>
      <c r="M279" s="203"/>
      <c r="N279" s="203"/>
      <c r="O279" s="203"/>
      <c r="P279" s="203"/>
      <c r="Q279" s="203"/>
      <c r="R279" s="203"/>
      <c r="S279" s="203"/>
      <c r="T279" s="203"/>
      <c r="U279" s="203"/>
      <c r="V279" s="203"/>
      <c r="W279" s="203"/>
      <c r="X279" s="203"/>
      <c r="Y279" s="203"/>
      <c r="Z279" s="203"/>
      <c r="AA279" s="203"/>
      <c r="AB279" s="203"/>
      <c r="AC279" s="203"/>
      <c r="AD279" s="203"/>
      <c r="AE279" s="203"/>
      <c r="AF279" s="203"/>
      <c r="AG279" s="203"/>
      <c r="AH279" s="203"/>
      <c r="AI279" s="203"/>
      <c r="AJ279" s="203"/>
      <c r="AK279" s="203"/>
      <c r="AL279" s="203"/>
      <c r="AM279" s="203"/>
    </row>
    <row r="280" spans="4:39" s="155" customFormat="1" ht="11.25" x14ac:dyDescent="0.2">
      <c r="D280" s="203"/>
      <c r="E280" s="203"/>
      <c r="F280" s="203"/>
      <c r="G280" s="203"/>
      <c r="H280" s="203"/>
      <c r="I280" s="203"/>
      <c r="J280" s="203"/>
      <c r="K280" s="203"/>
      <c r="L280" s="203"/>
      <c r="M280" s="203"/>
      <c r="N280" s="203"/>
      <c r="O280" s="203"/>
      <c r="P280" s="203"/>
      <c r="Q280" s="203"/>
      <c r="R280" s="203"/>
      <c r="S280" s="203"/>
      <c r="T280" s="203"/>
      <c r="U280" s="203"/>
      <c r="V280" s="203"/>
      <c r="W280" s="203"/>
      <c r="X280" s="203"/>
      <c r="Y280" s="203"/>
      <c r="Z280" s="203"/>
      <c r="AA280" s="203"/>
      <c r="AB280" s="203"/>
      <c r="AC280" s="203"/>
      <c r="AD280" s="203"/>
      <c r="AE280" s="203"/>
      <c r="AF280" s="203"/>
      <c r="AG280" s="203"/>
      <c r="AH280" s="203"/>
      <c r="AI280" s="203"/>
      <c r="AJ280" s="203"/>
      <c r="AK280" s="203"/>
      <c r="AL280" s="203"/>
      <c r="AM280" s="203"/>
    </row>
    <row r="281" spans="4:39" s="155" customFormat="1" ht="11.25" x14ac:dyDescent="0.2">
      <c r="D281" s="203"/>
      <c r="E281" s="203"/>
      <c r="F281" s="203"/>
      <c r="G281" s="203"/>
      <c r="H281" s="203"/>
      <c r="I281" s="203"/>
      <c r="J281" s="203"/>
      <c r="K281" s="203"/>
      <c r="L281" s="203"/>
      <c r="M281" s="203"/>
      <c r="N281" s="203"/>
      <c r="O281" s="203"/>
      <c r="P281" s="203"/>
      <c r="Q281" s="203"/>
      <c r="R281" s="203"/>
      <c r="S281" s="203"/>
      <c r="T281" s="203"/>
      <c r="U281" s="203"/>
      <c r="V281" s="203"/>
      <c r="W281" s="203"/>
      <c r="X281" s="203"/>
      <c r="Y281" s="203"/>
      <c r="Z281" s="203"/>
      <c r="AA281" s="203"/>
      <c r="AB281" s="203"/>
      <c r="AC281" s="203"/>
      <c r="AD281" s="203"/>
      <c r="AE281" s="203"/>
      <c r="AF281" s="203"/>
      <c r="AG281" s="203"/>
      <c r="AH281" s="203"/>
      <c r="AI281" s="203"/>
      <c r="AJ281" s="203"/>
      <c r="AK281" s="203"/>
      <c r="AL281" s="203"/>
      <c r="AM281" s="203"/>
    </row>
    <row r="282" spans="4:39" s="155" customFormat="1" ht="11.25" x14ac:dyDescent="0.2">
      <c r="D282" s="203"/>
      <c r="E282" s="203"/>
      <c r="F282" s="203"/>
      <c r="G282" s="203"/>
      <c r="H282" s="203"/>
      <c r="I282" s="203"/>
      <c r="J282" s="203"/>
      <c r="K282" s="203"/>
      <c r="L282" s="203"/>
      <c r="M282" s="203"/>
      <c r="N282" s="203"/>
      <c r="O282" s="203"/>
      <c r="P282" s="203"/>
      <c r="Q282" s="203"/>
      <c r="R282" s="203"/>
      <c r="S282" s="203"/>
      <c r="T282" s="203"/>
      <c r="U282" s="203"/>
      <c r="V282" s="203"/>
      <c r="W282" s="203"/>
      <c r="X282" s="203"/>
      <c r="Y282" s="203"/>
      <c r="Z282" s="203"/>
      <c r="AA282" s="203"/>
      <c r="AB282" s="203"/>
      <c r="AC282" s="203"/>
      <c r="AD282" s="203"/>
      <c r="AE282" s="203"/>
      <c r="AF282" s="203"/>
      <c r="AG282" s="203"/>
      <c r="AH282" s="203"/>
      <c r="AI282" s="203"/>
      <c r="AJ282" s="203"/>
      <c r="AK282" s="203"/>
      <c r="AL282" s="203"/>
      <c r="AM282" s="203"/>
    </row>
    <row r="283" spans="4:39" s="155" customFormat="1" ht="11.25" x14ac:dyDescent="0.2">
      <c r="D283" s="203"/>
      <c r="E283" s="203"/>
      <c r="F283" s="203"/>
      <c r="G283" s="203"/>
      <c r="H283" s="203"/>
      <c r="I283" s="203"/>
      <c r="J283" s="203"/>
      <c r="K283" s="203"/>
      <c r="L283" s="203"/>
      <c r="M283" s="203"/>
      <c r="N283" s="203"/>
      <c r="O283" s="203"/>
      <c r="P283" s="203"/>
      <c r="Q283" s="203"/>
      <c r="R283" s="203"/>
      <c r="S283" s="203"/>
      <c r="T283" s="203"/>
      <c r="U283" s="203"/>
      <c r="V283" s="203"/>
      <c r="W283" s="203"/>
      <c r="X283" s="203"/>
      <c r="Y283" s="203"/>
      <c r="Z283" s="203"/>
      <c r="AA283" s="203"/>
      <c r="AB283" s="203"/>
      <c r="AC283" s="203"/>
      <c r="AD283" s="203"/>
      <c r="AE283" s="203"/>
      <c r="AF283" s="203"/>
      <c r="AG283" s="203"/>
      <c r="AH283" s="203"/>
      <c r="AI283" s="203"/>
      <c r="AJ283" s="203"/>
      <c r="AK283" s="203"/>
      <c r="AL283" s="203"/>
      <c r="AM283" s="203"/>
    </row>
    <row r="284" spans="4:39" s="155" customFormat="1" ht="11.25" x14ac:dyDescent="0.2">
      <c r="D284" s="203"/>
      <c r="E284" s="203"/>
      <c r="F284" s="203"/>
      <c r="G284" s="203"/>
      <c r="H284" s="203"/>
      <c r="I284" s="203"/>
      <c r="J284" s="203"/>
      <c r="K284" s="203"/>
      <c r="L284" s="203"/>
      <c r="M284" s="203"/>
      <c r="N284" s="203"/>
      <c r="O284" s="203"/>
      <c r="P284" s="203"/>
      <c r="Q284" s="203"/>
      <c r="R284" s="203"/>
      <c r="S284" s="203"/>
      <c r="T284" s="203"/>
      <c r="U284" s="203"/>
      <c r="V284" s="203"/>
      <c r="W284" s="203"/>
      <c r="X284" s="203"/>
      <c r="Y284" s="203"/>
      <c r="Z284" s="203"/>
      <c r="AA284" s="203"/>
      <c r="AB284" s="203"/>
      <c r="AC284" s="203"/>
      <c r="AD284" s="203"/>
      <c r="AE284" s="203"/>
      <c r="AF284" s="203"/>
      <c r="AG284" s="203"/>
      <c r="AH284" s="203"/>
      <c r="AI284" s="203"/>
      <c r="AJ284" s="203"/>
      <c r="AK284" s="203"/>
      <c r="AL284" s="203"/>
      <c r="AM284" s="203"/>
    </row>
    <row r="285" spans="4:39" s="155" customFormat="1" ht="11.25" x14ac:dyDescent="0.2">
      <c r="D285" s="203"/>
      <c r="E285" s="203"/>
      <c r="F285" s="203"/>
      <c r="G285" s="203"/>
      <c r="H285" s="203"/>
      <c r="I285" s="203"/>
      <c r="J285" s="203"/>
      <c r="K285" s="203"/>
      <c r="L285" s="203"/>
      <c r="M285" s="203"/>
      <c r="N285" s="203"/>
      <c r="O285" s="203"/>
      <c r="P285" s="203"/>
      <c r="Q285" s="203"/>
      <c r="R285" s="203"/>
      <c r="S285" s="203"/>
      <c r="T285" s="203"/>
      <c r="U285" s="203"/>
      <c r="V285" s="203"/>
      <c r="W285" s="203"/>
      <c r="X285" s="203"/>
      <c r="Y285" s="203"/>
      <c r="Z285" s="203"/>
      <c r="AA285" s="203"/>
      <c r="AB285" s="203"/>
      <c r="AC285" s="203"/>
      <c r="AD285" s="203"/>
      <c r="AE285" s="203"/>
      <c r="AF285" s="203"/>
      <c r="AG285" s="203"/>
      <c r="AH285" s="203"/>
      <c r="AI285" s="203"/>
      <c r="AJ285" s="203"/>
      <c r="AK285" s="203"/>
      <c r="AL285" s="203"/>
      <c r="AM285" s="203"/>
    </row>
    <row r="286" spans="4:39" s="155" customFormat="1" ht="11.25" x14ac:dyDescent="0.2">
      <c r="D286" s="203"/>
      <c r="E286" s="203"/>
      <c r="F286" s="203"/>
      <c r="G286" s="203"/>
      <c r="H286" s="203"/>
      <c r="I286" s="203"/>
      <c r="J286" s="203"/>
      <c r="K286" s="203"/>
      <c r="L286" s="203"/>
      <c r="M286" s="203"/>
      <c r="N286" s="203"/>
      <c r="O286" s="203"/>
      <c r="P286" s="203"/>
      <c r="Q286" s="203"/>
      <c r="R286" s="203"/>
      <c r="S286" s="203"/>
      <c r="T286" s="203"/>
      <c r="U286" s="203"/>
      <c r="V286" s="203"/>
      <c r="W286" s="203"/>
      <c r="X286" s="203"/>
      <c r="Y286" s="203"/>
      <c r="Z286" s="203"/>
      <c r="AA286" s="203"/>
      <c r="AB286" s="203"/>
      <c r="AC286" s="203"/>
      <c r="AD286" s="203"/>
      <c r="AE286" s="203"/>
      <c r="AF286" s="203"/>
      <c r="AG286" s="203"/>
      <c r="AH286" s="203"/>
      <c r="AI286" s="203"/>
      <c r="AJ286" s="203"/>
      <c r="AK286" s="203"/>
      <c r="AL286" s="203"/>
      <c r="AM286" s="203"/>
    </row>
    <row r="287" spans="4:39" s="155" customFormat="1" ht="11.25" x14ac:dyDescent="0.2">
      <c r="D287" s="203"/>
      <c r="E287" s="203"/>
      <c r="F287" s="203"/>
      <c r="G287" s="203"/>
      <c r="H287" s="203"/>
      <c r="I287" s="203"/>
      <c r="J287" s="203"/>
      <c r="K287" s="203"/>
      <c r="L287" s="203"/>
      <c r="M287" s="203"/>
      <c r="N287" s="203"/>
      <c r="O287" s="203"/>
      <c r="P287" s="203"/>
      <c r="Q287" s="203"/>
      <c r="R287" s="203"/>
      <c r="S287" s="203"/>
      <c r="T287" s="203"/>
      <c r="U287" s="203"/>
      <c r="V287" s="203"/>
      <c r="W287" s="203"/>
      <c r="X287" s="203"/>
      <c r="Y287" s="203"/>
      <c r="Z287" s="203"/>
      <c r="AA287" s="203"/>
      <c r="AB287" s="203"/>
      <c r="AC287" s="203"/>
      <c r="AD287" s="203"/>
      <c r="AE287" s="203"/>
      <c r="AF287" s="203"/>
      <c r="AG287" s="203"/>
      <c r="AH287" s="203"/>
      <c r="AI287" s="203"/>
      <c r="AJ287" s="203"/>
      <c r="AK287" s="203"/>
      <c r="AL287" s="203"/>
      <c r="AM287" s="203"/>
    </row>
    <row r="288" spans="4:39" s="155" customFormat="1" ht="11.25" x14ac:dyDescent="0.2">
      <c r="D288" s="203"/>
      <c r="E288" s="203"/>
      <c r="F288" s="203"/>
      <c r="G288" s="203"/>
      <c r="H288" s="203"/>
      <c r="I288" s="203"/>
      <c r="J288" s="203"/>
      <c r="K288" s="203"/>
      <c r="L288" s="203"/>
      <c r="M288" s="203"/>
      <c r="N288" s="203"/>
      <c r="O288" s="203"/>
      <c r="P288" s="203"/>
      <c r="Q288" s="203"/>
      <c r="R288" s="203"/>
      <c r="S288" s="203"/>
      <c r="T288" s="203"/>
      <c r="U288" s="203"/>
      <c r="V288" s="203"/>
      <c r="W288" s="203"/>
      <c r="X288" s="203"/>
      <c r="Y288" s="203"/>
      <c r="Z288" s="203"/>
      <c r="AA288" s="203"/>
      <c r="AB288" s="203"/>
      <c r="AC288" s="203"/>
      <c r="AD288" s="203"/>
      <c r="AE288" s="203"/>
      <c r="AF288" s="203"/>
      <c r="AG288" s="203"/>
      <c r="AH288" s="203"/>
      <c r="AI288" s="203"/>
      <c r="AJ288" s="203"/>
      <c r="AK288" s="203"/>
      <c r="AL288" s="203"/>
      <c r="AM288" s="203"/>
    </row>
    <row r="289" spans="4:39" s="155" customFormat="1" ht="11.25" x14ac:dyDescent="0.2">
      <c r="D289" s="203"/>
      <c r="E289" s="203"/>
      <c r="F289" s="203"/>
      <c r="G289" s="203"/>
      <c r="H289" s="203"/>
      <c r="I289" s="203"/>
      <c r="J289" s="203"/>
      <c r="K289" s="203"/>
      <c r="L289" s="203"/>
      <c r="M289" s="203"/>
      <c r="N289" s="203"/>
      <c r="O289" s="203"/>
      <c r="P289" s="203"/>
      <c r="Q289" s="203"/>
      <c r="R289" s="203"/>
      <c r="S289" s="203"/>
      <c r="T289" s="203"/>
      <c r="U289" s="203"/>
      <c r="V289" s="203"/>
      <c r="W289" s="203"/>
      <c r="X289" s="203"/>
      <c r="Y289" s="203"/>
      <c r="Z289" s="203"/>
      <c r="AA289" s="203"/>
      <c r="AB289" s="203"/>
      <c r="AC289" s="203"/>
      <c r="AD289" s="203"/>
      <c r="AE289" s="203"/>
      <c r="AF289" s="203"/>
      <c r="AG289" s="203"/>
      <c r="AH289" s="203"/>
      <c r="AI289" s="203"/>
      <c r="AJ289" s="203"/>
      <c r="AK289" s="203"/>
      <c r="AL289" s="203"/>
      <c r="AM289" s="203"/>
    </row>
    <row r="290" spans="4:39" s="155" customFormat="1" ht="11.25" x14ac:dyDescent="0.2"/>
    <row r="291" spans="4:39" s="155" customFormat="1" ht="11.25" x14ac:dyDescent="0.2"/>
    <row r="292" spans="4:39" s="155" customFormat="1" ht="11.25" x14ac:dyDescent="0.2"/>
    <row r="293" spans="4:39" s="155" customFormat="1" ht="11.25" x14ac:dyDescent="0.2"/>
    <row r="294" spans="4:39" s="155" customFormat="1" ht="11.25" x14ac:dyDescent="0.2"/>
    <row r="295" spans="4:39" s="155" customFormat="1" ht="11.25" x14ac:dyDescent="0.2"/>
    <row r="296" spans="4:39" s="155" customFormat="1" ht="11.25" x14ac:dyDescent="0.2"/>
    <row r="297" spans="4:39" s="155" customFormat="1" ht="11.25" x14ac:dyDescent="0.2"/>
    <row r="298" spans="4:39" s="155" customFormat="1" ht="11.25" x14ac:dyDescent="0.2"/>
    <row r="299" spans="4:39" s="155" customFormat="1" ht="11.25" x14ac:dyDescent="0.2"/>
    <row r="300" spans="4:39" s="155" customFormat="1" ht="11.25" x14ac:dyDescent="0.2"/>
    <row r="301" spans="4:39" s="155" customFormat="1" ht="11.25" x14ac:dyDescent="0.2"/>
    <row r="302" spans="4:39" s="155" customFormat="1" ht="11.25" x14ac:dyDescent="0.2"/>
    <row r="303" spans="4:39" s="155" customFormat="1" ht="11.25" x14ac:dyDescent="0.2"/>
    <row r="304" spans="4:39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38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973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871226251</v>
      </c>
      <c r="E14" s="432">
        <f>SUM(E15,E16,E33,E54)</f>
        <v>234943840</v>
      </c>
      <c r="F14" s="432">
        <f t="shared" ref="F14:O14" si="0">SUM(F15,F16,F33,F54)</f>
        <v>103802653</v>
      </c>
      <c r="G14" s="432">
        <f t="shared" si="0"/>
        <v>36229760</v>
      </c>
      <c r="H14" s="432">
        <f t="shared" si="0"/>
        <v>32933971</v>
      </c>
      <c r="I14" s="432">
        <f t="shared" si="0"/>
        <v>220858814</v>
      </c>
      <c r="J14" s="432">
        <f t="shared" si="0"/>
        <v>19885000</v>
      </c>
      <c r="K14" s="432">
        <f t="shared" si="0"/>
        <v>165302800</v>
      </c>
      <c r="L14" s="432">
        <f t="shared" si="0"/>
        <v>0</v>
      </c>
      <c r="M14" s="432">
        <f t="shared" si="0"/>
        <v>111873336</v>
      </c>
      <c r="N14" s="432">
        <f t="shared" si="0"/>
        <v>78334894</v>
      </c>
      <c r="O14" s="432">
        <f t="shared" si="0"/>
        <v>7093596</v>
      </c>
      <c r="P14" s="432">
        <f>IF(SUM(Q14:AB14)=SUM(AC14:AM14),SUM(Q14:AB14),"  EROARE ART/CAP")</f>
        <v>837517014</v>
      </c>
      <c r="Q14" s="432">
        <f t="shared" ref="Q14:AM14" si="1">Q15+Q16+Q33+Q54</f>
        <v>296564468</v>
      </c>
      <c r="R14" s="432">
        <f t="shared" si="1"/>
        <v>191222773</v>
      </c>
      <c r="S14" s="432">
        <f t="shared" si="1"/>
        <v>3171304</v>
      </c>
      <c r="T14" s="432">
        <f t="shared" si="1"/>
        <v>679513</v>
      </c>
      <c r="U14" s="432">
        <f t="shared" si="1"/>
        <v>61097911</v>
      </c>
      <c r="V14" s="432">
        <f t="shared" si="1"/>
        <v>2951815</v>
      </c>
      <c r="W14" s="432">
        <f t="shared" si="1"/>
        <v>117446075</v>
      </c>
      <c r="X14" s="432">
        <f t="shared" si="1"/>
        <v>31738934</v>
      </c>
      <c r="Y14" s="432">
        <f t="shared" si="1"/>
        <v>9522124</v>
      </c>
      <c r="Z14" s="432">
        <f t="shared" si="1"/>
        <v>109514743</v>
      </c>
      <c r="AA14" s="432">
        <f t="shared" si="1"/>
        <v>14292893</v>
      </c>
      <c r="AB14" s="432">
        <f t="shared" si="1"/>
        <v>-685539</v>
      </c>
      <c r="AC14" s="432">
        <f t="shared" si="1"/>
        <v>120093800</v>
      </c>
      <c r="AD14" s="432">
        <f t="shared" si="1"/>
        <v>10898138</v>
      </c>
      <c r="AE14" s="432">
        <f t="shared" si="1"/>
        <v>230466179</v>
      </c>
      <c r="AF14" s="432">
        <f t="shared" si="1"/>
        <v>11097941</v>
      </c>
      <c r="AG14" s="432">
        <f t="shared" si="1"/>
        <v>33420721</v>
      </c>
      <c r="AH14" s="432">
        <f t="shared" si="1"/>
        <v>115728808</v>
      </c>
      <c r="AI14" s="432">
        <f t="shared" si="1"/>
        <v>88256946</v>
      </c>
      <c r="AJ14" s="432">
        <f t="shared" si="1"/>
        <v>27709387</v>
      </c>
      <c r="AK14" s="432">
        <f t="shared" si="1"/>
        <v>0</v>
      </c>
      <c r="AL14" s="432">
        <f t="shared" si="1"/>
        <v>118671824</v>
      </c>
      <c r="AM14" s="432">
        <f t="shared" si="1"/>
        <v>81173270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242977682</v>
      </c>
      <c r="E15" s="431">
        <v>41068734</v>
      </c>
      <c r="F15" s="431">
        <v>22044942</v>
      </c>
      <c r="G15" s="431">
        <v>15900209</v>
      </c>
      <c r="H15" s="431">
        <v>32933971</v>
      </c>
      <c r="I15" s="431">
        <v>0</v>
      </c>
      <c r="J15" s="431">
        <v>19885000</v>
      </c>
      <c r="K15" s="431">
        <v>62703470</v>
      </c>
      <c r="L15" s="431">
        <v>0</v>
      </c>
      <c r="M15" s="431">
        <v>64273643</v>
      </c>
      <c r="N15" s="431">
        <v>21995375</v>
      </c>
      <c r="O15" s="431">
        <v>117489</v>
      </c>
      <c r="P15" s="438">
        <f>IF(SUM(Q15:AB15)=SUM(AC15:AM15),SUM(Q15:AB15),"  EROARE ART/CAP")</f>
        <v>227744450</v>
      </c>
      <c r="Q15" s="431">
        <v>26877707</v>
      </c>
      <c r="R15" s="431">
        <v>56532908</v>
      </c>
      <c r="S15" s="431">
        <v>1505200</v>
      </c>
      <c r="T15" s="431">
        <v>0</v>
      </c>
      <c r="U15" s="431">
        <v>55820117</v>
      </c>
      <c r="V15" s="431">
        <v>0</v>
      </c>
      <c r="W15" s="431">
        <v>52853985</v>
      </c>
      <c r="X15" s="431">
        <v>6969605</v>
      </c>
      <c r="Y15" s="431">
        <v>3429893</v>
      </c>
      <c r="Z15" s="431">
        <v>20161139</v>
      </c>
      <c r="AA15" s="431">
        <v>3744991</v>
      </c>
      <c r="AB15" s="431">
        <v>-151095</v>
      </c>
      <c r="AC15" s="431">
        <v>10912805</v>
      </c>
      <c r="AD15" s="431">
        <v>542973</v>
      </c>
      <c r="AE15" s="431">
        <v>15466591</v>
      </c>
      <c r="AF15" s="431">
        <v>5011921</v>
      </c>
      <c r="AG15" s="431">
        <v>7860330</v>
      </c>
      <c r="AH15" s="431">
        <v>63699089</v>
      </c>
      <c r="AI15" s="431">
        <v>1073289</v>
      </c>
      <c r="AJ15" s="431">
        <v>0</v>
      </c>
      <c r="AK15" s="431">
        <v>0</v>
      </c>
      <c r="AL15" s="431">
        <v>50692159</v>
      </c>
      <c r="AM15" s="431">
        <v>72485293</v>
      </c>
    </row>
    <row r="16" spans="1:39" s="155" customFormat="1" ht="12" x14ac:dyDescent="0.2">
      <c r="A16" s="156" t="s">
        <v>72</v>
      </c>
      <c r="B16" s="157"/>
      <c r="C16" s="159"/>
      <c r="D16" s="432">
        <f>E16+SUM(H16:O16)</f>
        <v>227805106</v>
      </c>
      <c r="E16" s="433">
        <f>SUM(E18:E32)</f>
        <v>85396741</v>
      </c>
      <c r="F16" s="433">
        <f t="shared" ref="F16:O16" si="2">SUM(F18:F32)</f>
        <v>47119670</v>
      </c>
      <c r="G16" s="433">
        <f t="shared" si="2"/>
        <v>1495147</v>
      </c>
      <c r="H16" s="433">
        <f t="shared" si="2"/>
        <v>0</v>
      </c>
      <c r="I16" s="433">
        <f t="shared" si="2"/>
        <v>88959403</v>
      </c>
      <c r="J16" s="433">
        <f t="shared" si="2"/>
        <v>0</v>
      </c>
      <c r="K16" s="433">
        <f t="shared" si="2"/>
        <v>12935500</v>
      </c>
      <c r="L16" s="433">
        <f t="shared" si="2"/>
        <v>0</v>
      </c>
      <c r="M16" s="433">
        <f t="shared" si="2"/>
        <v>14727853</v>
      </c>
      <c r="N16" s="433">
        <f t="shared" si="2"/>
        <v>25182357</v>
      </c>
      <c r="O16" s="433">
        <f t="shared" si="2"/>
        <v>603252</v>
      </c>
      <c r="P16" s="432">
        <f t="shared" ref="P16:P54" si="3">IF(SUM(Q16:AB16)=SUM(AC16:AM16),SUM(Q16:AB16),"  EROARE ART/CAP")</f>
        <v>224605992</v>
      </c>
      <c r="Q16" s="432">
        <f>SUM(Q18:Q32)</f>
        <v>100517506</v>
      </c>
      <c r="R16" s="432">
        <f t="shared" ref="R16:AM16" si="4">SUM(R18:R32)</f>
        <v>47194659</v>
      </c>
      <c r="S16" s="432">
        <f t="shared" si="4"/>
        <v>1361306</v>
      </c>
      <c r="T16" s="432">
        <f t="shared" si="4"/>
        <v>679513</v>
      </c>
      <c r="U16" s="432">
        <f t="shared" si="4"/>
        <v>3558505</v>
      </c>
      <c r="V16" s="432">
        <f t="shared" si="4"/>
        <v>2422524</v>
      </c>
      <c r="W16" s="432">
        <f t="shared" si="4"/>
        <v>38521984</v>
      </c>
      <c r="X16" s="432">
        <f t="shared" si="4"/>
        <v>4424334</v>
      </c>
      <c r="Y16" s="432">
        <f t="shared" si="4"/>
        <v>1908324</v>
      </c>
      <c r="Z16" s="432">
        <f t="shared" si="4"/>
        <v>19948879</v>
      </c>
      <c r="AA16" s="432">
        <f t="shared" si="4"/>
        <v>4205016</v>
      </c>
      <c r="AB16" s="432">
        <f t="shared" si="4"/>
        <v>-136558</v>
      </c>
      <c r="AC16" s="432">
        <f t="shared" si="4"/>
        <v>15747084</v>
      </c>
      <c r="AD16" s="432">
        <f t="shared" si="4"/>
        <v>3346488</v>
      </c>
      <c r="AE16" s="432">
        <f t="shared" si="4"/>
        <v>98346797</v>
      </c>
      <c r="AF16" s="432">
        <f t="shared" si="4"/>
        <v>3591609</v>
      </c>
      <c r="AG16" s="432">
        <f t="shared" si="4"/>
        <v>10585199</v>
      </c>
      <c r="AH16" s="432">
        <f t="shared" si="4"/>
        <v>15765449</v>
      </c>
      <c r="AI16" s="432">
        <f t="shared" si="4"/>
        <v>52728956</v>
      </c>
      <c r="AJ16" s="432">
        <f t="shared" si="4"/>
        <v>6834232</v>
      </c>
      <c r="AK16" s="432">
        <f t="shared" si="4"/>
        <v>0</v>
      </c>
      <c r="AL16" s="432">
        <f t="shared" si="4"/>
        <v>16948203</v>
      </c>
      <c r="AM16" s="432">
        <f t="shared" si="4"/>
        <v>711975</v>
      </c>
    </row>
    <row r="17" spans="1:39" s="155" customFormat="1" ht="22.5" x14ac:dyDescent="0.2">
      <c r="A17" s="277" t="s">
        <v>2306</v>
      </c>
      <c r="B17" s="279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234">
        <v>1</v>
      </c>
      <c r="B18" s="305">
        <v>151790</v>
      </c>
      <c r="C18" s="175" t="s">
        <v>1896</v>
      </c>
      <c r="D18" s="438">
        <f t="shared" ref="D18:D20" si="5">E18+SUM(H18:O18)</f>
        <v>105771161</v>
      </c>
      <c r="E18" s="431">
        <v>52401094</v>
      </c>
      <c r="F18" s="431">
        <v>32033918</v>
      </c>
      <c r="G18" s="431">
        <v>519336</v>
      </c>
      <c r="H18" s="431">
        <v>0</v>
      </c>
      <c r="I18" s="431">
        <v>41698795</v>
      </c>
      <c r="J18" s="431">
        <v>0</v>
      </c>
      <c r="K18" s="431">
        <v>3108200</v>
      </c>
      <c r="L18" s="431">
        <v>0</v>
      </c>
      <c r="M18" s="431">
        <v>3176670</v>
      </c>
      <c r="N18" s="431">
        <v>5011861</v>
      </c>
      <c r="O18" s="431">
        <v>374541</v>
      </c>
      <c r="P18" s="438">
        <f>IF(SUM(Q18:AB18)=SUM(AC18:AM18),SUM(Q18:AB18),"  EROARE ART/CAP")</f>
        <v>105255443</v>
      </c>
      <c r="Q18" s="431">
        <v>51278256</v>
      </c>
      <c r="R18" s="431">
        <v>23108658</v>
      </c>
      <c r="S18" s="431">
        <v>543274</v>
      </c>
      <c r="T18" s="431">
        <v>496174</v>
      </c>
      <c r="U18" s="431">
        <v>0</v>
      </c>
      <c r="V18" s="431">
        <v>1793194</v>
      </c>
      <c r="W18" s="431">
        <v>8239588</v>
      </c>
      <c r="X18" s="431">
        <v>1551783</v>
      </c>
      <c r="Y18" s="431">
        <v>1721221</v>
      </c>
      <c r="Z18" s="431">
        <v>12946283</v>
      </c>
      <c r="AA18" s="431">
        <v>3631716</v>
      </c>
      <c r="AB18" s="431">
        <v>-54704</v>
      </c>
      <c r="AC18" s="431">
        <v>7772592</v>
      </c>
      <c r="AD18" s="431">
        <v>1953205</v>
      </c>
      <c r="AE18" s="431">
        <v>51204079</v>
      </c>
      <c r="AF18" s="431">
        <v>945340</v>
      </c>
      <c r="AG18" s="431">
        <v>8129948</v>
      </c>
      <c r="AH18" s="431">
        <v>9397578</v>
      </c>
      <c r="AI18" s="431">
        <v>17156988</v>
      </c>
      <c r="AJ18" s="431">
        <v>2004946</v>
      </c>
      <c r="AK18" s="431">
        <v>0</v>
      </c>
      <c r="AL18" s="431">
        <v>6685763</v>
      </c>
      <c r="AM18" s="431">
        <v>5004</v>
      </c>
    </row>
    <row r="19" spans="1:39" s="155" customFormat="1" ht="12" x14ac:dyDescent="0.2">
      <c r="A19" s="234">
        <v>2</v>
      </c>
      <c r="B19" s="305">
        <v>151683</v>
      </c>
      <c r="C19" s="175" t="s">
        <v>1897</v>
      </c>
      <c r="D19" s="438">
        <f t="shared" si="5"/>
        <v>43100970</v>
      </c>
      <c r="E19" s="431">
        <v>15709193</v>
      </c>
      <c r="F19" s="431">
        <v>6841655</v>
      </c>
      <c r="G19" s="431">
        <v>544481</v>
      </c>
      <c r="H19" s="431">
        <v>0</v>
      </c>
      <c r="I19" s="431">
        <v>21420176</v>
      </c>
      <c r="J19" s="431">
        <v>0</v>
      </c>
      <c r="K19" s="431">
        <v>3798930</v>
      </c>
      <c r="L19" s="431">
        <v>0</v>
      </c>
      <c r="M19" s="431">
        <v>1437069</v>
      </c>
      <c r="N19" s="431">
        <v>642253</v>
      </c>
      <c r="O19" s="431">
        <v>93349</v>
      </c>
      <c r="P19" s="438">
        <f>IF(SUM(Q19:AB19)=SUM(AC19:AM19),SUM(Q19:AB19),"  EROARE ART/CAP")</f>
        <v>40272920</v>
      </c>
      <c r="Q19" s="431">
        <v>21742789</v>
      </c>
      <c r="R19" s="431">
        <v>10251057</v>
      </c>
      <c r="S19" s="431">
        <v>148787</v>
      </c>
      <c r="T19" s="431">
        <v>55608</v>
      </c>
      <c r="U19" s="431">
        <v>604731</v>
      </c>
      <c r="V19" s="431">
        <v>0</v>
      </c>
      <c r="W19" s="431">
        <v>602810</v>
      </c>
      <c r="X19" s="431">
        <v>1112229</v>
      </c>
      <c r="Y19" s="431">
        <v>0</v>
      </c>
      <c r="Z19" s="431">
        <v>5242107</v>
      </c>
      <c r="AA19" s="431">
        <v>520609</v>
      </c>
      <c r="AB19" s="431">
        <v>-7807</v>
      </c>
      <c r="AC19" s="431">
        <v>3202249</v>
      </c>
      <c r="AD19" s="431">
        <v>449</v>
      </c>
      <c r="AE19" s="431">
        <v>22572398</v>
      </c>
      <c r="AF19" s="431">
        <v>810890</v>
      </c>
      <c r="AG19" s="431">
        <v>807104</v>
      </c>
      <c r="AH19" s="431">
        <v>2715866</v>
      </c>
      <c r="AI19" s="431">
        <v>2517878</v>
      </c>
      <c r="AJ19" s="431">
        <v>2039123</v>
      </c>
      <c r="AK19" s="431">
        <v>0</v>
      </c>
      <c r="AL19" s="431">
        <v>5079492</v>
      </c>
      <c r="AM19" s="431">
        <v>527471</v>
      </c>
    </row>
    <row r="20" spans="1:39" s="155" customFormat="1" ht="12" x14ac:dyDescent="0.2">
      <c r="A20" s="234">
        <v>3</v>
      </c>
      <c r="B20" s="305">
        <v>151870</v>
      </c>
      <c r="C20" s="175" t="s">
        <v>1898</v>
      </c>
      <c r="D20" s="438">
        <f t="shared" si="5"/>
        <v>78932975</v>
      </c>
      <c r="E20" s="431">
        <v>17286454</v>
      </c>
      <c r="F20" s="431">
        <v>8244097</v>
      </c>
      <c r="G20" s="431">
        <v>431330</v>
      </c>
      <c r="H20" s="431">
        <v>0</v>
      </c>
      <c r="I20" s="431">
        <v>25840432</v>
      </c>
      <c r="J20" s="431">
        <v>0</v>
      </c>
      <c r="K20" s="431">
        <v>6028370</v>
      </c>
      <c r="L20" s="431">
        <v>0</v>
      </c>
      <c r="M20" s="431">
        <v>10114114</v>
      </c>
      <c r="N20" s="431">
        <v>19528243</v>
      </c>
      <c r="O20" s="431">
        <v>135362</v>
      </c>
      <c r="P20" s="438">
        <f>IF(SUM(Q20:AB20)=SUM(AC20:AM20),SUM(Q20:AB20),"  EROARE ART/CAP")</f>
        <v>79077629</v>
      </c>
      <c r="Q20" s="431">
        <v>27496461</v>
      </c>
      <c r="R20" s="431">
        <v>13834944</v>
      </c>
      <c r="S20" s="431">
        <v>669245</v>
      </c>
      <c r="T20" s="431">
        <v>127731</v>
      </c>
      <c r="U20" s="431">
        <v>2953774</v>
      </c>
      <c r="V20" s="431">
        <v>629330</v>
      </c>
      <c r="W20" s="431">
        <v>29679586</v>
      </c>
      <c r="X20" s="431">
        <v>1760322</v>
      </c>
      <c r="Y20" s="431">
        <v>187103</v>
      </c>
      <c r="Z20" s="431">
        <v>1760489</v>
      </c>
      <c r="AA20" s="431">
        <v>52691</v>
      </c>
      <c r="AB20" s="431">
        <v>-74047</v>
      </c>
      <c r="AC20" s="431">
        <v>4772243</v>
      </c>
      <c r="AD20" s="431">
        <v>1392834</v>
      </c>
      <c r="AE20" s="431">
        <v>24570320</v>
      </c>
      <c r="AF20" s="431">
        <v>1835379</v>
      </c>
      <c r="AG20" s="431">
        <v>1648147</v>
      </c>
      <c r="AH20" s="431">
        <v>3652005</v>
      </c>
      <c r="AI20" s="431">
        <v>33054090</v>
      </c>
      <c r="AJ20" s="431">
        <v>2790163</v>
      </c>
      <c r="AK20" s="431">
        <v>0</v>
      </c>
      <c r="AL20" s="431">
        <v>5182948</v>
      </c>
      <c r="AM20" s="431">
        <v>179500</v>
      </c>
    </row>
    <row r="21" spans="1:39" s="155" customFormat="1" ht="12" hidden="1" x14ac:dyDescent="0.2">
      <c r="A21" s="234">
        <v>4</v>
      </c>
      <c r="B21" s="234"/>
      <c r="C21" s="259"/>
      <c r="D21" s="432">
        <f t="shared" ref="D21:D41" si="6">E21+SUM(H21:O21)</f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3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234">
        <v>5</v>
      </c>
      <c r="B22" s="234"/>
      <c r="C22" s="259"/>
      <c r="D22" s="432">
        <f t="shared" si="6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3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234">
        <v>6</v>
      </c>
      <c r="B23" s="234"/>
      <c r="C23" s="259"/>
      <c r="D23" s="432">
        <f t="shared" si="6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3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234">
        <v>7</v>
      </c>
      <c r="B24" s="234"/>
      <c r="C24" s="259"/>
      <c r="D24" s="432">
        <f t="shared" si="6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3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234">
        <v>8</v>
      </c>
      <c r="B25" s="234"/>
      <c r="C25" s="259"/>
      <c r="D25" s="432">
        <f t="shared" si="6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3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234">
        <v>9</v>
      </c>
      <c r="B26" s="234"/>
      <c r="C26" s="259"/>
      <c r="D26" s="432">
        <f t="shared" si="6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3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234">
        <v>10</v>
      </c>
      <c r="B27" s="234"/>
      <c r="C27" s="259"/>
      <c r="D27" s="432">
        <f t="shared" si="6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3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234">
        <v>11</v>
      </c>
      <c r="B28" s="234"/>
      <c r="C28" s="259"/>
      <c r="D28" s="432">
        <f t="shared" si="6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3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234">
        <v>12</v>
      </c>
      <c r="B29" s="234"/>
      <c r="C29" s="259"/>
      <c r="D29" s="432">
        <f t="shared" si="6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3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234">
        <v>13</v>
      </c>
      <c r="B30" s="234"/>
      <c r="C30" s="259"/>
      <c r="D30" s="432">
        <f t="shared" si="6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3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234">
        <v>14</v>
      </c>
      <c r="B31" s="234"/>
      <c r="C31" s="259"/>
      <c r="D31" s="432">
        <f t="shared" si="6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3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234">
        <v>15</v>
      </c>
      <c r="B32" s="234"/>
      <c r="C32" s="207"/>
      <c r="D32" s="432">
        <f t="shared" si="6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3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4"/>
      <c r="C33" s="208"/>
      <c r="D33" s="432">
        <f t="shared" si="6"/>
        <v>43184305</v>
      </c>
      <c r="E33" s="432">
        <f>SUM(E34:E53)</f>
        <v>21123405</v>
      </c>
      <c r="F33" s="432">
        <f t="shared" ref="F33:O33" si="7">SUM(F34:F53)</f>
        <v>10513592</v>
      </c>
      <c r="G33" s="432">
        <f t="shared" si="7"/>
        <v>676569</v>
      </c>
      <c r="H33" s="432">
        <f t="shared" si="7"/>
        <v>0</v>
      </c>
      <c r="I33" s="432">
        <f t="shared" si="7"/>
        <v>17967057</v>
      </c>
      <c r="J33" s="432">
        <f t="shared" si="7"/>
        <v>0</v>
      </c>
      <c r="K33" s="432">
        <f t="shared" si="7"/>
        <v>1532200</v>
      </c>
      <c r="L33" s="432">
        <f t="shared" si="7"/>
        <v>0</v>
      </c>
      <c r="M33" s="432">
        <f t="shared" si="7"/>
        <v>1851818</v>
      </c>
      <c r="N33" s="432">
        <f t="shared" si="7"/>
        <v>433911</v>
      </c>
      <c r="O33" s="432">
        <f t="shared" si="7"/>
        <v>275914</v>
      </c>
      <c r="P33" s="432">
        <f t="shared" si="3"/>
        <v>43817084</v>
      </c>
      <c r="Q33" s="432">
        <f>SUM(Q34:Q53)</f>
        <v>21011800</v>
      </c>
      <c r="R33" s="432">
        <f t="shared" ref="R33:AM33" si="8">SUM(R34:R53)</f>
        <v>15544363</v>
      </c>
      <c r="S33" s="432">
        <f t="shared" si="8"/>
        <v>8000</v>
      </c>
      <c r="T33" s="432">
        <f t="shared" si="8"/>
        <v>0</v>
      </c>
      <c r="U33" s="432">
        <f t="shared" si="8"/>
        <v>1421289</v>
      </c>
      <c r="V33" s="432">
        <f t="shared" si="8"/>
        <v>160604</v>
      </c>
      <c r="W33" s="432">
        <f t="shared" si="8"/>
        <v>892390</v>
      </c>
      <c r="X33" s="432">
        <f t="shared" si="8"/>
        <v>1176836</v>
      </c>
      <c r="Y33" s="432">
        <f t="shared" si="8"/>
        <v>914144</v>
      </c>
      <c r="Z33" s="432">
        <f t="shared" si="8"/>
        <v>2596726</v>
      </c>
      <c r="AA33" s="432">
        <f t="shared" si="8"/>
        <v>123712</v>
      </c>
      <c r="AB33" s="432">
        <f t="shared" si="8"/>
        <v>-32780</v>
      </c>
      <c r="AC33" s="432">
        <f t="shared" si="8"/>
        <v>11185628</v>
      </c>
      <c r="AD33" s="432">
        <f t="shared" si="8"/>
        <v>916299</v>
      </c>
      <c r="AE33" s="432">
        <f t="shared" si="8"/>
        <v>16787124</v>
      </c>
      <c r="AF33" s="432">
        <f t="shared" si="8"/>
        <v>1614617</v>
      </c>
      <c r="AG33" s="432">
        <f t="shared" si="8"/>
        <v>2875080</v>
      </c>
      <c r="AH33" s="432">
        <f t="shared" si="8"/>
        <v>3129980</v>
      </c>
      <c r="AI33" s="432">
        <f t="shared" si="8"/>
        <v>817397</v>
      </c>
      <c r="AJ33" s="432">
        <f t="shared" si="8"/>
        <v>1064926</v>
      </c>
      <c r="AK33" s="432">
        <f t="shared" si="8"/>
        <v>0</v>
      </c>
      <c r="AL33" s="432">
        <f t="shared" si="8"/>
        <v>4159345</v>
      </c>
      <c r="AM33" s="432">
        <f t="shared" si="8"/>
        <v>1266688</v>
      </c>
    </row>
    <row r="34" spans="1:39" s="155" customFormat="1" ht="12" x14ac:dyDescent="0.2">
      <c r="A34" s="234">
        <v>1</v>
      </c>
      <c r="B34" s="305">
        <v>151978</v>
      </c>
      <c r="C34" s="175" t="s">
        <v>1899</v>
      </c>
      <c r="D34" s="438">
        <f t="shared" ref="D34:D35" si="9">E34+SUM(H34:O34)</f>
        <v>21589587</v>
      </c>
      <c r="E34" s="431">
        <v>10523950</v>
      </c>
      <c r="F34" s="431">
        <v>4905190</v>
      </c>
      <c r="G34" s="431">
        <v>348188</v>
      </c>
      <c r="H34" s="431">
        <v>0</v>
      </c>
      <c r="I34" s="431">
        <v>8083058</v>
      </c>
      <c r="J34" s="431">
        <v>0</v>
      </c>
      <c r="K34" s="431">
        <v>812010</v>
      </c>
      <c r="L34" s="431">
        <v>0</v>
      </c>
      <c r="M34" s="431">
        <v>1597044</v>
      </c>
      <c r="N34" s="431">
        <v>433911</v>
      </c>
      <c r="O34" s="431">
        <v>139614</v>
      </c>
      <c r="P34" s="438">
        <f>IF(SUM(Q34:AB34)=SUM(AC34:AM34),SUM(Q34:AB34),"  EROARE ART/CAP")</f>
        <v>19415373</v>
      </c>
      <c r="Q34" s="431">
        <v>8989678</v>
      </c>
      <c r="R34" s="431">
        <v>5261513</v>
      </c>
      <c r="S34" s="431">
        <v>0</v>
      </c>
      <c r="T34" s="431">
        <v>0</v>
      </c>
      <c r="U34" s="431">
        <v>992569</v>
      </c>
      <c r="V34" s="431">
        <v>60604</v>
      </c>
      <c r="W34" s="431">
        <v>892390</v>
      </c>
      <c r="X34" s="431">
        <v>1111718</v>
      </c>
      <c r="Y34" s="431">
        <v>213100</v>
      </c>
      <c r="Z34" s="431">
        <v>1911085</v>
      </c>
      <c r="AA34" s="431">
        <v>0</v>
      </c>
      <c r="AB34" s="431">
        <v>-17284</v>
      </c>
      <c r="AC34" s="431">
        <v>2619813</v>
      </c>
      <c r="AD34" s="431">
        <v>307817</v>
      </c>
      <c r="AE34" s="431">
        <v>7461872</v>
      </c>
      <c r="AF34" s="431">
        <v>1104349</v>
      </c>
      <c r="AG34" s="431">
        <v>1843406</v>
      </c>
      <c r="AH34" s="431">
        <v>1762922</v>
      </c>
      <c r="AI34" s="431">
        <v>693685</v>
      </c>
      <c r="AJ34" s="431">
        <v>1064926</v>
      </c>
      <c r="AK34" s="431">
        <v>0</v>
      </c>
      <c r="AL34" s="431">
        <v>1289895</v>
      </c>
      <c r="AM34" s="431">
        <v>1266688</v>
      </c>
    </row>
    <row r="35" spans="1:39" s="155" customFormat="1" ht="12" x14ac:dyDescent="0.2">
      <c r="A35" s="234">
        <v>2</v>
      </c>
      <c r="B35" s="305">
        <v>151905</v>
      </c>
      <c r="C35" s="175" t="s">
        <v>1900</v>
      </c>
      <c r="D35" s="438">
        <f t="shared" si="9"/>
        <v>21594718</v>
      </c>
      <c r="E35" s="431">
        <v>10599455</v>
      </c>
      <c r="F35" s="431">
        <v>5608402</v>
      </c>
      <c r="G35" s="431">
        <v>328381</v>
      </c>
      <c r="H35" s="431">
        <v>0</v>
      </c>
      <c r="I35" s="431">
        <v>9883999</v>
      </c>
      <c r="J35" s="431">
        <v>0</v>
      </c>
      <c r="K35" s="431">
        <v>720190</v>
      </c>
      <c r="L35" s="431">
        <v>0</v>
      </c>
      <c r="M35" s="431">
        <v>254774</v>
      </c>
      <c r="N35" s="431">
        <v>0</v>
      </c>
      <c r="O35" s="431">
        <v>136300</v>
      </c>
      <c r="P35" s="438">
        <f>IF(SUM(Q35:AB35)=SUM(AC35:AM35),SUM(Q35:AB35),"  EROARE ART/CAP")</f>
        <v>24401711</v>
      </c>
      <c r="Q35" s="431">
        <v>12022122</v>
      </c>
      <c r="R35" s="431">
        <v>10282850</v>
      </c>
      <c r="S35" s="431">
        <v>8000</v>
      </c>
      <c r="T35" s="431">
        <v>0</v>
      </c>
      <c r="U35" s="431">
        <v>428720</v>
      </c>
      <c r="V35" s="431">
        <v>100000</v>
      </c>
      <c r="W35" s="431">
        <v>0</v>
      </c>
      <c r="X35" s="431">
        <v>65118</v>
      </c>
      <c r="Y35" s="431">
        <v>701044</v>
      </c>
      <c r="Z35" s="431">
        <v>685641</v>
      </c>
      <c r="AA35" s="431">
        <v>123712</v>
      </c>
      <c r="AB35" s="431">
        <v>-15496</v>
      </c>
      <c r="AC35" s="431">
        <v>8565815</v>
      </c>
      <c r="AD35" s="431">
        <v>608482</v>
      </c>
      <c r="AE35" s="431">
        <v>9325252</v>
      </c>
      <c r="AF35" s="431">
        <v>510268</v>
      </c>
      <c r="AG35" s="431">
        <v>1031674</v>
      </c>
      <c r="AH35" s="431">
        <v>1367058</v>
      </c>
      <c r="AI35" s="431">
        <v>123712</v>
      </c>
      <c r="AJ35" s="431">
        <v>0</v>
      </c>
      <c r="AK35" s="431">
        <v>0</v>
      </c>
      <c r="AL35" s="431">
        <v>2869450</v>
      </c>
      <c r="AM35" s="431">
        <v>0</v>
      </c>
    </row>
    <row r="36" spans="1:39" s="155" customFormat="1" ht="12" hidden="1" x14ac:dyDescent="0.2">
      <c r="A36" s="234">
        <v>3</v>
      </c>
      <c r="B36" s="234"/>
      <c r="C36" s="261"/>
      <c r="D36" s="432">
        <f t="shared" si="6"/>
        <v>0</v>
      </c>
      <c r="E36" s="435"/>
      <c r="F36" s="435"/>
      <c r="G36" s="435"/>
      <c r="H36" s="435"/>
      <c r="I36" s="435"/>
      <c r="J36" s="435"/>
      <c r="K36" s="435"/>
      <c r="L36" s="435"/>
      <c r="M36" s="435"/>
      <c r="N36" s="435"/>
      <c r="O36" s="435"/>
      <c r="P36" s="432">
        <f t="shared" si="3"/>
        <v>0</v>
      </c>
      <c r="Q36" s="435"/>
      <c r="R36" s="435"/>
      <c r="S36" s="435"/>
      <c r="T36" s="435"/>
      <c r="U36" s="435"/>
      <c r="V36" s="431"/>
      <c r="W36" s="431"/>
      <c r="X36" s="431"/>
      <c r="Y36" s="431"/>
      <c r="Z36" s="431"/>
      <c r="AA36" s="431"/>
      <c r="AB36" s="431"/>
      <c r="AC36" s="445"/>
      <c r="AD36" s="435"/>
      <c r="AE36" s="435"/>
      <c r="AF36" s="435"/>
      <c r="AG36" s="435"/>
      <c r="AH36" s="435"/>
      <c r="AI36" s="435"/>
      <c r="AJ36" s="435"/>
      <c r="AK36" s="435"/>
      <c r="AL36" s="435"/>
      <c r="AM36" s="435"/>
    </row>
    <row r="37" spans="1:39" s="155" customFormat="1" ht="12" hidden="1" x14ac:dyDescent="0.2">
      <c r="A37" s="234">
        <v>4</v>
      </c>
      <c r="B37" s="234"/>
      <c r="C37" s="261"/>
      <c r="D37" s="432">
        <f t="shared" si="6"/>
        <v>0</v>
      </c>
      <c r="E37" s="435"/>
      <c r="F37" s="435"/>
      <c r="G37" s="435"/>
      <c r="H37" s="435"/>
      <c r="I37" s="435"/>
      <c r="J37" s="435"/>
      <c r="K37" s="435"/>
      <c r="L37" s="435"/>
      <c r="M37" s="435"/>
      <c r="N37" s="435"/>
      <c r="O37" s="435"/>
      <c r="P37" s="432">
        <f t="shared" si="3"/>
        <v>0</v>
      </c>
      <c r="Q37" s="435"/>
      <c r="R37" s="435"/>
      <c r="S37" s="435"/>
      <c r="T37" s="435"/>
      <c r="U37" s="435"/>
      <c r="V37" s="431"/>
      <c r="W37" s="431"/>
      <c r="X37" s="431"/>
      <c r="Y37" s="431"/>
      <c r="Z37" s="431"/>
      <c r="AA37" s="431"/>
      <c r="AB37" s="431"/>
      <c r="AC37" s="445"/>
      <c r="AD37" s="435"/>
      <c r="AE37" s="435"/>
      <c r="AF37" s="435"/>
      <c r="AG37" s="435"/>
      <c r="AH37" s="435"/>
      <c r="AI37" s="435"/>
      <c r="AJ37" s="435"/>
      <c r="AK37" s="435"/>
      <c r="AL37" s="435"/>
      <c r="AM37" s="435"/>
    </row>
    <row r="38" spans="1:39" s="155" customFormat="1" ht="12" hidden="1" x14ac:dyDescent="0.2">
      <c r="A38" s="234">
        <v>5</v>
      </c>
      <c r="B38" s="234"/>
      <c r="C38" s="261"/>
      <c r="D38" s="432">
        <f t="shared" si="6"/>
        <v>0</v>
      </c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2">
        <f t="shared" si="3"/>
        <v>0</v>
      </c>
      <c r="Q38" s="435"/>
      <c r="R38" s="435"/>
      <c r="S38" s="435"/>
      <c r="T38" s="435"/>
      <c r="U38" s="435"/>
      <c r="V38" s="431"/>
      <c r="W38" s="431"/>
      <c r="X38" s="431"/>
      <c r="Y38" s="431"/>
      <c r="Z38" s="435"/>
      <c r="AA38" s="431"/>
      <c r="AB38" s="431"/>
      <c r="AC38" s="445"/>
      <c r="AD38" s="435"/>
      <c r="AE38" s="435"/>
      <c r="AF38" s="435"/>
      <c r="AG38" s="435"/>
      <c r="AH38" s="435"/>
      <c r="AI38" s="435"/>
      <c r="AJ38" s="435"/>
      <c r="AK38" s="435"/>
      <c r="AL38" s="435"/>
      <c r="AM38" s="435"/>
    </row>
    <row r="39" spans="1:39" s="155" customFormat="1" ht="12" hidden="1" x14ac:dyDescent="0.2">
      <c r="A39" s="234">
        <v>6</v>
      </c>
      <c r="B39" s="234"/>
      <c r="C39" s="261"/>
      <c r="D39" s="432">
        <f t="shared" si="6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3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</row>
    <row r="40" spans="1:39" s="155" customFormat="1" ht="12" hidden="1" x14ac:dyDescent="0.2">
      <c r="A40" s="234">
        <v>7</v>
      </c>
      <c r="B40" s="234"/>
      <c r="C40" s="262"/>
      <c r="D40" s="432">
        <f t="shared" si="6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3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155" customFormat="1" ht="12" hidden="1" x14ac:dyDescent="0.2">
      <c r="A41" s="234">
        <v>8</v>
      </c>
      <c r="B41" s="234"/>
      <c r="C41" s="263"/>
      <c r="D41" s="432">
        <f t="shared" si="6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3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234">
        <v>9</v>
      </c>
      <c r="B42" s="234"/>
      <c r="C42" s="259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3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234">
        <v>10</v>
      </c>
      <c r="B43" s="234"/>
      <c r="C43" s="259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3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234">
        <v>11</v>
      </c>
      <c r="B44" s="234"/>
      <c r="C44" s="259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3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234">
        <v>12</v>
      </c>
      <c r="B45" s="234"/>
      <c r="C45" s="259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3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234">
        <v>13</v>
      </c>
      <c r="B46" s="234"/>
      <c r="C46" s="259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3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234">
        <v>14</v>
      </c>
      <c r="B47" s="234"/>
      <c r="C47" s="259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3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234">
        <v>15</v>
      </c>
      <c r="B48" s="234"/>
      <c r="C48" s="259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3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234">
        <v>16</v>
      </c>
      <c r="B49" s="234"/>
      <c r="C49" s="259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3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234">
        <v>17</v>
      </c>
      <c r="B50" s="234"/>
      <c r="C50" s="259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3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234">
        <v>18</v>
      </c>
      <c r="B51" s="234"/>
      <c r="C51" s="259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3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234">
        <v>19</v>
      </c>
      <c r="B52" s="234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3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234">
        <v>20</v>
      </c>
      <c r="B53" s="234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3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4"/>
      <c r="C54" s="208"/>
      <c r="D54" s="432">
        <f t="shared" ref="D54" si="10">E54+SUM(H54:O54)</f>
        <v>357259158</v>
      </c>
      <c r="E54" s="432">
        <f>SUM(E55:E146)</f>
        <v>87354960</v>
      </c>
      <c r="F54" s="432">
        <f t="shared" ref="F54:AM54" si="11">SUM(F55:F146)</f>
        <v>24124449</v>
      </c>
      <c r="G54" s="432">
        <f t="shared" si="11"/>
        <v>18157835</v>
      </c>
      <c r="H54" s="432">
        <f t="shared" si="11"/>
        <v>0</v>
      </c>
      <c r="I54" s="432">
        <f t="shared" si="11"/>
        <v>113932354</v>
      </c>
      <c r="J54" s="432">
        <f t="shared" si="11"/>
        <v>0</v>
      </c>
      <c r="K54" s="432">
        <f t="shared" si="11"/>
        <v>88131630</v>
      </c>
      <c r="L54" s="432">
        <f t="shared" si="11"/>
        <v>0</v>
      </c>
      <c r="M54" s="432">
        <f t="shared" si="11"/>
        <v>31020022</v>
      </c>
      <c r="N54" s="432">
        <f t="shared" si="11"/>
        <v>30723251</v>
      </c>
      <c r="O54" s="432">
        <f t="shared" si="11"/>
        <v>6096941</v>
      </c>
      <c r="P54" s="432">
        <f t="shared" si="3"/>
        <v>341349488</v>
      </c>
      <c r="Q54" s="432">
        <f t="shared" si="11"/>
        <v>148157455</v>
      </c>
      <c r="R54" s="432">
        <f t="shared" si="11"/>
        <v>71950843</v>
      </c>
      <c r="S54" s="432">
        <f t="shared" si="11"/>
        <v>296798</v>
      </c>
      <c r="T54" s="432">
        <f t="shared" si="11"/>
        <v>0</v>
      </c>
      <c r="U54" s="432">
        <f t="shared" si="11"/>
        <v>298000</v>
      </c>
      <c r="V54" s="432">
        <f t="shared" si="11"/>
        <v>368687</v>
      </c>
      <c r="W54" s="432">
        <f t="shared" si="11"/>
        <v>25177716</v>
      </c>
      <c r="X54" s="432">
        <f t="shared" si="11"/>
        <v>19168159</v>
      </c>
      <c r="Y54" s="432">
        <f t="shared" si="11"/>
        <v>3269763</v>
      </c>
      <c r="Z54" s="432">
        <f t="shared" si="11"/>
        <v>66807999</v>
      </c>
      <c r="AA54" s="432">
        <f t="shared" si="11"/>
        <v>6219174</v>
      </c>
      <c r="AB54" s="432">
        <f t="shared" si="11"/>
        <v>-365106</v>
      </c>
      <c r="AC54" s="432">
        <f t="shared" si="11"/>
        <v>82248283</v>
      </c>
      <c r="AD54" s="432">
        <f t="shared" si="11"/>
        <v>6092378</v>
      </c>
      <c r="AE54" s="432">
        <f t="shared" si="11"/>
        <v>99865667</v>
      </c>
      <c r="AF54" s="432">
        <f t="shared" si="11"/>
        <v>879794</v>
      </c>
      <c r="AG54" s="432">
        <f t="shared" si="11"/>
        <v>12100112</v>
      </c>
      <c r="AH54" s="432">
        <f t="shared" si="11"/>
        <v>33134290</v>
      </c>
      <c r="AI54" s="432">
        <f t="shared" si="11"/>
        <v>33637304</v>
      </c>
      <c r="AJ54" s="432">
        <f t="shared" si="11"/>
        <v>19810229</v>
      </c>
      <c r="AK54" s="432">
        <f t="shared" si="11"/>
        <v>0</v>
      </c>
      <c r="AL54" s="432">
        <f t="shared" si="11"/>
        <v>46872117</v>
      </c>
      <c r="AM54" s="432">
        <f t="shared" si="11"/>
        <v>6709314</v>
      </c>
    </row>
    <row r="55" spans="1:39" s="155" customFormat="1" ht="12" x14ac:dyDescent="0.2">
      <c r="A55" s="168">
        <v>1</v>
      </c>
      <c r="B55" s="177">
        <v>151816</v>
      </c>
      <c r="C55" s="175" t="s">
        <v>1901</v>
      </c>
      <c r="D55" s="438">
        <f t="shared" ref="D55:D118" si="12">E55+SUM(H55:O55)</f>
        <v>4470984</v>
      </c>
      <c r="E55" s="431">
        <v>2898139</v>
      </c>
      <c r="F55" s="431">
        <v>1595010</v>
      </c>
      <c r="G55" s="431">
        <v>46634</v>
      </c>
      <c r="H55" s="431">
        <v>0</v>
      </c>
      <c r="I55" s="431">
        <v>1294763</v>
      </c>
      <c r="J55" s="431">
        <v>0</v>
      </c>
      <c r="K55" s="431">
        <v>97330</v>
      </c>
      <c r="L55" s="431">
        <v>0</v>
      </c>
      <c r="M55" s="431">
        <v>180752</v>
      </c>
      <c r="N55" s="431">
        <v>0</v>
      </c>
      <c r="O55" s="431">
        <v>0</v>
      </c>
      <c r="P55" s="438">
        <f t="shared" ref="P55:P86" si="13">IF(SUM(Q55:AB55)=SUM(AC55:AM55),SUM(Q55:AB55),"  EROARE ART/CAP")</f>
        <v>3839466</v>
      </c>
      <c r="Q55" s="431">
        <v>1844598</v>
      </c>
      <c r="R55" s="431">
        <v>947807</v>
      </c>
      <c r="S55" s="431">
        <v>60057</v>
      </c>
      <c r="T55" s="431">
        <v>0</v>
      </c>
      <c r="U55" s="431">
        <v>0</v>
      </c>
      <c r="V55" s="431">
        <v>0</v>
      </c>
      <c r="W55" s="431">
        <v>0</v>
      </c>
      <c r="X55" s="431">
        <v>122456</v>
      </c>
      <c r="Y55" s="431">
        <v>68718</v>
      </c>
      <c r="Z55" s="431">
        <v>650893</v>
      </c>
      <c r="AA55" s="431">
        <v>144937</v>
      </c>
      <c r="AB55" s="431">
        <v>0</v>
      </c>
      <c r="AC55" s="431">
        <v>1042056</v>
      </c>
      <c r="AD55" s="431">
        <v>163338</v>
      </c>
      <c r="AE55" s="431">
        <v>1142034</v>
      </c>
      <c r="AF55" s="431">
        <v>0</v>
      </c>
      <c r="AG55" s="431">
        <v>108300</v>
      </c>
      <c r="AH55" s="431">
        <v>329034</v>
      </c>
      <c r="AI55" s="431">
        <v>661700</v>
      </c>
      <c r="AJ55" s="431">
        <v>241118</v>
      </c>
      <c r="AK55" s="431">
        <v>0</v>
      </c>
      <c r="AL55" s="431">
        <v>151886</v>
      </c>
      <c r="AM55" s="431">
        <v>0</v>
      </c>
    </row>
    <row r="56" spans="1:39" s="155" customFormat="1" ht="12" x14ac:dyDescent="0.2">
      <c r="A56" s="168">
        <v>2</v>
      </c>
      <c r="B56" s="177">
        <v>151834</v>
      </c>
      <c r="C56" s="175" t="s">
        <v>1902</v>
      </c>
      <c r="D56" s="438">
        <f t="shared" si="12"/>
        <v>3919425</v>
      </c>
      <c r="E56" s="431">
        <v>1814240</v>
      </c>
      <c r="F56" s="431">
        <v>569030</v>
      </c>
      <c r="G56" s="431">
        <v>267695</v>
      </c>
      <c r="H56" s="431">
        <v>0</v>
      </c>
      <c r="I56" s="431">
        <v>1387016</v>
      </c>
      <c r="J56" s="431">
        <v>0</v>
      </c>
      <c r="K56" s="431">
        <v>397820</v>
      </c>
      <c r="L56" s="431">
        <v>0</v>
      </c>
      <c r="M56" s="431">
        <v>320349</v>
      </c>
      <c r="N56" s="431">
        <v>0</v>
      </c>
      <c r="O56" s="431">
        <v>0</v>
      </c>
      <c r="P56" s="438">
        <f t="shared" si="13"/>
        <v>3917972</v>
      </c>
      <c r="Q56" s="431">
        <v>1906178</v>
      </c>
      <c r="R56" s="431">
        <v>1049249</v>
      </c>
      <c r="S56" s="431">
        <v>0</v>
      </c>
      <c r="T56" s="431">
        <v>0</v>
      </c>
      <c r="U56" s="431">
        <v>0</v>
      </c>
      <c r="V56" s="431">
        <v>0</v>
      </c>
      <c r="W56" s="431">
        <v>0</v>
      </c>
      <c r="X56" s="431">
        <v>375699</v>
      </c>
      <c r="Y56" s="431">
        <v>135000</v>
      </c>
      <c r="Z56" s="431">
        <v>514132</v>
      </c>
      <c r="AA56" s="431">
        <v>0</v>
      </c>
      <c r="AB56" s="431">
        <v>-62286</v>
      </c>
      <c r="AC56" s="431">
        <v>925824</v>
      </c>
      <c r="AD56" s="431">
        <v>105592</v>
      </c>
      <c r="AE56" s="431">
        <v>1121471</v>
      </c>
      <c r="AF56" s="431">
        <v>28323</v>
      </c>
      <c r="AG56" s="431">
        <v>133032</v>
      </c>
      <c r="AH56" s="431">
        <v>375699</v>
      </c>
      <c r="AI56" s="431">
        <v>230529</v>
      </c>
      <c r="AJ56" s="431">
        <v>322651</v>
      </c>
      <c r="AK56" s="431">
        <v>0</v>
      </c>
      <c r="AL56" s="431">
        <v>674851</v>
      </c>
      <c r="AM56" s="431">
        <v>0</v>
      </c>
    </row>
    <row r="57" spans="1:39" s="155" customFormat="1" ht="12" x14ac:dyDescent="0.2">
      <c r="A57" s="168">
        <v>3</v>
      </c>
      <c r="B57" s="177">
        <v>152038</v>
      </c>
      <c r="C57" s="175" t="s">
        <v>1903</v>
      </c>
      <c r="D57" s="438">
        <f t="shared" si="12"/>
        <v>3447506</v>
      </c>
      <c r="E57" s="431">
        <v>639390</v>
      </c>
      <c r="F57" s="431">
        <v>104157</v>
      </c>
      <c r="G57" s="431">
        <v>164408</v>
      </c>
      <c r="H57" s="431">
        <v>0</v>
      </c>
      <c r="I57" s="431">
        <v>1602148</v>
      </c>
      <c r="J57" s="431">
        <v>0</v>
      </c>
      <c r="K57" s="431">
        <v>1041840</v>
      </c>
      <c r="L57" s="431">
        <v>0</v>
      </c>
      <c r="M57" s="431">
        <v>164128</v>
      </c>
      <c r="N57" s="431">
        <v>0</v>
      </c>
      <c r="O57" s="431">
        <v>0</v>
      </c>
      <c r="P57" s="438">
        <f t="shared" si="13"/>
        <v>3446525</v>
      </c>
      <c r="Q57" s="431">
        <v>1877587</v>
      </c>
      <c r="R57" s="431">
        <v>697220</v>
      </c>
      <c r="S57" s="431">
        <v>1887</v>
      </c>
      <c r="T57" s="431">
        <v>0</v>
      </c>
      <c r="U57" s="431">
        <v>0</v>
      </c>
      <c r="V57" s="431">
        <v>0</v>
      </c>
      <c r="W57" s="431">
        <v>0</v>
      </c>
      <c r="X57" s="431">
        <v>270624</v>
      </c>
      <c r="Y57" s="431">
        <v>29830</v>
      </c>
      <c r="Z57" s="431">
        <v>569377</v>
      </c>
      <c r="AA57" s="431">
        <v>0</v>
      </c>
      <c r="AB57" s="431">
        <v>0</v>
      </c>
      <c r="AC57" s="431">
        <v>1123899</v>
      </c>
      <c r="AD57" s="431">
        <v>23824</v>
      </c>
      <c r="AE57" s="431">
        <v>1388818</v>
      </c>
      <c r="AF57" s="431">
        <v>0</v>
      </c>
      <c r="AG57" s="431">
        <v>29830</v>
      </c>
      <c r="AH57" s="431">
        <v>321989</v>
      </c>
      <c r="AI57" s="431">
        <v>412522</v>
      </c>
      <c r="AJ57" s="431">
        <v>16787</v>
      </c>
      <c r="AK57" s="431">
        <v>0</v>
      </c>
      <c r="AL57" s="431">
        <v>61931</v>
      </c>
      <c r="AM57" s="431">
        <v>66925</v>
      </c>
    </row>
    <row r="58" spans="1:39" s="155" customFormat="1" ht="12" x14ac:dyDescent="0.2">
      <c r="A58" s="168">
        <v>4</v>
      </c>
      <c r="B58" s="177">
        <v>152127</v>
      </c>
      <c r="C58" s="175" t="s">
        <v>1904</v>
      </c>
      <c r="D58" s="438">
        <f t="shared" si="12"/>
        <v>2806137</v>
      </c>
      <c r="E58" s="431">
        <v>785768</v>
      </c>
      <c r="F58" s="431">
        <v>191460</v>
      </c>
      <c r="G58" s="431">
        <v>154737</v>
      </c>
      <c r="H58" s="431">
        <v>0</v>
      </c>
      <c r="I58" s="431">
        <v>931543</v>
      </c>
      <c r="J58" s="431">
        <v>0</v>
      </c>
      <c r="K58" s="431">
        <v>1012300</v>
      </c>
      <c r="L58" s="431">
        <v>0</v>
      </c>
      <c r="M58" s="431">
        <v>57828</v>
      </c>
      <c r="N58" s="431">
        <v>18698</v>
      </c>
      <c r="O58" s="431">
        <v>0</v>
      </c>
      <c r="P58" s="438">
        <f t="shared" si="13"/>
        <v>2806573</v>
      </c>
      <c r="Q58" s="431">
        <v>1221762</v>
      </c>
      <c r="R58" s="431">
        <v>641388</v>
      </c>
      <c r="S58" s="431">
        <v>0</v>
      </c>
      <c r="T58" s="431">
        <v>0</v>
      </c>
      <c r="U58" s="431">
        <v>0</v>
      </c>
      <c r="V58" s="431">
        <v>0</v>
      </c>
      <c r="W58" s="431">
        <v>178486</v>
      </c>
      <c r="X58" s="431">
        <v>211620</v>
      </c>
      <c r="Y58" s="431">
        <v>7239</v>
      </c>
      <c r="Z58" s="431">
        <v>546455</v>
      </c>
      <c r="AA58" s="431">
        <v>0</v>
      </c>
      <c r="AB58" s="431">
        <v>-377</v>
      </c>
      <c r="AC58" s="431">
        <v>715227</v>
      </c>
      <c r="AD58" s="431">
        <v>65514</v>
      </c>
      <c r="AE58" s="431">
        <v>803543</v>
      </c>
      <c r="AF58" s="431">
        <v>28208</v>
      </c>
      <c r="AG58" s="431">
        <v>266257</v>
      </c>
      <c r="AH58" s="431">
        <v>211620</v>
      </c>
      <c r="AI58" s="431">
        <v>248134</v>
      </c>
      <c r="AJ58" s="431">
        <v>66079</v>
      </c>
      <c r="AK58" s="431">
        <v>0</v>
      </c>
      <c r="AL58" s="431">
        <v>401991</v>
      </c>
      <c r="AM58" s="431">
        <v>0</v>
      </c>
    </row>
    <row r="59" spans="1:39" s="155" customFormat="1" ht="12" x14ac:dyDescent="0.2">
      <c r="A59" s="168">
        <v>5</v>
      </c>
      <c r="B59" s="177">
        <v>152252</v>
      </c>
      <c r="C59" s="175" t="s">
        <v>1905</v>
      </c>
      <c r="D59" s="438">
        <f t="shared" si="12"/>
        <v>3581831</v>
      </c>
      <c r="E59" s="431">
        <v>960062</v>
      </c>
      <c r="F59" s="431">
        <v>187480</v>
      </c>
      <c r="G59" s="431">
        <v>128625</v>
      </c>
      <c r="H59" s="431">
        <v>0</v>
      </c>
      <c r="I59" s="431">
        <v>1393553</v>
      </c>
      <c r="J59" s="431">
        <v>0</v>
      </c>
      <c r="K59" s="431">
        <v>881970</v>
      </c>
      <c r="L59" s="431">
        <v>0</v>
      </c>
      <c r="M59" s="431">
        <v>335001</v>
      </c>
      <c r="N59" s="431">
        <v>0</v>
      </c>
      <c r="O59" s="431">
        <v>11245</v>
      </c>
      <c r="P59" s="438">
        <f t="shared" si="13"/>
        <v>3779422</v>
      </c>
      <c r="Q59" s="431">
        <v>1858545</v>
      </c>
      <c r="R59" s="431">
        <v>586396</v>
      </c>
      <c r="S59" s="431">
        <v>0</v>
      </c>
      <c r="T59" s="431">
        <v>0</v>
      </c>
      <c r="U59" s="431">
        <v>0</v>
      </c>
      <c r="V59" s="431">
        <v>0</v>
      </c>
      <c r="W59" s="431">
        <v>0</v>
      </c>
      <c r="X59" s="431">
        <v>188456</v>
      </c>
      <c r="Y59" s="431">
        <v>205957</v>
      </c>
      <c r="Z59" s="431">
        <v>940068</v>
      </c>
      <c r="AA59" s="431">
        <v>0</v>
      </c>
      <c r="AB59" s="431">
        <v>0</v>
      </c>
      <c r="AC59" s="431">
        <v>688284</v>
      </c>
      <c r="AD59" s="431">
        <v>240417</v>
      </c>
      <c r="AE59" s="431">
        <v>1281443</v>
      </c>
      <c r="AF59" s="431">
        <v>0</v>
      </c>
      <c r="AG59" s="431">
        <v>198866</v>
      </c>
      <c r="AH59" s="431">
        <v>614110</v>
      </c>
      <c r="AI59" s="431">
        <v>266505</v>
      </c>
      <c r="AJ59" s="431">
        <v>92566</v>
      </c>
      <c r="AK59" s="431">
        <v>0</v>
      </c>
      <c r="AL59" s="431">
        <v>397231</v>
      </c>
      <c r="AM59" s="431">
        <v>0</v>
      </c>
    </row>
    <row r="60" spans="1:39" s="155" customFormat="1" ht="12" x14ac:dyDescent="0.2">
      <c r="A60" s="168">
        <v>6</v>
      </c>
      <c r="B60" s="177">
        <v>152332</v>
      </c>
      <c r="C60" s="175" t="s">
        <v>1906</v>
      </c>
      <c r="D60" s="438">
        <f t="shared" si="12"/>
        <v>3489038</v>
      </c>
      <c r="E60" s="431">
        <v>1026849</v>
      </c>
      <c r="F60" s="431">
        <v>136752</v>
      </c>
      <c r="G60" s="431">
        <v>388168</v>
      </c>
      <c r="H60" s="431">
        <v>0</v>
      </c>
      <c r="I60" s="431">
        <v>1283018</v>
      </c>
      <c r="J60" s="431">
        <v>0</v>
      </c>
      <c r="K60" s="431">
        <v>1129590</v>
      </c>
      <c r="L60" s="431">
        <v>0</v>
      </c>
      <c r="M60" s="431">
        <v>49581</v>
      </c>
      <c r="N60" s="431">
        <v>0</v>
      </c>
      <c r="O60" s="431">
        <v>0</v>
      </c>
      <c r="P60" s="438">
        <f t="shared" si="13"/>
        <v>3430285</v>
      </c>
      <c r="Q60" s="431">
        <v>1818603</v>
      </c>
      <c r="R60" s="431">
        <v>858954</v>
      </c>
      <c r="S60" s="431">
        <v>0</v>
      </c>
      <c r="T60" s="431">
        <v>0</v>
      </c>
      <c r="U60" s="431">
        <v>0</v>
      </c>
      <c r="V60" s="431">
        <v>0</v>
      </c>
      <c r="W60" s="431">
        <v>0</v>
      </c>
      <c r="X60" s="431">
        <v>419556</v>
      </c>
      <c r="Y60" s="431">
        <v>104865</v>
      </c>
      <c r="Z60" s="431">
        <v>228307</v>
      </c>
      <c r="AA60" s="431">
        <v>0</v>
      </c>
      <c r="AB60" s="431">
        <v>0</v>
      </c>
      <c r="AC60" s="431">
        <v>1177668</v>
      </c>
      <c r="AD60" s="431">
        <v>61330</v>
      </c>
      <c r="AE60" s="431">
        <v>1012156</v>
      </c>
      <c r="AF60" s="431">
        <v>29496</v>
      </c>
      <c r="AG60" s="431">
        <v>208361</v>
      </c>
      <c r="AH60" s="431">
        <v>419556</v>
      </c>
      <c r="AI60" s="431">
        <v>359811</v>
      </c>
      <c r="AJ60" s="431">
        <v>0</v>
      </c>
      <c r="AK60" s="431">
        <v>0</v>
      </c>
      <c r="AL60" s="431">
        <v>161907</v>
      </c>
      <c r="AM60" s="431">
        <v>0</v>
      </c>
    </row>
    <row r="61" spans="1:39" s="155" customFormat="1" ht="12" x14ac:dyDescent="0.2">
      <c r="A61" s="168">
        <v>7</v>
      </c>
      <c r="B61" s="177">
        <v>152350</v>
      </c>
      <c r="C61" s="175" t="s">
        <v>103</v>
      </c>
      <c r="D61" s="438">
        <f t="shared" si="12"/>
        <v>3463867</v>
      </c>
      <c r="E61" s="431">
        <v>995613</v>
      </c>
      <c r="F61" s="431">
        <v>180819</v>
      </c>
      <c r="G61" s="431">
        <v>187851</v>
      </c>
      <c r="H61" s="431">
        <v>0</v>
      </c>
      <c r="I61" s="431">
        <v>1363681</v>
      </c>
      <c r="J61" s="431">
        <v>0</v>
      </c>
      <c r="K61" s="431">
        <v>1036920</v>
      </c>
      <c r="L61" s="431">
        <v>0</v>
      </c>
      <c r="M61" s="431">
        <v>67653</v>
      </c>
      <c r="N61" s="431">
        <v>0</v>
      </c>
      <c r="O61" s="431">
        <v>0</v>
      </c>
      <c r="P61" s="438">
        <f t="shared" si="13"/>
        <v>3612107</v>
      </c>
      <c r="Q61" s="431">
        <v>1642116</v>
      </c>
      <c r="R61" s="431">
        <v>1162762</v>
      </c>
      <c r="S61" s="431">
        <v>0</v>
      </c>
      <c r="T61" s="431">
        <v>0</v>
      </c>
      <c r="U61" s="431">
        <v>0</v>
      </c>
      <c r="V61" s="431">
        <v>0</v>
      </c>
      <c r="W61" s="431">
        <v>0</v>
      </c>
      <c r="X61" s="431">
        <v>387289</v>
      </c>
      <c r="Y61" s="431">
        <v>138721</v>
      </c>
      <c r="Z61" s="431">
        <v>281219</v>
      </c>
      <c r="AA61" s="431">
        <v>0</v>
      </c>
      <c r="AB61" s="431">
        <v>0</v>
      </c>
      <c r="AC61" s="431">
        <v>992207</v>
      </c>
      <c r="AD61" s="431">
        <v>122655</v>
      </c>
      <c r="AE61" s="431">
        <v>1058139</v>
      </c>
      <c r="AF61" s="431">
        <v>0</v>
      </c>
      <c r="AG61" s="431">
        <v>187799</v>
      </c>
      <c r="AH61" s="431">
        <v>503042</v>
      </c>
      <c r="AI61" s="431">
        <v>193806</v>
      </c>
      <c r="AJ61" s="431">
        <v>144408</v>
      </c>
      <c r="AK61" s="431">
        <v>0</v>
      </c>
      <c r="AL61" s="431">
        <v>374722</v>
      </c>
      <c r="AM61" s="431">
        <v>35329</v>
      </c>
    </row>
    <row r="62" spans="1:39" s="155" customFormat="1" ht="12" x14ac:dyDescent="0.2">
      <c r="A62" s="168">
        <v>8</v>
      </c>
      <c r="B62" s="177">
        <v>152948</v>
      </c>
      <c r="C62" s="175" t="s">
        <v>1907</v>
      </c>
      <c r="D62" s="438">
        <f t="shared" si="12"/>
        <v>3096088</v>
      </c>
      <c r="E62" s="431">
        <v>1035150</v>
      </c>
      <c r="F62" s="431">
        <v>404851</v>
      </c>
      <c r="G62" s="431">
        <v>128625</v>
      </c>
      <c r="H62" s="431">
        <v>0</v>
      </c>
      <c r="I62" s="431">
        <v>1071759</v>
      </c>
      <c r="J62" s="431">
        <v>0</v>
      </c>
      <c r="K62" s="431">
        <v>936030</v>
      </c>
      <c r="L62" s="431">
        <v>0</v>
      </c>
      <c r="M62" s="431">
        <v>53149</v>
      </c>
      <c r="N62" s="431">
        <v>0</v>
      </c>
      <c r="O62" s="431">
        <v>0</v>
      </c>
      <c r="P62" s="438">
        <f t="shared" si="13"/>
        <v>2209706</v>
      </c>
      <c r="Q62" s="431">
        <v>1397833</v>
      </c>
      <c r="R62" s="431">
        <v>479853</v>
      </c>
      <c r="S62" s="431">
        <v>0</v>
      </c>
      <c r="T62" s="431">
        <v>0</v>
      </c>
      <c r="U62" s="431">
        <v>0</v>
      </c>
      <c r="V62" s="431">
        <v>0</v>
      </c>
      <c r="W62" s="431">
        <v>0</v>
      </c>
      <c r="X62" s="431">
        <v>258823</v>
      </c>
      <c r="Y62" s="431">
        <v>17037</v>
      </c>
      <c r="Z62" s="431">
        <v>56160</v>
      </c>
      <c r="AA62" s="431">
        <v>0</v>
      </c>
      <c r="AB62" s="431">
        <v>0</v>
      </c>
      <c r="AC62" s="431">
        <v>609458</v>
      </c>
      <c r="AD62" s="431">
        <v>3063</v>
      </c>
      <c r="AE62" s="431">
        <v>694571</v>
      </c>
      <c r="AF62" s="431">
        <v>18648</v>
      </c>
      <c r="AG62" s="431">
        <v>17037</v>
      </c>
      <c r="AH62" s="431">
        <v>510716</v>
      </c>
      <c r="AI62" s="431">
        <v>218187</v>
      </c>
      <c r="AJ62" s="431">
        <v>131328</v>
      </c>
      <c r="AK62" s="431">
        <v>0</v>
      </c>
      <c r="AL62" s="431">
        <v>6698</v>
      </c>
      <c r="AM62" s="431">
        <v>0</v>
      </c>
    </row>
    <row r="63" spans="1:39" s="155" customFormat="1" ht="12" x14ac:dyDescent="0.2">
      <c r="A63" s="168">
        <v>9</v>
      </c>
      <c r="B63" s="177">
        <v>153204</v>
      </c>
      <c r="C63" s="175" t="s">
        <v>1908</v>
      </c>
      <c r="D63" s="438">
        <f t="shared" si="12"/>
        <v>2718697</v>
      </c>
      <c r="E63" s="431">
        <v>738544</v>
      </c>
      <c r="F63" s="431">
        <v>206173</v>
      </c>
      <c r="G63" s="431">
        <v>83171</v>
      </c>
      <c r="H63" s="431">
        <v>0</v>
      </c>
      <c r="I63" s="431">
        <v>925468</v>
      </c>
      <c r="J63" s="431">
        <v>0</v>
      </c>
      <c r="K63" s="431">
        <v>633870</v>
      </c>
      <c r="L63" s="431">
        <v>0</v>
      </c>
      <c r="M63" s="431">
        <v>139538</v>
      </c>
      <c r="N63" s="431">
        <v>281277</v>
      </c>
      <c r="O63" s="431">
        <v>0</v>
      </c>
      <c r="P63" s="438">
        <f t="shared" si="13"/>
        <v>2677091</v>
      </c>
      <c r="Q63" s="431">
        <v>1219286</v>
      </c>
      <c r="R63" s="431">
        <v>503888</v>
      </c>
      <c r="S63" s="431">
        <v>0</v>
      </c>
      <c r="T63" s="431">
        <v>0</v>
      </c>
      <c r="U63" s="431">
        <v>0</v>
      </c>
      <c r="V63" s="431">
        <v>0</v>
      </c>
      <c r="W63" s="431">
        <v>397230</v>
      </c>
      <c r="X63" s="431">
        <v>206359</v>
      </c>
      <c r="Y63" s="431">
        <v>30000</v>
      </c>
      <c r="Z63" s="431">
        <v>320328</v>
      </c>
      <c r="AA63" s="431">
        <v>0</v>
      </c>
      <c r="AB63" s="431">
        <v>0</v>
      </c>
      <c r="AC63" s="431">
        <v>881980</v>
      </c>
      <c r="AD63" s="431">
        <v>441</v>
      </c>
      <c r="AE63" s="431">
        <v>775796</v>
      </c>
      <c r="AF63" s="431">
        <v>0</v>
      </c>
      <c r="AG63" s="431">
        <v>56029</v>
      </c>
      <c r="AH63" s="431">
        <v>206359</v>
      </c>
      <c r="AI63" s="431">
        <v>475699</v>
      </c>
      <c r="AJ63" s="431">
        <v>151577</v>
      </c>
      <c r="AK63" s="431">
        <v>0</v>
      </c>
      <c r="AL63" s="431">
        <v>129210</v>
      </c>
      <c r="AM63" s="431">
        <v>0</v>
      </c>
    </row>
    <row r="64" spans="1:39" s="155" customFormat="1" ht="12" x14ac:dyDescent="0.2">
      <c r="A64" s="168">
        <v>10</v>
      </c>
      <c r="B64" s="177">
        <v>153240</v>
      </c>
      <c r="C64" s="175" t="s">
        <v>1909</v>
      </c>
      <c r="D64" s="438">
        <f t="shared" si="12"/>
        <v>3494144</v>
      </c>
      <c r="E64" s="431">
        <v>924328</v>
      </c>
      <c r="F64" s="431">
        <v>234735</v>
      </c>
      <c r="G64" s="431">
        <v>135395</v>
      </c>
      <c r="H64" s="431">
        <v>0</v>
      </c>
      <c r="I64" s="431">
        <v>1378204</v>
      </c>
      <c r="J64" s="431">
        <v>0</v>
      </c>
      <c r="K64" s="431">
        <v>960430</v>
      </c>
      <c r="L64" s="431">
        <v>0</v>
      </c>
      <c r="M64" s="431">
        <v>120015</v>
      </c>
      <c r="N64" s="431">
        <v>111167</v>
      </c>
      <c r="O64" s="431">
        <v>0</v>
      </c>
      <c r="P64" s="438">
        <f t="shared" si="13"/>
        <v>3660231</v>
      </c>
      <c r="Q64" s="431">
        <v>1702259</v>
      </c>
      <c r="R64" s="431">
        <v>1186302</v>
      </c>
      <c r="S64" s="431">
        <v>0</v>
      </c>
      <c r="T64" s="431">
        <v>0</v>
      </c>
      <c r="U64" s="431">
        <v>0</v>
      </c>
      <c r="V64" s="431">
        <v>0</v>
      </c>
      <c r="W64" s="431">
        <v>283858</v>
      </c>
      <c r="X64" s="431">
        <v>219706</v>
      </c>
      <c r="Y64" s="431">
        <v>226440</v>
      </c>
      <c r="Z64" s="431">
        <v>52925</v>
      </c>
      <c r="AA64" s="431">
        <v>0</v>
      </c>
      <c r="AB64" s="431">
        <v>-11259</v>
      </c>
      <c r="AC64" s="431">
        <v>1080470</v>
      </c>
      <c r="AD64" s="431">
        <v>13278</v>
      </c>
      <c r="AE64" s="431">
        <v>1243761</v>
      </c>
      <c r="AF64" s="431">
        <v>25103</v>
      </c>
      <c r="AG64" s="431">
        <v>334020</v>
      </c>
      <c r="AH64" s="431">
        <v>256709</v>
      </c>
      <c r="AI64" s="431">
        <v>161230</v>
      </c>
      <c r="AJ64" s="431">
        <v>389196</v>
      </c>
      <c r="AK64" s="431">
        <v>0</v>
      </c>
      <c r="AL64" s="431">
        <v>156464</v>
      </c>
      <c r="AM64" s="431">
        <v>0</v>
      </c>
    </row>
    <row r="65" spans="1:39" s="155" customFormat="1" ht="12" x14ac:dyDescent="0.2">
      <c r="A65" s="168">
        <v>11</v>
      </c>
      <c r="B65" s="177">
        <v>153339</v>
      </c>
      <c r="C65" s="175" t="s">
        <v>1910</v>
      </c>
      <c r="D65" s="438">
        <f t="shared" si="12"/>
        <v>3428164</v>
      </c>
      <c r="E65" s="431">
        <v>1208641</v>
      </c>
      <c r="F65" s="431">
        <v>278386</v>
      </c>
      <c r="G65" s="431">
        <v>287656</v>
      </c>
      <c r="H65" s="431">
        <v>0</v>
      </c>
      <c r="I65" s="431">
        <v>1529311</v>
      </c>
      <c r="J65" s="431">
        <v>0</v>
      </c>
      <c r="K65" s="431">
        <v>664170</v>
      </c>
      <c r="L65" s="431">
        <v>0</v>
      </c>
      <c r="M65" s="431">
        <v>26042</v>
      </c>
      <c r="N65" s="431">
        <v>0</v>
      </c>
      <c r="O65" s="431">
        <v>0</v>
      </c>
      <c r="P65" s="438">
        <f t="shared" si="13"/>
        <v>3261165</v>
      </c>
      <c r="Q65" s="431">
        <v>1715793</v>
      </c>
      <c r="R65" s="431">
        <v>622539</v>
      </c>
      <c r="S65" s="431">
        <v>0</v>
      </c>
      <c r="T65" s="431">
        <v>0</v>
      </c>
      <c r="U65" s="431">
        <v>0</v>
      </c>
      <c r="V65" s="431">
        <v>0</v>
      </c>
      <c r="W65" s="431">
        <v>0</v>
      </c>
      <c r="X65" s="431">
        <v>307101</v>
      </c>
      <c r="Y65" s="431">
        <v>84999</v>
      </c>
      <c r="Z65" s="431">
        <v>530733</v>
      </c>
      <c r="AA65" s="431">
        <v>0</v>
      </c>
      <c r="AB65" s="431">
        <v>0</v>
      </c>
      <c r="AC65" s="431">
        <v>586590</v>
      </c>
      <c r="AD65" s="431">
        <v>0</v>
      </c>
      <c r="AE65" s="431">
        <v>1475628</v>
      </c>
      <c r="AF65" s="431">
        <v>0</v>
      </c>
      <c r="AG65" s="431">
        <v>110900</v>
      </c>
      <c r="AH65" s="431">
        <v>356912</v>
      </c>
      <c r="AI65" s="431">
        <v>331335</v>
      </c>
      <c r="AJ65" s="431">
        <v>0</v>
      </c>
      <c r="AK65" s="431">
        <v>0</v>
      </c>
      <c r="AL65" s="431">
        <v>399800</v>
      </c>
      <c r="AM65" s="431">
        <v>0</v>
      </c>
    </row>
    <row r="66" spans="1:39" s="155" customFormat="1" ht="12" x14ac:dyDescent="0.2">
      <c r="A66" s="168">
        <v>12</v>
      </c>
      <c r="B66" s="177">
        <v>153507</v>
      </c>
      <c r="C66" s="175" t="s">
        <v>1911</v>
      </c>
      <c r="D66" s="438">
        <f t="shared" si="12"/>
        <v>7726125</v>
      </c>
      <c r="E66" s="431">
        <v>1959497</v>
      </c>
      <c r="F66" s="431">
        <v>321149</v>
      </c>
      <c r="G66" s="431">
        <v>800890</v>
      </c>
      <c r="H66" s="431">
        <v>0</v>
      </c>
      <c r="I66" s="431">
        <v>3821765</v>
      </c>
      <c r="J66" s="431">
        <v>0</v>
      </c>
      <c r="K66" s="431">
        <v>1418540</v>
      </c>
      <c r="L66" s="431">
        <v>0</v>
      </c>
      <c r="M66" s="431">
        <v>268032</v>
      </c>
      <c r="N66" s="431">
        <v>258291</v>
      </c>
      <c r="O66" s="431">
        <v>0</v>
      </c>
      <c r="P66" s="438">
        <f t="shared" si="13"/>
        <v>7223063</v>
      </c>
      <c r="Q66" s="431">
        <v>3934890</v>
      </c>
      <c r="R66" s="431">
        <v>1876434</v>
      </c>
      <c r="S66" s="431">
        <v>0</v>
      </c>
      <c r="T66" s="431">
        <v>0</v>
      </c>
      <c r="U66" s="431">
        <v>0</v>
      </c>
      <c r="V66" s="431">
        <v>0</v>
      </c>
      <c r="W66" s="431">
        <v>60181</v>
      </c>
      <c r="X66" s="431">
        <v>760632</v>
      </c>
      <c r="Y66" s="431">
        <v>20000</v>
      </c>
      <c r="Z66" s="431">
        <v>570926</v>
      </c>
      <c r="AA66" s="431">
        <v>0</v>
      </c>
      <c r="AB66" s="431">
        <v>0</v>
      </c>
      <c r="AC66" s="431">
        <v>1283330</v>
      </c>
      <c r="AD66" s="431">
        <v>206840</v>
      </c>
      <c r="AE66" s="431">
        <v>3637222</v>
      </c>
      <c r="AF66" s="431">
        <v>0</v>
      </c>
      <c r="AG66" s="431">
        <v>168056</v>
      </c>
      <c r="AH66" s="431">
        <v>1459984</v>
      </c>
      <c r="AI66" s="431">
        <v>237579</v>
      </c>
      <c r="AJ66" s="431">
        <v>14477</v>
      </c>
      <c r="AK66" s="431">
        <v>0</v>
      </c>
      <c r="AL66" s="431">
        <v>127000</v>
      </c>
      <c r="AM66" s="431">
        <v>88575</v>
      </c>
    </row>
    <row r="67" spans="1:39" s="155" customFormat="1" ht="12" x14ac:dyDescent="0.2">
      <c r="A67" s="168">
        <v>13</v>
      </c>
      <c r="B67" s="177">
        <v>153605</v>
      </c>
      <c r="C67" s="175" t="s">
        <v>1912</v>
      </c>
      <c r="D67" s="438">
        <f t="shared" si="12"/>
        <v>4361536</v>
      </c>
      <c r="E67" s="431">
        <v>1196291</v>
      </c>
      <c r="F67" s="431">
        <v>356558</v>
      </c>
      <c r="G67" s="431">
        <v>302927</v>
      </c>
      <c r="H67" s="431">
        <v>0</v>
      </c>
      <c r="I67" s="431">
        <v>2228276</v>
      </c>
      <c r="J67" s="431">
        <v>0</v>
      </c>
      <c r="K67" s="431">
        <v>697500</v>
      </c>
      <c r="L67" s="431">
        <v>0</v>
      </c>
      <c r="M67" s="431">
        <v>99819</v>
      </c>
      <c r="N67" s="431">
        <v>139650</v>
      </c>
      <c r="O67" s="431">
        <v>0</v>
      </c>
      <c r="P67" s="438">
        <f t="shared" si="13"/>
        <v>4424128</v>
      </c>
      <c r="Q67" s="431">
        <v>2301467</v>
      </c>
      <c r="R67" s="431">
        <v>980607</v>
      </c>
      <c r="S67" s="431">
        <v>0</v>
      </c>
      <c r="T67" s="431">
        <v>0</v>
      </c>
      <c r="U67" s="431">
        <v>0</v>
      </c>
      <c r="V67" s="431">
        <v>0</v>
      </c>
      <c r="W67" s="431">
        <v>349910</v>
      </c>
      <c r="X67" s="431">
        <v>550946</v>
      </c>
      <c r="Y67" s="431">
        <v>125855</v>
      </c>
      <c r="Z67" s="431">
        <v>123624</v>
      </c>
      <c r="AA67" s="431">
        <v>0</v>
      </c>
      <c r="AB67" s="431">
        <v>-8281</v>
      </c>
      <c r="AC67" s="431">
        <v>930587</v>
      </c>
      <c r="AD67" s="431">
        <v>94944</v>
      </c>
      <c r="AE67" s="431">
        <v>1876487</v>
      </c>
      <c r="AF67" s="431">
        <v>23858</v>
      </c>
      <c r="AG67" s="431">
        <v>537580</v>
      </c>
      <c r="AH67" s="431">
        <v>609745</v>
      </c>
      <c r="AI67" s="431">
        <v>94999</v>
      </c>
      <c r="AJ67" s="431">
        <v>62222</v>
      </c>
      <c r="AK67" s="431">
        <v>0</v>
      </c>
      <c r="AL67" s="431">
        <v>193706</v>
      </c>
      <c r="AM67" s="431">
        <v>0</v>
      </c>
    </row>
    <row r="68" spans="1:39" s="155" customFormat="1" ht="12" x14ac:dyDescent="0.2">
      <c r="A68" s="168">
        <v>14</v>
      </c>
      <c r="B68" s="177">
        <v>153776</v>
      </c>
      <c r="C68" s="175" t="s">
        <v>1913</v>
      </c>
      <c r="D68" s="438">
        <f t="shared" si="12"/>
        <v>3807646</v>
      </c>
      <c r="E68" s="431">
        <v>1009078</v>
      </c>
      <c r="F68" s="431">
        <v>389574</v>
      </c>
      <c r="G68" s="431">
        <v>109283</v>
      </c>
      <c r="H68" s="431">
        <v>0</v>
      </c>
      <c r="I68" s="431">
        <v>1262160</v>
      </c>
      <c r="J68" s="431">
        <v>0</v>
      </c>
      <c r="K68" s="431">
        <v>824040</v>
      </c>
      <c r="L68" s="431">
        <v>0</v>
      </c>
      <c r="M68" s="431">
        <v>712368</v>
      </c>
      <c r="N68" s="431">
        <v>0</v>
      </c>
      <c r="O68" s="431">
        <v>0</v>
      </c>
      <c r="P68" s="438">
        <f t="shared" si="13"/>
        <v>3750310</v>
      </c>
      <c r="Q68" s="431">
        <v>1614832</v>
      </c>
      <c r="R68" s="431">
        <v>1027520</v>
      </c>
      <c r="S68" s="431">
        <v>1935</v>
      </c>
      <c r="T68" s="431">
        <v>0</v>
      </c>
      <c r="U68" s="431">
        <v>0</v>
      </c>
      <c r="V68" s="431">
        <v>0</v>
      </c>
      <c r="W68" s="431">
        <v>0</v>
      </c>
      <c r="X68" s="431">
        <v>304488</v>
      </c>
      <c r="Y68" s="431">
        <v>75000</v>
      </c>
      <c r="Z68" s="431">
        <v>747711</v>
      </c>
      <c r="AA68" s="431">
        <v>0</v>
      </c>
      <c r="AB68" s="431">
        <v>-21176</v>
      </c>
      <c r="AC68" s="431">
        <v>825322</v>
      </c>
      <c r="AD68" s="431">
        <v>211268</v>
      </c>
      <c r="AE68" s="431">
        <v>1562521</v>
      </c>
      <c r="AF68" s="431">
        <v>0</v>
      </c>
      <c r="AG68" s="431">
        <v>193683</v>
      </c>
      <c r="AH68" s="431">
        <v>501521</v>
      </c>
      <c r="AI68" s="431">
        <v>261074</v>
      </c>
      <c r="AJ68" s="431">
        <v>31206</v>
      </c>
      <c r="AK68" s="431">
        <v>0</v>
      </c>
      <c r="AL68" s="431">
        <v>163715</v>
      </c>
      <c r="AM68" s="431">
        <v>0</v>
      </c>
    </row>
    <row r="69" spans="1:39" s="155" customFormat="1" ht="12" x14ac:dyDescent="0.2">
      <c r="A69" s="168">
        <v>15</v>
      </c>
      <c r="B69" s="177">
        <v>153909</v>
      </c>
      <c r="C69" s="175" t="s">
        <v>1914</v>
      </c>
      <c r="D69" s="438">
        <f t="shared" si="12"/>
        <v>1958406</v>
      </c>
      <c r="E69" s="431">
        <v>534735</v>
      </c>
      <c r="F69" s="431">
        <v>117619</v>
      </c>
      <c r="G69" s="431">
        <v>176014</v>
      </c>
      <c r="H69" s="431">
        <v>0</v>
      </c>
      <c r="I69" s="431">
        <v>427304</v>
      </c>
      <c r="J69" s="431">
        <v>0</v>
      </c>
      <c r="K69" s="431">
        <v>988310</v>
      </c>
      <c r="L69" s="431">
        <v>0</v>
      </c>
      <c r="M69" s="431">
        <v>8057</v>
      </c>
      <c r="N69" s="431">
        <v>0</v>
      </c>
      <c r="O69" s="431">
        <v>0</v>
      </c>
      <c r="P69" s="438">
        <f t="shared" si="13"/>
        <v>1958254</v>
      </c>
      <c r="Q69" s="431">
        <v>642291</v>
      </c>
      <c r="R69" s="431">
        <v>554258</v>
      </c>
      <c r="S69" s="431">
        <v>0</v>
      </c>
      <c r="T69" s="431">
        <v>0</v>
      </c>
      <c r="U69" s="431">
        <v>0</v>
      </c>
      <c r="V69" s="431">
        <v>0</v>
      </c>
      <c r="W69" s="431">
        <v>0</v>
      </c>
      <c r="X69" s="431">
        <v>68787</v>
      </c>
      <c r="Y69" s="431">
        <v>7776</v>
      </c>
      <c r="Z69" s="431">
        <v>685142</v>
      </c>
      <c r="AA69" s="431">
        <v>0</v>
      </c>
      <c r="AB69" s="431">
        <v>0</v>
      </c>
      <c r="AC69" s="431">
        <v>539257</v>
      </c>
      <c r="AD69" s="431">
        <v>14015</v>
      </c>
      <c r="AE69" s="431">
        <v>513017</v>
      </c>
      <c r="AF69" s="431">
        <v>0</v>
      </c>
      <c r="AG69" s="431">
        <v>61770</v>
      </c>
      <c r="AH69" s="431">
        <v>68787</v>
      </c>
      <c r="AI69" s="431">
        <v>594131</v>
      </c>
      <c r="AJ69" s="431">
        <v>35674</v>
      </c>
      <c r="AK69" s="431">
        <v>0</v>
      </c>
      <c r="AL69" s="431">
        <v>131603</v>
      </c>
      <c r="AM69" s="431">
        <v>0</v>
      </c>
    </row>
    <row r="70" spans="1:39" s="155" customFormat="1" ht="12" x14ac:dyDescent="0.2">
      <c r="A70" s="168">
        <v>16</v>
      </c>
      <c r="B70" s="177">
        <v>154497</v>
      </c>
      <c r="C70" s="175" t="s">
        <v>1915</v>
      </c>
      <c r="D70" s="438">
        <f t="shared" si="12"/>
        <v>3262123</v>
      </c>
      <c r="E70" s="431">
        <v>1051239</v>
      </c>
      <c r="F70" s="431">
        <v>202255</v>
      </c>
      <c r="G70" s="431">
        <v>153712</v>
      </c>
      <c r="H70" s="431">
        <v>0</v>
      </c>
      <c r="I70" s="431">
        <v>1278867</v>
      </c>
      <c r="J70" s="431">
        <v>0</v>
      </c>
      <c r="K70" s="431">
        <v>809140</v>
      </c>
      <c r="L70" s="431">
        <v>0</v>
      </c>
      <c r="M70" s="431">
        <v>120377</v>
      </c>
      <c r="N70" s="431">
        <v>0</v>
      </c>
      <c r="O70" s="431">
        <v>2500</v>
      </c>
      <c r="P70" s="438">
        <f t="shared" si="13"/>
        <v>3205976</v>
      </c>
      <c r="Q70" s="431">
        <v>1836413</v>
      </c>
      <c r="R70" s="431">
        <v>591924</v>
      </c>
      <c r="S70" s="431">
        <v>0</v>
      </c>
      <c r="T70" s="431">
        <v>0</v>
      </c>
      <c r="U70" s="431">
        <v>0</v>
      </c>
      <c r="V70" s="431">
        <v>0</v>
      </c>
      <c r="W70" s="431">
        <v>55800</v>
      </c>
      <c r="X70" s="431">
        <v>130543</v>
      </c>
      <c r="Y70" s="431">
        <v>29990</v>
      </c>
      <c r="Z70" s="431">
        <v>561306</v>
      </c>
      <c r="AA70" s="431">
        <v>0</v>
      </c>
      <c r="AB70" s="431">
        <v>0</v>
      </c>
      <c r="AC70" s="431">
        <v>1094492</v>
      </c>
      <c r="AD70" s="431">
        <v>94874</v>
      </c>
      <c r="AE70" s="431">
        <v>1416662</v>
      </c>
      <c r="AF70" s="431">
        <v>0</v>
      </c>
      <c r="AG70" s="431">
        <v>10000</v>
      </c>
      <c r="AH70" s="431">
        <v>430030</v>
      </c>
      <c r="AI70" s="431">
        <v>104118</v>
      </c>
      <c r="AJ70" s="431">
        <v>0</v>
      </c>
      <c r="AK70" s="431">
        <v>0</v>
      </c>
      <c r="AL70" s="431">
        <v>55800</v>
      </c>
      <c r="AM70" s="431">
        <v>0</v>
      </c>
    </row>
    <row r="71" spans="1:39" s="155" customFormat="1" ht="12" x14ac:dyDescent="0.2">
      <c r="A71" s="168">
        <v>17</v>
      </c>
      <c r="B71" s="177">
        <v>154834</v>
      </c>
      <c r="C71" s="175" t="s">
        <v>1916</v>
      </c>
      <c r="D71" s="438">
        <f t="shared" si="12"/>
        <v>5132246</v>
      </c>
      <c r="E71" s="431">
        <v>2142985</v>
      </c>
      <c r="F71" s="431">
        <v>944270</v>
      </c>
      <c r="G71" s="431">
        <v>391446</v>
      </c>
      <c r="H71" s="431">
        <v>0</v>
      </c>
      <c r="I71" s="431">
        <v>1752819</v>
      </c>
      <c r="J71" s="431">
        <v>0</v>
      </c>
      <c r="K71" s="431">
        <v>628540</v>
      </c>
      <c r="L71" s="431">
        <v>0</v>
      </c>
      <c r="M71" s="431">
        <v>587147</v>
      </c>
      <c r="N71" s="431">
        <v>0</v>
      </c>
      <c r="O71" s="431">
        <v>20755</v>
      </c>
      <c r="P71" s="438">
        <f t="shared" si="13"/>
        <v>7815865</v>
      </c>
      <c r="Q71" s="431">
        <v>2272945</v>
      </c>
      <c r="R71" s="431">
        <v>820024</v>
      </c>
      <c r="S71" s="431">
        <v>0</v>
      </c>
      <c r="T71" s="431">
        <v>0</v>
      </c>
      <c r="U71" s="431">
        <v>0</v>
      </c>
      <c r="V71" s="431">
        <v>0</v>
      </c>
      <c r="W71" s="431">
        <v>4000</v>
      </c>
      <c r="X71" s="431">
        <v>353721</v>
      </c>
      <c r="Y71" s="431">
        <v>247000</v>
      </c>
      <c r="Z71" s="431">
        <v>4118175</v>
      </c>
      <c r="AA71" s="431">
        <v>0</v>
      </c>
      <c r="AB71" s="431">
        <v>0</v>
      </c>
      <c r="AC71" s="431">
        <v>1039074</v>
      </c>
      <c r="AD71" s="431">
        <v>9543</v>
      </c>
      <c r="AE71" s="431">
        <v>2107488</v>
      </c>
      <c r="AF71" s="431">
        <v>2168</v>
      </c>
      <c r="AG71" s="431">
        <v>226592</v>
      </c>
      <c r="AH71" s="431">
        <v>481739</v>
      </c>
      <c r="AI71" s="431">
        <v>388198</v>
      </c>
      <c r="AJ71" s="431">
        <v>97785</v>
      </c>
      <c r="AK71" s="431">
        <v>0</v>
      </c>
      <c r="AL71" s="431">
        <v>3389278</v>
      </c>
      <c r="AM71" s="431">
        <v>74000</v>
      </c>
    </row>
    <row r="72" spans="1:39" s="155" customFormat="1" ht="12" x14ac:dyDescent="0.2">
      <c r="A72" s="168">
        <v>18</v>
      </c>
      <c r="B72" s="177">
        <v>152270</v>
      </c>
      <c r="C72" s="175" t="s">
        <v>1917</v>
      </c>
      <c r="D72" s="438">
        <f t="shared" si="12"/>
        <v>3070420</v>
      </c>
      <c r="E72" s="431">
        <v>641141</v>
      </c>
      <c r="F72" s="431">
        <v>169800</v>
      </c>
      <c r="G72" s="431">
        <v>168277</v>
      </c>
      <c r="H72" s="431">
        <v>0</v>
      </c>
      <c r="I72" s="431">
        <v>411153</v>
      </c>
      <c r="J72" s="431">
        <v>0</v>
      </c>
      <c r="K72" s="431">
        <v>985920</v>
      </c>
      <c r="L72" s="431">
        <v>0</v>
      </c>
      <c r="M72" s="431">
        <v>1032206</v>
      </c>
      <c r="N72" s="431">
        <v>0</v>
      </c>
      <c r="O72" s="431">
        <v>0</v>
      </c>
      <c r="P72" s="438">
        <f t="shared" si="13"/>
        <v>2693863</v>
      </c>
      <c r="Q72" s="431">
        <v>674168</v>
      </c>
      <c r="R72" s="431">
        <v>358124</v>
      </c>
      <c r="S72" s="431">
        <v>0</v>
      </c>
      <c r="T72" s="431">
        <v>0</v>
      </c>
      <c r="U72" s="431">
        <v>0</v>
      </c>
      <c r="V72" s="431">
        <v>0</v>
      </c>
      <c r="W72" s="431">
        <v>0</v>
      </c>
      <c r="X72" s="431">
        <v>79460</v>
      </c>
      <c r="Y72" s="431">
        <v>0</v>
      </c>
      <c r="Z72" s="431">
        <v>1582111</v>
      </c>
      <c r="AA72" s="431">
        <v>0</v>
      </c>
      <c r="AB72" s="431">
        <v>0</v>
      </c>
      <c r="AC72" s="431">
        <v>702909</v>
      </c>
      <c r="AD72" s="431">
        <v>29455</v>
      </c>
      <c r="AE72" s="431">
        <v>370135</v>
      </c>
      <c r="AF72" s="431">
        <v>0</v>
      </c>
      <c r="AG72" s="431">
        <v>105020</v>
      </c>
      <c r="AH72" s="431">
        <v>111120</v>
      </c>
      <c r="AI72" s="431">
        <v>89942</v>
      </c>
      <c r="AJ72" s="431">
        <v>0</v>
      </c>
      <c r="AK72" s="431">
        <v>0</v>
      </c>
      <c r="AL72" s="431">
        <v>1285282</v>
      </c>
      <c r="AM72" s="431">
        <v>0</v>
      </c>
    </row>
    <row r="73" spans="1:39" s="155" customFormat="1" ht="12" x14ac:dyDescent="0.2">
      <c r="A73" s="168">
        <v>19</v>
      </c>
      <c r="B73" s="177">
        <v>152902</v>
      </c>
      <c r="C73" s="175" t="s">
        <v>1918</v>
      </c>
      <c r="D73" s="438">
        <f t="shared" si="12"/>
        <v>6221945</v>
      </c>
      <c r="E73" s="431">
        <v>1960200</v>
      </c>
      <c r="F73" s="431">
        <v>915163</v>
      </c>
      <c r="G73" s="431">
        <v>177493</v>
      </c>
      <c r="H73" s="431">
        <v>0</v>
      </c>
      <c r="I73" s="431">
        <v>2986873</v>
      </c>
      <c r="J73" s="431">
        <v>0</v>
      </c>
      <c r="K73" s="431">
        <v>482470</v>
      </c>
      <c r="L73" s="431">
        <v>0</v>
      </c>
      <c r="M73" s="431">
        <v>529935</v>
      </c>
      <c r="N73" s="431">
        <v>262467</v>
      </c>
      <c r="O73" s="431">
        <v>0</v>
      </c>
      <c r="P73" s="438">
        <f t="shared" si="13"/>
        <v>6015024</v>
      </c>
      <c r="Q73" s="431">
        <v>3316734</v>
      </c>
      <c r="R73" s="431">
        <v>1145584</v>
      </c>
      <c r="S73" s="431">
        <v>0</v>
      </c>
      <c r="T73" s="431">
        <v>0</v>
      </c>
      <c r="U73" s="431">
        <v>0</v>
      </c>
      <c r="V73" s="431">
        <v>0</v>
      </c>
      <c r="W73" s="431">
        <v>84097</v>
      </c>
      <c r="X73" s="431">
        <v>333892</v>
      </c>
      <c r="Y73" s="431">
        <v>14721</v>
      </c>
      <c r="Z73" s="431">
        <v>1161787</v>
      </c>
      <c r="AA73" s="431">
        <v>0</v>
      </c>
      <c r="AB73" s="431">
        <v>-41791</v>
      </c>
      <c r="AC73" s="431">
        <v>1248203</v>
      </c>
      <c r="AD73" s="431">
        <v>97204</v>
      </c>
      <c r="AE73" s="431">
        <v>2539451</v>
      </c>
      <c r="AF73" s="431">
        <v>102</v>
      </c>
      <c r="AG73" s="431">
        <v>235844</v>
      </c>
      <c r="AH73" s="431">
        <v>615609</v>
      </c>
      <c r="AI73" s="431">
        <v>994041</v>
      </c>
      <c r="AJ73" s="431">
        <v>58696</v>
      </c>
      <c r="AK73" s="431">
        <v>0</v>
      </c>
      <c r="AL73" s="431">
        <v>222633</v>
      </c>
      <c r="AM73" s="431">
        <v>3241</v>
      </c>
    </row>
    <row r="74" spans="1:39" s="155" customFormat="1" ht="12" x14ac:dyDescent="0.2">
      <c r="A74" s="168">
        <v>20</v>
      </c>
      <c r="B74" s="177">
        <v>154996</v>
      </c>
      <c r="C74" s="175" t="s">
        <v>1919</v>
      </c>
      <c r="D74" s="438">
        <f t="shared" si="12"/>
        <v>2873511</v>
      </c>
      <c r="E74" s="431">
        <v>558587</v>
      </c>
      <c r="F74" s="431">
        <v>131310</v>
      </c>
      <c r="G74" s="431">
        <v>184717</v>
      </c>
      <c r="H74" s="431">
        <v>0</v>
      </c>
      <c r="I74" s="431">
        <v>1004497</v>
      </c>
      <c r="J74" s="431">
        <v>0</v>
      </c>
      <c r="K74" s="431">
        <v>1169320</v>
      </c>
      <c r="L74" s="431">
        <v>0</v>
      </c>
      <c r="M74" s="431">
        <v>23309</v>
      </c>
      <c r="N74" s="431">
        <v>117798</v>
      </c>
      <c r="O74" s="431">
        <v>0</v>
      </c>
      <c r="P74" s="438">
        <f t="shared" si="13"/>
        <v>3107539</v>
      </c>
      <c r="Q74" s="431">
        <v>1545749</v>
      </c>
      <c r="R74" s="431">
        <v>840908</v>
      </c>
      <c r="S74" s="431">
        <v>0</v>
      </c>
      <c r="T74" s="431">
        <v>0</v>
      </c>
      <c r="U74" s="431">
        <v>0</v>
      </c>
      <c r="V74" s="431">
        <v>0</v>
      </c>
      <c r="W74" s="431">
        <v>344468</v>
      </c>
      <c r="X74" s="431">
        <v>106347</v>
      </c>
      <c r="Y74" s="431">
        <v>29628</v>
      </c>
      <c r="Z74" s="431">
        <v>241890</v>
      </c>
      <c r="AA74" s="431">
        <v>0</v>
      </c>
      <c r="AB74" s="431">
        <v>-1451</v>
      </c>
      <c r="AC74" s="431">
        <v>992329</v>
      </c>
      <c r="AD74" s="431">
        <v>75694</v>
      </c>
      <c r="AE74" s="431">
        <v>767353</v>
      </c>
      <c r="AF74" s="431">
        <v>0</v>
      </c>
      <c r="AG74" s="431">
        <v>82957</v>
      </c>
      <c r="AH74" s="431">
        <v>352021</v>
      </c>
      <c r="AI74" s="431">
        <v>53592</v>
      </c>
      <c r="AJ74" s="431">
        <v>437903</v>
      </c>
      <c r="AK74" s="431">
        <v>0</v>
      </c>
      <c r="AL74" s="431">
        <v>345690</v>
      </c>
      <c r="AM74" s="431">
        <v>0</v>
      </c>
    </row>
    <row r="75" spans="1:39" s="155" customFormat="1" ht="12" x14ac:dyDescent="0.2">
      <c r="A75" s="168">
        <v>21</v>
      </c>
      <c r="B75" s="177">
        <v>155127</v>
      </c>
      <c r="C75" s="175" t="s">
        <v>1920</v>
      </c>
      <c r="D75" s="438">
        <f t="shared" si="12"/>
        <v>8938842</v>
      </c>
      <c r="E75" s="431">
        <v>533491</v>
      </c>
      <c r="F75" s="431">
        <v>111185</v>
      </c>
      <c r="G75" s="431">
        <v>198257</v>
      </c>
      <c r="H75" s="431">
        <v>0</v>
      </c>
      <c r="I75" s="431">
        <v>1367107</v>
      </c>
      <c r="J75" s="431">
        <v>0</v>
      </c>
      <c r="K75" s="431">
        <v>1225670</v>
      </c>
      <c r="L75" s="431">
        <v>0</v>
      </c>
      <c r="M75" s="431">
        <v>5812574</v>
      </c>
      <c r="N75" s="431">
        <v>0</v>
      </c>
      <c r="O75" s="431">
        <v>0</v>
      </c>
      <c r="P75" s="438">
        <f t="shared" si="13"/>
        <v>8938842</v>
      </c>
      <c r="Q75" s="431">
        <v>1617268</v>
      </c>
      <c r="R75" s="431">
        <v>1069464</v>
      </c>
      <c r="S75" s="431">
        <v>0</v>
      </c>
      <c r="T75" s="431">
        <v>0</v>
      </c>
      <c r="U75" s="431">
        <v>0</v>
      </c>
      <c r="V75" s="431">
        <v>5000</v>
      </c>
      <c r="W75" s="431">
        <v>0</v>
      </c>
      <c r="X75" s="431">
        <v>162329</v>
      </c>
      <c r="Y75" s="431">
        <v>0</v>
      </c>
      <c r="Z75" s="431">
        <v>6084781</v>
      </c>
      <c r="AA75" s="431">
        <v>0</v>
      </c>
      <c r="AB75" s="431">
        <v>0</v>
      </c>
      <c r="AC75" s="431">
        <v>1098939</v>
      </c>
      <c r="AD75" s="431">
        <v>7500</v>
      </c>
      <c r="AE75" s="431">
        <v>1249548</v>
      </c>
      <c r="AF75" s="431">
        <v>0</v>
      </c>
      <c r="AG75" s="431">
        <v>0</v>
      </c>
      <c r="AH75" s="431">
        <v>308788</v>
      </c>
      <c r="AI75" s="431">
        <v>271856</v>
      </c>
      <c r="AJ75" s="431">
        <v>5752271</v>
      </c>
      <c r="AK75" s="431">
        <v>0</v>
      </c>
      <c r="AL75" s="431">
        <v>249940</v>
      </c>
      <c r="AM75" s="431">
        <v>0</v>
      </c>
    </row>
    <row r="76" spans="1:39" s="155" customFormat="1" ht="12" x14ac:dyDescent="0.2">
      <c r="A76" s="168">
        <v>22</v>
      </c>
      <c r="B76" s="177">
        <v>151709</v>
      </c>
      <c r="C76" s="175" t="s">
        <v>1921</v>
      </c>
      <c r="D76" s="438">
        <f t="shared" si="12"/>
        <v>2107974</v>
      </c>
      <c r="E76" s="431">
        <v>570887</v>
      </c>
      <c r="F76" s="431">
        <v>94965</v>
      </c>
      <c r="G76" s="431">
        <v>184717</v>
      </c>
      <c r="H76" s="431">
        <v>0</v>
      </c>
      <c r="I76" s="431">
        <v>425252</v>
      </c>
      <c r="J76" s="431">
        <v>0</v>
      </c>
      <c r="K76" s="431">
        <v>1104890</v>
      </c>
      <c r="L76" s="431">
        <v>0</v>
      </c>
      <c r="M76" s="431">
        <v>6945</v>
      </c>
      <c r="N76" s="431">
        <v>0</v>
      </c>
      <c r="O76" s="431">
        <v>0</v>
      </c>
      <c r="P76" s="438">
        <f t="shared" si="13"/>
        <v>1489295</v>
      </c>
      <c r="Q76" s="431">
        <v>726504</v>
      </c>
      <c r="R76" s="431">
        <v>585354</v>
      </c>
      <c r="S76" s="431">
        <v>0</v>
      </c>
      <c r="T76" s="431">
        <v>0</v>
      </c>
      <c r="U76" s="431">
        <v>0</v>
      </c>
      <c r="V76" s="431">
        <v>0</v>
      </c>
      <c r="W76" s="431">
        <v>0</v>
      </c>
      <c r="X76" s="431">
        <v>85853</v>
      </c>
      <c r="Y76" s="431">
        <v>10087</v>
      </c>
      <c r="Z76" s="431">
        <v>83343</v>
      </c>
      <c r="AA76" s="431">
        <v>0</v>
      </c>
      <c r="AB76" s="431">
        <v>-1846</v>
      </c>
      <c r="AC76" s="431">
        <v>519589</v>
      </c>
      <c r="AD76" s="431">
        <v>123680</v>
      </c>
      <c r="AE76" s="431">
        <v>394632</v>
      </c>
      <c r="AF76" s="431">
        <v>0</v>
      </c>
      <c r="AG76" s="431">
        <v>19694</v>
      </c>
      <c r="AH76" s="431">
        <v>114624</v>
      </c>
      <c r="AI76" s="431">
        <v>48347</v>
      </c>
      <c r="AJ76" s="431">
        <v>15952</v>
      </c>
      <c r="AK76" s="431">
        <v>0</v>
      </c>
      <c r="AL76" s="431">
        <v>252332</v>
      </c>
      <c r="AM76" s="431">
        <v>445</v>
      </c>
    </row>
    <row r="77" spans="1:39" s="155" customFormat="1" ht="12" x14ac:dyDescent="0.2">
      <c r="A77" s="168">
        <v>23</v>
      </c>
      <c r="B77" s="177">
        <v>151736</v>
      </c>
      <c r="C77" s="175" t="s">
        <v>1922</v>
      </c>
      <c r="D77" s="438">
        <f t="shared" si="12"/>
        <v>6145441</v>
      </c>
      <c r="E77" s="431">
        <v>1689284</v>
      </c>
      <c r="F77" s="431">
        <v>354138</v>
      </c>
      <c r="G77" s="431">
        <v>625206</v>
      </c>
      <c r="H77" s="431">
        <v>0</v>
      </c>
      <c r="I77" s="431">
        <v>2294207</v>
      </c>
      <c r="J77" s="431">
        <v>0</v>
      </c>
      <c r="K77" s="431">
        <v>1218040</v>
      </c>
      <c r="L77" s="431">
        <v>0</v>
      </c>
      <c r="M77" s="431">
        <v>686176</v>
      </c>
      <c r="N77" s="431">
        <v>238354</v>
      </c>
      <c r="O77" s="431">
        <v>19380</v>
      </c>
      <c r="P77" s="438">
        <f t="shared" si="13"/>
        <v>5982512</v>
      </c>
      <c r="Q77" s="431">
        <v>2848821</v>
      </c>
      <c r="R77" s="431">
        <v>1570161</v>
      </c>
      <c r="S77" s="431">
        <v>0</v>
      </c>
      <c r="T77" s="431">
        <v>0</v>
      </c>
      <c r="U77" s="431">
        <v>0</v>
      </c>
      <c r="V77" s="431">
        <v>0</v>
      </c>
      <c r="W77" s="431">
        <v>437531</v>
      </c>
      <c r="X77" s="431">
        <v>263438</v>
      </c>
      <c r="Y77" s="431">
        <v>8475</v>
      </c>
      <c r="Z77" s="431">
        <v>854305</v>
      </c>
      <c r="AA77" s="431">
        <v>0</v>
      </c>
      <c r="AB77" s="431">
        <v>-219</v>
      </c>
      <c r="AC77" s="431">
        <v>988077</v>
      </c>
      <c r="AD77" s="431">
        <v>130414</v>
      </c>
      <c r="AE77" s="431">
        <v>2427984</v>
      </c>
      <c r="AF77" s="431">
        <v>0</v>
      </c>
      <c r="AG77" s="431">
        <v>711532</v>
      </c>
      <c r="AH77" s="431">
        <v>673208</v>
      </c>
      <c r="AI77" s="431">
        <v>433966</v>
      </c>
      <c r="AJ77" s="431">
        <v>115944</v>
      </c>
      <c r="AK77" s="431">
        <v>0</v>
      </c>
      <c r="AL77" s="431">
        <v>379957</v>
      </c>
      <c r="AM77" s="431">
        <v>121430</v>
      </c>
    </row>
    <row r="78" spans="1:39" s="155" customFormat="1" ht="12" x14ac:dyDescent="0.2">
      <c r="A78" s="168">
        <v>24</v>
      </c>
      <c r="B78" s="177">
        <v>151763</v>
      </c>
      <c r="C78" s="175" t="s">
        <v>1923</v>
      </c>
      <c r="D78" s="438">
        <f t="shared" si="12"/>
        <v>3292484</v>
      </c>
      <c r="E78" s="431">
        <v>954470</v>
      </c>
      <c r="F78" s="431">
        <v>332769</v>
      </c>
      <c r="G78" s="431">
        <v>122823</v>
      </c>
      <c r="H78" s="431">
        <v>0</v>
      </c>
      <c r="I78" s="431">
        <v>863131</v>
      </c>
      <c r="J78" s="431">
        <v>0</v>
      </c>
      <c r="K78" s="431">
        <v>799020</v>
      </c>
      <c r="L78" s="431">
        <v>0</v>
      </c>
      <c r="M78" s="431">
        <v>169712</v>
      </c>
      <c r="N78" s="431">
        <v>504901</v>
      </c>
      <c r="O78" s="431">
        <v>1250</v>
      </c>
      <c r="P78" s="438">
        <f t="shared" si="13"/>
        <v>3413748</v>
      </c>
      <c r="Q78" s="431">
        <v>1448219</v>
      </c>
      <c r="R78" s="431">
        <v>692350</v>
      </c>
      <c r="S78" s="431">
        <v>0</v>
      </c>
      <c r="T78" s="431">
        <v>0</v>
      </c>
      <c r="U78" s="431">
        <v>0</v>
      </c>
      <c r="V78" s="431">
        <v>30300</v>
      </c>
      <c r="W78" s="431">
        <v>1073221</v>
      </c>
      <c r="X78" s="431">
        <v>148212</v>
      </c>
      <c r="Y78" s="431">
        <v>22264</v>
      </c>
      <c r="Z78" s="431">
        <v>0</v>
      </c>
      <c r="AA78" s="431">
        <v>0</v>
      </c>
      <c r="AB78" s="431">
        <v>-818</v>
      </c>
      <c r="AC78" s="431">
        <v>869193</v>
      </c>
      <c r="AD78" s="431">
        <v>44820</v>
      </c>
      <c r="AE78" s="431">
        <v>626930</v>
      </c>
      <c r="AF78" s="431">
        <v>0</v>
      </c>
      <c r="AG78" s="431">
        <v>26034</v>
      </c>
      <c r="AH78" s="431">
        <v>357419</v>
      </c>
      <c r="AI78" s="431">
        <v>54850</v>
      </c>
      <c r="AJ78" s="431">
        <v>0</v>
      </c>
      <c r="AK78" s="431">
        <v>0</v>
      </c>
      <c r="AL78" s="431">
        <v>1174424</v>
      </c>
      <c r="AM78" s="431">
        <v>260078</v>
      </c>
    </row>
    <row r="79" spans="1:39" s="155" customFormat="1" ht="12" x14ac:dyDescent="0.2">
      <c r="A79" s="168">
        <v>25</v>
      </c>
      <c r="B79" s="177">
        <v>152662</v>
      </c>
      <c r="C79" s="175" t="s">
        <v>1924</v>
      </c>
      <c r="D79" s="438">
        <f t="shared" si="12"/>
        <v>2273778</v>
      </c>
      <c r="E79" s="431">
        <v>646585</v>
      </c>
      <c r="F79" s="431">
        <v>90845</v>
      </c>
      <c r="G79" s="431">
        <v>164408</v>
      </c>
      <c r="H79" s="431">
        <v>0</v>
      </c>
      <c r="I79" s="431">
        <v>509122</v>
      </c>
      <c r="J79" s="431">
        <v>0</v>
      </c>
      <c r="K79" s="431">
        <v>981330</v>
      </c>
      <c r="L79" s="431">
        <v>0</v>
      </c>
      <c r="M79" s="431">
        <v>57497</v>
      </c>
      <c r="N79" s="431">
        <v>75494</v>
      </c>
      <c r="O79" s="431">
        <v>3750</v>
      </c>
      <c r="P79" s="438">
        <f t="shared" si="13"/>
        <v>1918218</v>
      </c>
      <c r="Q79" s="431">
        <v>843445</v>
      </c>
      <c r="R79" s="431">
        <v>548171</v>
      </c>
      <c r="S79" s="431">
        <v>0</v>
      </c>
      <c r="T79" s="431">
        <v>0</v>
      </c>
      <c r="U79" s="431">
        <v>0</v>
      </c>
      <c r="V79" s="431">
        <v>96012</v>
      </c>
      <c r="W79" s="431">
        <v>142181</v>
      </c>
      <c r="X79" s="431">
        <v>117046</v>
      </c>
      <c r="Y79" s="431">
        <v>0</v>
      </c>
      <c r="Z79" s="431">
        <v>171443</v>
      </c>
      <c r="AA79" s="431">
        <v>0</v>
      </c>
      <c r="AB79" s="431">
        <v>-80</v>
      </c>
      <c r="AC79" s="431">
        <v>745015</v>
      </c>
      <c r="AD79" s="431">
        <v>19321</v>
      </c>
      <c r="AE79" s="431">
        <v>391122</v>
      </c>
      <c r="AF79" s="431">
        <v>4711</v>
      </c>
      <c r="AG79" s="431">
        <v>172277</v>
      </c>
      <c r="AH79" s="431">
        <v>161291</v>
      </c>
      <c r="AI79" s="431">
        <v>49233</v>
      </c>
      <c r="AJ79" s="431">
        <v>50225</v>
      </c>
      <c r="AK79" s="431">
        <v>0</v>
      </c>
      <c r="AL79" s="431">
        <v>290023</v>
      </c>
      <c r="AM79" s="431">
        <v>35000</v>
      </c>
    </row>
    <row r="80" spans="1:39" s="155" customFormat="1" ht="12" x14ac:dyDescent="0.2">
      <c r="A80" s="168">
        <v>26</v>
      </c>
      <c r="B80" s="177">
        <v>153151</v>
      </c>
      <c r="C80" s="175" t="s">
        <v>1925</v>
      </c>
      <c r="D80" s="438">
        <f t="shared" si="12"/>
        <v>7214646</v>
      </c>
      <c r="E80" s="431">
        <v>684567</v>
      </c>
      <c r="F80" s="431">
        <v>151220</v>
      </c>
      <c r="G80" s="431">
        <v>178915</v>
      </c>
      <c r="H80" s="431">
        <v>0</v>
      </c>
      <c r="I80" s="431">
        <v>2185450</v>
      </c>
      <c r="J80" s="431">
        <v>0</v>
      </c>
      <c r="K80" s="431">
        <v>1141340</v>
      </c>
      <c r="L80" s="431">
        <v>0</v>
      </c>
      <c r="M80" s="431">
        <v>553324</v>
      </c>
      <c r="N80" s="431">
        <v>2649965</v>
      </c>
      <c r="O80" s="431">
        <v>0</v>
      </c>
      <c r="P80" s="438">
        <f t="shared" si="13"/>
        <v>7278574</v>
      </c>
      <c r="Q80" s="431">
        <v>2353467</v>
      </c>
      <c r="R80" s="431">
        <v>655961</v>
      </c>
      <c r="S80" s="431">
        <v>0</v>
      </c>
      <c r="T80" s="431">
        <v>0</v>
      </c>
      <c r="U80" s="431">
        <v>0</v>
      </c>
      <c r="V80" s="431">
        <v>0</v>
      </c>
      <c r="W80" s="431">
        <v>3304369</v>
      </c>
      <c r="X80" s="431">
        <v>227926</v>
      </c>
      <c r="Y80" s="431">
        <v>0</v>
      </c>
      <c r="Z80" s="431">
        <v>740459</v>
      </c>
      <c r="AA80" s="431">
        <v>0</v>
      </c>
      <c r="AB80" s="431">
        <v>-3608</v>
      </c>
      <c r="AC80" s="431">
        <v>807225</v>
      </c>
      <c r="AD80" s="431">
        <v>14707</v>
      </c>
      <c r="AE80" s="431">
        <v>2399613</v>
      </c>
      <c r="AF80" s="431">
        <v>15350</v>
      </c>
      <c r="AG80" s="431">
        <v>80914</v>
      </c>
      <c r="AH80" s="431">
        <v>503579</v>
      </c>
      <c r="AI80" s="431">
        <v>77700</v>
      </c>
      <c r="AJ80" s="431">
        <v>25847</v>
      </c>
      <c r="AK80" s="431">
        <v>0</v>
      </c>
      <c r="AL80" s="431">
        <v>294801</v>
      </c>
      <c r="AM80" s="431">
        <v>3058838</v>
      </c>
    </row>
    <row r="81" spans="1:39" s="155" customFormat="1" ht="12" x14ac:dyDescent="0.2">
      <c r="A81" s="168">
        <v>27</v>
      </c>
      <c r="B81" s="177">
        <v>153623</v>
      </c>
      <c r="C81" s="175" t="s">
        <v>1926</v>
      </c>
      <c r="D81" s="438">
        <f t="shared" si="12"/>
        <v>3014853</v>
      </c>
      <c r="E81" s="431">
        <v>626372</v>
      </c>
      <c r="F81" s="431">
        <v>184540</v>
      </c>
      <c r="G81" s="431">
        <v>176014</v>
      </c>
      <c r="H81" s="431">
        <v>0</v>
      </c>
      <c r="I81" s="431">
        <v>1225135</v>
      </c>
      <c r="J81" s="431">
        <v>0</v>
      </c>
      <c r="K81" s="431">
        <v>1109280</v>
      </c>
      <c r="L81" s="431">
        <v>0</v>
      </c>
      <c r="M81" s="431">
        <v>46565</v>
      </c>
      <c r="N81" s="431">
        <v>0</v>
      </c>
      <c r="O81" s="431">
        <v>7501</v>
      </c>
      <c r="P81" s="438">
        <f t="shared" si="13"/>
        <v>2882796</v>
      </c>
      <c r="Q81" s="431">
        <v>1613025</v>
      </c>
      <c r="R81" s="431">
        <v>577984</v>
      </c>
      <c r="S81" s="431">
        <v>14318</v>
      </c>
      <c r="T81" s="431">
        <v>0</v>
      </c>
      <c r="U81" s="431">
        <v>0</v>
      </c>
      <c r="V81" s="431">
        <v>40000</v>
      </c>
      <c r="W81" s="431">
        <v>0</v>
      </c>
      <c r="X81" s="431">
        <v>145863</v>
      </c>
      <c r="Y81" s="431">
        <v>42008</v>
      </c>
      <c r="Z81" s="431">
        <v>451748</v>
      </c>
      <c r="AA81" s="431">
        <v>0</v>
      </c>
      <c r="AB81" s="431">
        <v>-2150</v>
      </c>
      <c r="AC81" s="431">
        <v>1037158</v>
      </c>
      <c r="AD81" s="431">
        <v>46595</v>
      </c>
      <c r="AE81" s="431">
        <v>900906</v>
      </c>
      <c r="AF81" s="431">
        <v>19930</v>
      </c>
      <c r="AG81" s="431">
        <v>103015</v>
      </c>
      <c r="AH81" s="431">
        <v>426823</v>
      </c>
      <c r="AI81" s="431">
        <v>94538</v>
      </c>
      <c r="AJ81" s="431">
        <v>3085</v>
      </c>
      <c r="AK81" s="431">
        <v>0</v>
      </c>
      <c r="AL81" s="431">
        <v>250746</v>
      </c>
      <c r="AM81" s="431">
        <v>0</v>
      </c>
    </row>
    <row r="82" spans="1:39" s="155" customFormat="1" ht="12" x14ac:dyDescent="0.2">
      <c r="A82" s="168">
        <v>28</v>
      </c>
      <c r="B82" s="177">
        <v>153829</v>
      </c>
      <c r="C82" s="175" t="s">
        <v>1927</v>
      </c>
      <c r="D82" s="438">
        <f t="shared" si="12"/>
        <v>2760665</v>
      </c>
      <c r="E82" s="431">
        <v>1082458</v>
      </c>
      <c r="F82" s="431">
        <v>457424</v>
      </c>
      <c r="G82" s="431">
        <v>97678</v>
      </c>
      <c r="H82" s="431">
        <v>0</v>
      </c>
      <c r="I82" s="431">
        <v>803293</v>
      </c>
      <c r="J82" s="431">
        <v>0</v>
      </c>
      <c r="K82" s="431">
        <v>586740</v>
      </c>
      <c r="L82" s="431">
        <v>0</v>
      </c>
      <c r="M82" s="431">
        <v>175198</v>
      </c>
      <c r="N82" s="431">
        <v>111595</v>
      </c>
      <c r="O82" s="431">
        <v>1381</v>
      </c>
      <c r="P82" s="438">
        <f t="shared" si="13"/>
        <v>2357989</v>
      </c>
      <c r="Q82" s="431">
        <v>1114236</v>
      </c>
      <c r="R82" s="431">
        <v>603883</v>
      </c>
      <c r="S82" s="431">
        <v>0</v>
      </c>
      <c r="T82" s="431">
        <v>0</v>
      </c>
      <c r="U82" s="431">
        <v>0</v>
      </c>
      <c r="V82" s="431">
        <v>0</v>
      </c>
      <c r="W82" s="431">
        <v>0</v>
      </c>
      <c r="X82" s="431">
        <v>215335</v>
      </c>
      <c r="Y82" s="431">
        <v>15990</v>
      </c>
      <c r="Z82" s="431">
        <v>410066</v>
      </c>
      <c r="AA82" s="431">
        <v>0</v>
      </c>
      <c r="AB82" s="431">
        <v>-1521</v>
      </c>
      <c r="AC82" s="431">
        <v>670018</v>
      </c>
      <c r="AD82" s="431">
        <v>39175</v>
      </c>
      <c r="AE82" s="431">
        <v>779672</v>
      </c>
      <c r="AF82" s="431">
        <v>20900</v>
      </c>
      <c r="AG82" s="431">
        <v>58527</v>
      </c>
      <c r="AH82" s="431">
        <v>213954</v>
      </c>
      <c r="AI82" s="431">
        <v>106292</v>
      </c>
      <c r="AJ82" s="431">
        <v>24121</v>
      </c>
      <c r="AK82" s="431">
        <v>0</v>
      </c>
      <c r="AL82" s="431">
        <v>37341</v>
      </c>
      <c r="AM82" s="431">
        <v>407989</v>
      </c>
    </row>
    <row r="83" spans="1:39" s="155" customFormat="1" ht="12" x14ac:dyDescent="0.2">
      <c r="A83" s="168">
        <v>29</v>
      </c>
      <c r="B83" s="177">
        <v>153936</v>
      </c>
      <c r="C83" s="175" t="s">
        <v>551</v>
      </c>
      <c r="D83" s="438">
        <f t="shared" si="12"/>
        <v>2684321</v>
      </c>
      <c r="E83" s="431">
        <v>1016016</v>
      </c>
      <c r="F83" s="431">
        <v>307400</v>
      </c>
      <c r="G83" s="431">
        <v>90908</v>
      </c>
      <c r="H83" s="431">
        <v>0</v>
      </c>
      <c r="I83" s="431">
        <v>981445</v>
      </c>
      <c r="J83" s="431">
        <v>0</v>
      </c>
      <c r="K83" s="431">
        <v>620300</v>
      </c>
      <c r="L83" s="431">
        <v>0</v>
      </c>
      <c r="M83" s="431">
        <v>66560</v>
      </c>
      <c r="N83" s="431">
        <v>0</v>
      </c>
      <c r="O83" s="431">
        <v>0</v>
      </c>
      <c r="P83" s="438">
        <f t="shared" si="13"/>
        <v>2378021</v>
      </c>
      <c r="Q83" s="431">
        <v>1220405</v>
      </c>
      <c r="R83" s="431">
        <v>414794</v>
      </c>
      <c r="S83" s="431">
        <v>0</v>
      </c>
      <c r="T83" s="431">
        <v>0</v>
      </c>
      <c r="U83" s="431">
        <v>0</v>
      </c>
      <c r="V83" s="431">
        <v>0</v>
      </c>
      <c r="W83" s="431">
        <v>0</v>
      </c>
      <c r="X83" s="431">
        <v>179699</v>
      </c>
      <c r="Y83" s="431">
        <v>0</v>
      </c>
      <c r="Z83" s="431">
        <v>563123</v>
      </c>
      <c r="AA83" s="431">
        <v>0</v>
      </c>
      <c r="AB83" s="431">
        <v>0</v>
      </c>
      <c r="AC83" s="431">
        <v>421341</v>
      </c>
      <c r="AD83" s="431">
        <v>0</v>
      </c>
      <c r="AE83" s="431">
        <v>796342</v>
      </c>
      <c r="AF83" s="431">
        <v>0</v>
      </c>
      <c r="AG83" s="431">
        <v>32206</v>
      </c>
      <c r="AH83" s="431">
        <v>297299</v>
      </c>
      <c r="AI83" s="431">
        <v>82534</v>
      </c>
      <c r="AJ83" s="431">
        <v>13921</v>
      </c>
      <c r="AK83" s="431">
        <v>0</v>
      </c>
      <c r="AL83" s="431">
        <v>734378</v>
      </c>
      <c r="AM83" s="431">
        <v>0</v>
      </c>
    </row>
    <row r="84" spans="1:39" s="155" customFormat="1" ht="12" x14ac:dyDescent="0.2">
      <c r="A84" s="168">
        <v>30</v>
      </c>
      <c r="B84" s="177">
        <v>154139</v>
      </c>
      <c r="C84" s="175" t="s">
        <v>1928</v>
      </c>
      <c r="D84" s="438">
        <f t="shared" si="12"/>
        <v>3017696</v>
      </c>
      <c r="E84" s="431">
        <v>780881</v>
      </c>
      <c r="F84" s="431">
        <v>110585</v>
      </c>
      <c r="G84" s="431">
        <v>154737</v>
      </c>
      <c r="H84" s="431">
        <v>0</v>
      </c>
      <c r="I84" s="431">
        <v>699921</v>
      </c>
      <c r="J84" s="431">
        <v>0</v>
      </c>
      <c r="K84" s="431">
        <v>971800</v>
      </c>
      <c r="L84" s="431">
        <v>0</v>
      </c>
      <c r="M84" s="431">
        <v>438415</v>
      </c>
      <c r="N84" s="431">
        <v>126679</v>
      </c>
      <c r="O84" s="431">
        <v>0</v>
      </c>
      <c r="P84" s="438">
        <f t="shared" si="13"/>
        <v>2854974</v>
      </c>
      <c r="Q84" s="431">
        <v>1087485</v>
      </c>
      <c r="R84" s="431">
        <v>684747</v>
      </c>
      <c r="S84" s="431">
        <v>0</v>
      </c>
      <c r="T84" s="431">
        <v>0</v>
      </c>
      <c r="U84" s="431">
        <v>0</v>
      </c>
      <c r="V84" s="431">
        <v>0</v>
      </c>
      <c r="W84" s="431">
        <v>0</v>
      </c>
      <c r="X84" s="431">
        <v>157434</v>
      </c>
      <c r="Y84" s="431">
        <v>60000</v>
      </c>
      <c r="Z84" s="431">
        <v>874808</v>
      </c>
      <c r="AA84" s="431">
        <v>0</v>
      </c>
      <c r="AB84" s="431">
        <v>-9500</v>
      </c>
      <c r="AC84" s="431">
        <v>658822</v>
      </c>
      <c r="AD84" s="431">
        <v>66431</v>
      </c>
      <c r="AE84" s="431">
        <v>660662</v>
      </c>
      <c r="AF84" s="431">
        <v>0</v>
      </c>
      <c r="AG84" s="431">
        <v>264388</v>
      </c>
      <c r="AH84" s="431">
        <v>201540</v>
      </c>
      <c r="AI84" s="431">
        <v>361165</v>
      </c>
      <c r="AJ84" s="431">
        <v>0</v>
      </c>
      <c r="AK84" s="431">
        <v>0</v>
      </c>
      <c r="AL84" s="431">
        <v>627523</v>
      </c>
      <c r="AM84" s="431">
        <v>14443</v>
      </c>
    </row>
    <row r="85" spans="1:39" s="155" customFormat="1" ht="12" x14ac:dyDescent="0.2">
      <c r="A85" s="168">
        <v>31</v>
      </c>
      <c r="B85" s="177">
        <v>154184</v>
      </c>
      <c r="C85" s="175" t="s">
        <v>1929</v>
      </c>
      <c r="D85" s="438">
        <f t="shared" si="12"/>
        <v>4159752</v>
      </c>
      <c r="E85" s="431">
        <v>870713</v>
      </c>
      <c r="F85" s="431">
        <v>292507</v>
      </c>
      <c r="G85" s="431">
        <v>133461</v>
      </c>
      <c r="H85" s="431">
        <v>0</v>
      </c>
      <c r="I85" s="431">
        <v>1370079</v>
      </c>
      <c r="J85" s="431">
        <v>0</v>
      </c>
      <c r="K85" s="431">
        <v>944700</v>
      </c>
      <c r="L85" s="431">
        <v>0</v>
      </c>
      <c r="M85" s="431">
        <v>974260</v>
      </c>
      <c r="N85" s="431">
        <v>0</v>
      </c>
      <c r="O85" s="431">
        <v>0</v>
      </c>
      <c r="P85" s="438">
        <f t="shared" si="13"/>
        <v>4159601</v>
      </c>
      <c r="Q85" s="431">
        <v>1727535</v>
      </c>
      <c r="R85" s="431">
        <v>1062303</v>
      </c>
      <c r="S85" s="431">
        <v>5800</v>
      </c>
      <c r="T85" s="431">
        <v>0</v>
      </c>
      <c r="U85" s="431">
        <v>0</v>
      </c>
      <c r="V85" s="431">
        <v>0</v>
      </c>
      <c r="W85" s="431">
        <v>0</v>
      </c>
      <c r="X85" s="431">
        <v>227769</v>
      </c>
      <c r="Y85" s="431">
        <v>0</v>
      </c>
      <c r="Z85" s="431">
        <v>1062263</v>
      </c>
      <c r="AA85" s="431">
        <v>74000</v>
      </c>
      <c r="AB85" s="431">
        <v>-69</v>
      </c>
      <c r="AC85" s="431">
        <v>951509</v>
      </c>
      <c r="AD85" s="431">
        <v>51611</v>
      </c>
      <c r="AE85" s="431">
        <v>1190950</v>
      </c>
      <c r="AF85" s="431">
        <v>0</v>
      </c>
      <c r="AG85" s="431">
        <v>93502</v>
      </c>
      <c r="AH85" s="431">
        <v>422709</v>
      </c>
      <c r="AI85" s="431">
        <v>1046106</v>
      </c>
      <c r="AJ85" s="431">
        <v>0</v>
      </c>
      <c r="AK85" s="431">
        <v>0</v>
      </c>
      <c r="AL85" s="431">
        <v>307798</v>
      </c>
      <c r="AM85" s="431">
        <v>95416</v>
      </c>
    </row>
    <row r="86" spans="1:39" s="155" customFormat="1" ht="12" x14ac:dyDescent="0.2">
      <c r="A86" s="168">
        <v>32</v>
      </c>
      <c r="B86" s="177">
        <v>154736</v>
      </c>
      <c r="C86" s="175" t="s">
        <v>1930</v>
      </c>
      <c r="D86" s="438">
        <f t="shared" si="12"/>
        <v>2438201</v>
      </c>
      <c r="E86" s="431">
        <v>755778</v>
      </c>
      <c r="F86" s="431">
        <v>139343</v>
      </c>
      <c r="G86" s="431">
        <v>156671</v>
      </c>
      <c r="H86" s="431">
        <v>0</v>
      </c>
      <c r="I86" s="431">
        <v>626483</v>
      </c>
      <c r="J86" s="431">
        <v>0</v>
      </c>
      <c r="K86" s="431">
        <v>996570</v>
      </c>
      <c r="L86" s="431">
        <v>0</v>
      </c>
      <c r="M86" s="431">
        <v>51674</v>
      </c>
      <c r="N86" s="431">
        <v>7696</v>
      </c>
      <c r="O86" s="431">
        <v>0</v>
      </c>
      <c r="P86" s="438">
        <f t="shared" si="13"/>
        <v>1964759</v>
      </c>
      <c r="Q86" s="431">
        <v>874994</v>
      </c>
      <c r="R86" s="431">
        <v>719265</v>
      </c>
      <c r="S86" s="431">
        <v>0</v>
      </c>
      <c r="T86" s="431">
        <v>0</v>
      </c>
      <c r="U86" s="431">
        <v>0</v>
      </c>
      <c r="V86" s="431">
        <v>0</v>
      </c>
      <c r="W86" s="431">
        <v>0</v>
      </c>
      <c r="X86" s="431">
        <v>169299</v>
      </c>
      <c r="Y86" s="431">
        <v>20000</v>
      </c>
      <c r="Z86" s="431">
        <v>188891</v>
      </c>
      <c r="AA86" s="431">
        <v>0</v>
      </c>
      <c r="AB86" s="431">
        <v>-7690</v>
      </c>
      <c r="AC86" s="431">
        <v>711625</v>
      </c>
      <c r="AD86" s="431">
        <v>30845</v>
      </c>
      <c r="AE86" s="431">
        <v>513791</v>
      </c>
      <c r="AF86" s="431">
        <v>50048</v>
      </c>
      <c r="AG86" s="431">
        <v>20000</v>
      </c>
      <c r="AH86" s="431">
        <v>169299</v>
      </c>
      <c r="AI86" s="431">
        <v>126556</v>
      </c>
      <c r="AJ86" s="431">
        <v>0</v>
      </c>
      <c r="AK86" s="431">
        <v>0</v>
      </c>
      <c r="AL86" s="431">
        <v>339943</v>
      </c>
      <c r="AM86" s="431">
        <v>2652</v>
      </c>
    </row>
    <row r="87" spans="1:39" s="155" customFormat="1" ht="12" x14ac:dyDescent="0.2">
      <c r="A87" s="168">
        <v>33</v>
      </c>
      <c r="B87" s="177">
        <v>154344</v>
      </c>
      <c r="C87" s="175" t="s">
        <v>1931</v>
      </c>
      <c r="D87" s="438">
        <f t="shared" si="12"/>
        <v>3441513</v>
      </c>
      <c r="E87" s="431">
        <v>581256</v>
      </c>
      <c r="F87" s="431">
        <v>59839</v>
      </c>
      <c r="G87" s="431">
        <v>191487</v>
      </c>
      <c r="H87" s="431">
        <v>0</v>
      </c>
      <c r="I87" s="431">
        <v>714125</v>
      </c>
      <c r="J87" s="431">
        <v>0</v>
      </c>
      <c r="K87" s="431">
        <v>1181180</v>
      </c>
      <c r="L87" s="431">
        <v>0</v>
      </c>
      <c r="M87" s="431">
        <v>244546</v>
      </c>
      <c r="N87" s="431">
        <v>720406</v>
      </c>
      <c r="O87" s="431">
        <v>0</v>
      </c>
      <c r="P87" s="438">
        <f t="shared" ref="P87:P118" si="14">IF(SUM(Q87:AB87)=SUM(AC87:AM87),SUM(Q87:AB87),"  EROARE ART/CAP")</f>
        <v>2892359</v>
      </c>
      <c r="Q87" s="431">
        <v>1189505</v>
      </c>
      <c r="R87" s="431">
        <v>623307</v>
      </c>
      <c r="S87" s="431">
        <v>0</v>
      </c>
      <c r="T87" s="431">
        <v>0</v>
      </c>
      <c r="U87" s="431">
        <v>0</v>
      </c>
      <c r="V87" s="431">
        <v>0</v>
      </c>
      <c r="W87" s="431">
        <v>859040</v>
      </c>
      <c r="X87" s="431">
        <v>69305</v>
      </c>
      <c r="Y87" s="431">
        <v>0</v>
      </c>
      <c r="Z87" s="431">
        <v>153348</v>
      </c>
      <c r="AA87" s="431">
        <v>0</v>
      </c>
      <c r="AB87" s="431">
        <v>-2146</v>
      </c>
      <c r="AC87" s="431">
        <v>1512654</v>
      </c>
      <c r="AD87" s="431">
        <v>0</v>
      </c>
      <c r="AE87" s="431">
        <v>620276</v>
      </c>
      <c r="AF87" s="431">
        <v>4352</v>
      </c>
      <c r="AG87" s="431">
        <v>344188</v>
      </c>
      <c r="AH87" s="431">
        <v>215177</v>
      </c>
      <c r="AI87" s="431">
        <v>107122</v>
      </c>
      <c r="AJ87" s="431">
        <v>0</v>
      </c>
      <c r="AK87" s="431">
        <v>0</v>
      </c>
      <c r="AL87" s="431">
        <v>88590</v>
      </c>
      <c r="AM87" s="431">
        <v>0</v>
      </c>
    </row>
    <row r="88" spans="1:39" s="155" customFormat="1" ht="12" x14ac:dyDescent="0.2">
      <c r="A88" s="168">
        <v>34</v>
      </c>
      <c r="B88" s="177">
        <v>155109</v>
      </c>
      <c r="C88" s="175" t="s">
        <v>1932</v>
      </c>
      <c r="D88" s="438">
        <f t="shared" si="12"/>
        <v>3339916</v>
      </c>
      <c r="E88" s="431">
        <v>840456</v>
      </c>
      <c r="F88" s="431">
        <v>286470</v>
      </c>
      <c r="G88" s="431">
        <v>145066</v>
      </c>
      <c r="H88" s="431">
        <v>0</v>
      </c>
      <c r="I88" s="431">
        <v>743903</v>
      </c>
      <c r="J88" s="431">
        <v>0</v>
      </c>
      <c r="K88" s="431">
        <v>896980</v>
      </c>
      <c r="L88" s="431">
        <v>0</v>
      </c>
      <c r="M88" s="431">
        <v>714047</v>
      </c>
      <c r="N88" s="431">
        <v>130489</v>
      </c>
      <c r="O88" s="431">
        <v>14041</v>
      </c>
      <c r="P88" s="438">
        <f t="shared" si="14"/>
        <v>2518616</v>
      </c>
      <c r="Q88" s="431">
        <v>1056179</v>
      </c>
      <c r="R88" s="431">
        <v>326435</v>
      </c>
      <c r="S88" s="431">
        <v>0</v>
      </c>
      <c r="T88" s="431">
        <v>0</v>
      </c>
      <c r="U88" s="431">
        <v>0</v>
      </c>
      <c r="V88" s="431">
        <v>0</v>
      </c>
      <c r="W88" s="431">
        <v>0</v>
      </c>
      <c r="X88" s="431">
        <v>203169</v>
      </c>
      <c r="Y88" s="431">
        <v>4000</v>
      </c>
      <c r="Z88" s="431">
        <v>928973</v>
      </c>
      <c r="AA88" s="431">
        <v>0</v>
      </c>
      <c r="AB88" s="431">
        <v>-140</v>
      </c>
      <c r="AC88" s="431">
        <v>568370</v>
      </c>
      <c r="AD88" s="431">
        <v>99490</v>
      </c>
      <c r="AE88" s="431">
        <v>642902</v>
      </c>
      <c r="AF88" s="431">
        <v>0</v>
      </c>
      <c r="AG88" s="431">
        <v>144823</v>
      </c>
      <c r="AH88" s="431">
        <v>189128</v>
      </c>
      <c r="AI88" s="431">
        <v>845890</v>
      </c>
      <c r="AJ88" s="431">
        <v>0</v>
      </c>
      <c r="AK88" s="431">
        <v>0</v>
      </c>
      <c r="AL88" s="431">
        <v>17013</v>
      </c>
      <c r="AM88" s="431">
        <v>11000</v>
      </c>
    </row>
    <row r="89" spans="1:39" s="155" customFormat="1" ht="12" x14ac:dyDescent="0.2">
      <c r="A89" s="168">
        <v>35</v>
      </c>
      <c r="B89" s="177">
        <v>155083</v>
      </c>
      <c r="C89" s="175" t="s">
        <v>1933</v>
      </c>
      <c r="D89" s="438">
        <f t="shared" si="12"/>
        <v>4099938</v>
      </c>
      <c r="E89" s="431">
        <v>445429</v>
      </c>
      <c r="F89" s="431">
        <v>106152</v>
      </c>
      <c r="G89" s="431">
        <v>205994</v>
      </c>
      <c r="H89" s="431">
        <v>0</v>
      </c>
      <c r="I89" s="431">
        <v>783084</v>
      </c>
      <c r="J89" s="431">
        <v>0</v>
      </c>
      <c r="K89" s="431">
        <v>1213340</v>
      </c>
      <c r="L89" s="431">
        <v>0</v>
      </c>
      <c r="M89" s="431">
        <v>1658085</v>
      </c>
      <c r="N89" s="431">
        <v>0</v>
      </c>
      <c r="O89" s="431">
        <v>0</v>
      </c>
      <c r="P89" s="438">
        <f t="shared" si="14"/>
        <v>4149944</v>
      </c>
      <c r="Q89" s="431">
        <v>1022128</v>
      </c>
      <c r="R89" s="431">
        <v>351275</v>
      </c>
      <c r="S89" s="431">
        <v>0</v>
      </c>
      <c r="T89" s="431">
        <v>0</v>
      </c>
      <c r="U89" s="431">
        <v>0</v>
      </c>
      <c r="V89" s="431">
        <v>0</v>
      </c>
      <c r="W89" s="431">
        <v>0</v>
      </c>
      <c r="X89" s="431">
        <v>201578</v>
      </c>
      <c r="Y89" s="431">
        <v>33908</v>
      </c>
      <c r="Z89" s="431">
        <v>2541055</v>
      </c>
      <c r="AA89" s="431">
        <v>0</v>
      </c>
      <c r="AB89" s="431">
        <v>0</v>
      </c>
      <c r="AC89" s="431">
        <v>495839</v>
      </c>
      <c r="AD89" s="431">
        <v>46411</v>
      </c>
      <c r="AE89" s="431">
        <v>641710</v>
      </c>
      <c r="AF89" s="431">
        <v>0</v>
      </c>
      <c r="AG89" s="431">
        <v>33908</v>
      </c>
      <c r="AH89" s="431">
        <v>246415</v>
      </c>
      <c r="AI89" s="431">
        <v>627832</v>
      </c>
      <c r="AJ89" s="431">
        <v>0</v>
      </c>
      <c r="AK89" s="431">
        <v>0</v>
      </c>
      <c r="AL89" s="431">
        <v>2057829</v>
      </c>
      <c r="AM89" s="431">
        <v>0</v>
      </c>
    </row>
    <row r="90" spans="1:39" s="155" customFormat="1" ht="12" x14ac:dyDescent="0.2">
      <c r="A90" s="168">
        <v>36</v>
      </c>
      <c r="B90" s="177">
        <v>155154</v>
      </c>
      <c r="C90" s="175" t="s">
        <v>1934</v>
      </c>
      <c r="D90" s="438">
        <f t="shared" si="12"/>
        <v>2367819</v>
      </c>
      <c r="E90" s="431">
        <v>653530</v>
      </c>
      <c r="F90" s="431">
        <v>100159</v>
      </c>
      <c r="G90" s="431">
        <v>189553</v>
      </c>
      <c r="H90" s="431">
        <v>0</v>
      </c>
      <c r="I90" s="431">
        <v>469844</v>
      </c>
      <c r="J90" s="431">
        <v>0</v>
      </c>
      <c r="K90" s="431">
        <v>1101570</v>
      </c>
      <c r="L90" s="431">
        <v>0</v>
      </c>
      <c r="M90" s="431">
        <v>42518</v>
      </c>
      <c r="N90" s="431">
        <v>100357</v>
      </c>
      <c r="O90" s="431">
        <v>0</v>
      </c>
      <c r="P90" s="438">
        <f t="shared" si="14"/>
        <v>2221755</v>
      </c>
      <c r="Q90" s="431">
        <v>991333</v>
      </c>
      <c r="R90" s="431">
        <v>815947</v>
      </c>
      <c r="S90" s="431">
        <v>0</v>
      </c>
      <c r="T90" s="431">
        <v>0</v>
      </c>
      <c r="U90" s="431">
        <v>0</v>
      </c>
      <c r="V90" s="431">
        <v>0</v>
      </c>
      <c r="W90" s="431">
        <v>0</v>
      </c>
      <c r="X90" s="431">
        <v>39141</v>
      </c>
      <c r="Y90" s="431">
        <v>0</v>
      </c>
      <c r="Z90" s="431">
        <v>375334</v>
      </c>
      <c r="AA90" s="431">
        <v>0</v>
      </c>
      <c r="AB90" s="431">
        <v>0</v>
      </c>
      <c r="AC90" s="431">
        <v>939317</v>
      </c>
      <c r="AD90" s="431">
        <v>196480</v>
      </c>
      <c r="AE90" s="431">
        <v>582691</v>
      </c>
      <c r="AF90" s="431">
        <v>0</v>
      </c>
      <c r="AG90" s="431">
        <v>38945</v>
      </c>
      <c r="AH90" s="431">
        <v>101877</v>
      </c>
      <c r="AI90" s="431">
        <v>284311</v>
      </c>
      <c r="AJ90" s="431">
        <v>0</v>
      </c>
      <c r="AK90" s="431">
        <v>0</v>
      </c>
      <c r="AL90" s="431">
        <v>38134</v>
      </c>
      <c r="AM90" s="431">
        <v>40000</v>
      </c>
    </row>
    <row r="91" spans="1:39" s="155" customFormat="1" ht="12" x14ac:dyDescent="0.2">
      <c r="A91" s="168">
        <v>37</v>
      </c>
      <c r="B91" s="177">
        <v>155145</v>
      </c>
      <c r="C91" s="175" t="s">
        <v>1935</v>
      </c>
      <c r="D91" s="438">
        <f t="shared" si="12"/>
        <v>15252069</v>
      </c>
      <c r="E91" s="431">
        <v>879084</v>
      </c>
      <c r="F91" s="431">
        <v>75993</v>
      </c>
      <c r="G91" s="431">
        <v>175046</v>
      </c>
      <c r="H91" s="431">
        <v>0</v>
      </c>
      <c r="I91" s="431">
        <v>916419</v>
      </c>
      <c r="J91" s="431">
        <v>0</v>
      </c>
      <c r="K91" s="431">
        <v>1169530</v>
      </c>
      <c r="L91" s="431">
        <v>0</v>
      </c>
      <c r="M91" s="431">
        <v>491267</v>
      </c>
      <c r="N91" s="431">
        <v>8900045</v>
      </c>
      <c r="O91" s="431">
        <v>2895724</v>
      </c>
      <c r="P91" s="438">
        <f t="shared" si="14"/>
        <v>15601698</v>
      </c>
      <c r="Q91" s="431">
        <v>1293333</v>
      </c>
      <c r="R91" s="431">
        <v>1248762</v>
      </c>
      <c r="S91" s="431">
        <v>3620</v>
      </c>
      <c r="T91" s="431">
        <v>0</v>
      </c>
      <c r="U91" s="431">
        <v>0</v>
      </c>
      <c r="V91" s="431">
        <v>0</v>
      </c>
      <c r="W91" s="431">
        <v>1326494</v>
      </c>
      <c r="X91" s="431">
        <v>206015</v>
      </c>
      <c r="Y91" s="431">
        <v>24000</v>
      </c>
      <c r="Z91" s="431">
        <v>6019804</v>
      </c>
      <c r="AA91" s="431">
        <v>5479670</v>
      </c>
      <c r="AB91" s="431">
        <v>0</v>
      </c>
      <c r="AC91" s="431">
        <v>891814</v>
      </c>
      <c r="AD91" s="431">
        <v>63619</v>
      </c>
      <c r="AE91" s="431">
        <v>634063</v>
      </c>
      <c r="AF91" s="431">
        <v>0</v>
      </c>
      <c r="AG91" s="431">
        <v>216571</v>
      </c>
      <c r="AH91" s="431">
        <v>2023244</v>
      </c>
      <c r="AI91" s="431">
        <v>309521</v>
      </c>
      <c r="AJ91" s="431">
        <v>2777115</v>
      </c>
      <c r="AK91" s="431">
        <v>0</v>
      </c>
      <c r="AL91" s="431">
        <v>8328848</v>
      </c>
      <c r="AM91" s="431">
        <v>356903</v>
      </c>
    </row>
    <row r="92" spans="1:39" s="155" customFormat="1" ht="12" x14ac:dyDescent="0.2">
      <c r="A92" s="168">
        <v>38</v>
      </c>
      <c r="B92" s="177">
        <v>151996</v>
      </c>
      <c r="C92" s="175" t="s">
        <v>1936</v>
      </c>
      <c r="D92" s="438">
        <f t="shared" si="12"/>
        <v>2753555</v>
      </c>
      <c r="E92" s="431">
        <v>688012</v>
      </c>
      <c r="F92" s="431">
        <v>160625</v>
      </c>
      <c r="G92" s="431">
        <v>166342</v>
      </c>
      <c r="H92" s="431">
        <v>0</v>
      </c>
      <c r="I92" s="431">
        <v>615820</v>
      </c>
      <c r="J92" s="431">
        <v>0</v>
      </c>
      <c r="K92" s="431">
        <v>1385720</v>
      </c>
      <c r="L92" s="431">
        <v>0</v>
      </c>
      <c r="M92" s="431">
        <v>29256</v>
      </c>
      <c r="N92" s="431">
        <v>0</v>
      </c>
      <c r="O92" s="431">
        <v>34747</v>
      </c>
      <c r="P92" s="438">
        <f t="shared" si="14"/>
        <v>2322293</v>
      </c>
      <c r="Q92" s="431">
        <v>970680</v>
      </c>
      <c r="R92" s="431">
        <v>769528</v>
      </c>
      <c r="S92" s="431">
        <v>0</v>
      </c>
      <c r="T92" s="431">
        <v>0</v>
      </c>
      <c r="U92" s="431">
        <v>0</v>
      </c>
      <c r="V92" s="431">
        <v>0</v>
      </c>
      <c r="W92" s="431">
        <v>0</v>
      </c>
      <c r="X92" s="431">
        <v>85779</v>
      </c>
      <c r="Y92" s="431">
        <v>28216</v>
      </c>
      <c r="Z92" s="431">
        <v>469746</v>
      </c>
      <c r="AA92" s="431">
        <v>0</v>
      </c>
      <c r="AB92" s="431">
        <v>-1656</v>
      </c>
      <c r="AC92" s="431">
        <v>655164</v>
      </c>
      <c r="AD92" s="431">
        <v>24229</v>
      </c>
      <c r="AE92" s="431">
        <v>497108</v>
      </c>
      <c r="AF92" s="431">
        <v>0</v>
      </c>
      <c r="AG92" s="431">
        <v>79364</v>
      </c>
      <c r="AH92" s="431">
        <v>205616</v>
      </c>
      <c r="AI92" s="431">
        <v>218575</v>
      </c>
      <c r="AJ92" s="431">
        <v>478415</v>
      </c>
      <c r="AK92" s="431">
        <v>0</v>
      </c>
      <c r="AL92" s="431">
        <v>163822</v>
      </c>
      <c r="AM92" s="431">
        <v>0</v>
      </c>
    </row>
    <row r="93" spans="1:39" s="155" customFormat="1" ht="12" x14ac:dyDescent="0.2">
      <c r="A93" s="168">
        <v>39</v>
      </c>
      <c r="B93" s="177">
        <v>152467</v>
      </c>
      <c r="C93" s="175" t="s">
        <v>1937</v>
      </c>
      <c r="D93" s="438">
        <f t="shared" si="12"/>
        <v>3040135</v>
      </c>
      <c r="E93" s="431">
        <v>746910</v>
      </c>
      <c r="F93" s="431">
        <v>257557</v>
      </c>
      <c r="G93" s="431">
        <v>187619</v>
      </c>
      <c r="H93" s="431">
        <v>0</v>
      </c>
      <c r="I93" s="431">
        <v>1161787</v>
      </c>
      <c r="J93" s="431">
        <v>0</v>
      </c>
      <c r="K93" s="431">
        <v>1123070</v>
      </c>
      <c r="L93" s="431">
        <v>0</v>
      </c>
      <c r="M93" s="431">
        <v>4868</v>
      </c>
      <c r="N93" s="431">
        <v>0</v>
      </c>
      <c r="O93" s="431">
        <v>3500</v>
      </c>
      <c r="P93" s="438">
        <f t="shared" si="14"/>
        <v>2453728</v>
      </c>
      <c r="Q93" s="431">
        <v>1665560</v>
      </c>
      <c r="R93" s="431">
        <v>525346</v>
      </c>
      <c r="S93" s="431">
        <v>0</v>
      </c>
      <c r="T93" s="431">
        <v>0</v>
      </c>
      <c r="U93" s="431">
        <v>0</v>
      </c>
      <c r="V93" s="431">
        <v>0</v>
      </c>
      <c r="W93" s="431">
        <v>115663</v>
      </c>
      <c r="X93" s="431">
        <v>153663</v>
      </c>
      <c r="Y93" s="431">
        <v>0</v>
      </c>
      <c r="Z93" s="431">
        <v>0</v>
      </c>
      <c r="AA93" s="431">
        <v>0</v>
      </c>
      <c r="AB93" s="431">
        <v>-6504</v>
      </c>
      <c r="AC93" s="431">
        <v>995906</v>
      </c>
      <c r="AD93" s="431">
        <v>5798</v>
      </c>
      <c r="AE93" s="431">
        <v>973573</v>
      </c>
      <c r="AF93" s="431">
        <v>0</v>
      </c>
      <c r="AG93" s="431">
        <v>122534</v>
      </c>
      <c r="AH93" s="431">
        <v>276016</v>
      </c>
      <c r="AI93" s="431">
        <v>30739</v>
      </c>
      <c r="AJ93" s="431">
        <v>0</v>
      </c>
      <c r="AK93" s="431">
        <v>0</v>
      </c>
      <c r="AL93" s="431">
        <v>49162</v>
      </c>
      <c r="AM93" s="431">
        <v>0</v>
      </c>
    </row>
    <row r="94" spans="1:39" s="155" customFormat="1" ht="12" x14ac:dyDescent="0.2">
      <c r="A94" s="168">
        <v>40</v>
      </c>
      <c r="B94" s="177">
        <v>152528</v>
      </c>
      <c r="C94" s="175" t="s">
        <v>1938</v>
      </c>
      <c r="D94" s="438">
        <f t="shared" si="12"/>
        <v>3264221</v>
      </c>
      <c r="E94" s="431">
        <v>942732</v>
      </c>
      <c r="F94" s="431">
        <v>240774</v>
      </c>
      <c r="G94" s="431">
        <v>103480</v>
      </c>
      <c r="H94" s="431">
        <v>0</v>
      </c>
      <c r="I94" s="431">
        <v>1509118</v>
      </c>
      <c r="J94" s="431">
        <v>0</v>
      </c>
      <c r="K94" s="431">
        <v>785680</v>
      </c>
      <c r="L94" s="431">
        <v>0</v>
      </c>
      <c r="M94" s="431">
        <v>26691</v>
      </c>
      <c r="N94" s="431">
        <v>0</v>
      </c>
      <c r="O94" s="431">
        <v>0</v>
      </c>
      <c r="P94" s="438">
        <f t="shared" si="14"/>
        <v>3105486</v>
      </c>
      <c r="Q94" s="431">
        <v>1881614</v>
      </c>
      <c r="R94" s="431">
        <v>771954</v>
      </c>
      <c r="S94" s="431">
        <v>0</v>
      </c>
      <c r="T94" s="431">
        <v>0</v>
      </c>
      <c r="U94" s="431">
        <v>0</v>
      </c>
      <c r="V94" s="431">
        <v>0</v>
      </c>
      <c r="W94" s="431">
        <v>0</v>
      </c>
      <c r="X94" s="431">
        <v>181073</v>
      </c>
      <c r="Y94" s="431">
        <v>0</v>
      </c>
      <c r="Z94" s="431">
        <v>270845</v>
      </c>
      <c r="AA94" s="431">
        <v>0</v>
      </c>
      <c r="AB94" s="431">
        <v>0</v>
      </c>
      <c r="AC94" s="431">
        <v>876321</v>
      </c>
      <c r="AD94" s="431">
        <v>44106</v>
      </c>
      <c r="AE94" s="431">
        <v>1086426</v>
      </c>
      <c r="AF94" s="431">
        <v>0</v>
      </c>
      <c r="AG94" s="431">
        <v>29</v>
      </c>
      <c r="AH94" s="431">
        <v>480990</v>
      </c>
      <c r="AI94" s="431">
        <v>282814</v>
      </c>
      <c r="AJ94" s="431">
        <v>145829</v>
      </c>
      <c r="AK94" s="431">
        <v>0</v>
      </c>
      <c r="AL94" s="431">
        <v>188971</v>
      </c>
      <c r="AM94" s="431">
        <v>0</v>
      </c>
    </row>
    <row r="95" spans="1:39" s="155" customFormat="1" ht="12" x14ac:dyDescent="0.2">
      <c r="A95" s="168">
        <v>41</v>
      </c>
      <c r="B95" s="177">
        <v>152617</v>
      </c>
      <c r="C95" s="175" t="s">
        <v>1939</v>
      </c>
      <c r="D95" s="438">
        <f t="shared" si="12"/>
        <v>3805714</v>
      </c>
      <c r="E95" s="431">
        <v>752726</v>
      </c>
      <c r="F95" s="431">
        <v>183561</v>
      </c>
      <c r="G95" s="431">
        <v>157638</v>
      </c>
      <c r="H95" s="431">
        <v>0</v>
      </c>
      <c r="I95" s="431">
        <v>1414919</v>
      </c>
      <c r="J95" s="431">
        <v>0</v>
      </c>
      <c r="K95" s="431">
        <v>1164230</v>
      </c>
      <c r="L95" s="431">
        <v>0</v>
      </c>
      <c r="M95" s="431">
        <v>263955</v>
      </c>
      <c r="N95" s="431">
        <v>209884</v>
      </c>
      <c r="O95" s="431">
        <v>0</v>
      </c>
      <c r="P95" s="438">
        <f t="shared" si="14"/>
        <v>3804226</v>
      </c>
      <c r="Q95" s="431">
        <v>2190927</v>
      </c>
      <c r="R95" s="431">
        <v>840249</v>
      </c>
      <c r="S95" s="431">
        <v>0</v>
      </c>
      <c r="T95" s="431">
        <v>0</v>
      </c>
      <c r="U95" s="431">
        <v>0</v>
      </c>
      <c r="V95" s="431">
        <v>5428</v>
      </c>
      <c r="W95" s="431">
        <v>330305</v>
      </c>
      <c r="X95" s="431">
        <v>227945</v>
      </c>
      <c r="Y95" s="431">
        <v>0</v>
      </c>
      <c r="Z95" s="431">
        <v>214800</v>
      </c>
      <c r="AA95" s="431">
        <v>0</v>
      </c>
      <c r="AB95" s="431">
        <v>-5428</v>
      </c>
      <c r="AC95" s="431">
        <v>1790008</v>
      </c>
      <c r="AD95" s="431">
        <v>143710</v>
      </c>
      <c r="AE95" s="431">
        <v>1161438</v>
      </c>
      <c r="AF95" s="431">
        <v>0</v>
      </c>
      <c r="AG95" s="431">
        <v>19195</v>
      </c>
      <c r="AH95" s="431">
        <v>433007</v>
      </c>
      <c r="AI95" s="431">
        <v>51877</v>
      </c>
      <c r="AJ95" s="431">
        <v>172823</v>
      </c>
      <c r="AK95" s="431">
        <v>0</v>
      </c>
      <c r="AL95" s="431">
        <v>32168</v>
      </c>
      <c r="AM95" s="431">
        <v>0</v>
      </c>
    </row>
    <row r="96" spans="1:39" s="155" customFormat="1" ht="12" x14ac:dyDescent="0.2">
      <c r="A96" s="168">
        <v>42</v>
      </c>
      <c r="B96" s="177">
        <v>152724</v>
      </c>
      <c r="C96" s="175" t="s">
        <v>1940</v>
      </c>
      <c r="D96" s="438">
        <f t="shared" si="12"/>
        <v>2409845</v>
      </c>
      <c r="E96" s="431">
        <v>386898</v>
      </c>
      <c r="F96" s="431">
        <v>58681</v>
      </c>
      <c r="G96" s="431">
        <v>212764</v>
      </c>
      <c r="H96" s="431">
        <v>0</v>
      </c>
      <c r="I96" s="431">
        <v>793131</v>
      </c>
      <c r="J96" s="431">
        <v>0</v>
      </c>
      <c r="K96" s="431">
        <v>1210220</v>
      </c>
      <c r="L96" s="431">
        <v>0</v>
      </c>
      <c r="M96" s="431">
        <v>19596</v>
      </c>
      <c r="N96" s="431">
        <v>0</v>
      </c>
      <c r="O96" s="431">
        <v>0</v>
      </c>
      <c r="P96" s="438">
        <f t="shared" si="14"/>
        <v>2459326</v>
      </c>
      <c r="Q96" s="431">
        <v>1244507</v>
      </c>
      <c r="R96" s="431">
        <v>926360</v>
      </c>
      <c r="S96" s="431">
        <v>0</v>
      </c>
      <c r="T96" s="431">
        <v>0</v>
      </c>
      <c r="U96" s="431">
        <v>0</v>
      </c>
      <c r="V96" s="431">
        <v>48000</v>
      </c>
      <c r="W96" s="431">
        <v>0</v>
      </c>
      <c r="X96" s="431">
        <v>151869</v>
      </c>
      <c r="Y96" s="431">
        <v>0</v>
      </c>
      <c r="Z96" s="431">
        <v>88590</v>
      </c>
      <c r="AA96" s="431">
        <v>0</v>
      </c>
      <c r="AB96" s="431">
        <v>0</v>
      </c>
      <c r="AC96" s="431">
        <v>809916</v>
      </c>
      <c r="AD96" s="431">
        <v>52636</v>
      </c>
      <c r="AE96" s="431">
        <v>653689</v>
      </c>
      <c r="AF96" s="431">
        <v>0</v>
      </c>
      <c r="AG96" s="431">
        <v>121735</v>
      </c>
      <c r="AH96" s="431">
        <v>210109</v>
      </c>
      <c r="AI96" s="431">
        <v>97590</v>
      </c>
      <c r="AJ96" s="431">
        <v>56703</v>
      </c>
      <c r="AK96" s="431">
        <v>0</v>
      </c>
      <c r="AL96" s="431">
        <v>456948</v>
      </c>
      <c r="AM96" s="431">
        <v>0</v>
      </c>
    </row>
    <row r="97" spans="1:39" s="155" customFormat="1" ht="12" x14ac:dyDescent="0.2">
      <c r="A97" s="168">
        <v>43</v>
      </c>
      <c r="B97" s="177">
        <v>152760</v>
      </c>
      <c r="C97" s="175" t="s">
        <v>1541</v>
      </c>
      <c r="D97" s="438">
        <f t="shared" si="12"/>
        <v>5255381</v>
      </c>
      <c r="E97" s="431">
        <v>1858906</v>
      </c>
      <c r="F97" s="431">
        <v>393065</v>
      </c>
      <c r="G97" s="431">
        <v>437316</v>
      </c>
      <c r="H97" s="431">
        <v>0</v>
      </c>
      <c r="I97" s="431">
        <v>1996648</v>
      </c>
      <c r="J97" s="431">
        <v>0</v>
      </c>
      <c r="K97" s="431">
        <v>828370</v>
      </c>
      <c r="L97" s="431">
        <v>0</v>
      </c>
      <c r="M97" s="431">
        <v>437652</v>
      </c>
      <c r="N97" s="431">
        <v>132805</v>
      </c>
      <c r="O97" s="431">
        <v>1000</v>
      </c>
      <c r="P97" s="438">
        <f t="shared" si="14"/>
        <v>5365767</v>
      </c>
      <c r="Q97" s="431">
        <v>2461941</v>
      </c>
      <c r="R97" s="431">
        <v>1228630</v>
      </c>
      <c r="S97" s="431">
        <v>0</v>
      </c>
      <c r="T97" s="431">
        <v>0</v>
      </c>
      <c r="U97" s="431">
        <v>0</v>
      </c>
      <c r="V97" s="431">
        <v>0</v>
      </c>
      <c r="W97" s="431">
        <v>543406</v>
      </c>
      <c r="X97" s="431">
        <v>251553</v>
      </c>
      <c r="Y97" s="431">
        <v>64939</v>
      </c>
      <c r="Z97" s="431">
        <v>815298</v>
      </c>
      <c r="AA97" s="431">
        <v>0</v>
      </c>
      <c r="AB97" s="431">
        <v>0</v>
      </c>
      <c r="AC97" s="431">
        <v>767004</v>
      </c>
      <c r="AD97" s="431">
        <v>141422</v>
      </c>
      <c r="AE97" s="431">
        <v>1514709</v>
      </c>
      <c r="AF97" s="431">
        <v>1471</v>
      </c>
      <c r="AG97" s="431">
        <v>160151</v>
      </c>
      <c r="AH97" s="431">
        <v>644423</v>
      </c>
      <c r="AI97" s="431">
        <v>1642418</v>
      </c>
      <c r="AJ97" s="431">
        <v>181136</v>
      </c>
      <c r="AK97" s="431">
        <v>0</v>
      </c>
      <c r="AL97" s="431">
        <v>313033</v>
      </c>
      <c r="AM97" s="431">
        <v>0</v>
      </c>
    </row>
    <row r="98" spans="1:39" s="155" customFormat="1" ht="12" x14ac:dyDescent="0.2">
      <c r="A98" s="168">
        <v>44</v>
      </c>
      <c r="B98" s="177">
        <v>152797</v>
      </c>
      <c r="C98" s="175" t="s">
        <v>1941</v>
      </c>
      <c r="D98" s="438">
        <f t="shared" si="12"/>
        <v>2747647</v>
      </c>
      <c r="E98" s="431">
        <v>603637</v>
      </c>
      <c r="F98" s="431">
        <v>100769</v>
      </c>
      <c r="G98" s="431">
        <v>174079</v>
      </c>
      <c r="H98" s="431">
        <v>0</v>
      </c>
      <c r="I98" s="431">
        <v>1022168</v>
      </c>
      <c r="J98" s="431">
        <v>0</v>
      </c>
      <c r="K98" s="431">
        <v>1083590</v>
      </c>
      <c r="L98" s="431">
        <v>0</v>
      </c>
      <c r="M98" s="431">
        <v>38252</v>
      </c>
      <c r="N98" s="431">
        <v>0</v>
      </c>
      <c r="O98" s="431">
        <v>0</v>
      </c>
      <c r="P98" s="438">
        <f t="shared" si="14"/>
        <v>2702849</v>
      </c>
      <c r="Q98" s="431">
        <v>1432918</v>
      </c>
      <c r="R98" s="431">
        <v>959981</v>
      </c>
      <c r="S98" s="431">
        <v>0</v>
      </c>
      <c r="T98" s="431">
        <v>0</v>
      </c>
      <c r="U98" s="431">
        <v>0</v>
      </c>
      <c r="V98" s="431">
        <v>0</v>
      </c>
      <c r="W98" s="431">
        <v>0</v>
      </c>
      <c r="X98" s="431">
        <v>82778</v>
      </c>
      <c r="Y98" s="431">
        <v>33221</v>
      </c>
      <c r="Z98" s="431">
        <v>193951</v>
      </c>
      <c r="AA98" s="431">
        <v>0</v>
      </c>
      <c r="AB98" s="431">
        <v>0</v>
      </c>
      <c r="AC98" s="431">
        <v>765218</v>
      </c>
      <c r="AD98" s="431">
        <v>20626</v>
      </c>
      <c r="AE98" s="431">
        <v>1031004</v>
      </c>
      <c r="AF98" s="431">
        <v>24202</v>
      </c>
      <c r="AG98" s="431">
        <v>59483</v>
      </c>
      <c r="AH98" s="431">
        <v>273106</v>
      </c>
      <c r="AI98" s="431">
        <v>39893</v>
      </c>
      <c r="AJ98" s="431">
        <v>94596</v>
      </c>
      <c r="AK98" s="431">
        <v>0</v>
      </c>
      <c r="AL98" s="431">
        <v>394721</v>
      </c>
      <c r="AM98" s="431">
        <v>0</v>
      </c>
    </row>
    <row r="99" spans="1:39" s="155" customFormat="1" ht="12" x14ac:dyDescent="0.2">
      <c r="A99" s="168">
        <v>45</v>
      </c>
      <c r="B99" s="177">
        <v>152868</v>
      </c>
      <c r="C99" s="175" t="s">
        <v>1942</v>
      </c>
      <c r="D99" s="438">
        <f t="shared" si="12"/>
        <v>2952803</v>
      </c>
      <c r="E99" s="431">
        <v>605289</v>
      </c>
      <c r="F99" s="431">
        <v>178848</v>
      </c>
      <c r="G99" s="431">
        <v>174078</v>
      </c>
      <c r="H99" s="431">
        <v>0</v>
      </c>
      <c r="I99" s="431">
        <v>1244314</v>
      </c>
      <c r="J99" s="431">
        <v>0</v>
      </c>
      <c r="K99" s="431">
        <v>1068400</v>
      </c>
      <c r="L99" s="431">
        <v>0</v>
      </c>
      <c r="M99" s="431">
        <v>30090</v>
      </c>
      <c r="N99" s="431">
        <v>0</v>
      </c>
      <c r="O99" s="431">
        <v>4710</v>
      </c>
      <c r="P99" s="438">
        <f t="shared" si="14"/>
        <v>2895291</v>
      </c>
      <c r="Q99" s="431">
        <v>1874952</v>
      </c>
      <c r="R99" s="431">
        <v>584718</v>
      </c>
      <c r="S99" s="431">
        <v>0</v>
      </c>
      <c r="T99" s="431">
        <v>0</v>
      </c>
      <c r="U99" s="431">
        <v>0</v>
      </c>
      <c r="V99" s="431">
        <v>0</v>
      </c>
      <c r="W99" s="431">
        <v>0</v>
      </c>
      <c r="X99" s="431">
        <v>114814</v>
      </c>
      <c r="Y99" s="431">
        <v>13069</v>
      </c>
      <c r="Z99" s="431">
        <v>307911</v>
      </c>
      <c r="AA99" s="431">
        <v>0</v>
      </c>
      <c r="AB99" s="431">
        <v>-173</v>
      </c>
      <c r="AC99" s="431">
        <v>790730</v>
      </c>
      <c r="AD99" s="431">
        <v>99756</v>
      </c>
      <c r="AE99" s="431">
        <v>991099</v>
      </c>
      <c r="AF99" s="431">
        <v>0</v>
      </c>
      <c r="AG99" s="431">
        <v>75521</v>
      </c>
      <c r="AH99" s="431">
        <v>359595</v>
      </c>
      <c r="AI99" s="431">
        <v>183758</v>
      </c>
      <c r="AJ99" s="431">
        <v>160720</v>
      </c>
      <c r="AK99" s="431">
        <v>0</v>
      </c>
      <c r="AL99" s="431">
        <v>73360</v>
      </c>
      <c r="AM99" s="431">
        <v>160752</v>
      </c>
    </row>
    <row r="100" spans="1:39" s="155" customFormat="1" ht="12" x14ac:dyDescent="0.2">
      <c r="A100" s="168">
        <v>46</v>
      </c>
      <c r="B100" s="177">
        <v>153277</v>
      </c>
      <c r="C100" s="175" t="s">
        <v>1943</v>
      </c>
      <c r="D100" s="438">
        <f t="shared" si="12"/>
        <v>4615076</v>
      </c>
      <c r="E100" s="431">
        <v>1753044</v>
      </c>
      <c r="F100" s="431">
        <v>278868</v>
      </c>
      <c r="G100" s="431">
        <v>474733</v>
      </c>
      <c r="H100" s="431">
        <v>0</v>
      </c>
      <c r="I100" s="431">
        <v>1555021</v>
      </c>
      <c r="J100" s="431">
        <v>0</v>
      </c>
      <c r="K100" s="431">
        <v>1266950</v>
      </c>
      <c r="L100" s="431">
        <v>0</v>
      </c>
      <c r="M100" s="431">
        <v>40061</v>
      </c>
      <c r="N100" s="431">
        <v>0</v>
      </c>
      <c r="O100" s="431">
        <v>0</v>
      </c>
      <c r="P100" s="438">
        <f t="shared" si="14"/>
        <v>4390766</v>
      </c>
      <c r="Q100" s="431">
        <v>1830291</v>
      </c>
      <c r="R100" s="431">
        <v>1508298</v>
      </c>
      <c r="S100" s="431">
        <v>0</v>
      </c>
      <c r="T100" s="431">
        <v>0</v>
      </c>
      <c r="U100" s="431">
        <v>0</v>
      </c>
      <c r="V100" s="431">
        <v>0</v>
      </c>
      <c r="W100" s="431">
        <v>0</v>
      </c>
      <c r="X100" s="431">
        <v>365976</v>
      </c>
      <c r="Y100" s="431">
        <v>26993</v>
      </c>
      <c r="Z100" s="431">
        <v>659208</v>
      </c>
      <c r="AA100" s="431">
        <v>0</v>
      </c>
      <c r="AB100" s="431">
        <v>0</v>
      </c>
      <c r="AC100" s="431">
        <v>706216</v>
      </c>
      <c r="AD100" s="431">
        <v>167696</v>
      </c>
      <c r="AE100" s="431">
        <v>1305294</v>
      </c>
      <c r="AF100" s="431">
        <v>0</v>
      </c>
      <c r="AG100" s="431">
        <v>143050</v>
      </c>
      <c r="AH100" s="431">
        <v>365976</v>
      </c>
      <c r="AI100" s="431">
        <v>333072</v>
      </c>
      <c r="AJ100" s="431">
        <v>315607</v>
      </c>
      <c r="AK100" s="431">
        <v>0</v>
      </c>
      <c r="AL100" s="431">
        <v>551268</v>
      </c>
      <c r="AM100" s="431">
        <v>502587</v>
      </c>
    </row>
    <row r="101" spans="1:39" s="155" customFormat="1" ht="12" x14ac:dyDescent="0.2">
      <c r="A101" s="168">
        <v>47</v>
      </c>
      <c r="B101" s="177">
        <v>153437</v>
      </c>
      <c r="C101" s="175" t="s">
        <v>1944</v>
      </c>
      <c r="D101" s="438">
        <f t="shared" si="12"/>
        <v>2126411</v>
      </c>
      <c r="E101" s="431">
        <v>468492</v>
      </c>
      <c r="F101" s="431">
        <v>42013</v>
      </c>
      <c r="G101" s="431">
        <v>208895</v>
      </c>
      <c r="H101" s="431">
        <v>0</v>
      </c>
      <c r="I101" s="431">
        <v>449923</v>
      </c>
      <c r="J101" s="431">
        <v>0</v>
      </c>
      <c r="K101" s="431">
        <v>1175660</v>
      </c>
      <c r="L101" s="431">
        <v>0</v>
      </c>
      <c r="M101" s="431">
        <v>32336</v>
      </c>
      <c r="N101" s="431">
        <v>0</v>
      </c>
      <c r="O101" s="431">
        <v>0</v>
      </c>
      <c r="P101" s="438">
        <f t="shared" si="14"/>
        <v>1754106</v>
      </c>
      <c r="Q101" s="431">
        <v>721312</v>
      </c>
      <c r="R101" s="431">
        <v>296682</v>
      </c>
      <c r="S101" s="431">
        <v>0</v>
      </c>
      <c r="T101" s="431">
        <v>0</v>
      </c>
      <c r="U101" s="431">
        <v>0</v>
      </c>
      <c r="V101" s="431">
        <v>0</v>
      </c>
      <c r="W101" s="431">
        <v>0</v>
      </c>
      <c r="X101" s="431">
        <v>74308</v>
      </c>
      <c r="Y101" s="431">
        <v>70000</v>
      </c>
      <c r="Z101" s="431">
        <v>591804</v>
      </c>
      <c r="AA101" s="431">
        <v>0</v>
      </c>
      <c r="AB101" s="431">
        <v>0</v>
      </c>
      <c r="AC101" s="431">
        <v>413326</v>
      </c>
      <c r="AD101" s="431">
        <v>30640</v>
      </c>
      <c r="AE101" s="431">
        <v>525406</v>
      </c>
      <c r="AF101" s="431">
        <v>37797</v>
      </c>
      <c r="AG101" s="431">
        <v>120000</v>
      </c>
      <c r="AH101" s="431">
        <v>103712</v>
      </c>
      <c r="AI101" s="431">
        <v>58193</v>
      </c>
      <c r="AJ101" s="431">
        <v>44033</v>
      </c>
      <c r="AK101" s="431">
        <v>0</v>
      </c>
      <c r="AL101" s="431">
        <v>420999</v>
      </c>
      <c r="AM101" s="431">
        <v>0</v>
      </c>
    </row>
    <row r="102" spans="1:39" s="155" customFormat="1" ht="12" x14ac:dyDescent="0.2">
      <c r="A102" s="168">
        <v>48</v>
      </c>
      <c r="B102" s="177">
        <v>153543</v>
      </c>
      <c r="C102" s="175" t="s">
        <v>1945</v>
      </c>
      <c r="D102" s="438">
        <f t="shared" si="12"/>
        <v>6538342</v>
      </c>
      <c r="E102" s="431">
        <v>2114808</v>
      </c>
      <c r="F102" s="431">
        <v>534172</v>
      </c>
      <c r="G102" s="431">
        <v>711056</v>
      </c>
      <c r="H102" s="431">
        <v>0</v>
      </c>
      <c r="I102" s="431">
        <v>2781405</v>
      </c>
      <c r="J102" s="431">
        <v>0</v>
      </c>
      <c r="K102" s="431">
        <v>1126410</v>
      </c>
      <c r="L102" s="431">
        <v>0</v>
      </c>
      <c r="M102" s="431">
        <v>57187</v>
      </c>
      <c r="N102" s="431">
        <v>456000</v>
      </c>
      <c r="O102" s="431">
        <v>2532</v>
      </c>
      <c r="P102" s="438">
        <f t="shared" si="14"/>
        <v>10325526</v>
      </c>
      <c r="Q102" s="431">
        <v>3272827</v>
      </c>
      <c r="R102" s="431">
        <v>1041971</v>
      </c>
      <c r="S102" s="431">
        <v>0</v>
      </c>
      <c r="T102" s="431">
        <v>0</v>
      </c>
      <c r="U102" s="431">
        <v>0</v>
      </c>
      <c r="V102" s="431">
        <v>0</v>
      </c>
      <c r="W102" s="431">
        <v>4732222</v>
      </c>
      <c r="X102" s="431">
        <v>400184</v>
      </c>
      <c r="Y102" s="431">
        <v>149990</v>
      </c>
      <c r="Z102" s="431">
        <v>728332</v>
      </c>
      <c r="AA102" s="431">
        <v>0</v>
      </c>
      <c r="AB102" s="431">
        <v>0</v>
      </c>
      <c r="AC102" s="431">
        <v>890785</v>
      </c>
      <c r="AD102" s="431">
        <v>90979</v>
      </c>
      <c r="AE102" s="431">
        <v>2113129</v>
      </c>
      <c r="AF102" s="431">
        <v>0</v>
      </c>
      <c r="AG102" s="431">
        <v>221214</v>
      </c>
      <c r="AH102" s="431">
        <v>900899</v>
      </c>
      <c r="AI102" s="431">
        <v>4895219</v>
      </c>
      <c r="AJ102" s="431">
        <v>119357</v>
      </c>
      <c r="AK102" s="431">
        <v>0</v>
      </c>
      <c r="AL102" s="431">
        <v>867825</v>
      </c>
      <c r="AM102" s="431">
        <v>226119</v>
      </c>
    </row>
    <row r="103" spans="1:39" s="155" customFormat="1" ht="12" x14ac:dyDescent="0.2">
      <c r="A103" s="168">
        <v>49</v>
      </c>
      <c r="B103" s="177">
        <v>153865</v>
      </c>
      <c r="C103" s="175" t="s">
        <v>1946</v>
      </c>
      <c r="D103" s="438">
        <f t="shared" si="12"/>
        <v>2785777</v>
      </c>
      <c r="E103" s="431">
        <v>670382</v>
      </c>
      <c r="F103" s="431">
        <v>153095</v>
      </c>
      <c r="G103" s="431">
        <v>187619</v>
      </c>
      <c r="H103" s="431">
        <v>0</v>
      </c>
      <c r="I103" s="431">
        <v>859942</v>
      </c>
      <c r="J103" s="431">
        <v>0</v>
      </c>
      <c r="K103" s="431">
        <v>1154520</v>
      </c>
      <c r="L103" s="431">
        <v>0</v>
      </c>
      <c r="M103" s="431">
        <v>100933</v>
      </c>
      <c r="N103" s="431">
        <v>0</v>
      </c>
      <c r="O103" s="431">
        <v>0</v>
      </c>
      <c r="P103" s="438">
        <f t="shared" si="14"/>
        <v>2434195</v>
      </c>
      <c r="Q103" s="431">
        <v>1330330</v>
      </c>
      <c r="R103" s="431">
        <v>529977</v>
      </c>
      <c r="S103" s="431">
        <v>0</v>
      </c>
      <c r="T103" s="431">
        <v>0</v>
      </c>
      <c r="U103" s="431">
        <v>0</v>
      </c>
      <c r="V103" s="431">
        <v>0</v>
      </c>
      <c r="W103" s="431">
        <v>0</v>
      </c>
      <c r="X103" s="431">
        <v>113510</v>
      </c>
      <c r="Y103" s="431">
        <v>21205</v>
      </c>
      <c r="Z103" s="431">
        <v>439173</v>
      </c>
      <c r="AA103" s="431">
        <v>0</v>
      </c>
      <c r="AB103" s="431">
        <v>0</v>
      </c>
      <c r="AC103" s="431">
        <v>654557</v>
      </c>
      <c r="AD103" s="431">
        <v>82163</v>
      </c>
      <c r="AE103" s="431">
        <v>726943</v>
      </c>
      <c r="AF103" s="431">
        <v>0</v>
      </c>
      <c r="AG103" s="431">
        <v>64454</v>
      </c>
      <c r="AH103" s="431">
        <v>188218</v>
      </c>
      <c r="AI103" s="431">
        <v>232682</v>
      </c>
      <c r="AJ103" s="431">
        <v>82193</v>
      </c>
      <c r="AK103" s="431">
        <v>0</v>
      </c>
      <c r="AL103" s="431">
        <v>402255</v>
      </c>
      <c r="AM103" s="431">
        <v>730</v>
      </c>
    </row>
    <row r="104" spans="1:39" s="155" customFormat="1" ht="12" x14ac:dyDescent="0.2">
      <c r="A104" s="168">
        <v>50</v>
      </c>
      <c r="B104" s="177">
        <v>153972</v>
      </c>
      <c r="C104" s="175" t="s">
        <v>1947</v>
      </c>
      <c r="D104" s="438">
        <f t="shared" si="12"/>
        <v>2451510</v>
      </c>
      <c r="E104" s="431">
        <v>564554</v>
      </c>
      <c r="F104" s="431">
        <v>83545</v>
      </c>
      <c r="G104" s="431">
        <v>181816</v>
      </c>
      <c r="H104" s="431">
        <v>0</v>
      </c>
      <c r="I104" s="431">
        <v>745072</v>
      </c>
      <c r="J104" s="431">
        <v>0</v>
      </c>
      <c r="K104" s="431">
        <v>1035600</v>
      </c>
      <c r="L104" s="431">
        <v>0</v>
      </c>
      <c r="M104" s="431">
        <v>106284</v>
      </c>
      <c r="N104" s="431">
        <v>0</v>
      </c>
      <c r="O104" s="431">
        <v>0</v>
      </c>
      <c r="P104" s="438">
        <f t="shared" si="14"/>
        <v>2103578</v>
      </c>
      <c r="Q104" s="431">
        <v>1134863</v>
      </c>
      <c r="R104" s="431">
        <v>286511</v>
      </c>
      <c r="S104" s="431">
        <v>0</v>
      </c>
      <c r="T104" s="431">
        <v>0</v>
      </c>
      <c r="U104" s="431">
        <v>0</v>
      </c>
      <c r="V104" s="431">
        <v>0</v>
      </c>
      <c r="W104" s="431">
        <v>0</v>
      </c>
      <c r="X104" s="431">
        <v>107713</v>
      </c>
      <c r="Y104" s="431">
        <v>31452</v>
      </c>
      <c r="Z104" s="431">
        <v>543039</v>
      </c>
      <c r="AA104" s="431">
        <v>0</v>
      </c>
      <c r="AB104" s="431">
        <v>0</v>
      </c>
      <c r="AC104" s="431">
        <v>756991</v>
      </c>
      <c r="AD104" s="431">
        <v>6217</v>
      </c>
      <c r="AE104" s="431">
        <v>552424</v>
      </c>
      <c r="AF104" s="431">
        <v>0</v>
      </c>
      <c r="AG104" s="431">
        <v>61277</v>
      </c>
      <c r="AH104" s="431">
        <v>290917</v>
      </c>
      <c r="AI104" s="431">
        <v>64639</v>
      </c>
      <c r="AJ104" s="431">
        <v>24542</v>
      </c>
      <c r="AK104" s="431">
        <v>0</v>
      </c>
      <c r="AL104" s="431">
        <v>256204</v>
      </c>
      <c r="AM104" s="431">
        <v>90367</v>
      </c>
    </row>
    <row r="105" spans="1:39" s="155" customFormat="1" ht="12" x14ac:dyDescent="0.2">
      <c r="A105" s="168">
        <v>51</v>
      </c>
      <c r="B105" s="177">
        <v>154013</v>
      </c>
      <c r="C105" s="175" t="s">
        <v>1948</v>
      </c>
      <c r="D105" s="438">
        <f t="shared" si="12"/>
        <v>4271379</v>
      </c>
      <c r="E105" s="431">
        <v>973998</v>
      </c>
      <c r="F105" s="431">
        <v>250688</v>
      </c>
      <c r="G105" s="431">
        <v>139263</v>
      </c>
      <c r="H105" s="431">
        <v>0</v>
      </c>
      <c r="I105" s="431">
        <v>1748616</v>
      </c>
      <c r="J105" s="431">
        <v>0</v>
      </c>
      <c r="K105" s="431">
        <v>998460</v>
      </c>
      <c r="L105" s="431">
        <v>0</v>
      </c>
      <c r="M105" s="431">
        <v>550305</v>
      </c>
      <c r="N105" s="431">
        <v>0</v>
      </c>
      <c r="O105" s="431">
        <v>0</v>
      </c>
      <c r="P105" s="438">
        <f t="shared" si="14"/>
        <v>4066467</v>
      </c>
      <c r="Q105" s="431">
        <v>1909508</v>
      </c>
      <c r="R105" s="431">
        <v>756920</v>
      </c>
      <c r="S105" s="431">
        <v>0</v>
      </c>
      <c r="T105" s="431">
        <v>0</v>
      </c>
      <c r="U105" s="431">
        <v>0</v>
      </c>
      <c r="V105" s="431">
        <v>0</v>
      </c>
      <c r="W105" s="431">
        <v>0</v>
      </c>
      <c r="X105" s="431">
        <v>353369</v>
      </c>
      <c r="Y105" s="431">
        <v>10000</v>
      </c>
      <c r="Z105" s="431">
        <v>1047643</v>
      </c>
      <c r="AA105" s="431">
        <v>0</v>
      </c>
      <c r="AB105" s="431">
        <v>-10973</v>
      </c>
      <c r="AC105" s="431">
        <v>960704</v>
      </c>
      <c r="AD105" s="431">
        <v>134097</v>
      </c>
      <c r="AE105" s="431">
        <v>1450641</v>
      </c>
      <c r="AF105" s="431">
        <v>0</v>
      </c>
      <c r="AG105" s="431">
        <v>243409</v>
      </c>
      <c r="AH105" s="431">
        <v>353369</v>
      </c>
      <c r="AI105" s="431">
        <v>52701</v>
      </c>
      <c r="AJ105" s="431">
        <v>91015</v>
      </c>
      <c r="AK105" s="431">
        <v>0</v>
      </c>
      <c r="AL105" s="431">
        <v>780531</v>
      </c>
      <c r="AM105" s="431">
        <v>0</v>
      </c>
    </row>
    <row r="106" spans="1:39" s="155" customFormat="1" ht="12" x14ac:dyDescent="0.2">
      <c r="A106" s="168">
        <v>52</v>
      </c>
      <c r="B106" s="177">
        <v>154166</v>
      </c>
      <c r="C106" s="175" t="s">
        <v>1949</v>
      </c>
      <c r="D106" s="438">
        <f t="shared" si="12"/>
        <v>2213839</v>
      </c>
      <c r="E106" s="431">
        <v>510688</v>
      </c>
      <c r="F106" s="431">
        <v>66193</v>
      </c>
      <c r="G106" s="431">
        <v>200191</v>
      </c>
      <c r="H106" s="431">
        <v>0</v>
      </c>
      <c r="I106" s="431">
        <v>541220</v>
      </c>
      <c r="J106" s="431">
        <v>0</v>
      </c>
      <c r="K106" s="431">
        <v>1152690</v>
      </c>
      <c r="L106" s="431">
        <v>0</v>
      </c>
      <c r="M106" s="431">
        <v>7860</v>
      </c>
      <c r="N106" s="431">
        <v>0</v>
      </c>
      <c r="O106" s="431">
        <v>1381</v>
      </c>
      <c r="P106" s="438">
        <f t="shared" si="14"/>
        <v>2228849</v>
      </c>
      <c r="Q106" s="431">
        <v>914529</v>
      </c>
      <c r="R106" s="431">
        <v>603216</v>
      </c>
      <c r="S106" s="431">
        <v>0</v>
      </c>
      <c r="T106" s="431">
        <v>0</v>
      </c>
      <c r="U106" s="431">
        <v>0</v>
      </c>
      <c r="V106" s="431">
        <v>0</v>
      </c>
      <c r="W106" s="431">
        <v>0</v>
      </c>
      <c r="X106" s="431">
        <v>30366</v>
      </c>
      <c r="Y106" s="431">
        <v>11281</v>
      </c>
      <c r="Z106" s="431">
        <v>669457</v>
      </c>
      <c r="AA106" s="431">
        <v>0</v>
      </c>
      <c r="AB106" s="431">
        <v>0</v>
      </c>
      <c r="AC106" s="431">
        <v>672151</v>
      </c>
      <c r="AD106" s="431">
        <v>0</v>
      </c>
      <c r="AE106" s="431">
        <v>444354</v>
      </c>
      <c r="AF106" s="431">
        <v>0</v>
      </c>
      <c r="AG106" s="431">
        <v>11281</v>
      </c>
      <c r="AH106" s="431">
        <v>125209</v>
      </c>
      <c r="AI106" s="431">
        <v>25415</v>
      </c>
      <c r="AJ106" s="431">
        <v>30000</v>
      </c>
      <c r="AK106" s="431">
        <v>0</v>
      </c>
      <c r="AL106" s="431">
        <v>920439</v>
      </c>
      <c r="AM106" s="431">
        <v>0</v>
      </c>
    </row>
    <row r="107" spans="1:39" s="155" customFormat="1" ht="12" x14ac:dyDescent="0.2">
      <c r="A107" s="168">
        <v>53</v>
      </c>
      <c r="B107" s="177">
        <v>154282</v>
      </c>
      <c r="C107" s="175" t="s">
        <v>1950</v>
      </c>
      <c r="D107" s="438">
        <f t="shared" si="12"/>
        <v>3437556</v>
      </c>
      <c r="E107" s="431">
        <v>869012</v>
      </c>
      <c r="F107" s="431">
        <v>186223</v>
      </c>
      <c r="G107" s="431">
        <v>176981</v>
      </c>
      <c r="H107" s="431">
        <v>0</v>
      </c>
      <c r="I107" s="431">
        <v>1219831</v>
      </c>
      <c r="J107" s="431">
        <v>0</v>
      </c>
      <c r="K107" s="431">
        <v>1118660</v>
      </c>
      <c r="L107" s="431">
        <v>0</v>
      </c>
      <c r="M107" s="431">
        <v>230053</v>
      </c>
      <c r="N107" s="431">
        <v>0</v>
      </c>
      <c r="O107" s="431">
        <v>0</v>
      </c>
      <c r="P107" s="438">
        <f t="shared" si="14"/>
        <v>2625619</v>
      </c>
      <c r="Q107" s="431">
        <v>1684371</v>
      </c>
      <c r="R107" s="431">
        <v>475384</v>
      </c>
      <c r="S107" s="431">
        <v>0</v>
      </c>
      <c r="T107" s="431">
        <v>0</v>
      </c>
      <c r="U107" s="431">
        <v>0</v>
      </c>
      <c r="V107" s="431">
        <v>0</v>
      </c>
      <c r="W107" s="431">
        <v>0</v>
      </c>
      <c r="X107" s="431">
        <v>171094</v>
      </c>
      <c r="Y107" s="431">
        <v>0</v>
      </c>
      <c r="Z107" s="431">
        <v>304855</v>
      </c>
      <c r="AA107" s="431">
        <v>0</v>
      </c>
      <c r="AB107" s="431">
        <v>-10085</v>
      </c>
      <c r="AC107" s="431">
        <v>839813</v>
      </c>
      <c r="AD107" s="431">
        <v>19595</v>
      </c>
      <c r="AE107" s="431">
        <v>994976</v>
      </c>
      <c r="AF107" s="431">
        <v>0</v>
      </c>
      <c r="AG107" s="431">
        <v>30496</v>
      </c>
      <c r="AH107" s="431">
        <v>336314</v>
      </c>
      <c r="AI107" s="431">
        <v>39870</v>
      </c>
      <c r="AJ107" s="431">
        <v>52442</v>
      </c>
      <c r="AK107" s="431">
        <v>0</v>
      </c>
      <c r="AL107" s="431">
        <v>286525</v>
      </c>
      <c r="AM107" s="431">
        <v>25588</v>
      </c>
    </row>
    <row r="108" spans="1:39" s="155" customFormat="1" ht="12" x14ac:dyDescent="0.2">
      <c r="A108" s="168">
        <v>54</v>
      </c>
      <c r="B108" s="177">
        <v>154415</v>
      </c>
      <c r="C108" s="175" t="s">
        <v>1951</v>
      </c>
      <c r="D108" s="438">
        <f t="shared" si="12"/>
        <v>2653880</v>
      </c>
      <c r="E108" s="431">
        <v>656896</v>
      </c>
      <c r="F108" s="431">
        <v>153901</v>
      </c>
      <c r="G108" s="431">
        <v>182783</v>
      </c>
      <c r="H108" s="431">
        <v>0</v>
      </c>
      <c r="I108" s="431">
        <v>851704</v>
      </c>
      <c r="J108" s="431">
        <v>0</v>
      </c>
      <c r="K108" s="431">
        <v>1096270</v>
      </c>
      <c r="L108" s="431">
        <v>0</v>
      </c>
      <c r="M108" s="431">
        <v>49010</v>
      </c>
      <c r="N108" s="431">
        <v>0</v>
      </c>
      <c r="O108" s="431">
        <v>0</v>
      </c>
      <c r="P108" s="438">
        <f t="shared" si="14"/>
        <v>2590944</v>
      </c>
      <c r="Q108" s="431">
        <v>1199971</v>
      </c>
      <c r="R108" s="431">
        <v>1009622</v>
      </c>
      <c r="S108" s="431">
        <v>0</v>
      </c>
      <c r="T108" s="431">
        <v>0</v>
      </c>
      <c r="U108" s="431">
        <v>0</v>
      </c>
      <c r="V108" s="431">
        <v>45866</v>
      </c>
      <c r="W108" s="431">
        <v>0</v>
      </c>
      <c r="X108" s="431">
        <v>159807</v>
      </c>
      <c r="Y108" s="431">
        <v>71668</v>
      </c>
      <c r="Z108" s="431">
        <v>109442</v>
      </c>
      <c r="AA108" s="431">
        <v>0</v>
      </c>
      <c r="AB108" s="431">
        <v>-5432</v>
      </c>
      <c r="AC108" s="431">
        <v>1049175</v>
      </c>
      <c r="AD108" s="431">
        <v>44054</v>
      </c>
      <c r="AE108" s="431">
        <v>666530</v>
      </c>
      <c r="AF108" s="431">
        <v>23308</v>
      </c>
      <c r="AG108" s="431">
        <v>103266</v>
      </c>
      <c r="AH108" s="431">
        <v>231878</v>
      </c>
      <c r="AI108" s="431">
        <v>99629</v>
      </c>
      <c r="AJ108" s="431">
        <v>99999</v>
      </c>
      <c r="AK108" s="431">
        <v>0</v>
      </c>
      <c r="AL108" s="431">
        <v>273105</v>
      </c>
      <c r="AM108" s="431">
        <v>0</v>
      </c>
    </row>
    <row r="109" spans="1:39" s="155" customFormat="1" ht="12" x14ac:dyDescent="0.2">
      <c r="A109" s="168">
        <v>55</v>
      </c>
      <c r="B109" s="177">
        <v>154790</v>
      </c>
      <c r="C109" s="175" t="s">
        <v>1952</v>
      </c>
      <c r="D109" s="438">
        <f t="shared" si="12"/>
        <v>3100675</v>
      </c>
      <c r="E109" s="431">
        <v>884417</v>
      </c>
      <c r="F109" s="431">
        <v>242633</v>
      </c>
      <c r="G109" s="431">
        <v>149902</v>
      </c>
      <c r="H109" s="431">
        <v>0</v>
      </c>
      <c r="I109" s="431">
        <v>1219726</v>
      </c>
      <c r="J109" s="431">
        <v>0</v>
      </c>
      <c r="K109" s="431">
        <v>965300</v>
      </c>
      <c r="L109" s="431">
        <v>0</v>
      </c>
      <c r="M109" s="431">
        <v>24232</v>
      </c>
      <c r="N109" s="431">
        <v>0</v>
      </c>
      <c r="O109" s="431">
        <v>7000</v>
      </c>
      <c r="P109" s="438">
        <f t="shared" si="14"/>
        <v>3077309</v>
      </c>
      <c r="Q109" s="431">
        <v>1513248</v>
      </c>
      <c r="R109" s="431">
        <v>721694</v>
      </c>
      <c r="S109" s="431">
        <v>0</v>
      </c>
      <c r="T109" s="431">
        <v>0</v>
      </c>
      <c r="U109" s="431">
        <v>0</v>
      </c>
      <c r="V109" s="431">
        <v>0</v>
      </c>
      <c r="W109" s="431">
        <v>0</v>
      </c>
      <c r="X109" s="431">
        <v>303345</v>
      </c>
      <c r="Y109" s="431">
        <v>21923</v>
      </c>
      <c r="Z109" s="431">
        <v>517099</v>
      </c>
      <c r="AA109" s="431">
        <v>0</v>
      </c>
      <c r="AB109" s="431">
        <v>0</v>
      </c>
      <c r="AC109" s="431">
        <v>909071</v>
      </c>
      <c r="AD109" s="431">
        <v>103592</v>
      </c>
      <c r="AE109" s="431">
        <v>971677</v>
      </c>
      <c r="AF109" s="431">
        <v>28115</v>
      </c>
      <c r="AG109" s="431">
        <v>182617</v>
      </c>
      <c r="AH109" s="431">
        <v>364240</v>
      </c>
      <c r="AI109" s="431">
        <v>77776</v>
      </c>
      <c r="AJ109" s="431">
        <v>36807</v>
      </c>
      <c r="AK109" s="431">
        <v>0</v>
      </c>
      <c r="AL109" s="431">
        <v>313346</v>
      </c>
      <c r="AM109" s="431">
        <v>90068</v>
      </c>
    </row>
    <row r="110" spans="1:39" s="155" customFormat="1" ht="12" x14ac:dyDescent="0.2">
      <c r="A110" s="168">
        <v>56</v>
      </c>
      <c r="B110" s="177">
        <v>154852</v>
      </c>
      <c r="C110" s="175" t="s">
        <v>1953</v>
      </c>
      <c r="D110" s="438">
        <f t="shared" si="12"/>
        <v>4225508</v>
      </c>
      <c r="E110" s="431">
        <v>579480</v>
      </c>
      <c r="F110" s="431">
        <v>106469</v>
      </c>
      <c r="G110" s="431">
        <v>125347</v>
      </c>
      <c r="H110" s="431">
        <v>0</v>
      </c>
      <c r="I110" s="431">
        <v>1126573</v>
      </c>
      <c r="J110" s="431">
        <v>0</v>
      </c>
      <c r="K110" s="431">
        <v>841140</v>
      </c>
      <c r="L110" s="431">
        <v>0</v>
      </c>
      <c r="M110" s="431">
        <v>1678315</v>
      </c>
      <c r="N110" s="431">
        <v>0</v>
      </c>
      <c r="O110" s="431">
        <v>0</v>
      </c>
      <c r="P110" s="438">
        <f t="shared" si="14"/>
        <v>4180990</v>
      </c>
      <c r="Q110" s="431">
        <v>1499139</v>
      </c>
      <c r="R110" s="431">
        <v>751572</v>
      </c>
      <c r="S110" s="431">
        <v>0</v>
      </c>
      <c r="T110" s="431">
        <v>0</v>
      </c>
      <c r="U110" s="431">
        <v>0</v>
      </c>
      <c r="V110" s="431">
        <v>0</v>
      </c>
      <c r="W110" s="431">
        <v>0</v>
      </c>
      <c r="X110" s="431">
        <v>211857</v>
      </c>
      <c r="Y110" s="431">
        <v>0</v>
      </c>
      <c r="Z110" s="431">
        <v>1718422</v>
      </c>
      <c r="AA110" s="431">
        <v>0</v>
      </c>
      <c r="AB110" s="431">
        <v>0</v>
      </c>
      <c r="AC110" s="431">
        <v>607902</v>
      </c>
      <c r="AD110" s="431">
        <v>110015</v>
      </c>
      <c r="AE110" s="431">
        <v>985573</v>
      </c>
      <c r="AF110" s="431">
        <v>3261</v>
      </c>
      <c r="AG110" s="431">
        <v>46796</v>
      </c>
      <c r="AH110" s="431">
        <v>343819</v>
      </c>
      <c r="AI110" s="431">
        <v>1883022</v>
      </c>
      <c r="AJ110" s="431">
        <v>35542</v>
      </c>
      <c r="AK110" s="431">
        <v>0</v>
      </c>
      <c r="AL110" s="431">
        <v>165060</v>
      </c>
      <c r="AM110" s="431">
        <v>0</v>
      </c>
    </row>
    <row r="111" spans="1:39" s="155" customFormat="1" ht="12" x14ac:dyDescent="0.2">
      <c r="A111" s="168">
        <v>57</v>
      </c>
      <c r="B111" s="177">
        <v>154978</v>
      </c>
      <c r="C111" s="175" t="s">
        <v>1954</v>
      </c>
      <c r="D111" s="438">
        <f t="shared" si="12"/>
        <v>3429177</v>
      </c>
      <c r="E111" s="431">
        <v>429588</v>
      </c>
      <c r="F111" s="431">
        <v>67050</v>
      </c>
      <c r="G111" s="431">
        <v>198257</v>
      </c>
      <c r="H111" s="431">
        <v>0</v>
      </c>
      <c r="I111" s="431">
        <v>792541</v>
      </c>
      <c r="J111" s="431">
        <v>0</v>
      </c>
      <c r="K111" s="431">
        <v>1151220</v>
      </c>
      <c r="L111" s="431">
        <v>0</v>
      </c>
      <c r="M111" s="431">
        <v>975828</v>
      </c>
      <c r="N111" s="431">
        <v>0</v>
      </c>
      <c r="O111" s="431">
        <v>80000</v>
      </c>
      <c r="P111" s="438">
        <f t="shared" si="14"/>
        <v>3418608</v>
      </c>
      <c r="Q111" s="431">
        <v>1426548</v>
      </c>
      <c r="R111" s="431">
        <v>856226</v>
      </c>
      <c r="S111" s="431">
        <v>0</v>
      </c>
      <c r="T111" s="431">
        <v>0</v>
      </c>
      <c r="U111" s="431">
        <v>0</v>
      </c>
      <c r="V111" s="431">
        <v>0</v>
      </c>
      <c r="W111" s="431">
        <v>0</v>
      </c>
      <c r="X111" s="431">
        <v>29928</v>
      </c>
      <c r="Y111" s="431">
        <v>0</v>
      </c>
      <c r="Z111" s="431">
        <v>1116078</v>
      </c>
      <c r="AA111" s="431">
        <v>0</v>
      </c>
      <c r="AB111" s="431">
        <v>-10172</v>
      </c>
      <c r="AC111" s="431">
        <v>698838</v>
      </c>
      <c r="AD111" s="431">
        <v>44503</v>
      </c>
      <c r="AE111" s="431">
        <v>584385</v>
      </c>
      <c r="AF111" s="431">
        <v>0</v>
      </c>
      <c r="AG111" s="431">
        <v>0</v>
      </c>
      <c r="AH111" s="431">
        <v>431960</v>
      </c>
      <c r="AI111" s="431">
        <v>583720</v>
      </c>
      <c r="AJ111" s="431">
        <v>0</v>
      </c>
      <c r="AK111" s="431">
        <v>0</v>
      </c>
      <c r="AL111" s="431">
        <v>1075202</v>
      </c>
      <c r="AM111" s="431">
        <v>0</v>
      </c>
    </row>
    <row r="112" spans="1:39" s="155" customFormat="1" ht="12" x14ac:dyDescent="0.2">
      <c r="A112" s="168">
        <v>58</v>
      </c>
      <c r="B112" s="177">
        <v>154932</v>
      </c>
      <c r="C112" s="175" t="s">
        <v>1955</v>
      </c>
      <c r="D112" s="438">
        <f t="shared" si="12"/>
        <v>3207620</v>
      </c>
      <c r="E112" s="431">
        <v>679719</v>
      </c>
      <c r="F112" s="431">
        <v>138066</v>
      </c>
      <c r="G112" s="431">
        <v>178915</v>
      </c>
      <c r="H112" s="431">
        <v>0</v>
      </c>
      <c r="I112" s="431">
        <v>1277398</v>
      </c>
      <c r="J112" s="431">
        <v>0</v>
      </c>
      <c r="K112" s="431">
        <v>1153770</v>
      </c>
      <c r="L112" s="431">
        <v>0</v>
      </c>
      <c r="M112" s="431">
        <v>96733</v>
      </c>
      <c r="N112" s="431">
        <v>0</v>
      </c>
      <c r="O112" s="431">
        <v>0</v>
      </c>
      <c r="P112" s="438">
        <f t="shared" si="14"/>
        <v>2924416</v>
      </c>
      <c r="Q112" s="431">
        <v>1622182</v>
      </c>
      <c r="R112" s="431">
        <v>610785</v>
      </c>
      <c r="S112" s="431">
        <v>0</v>
      </c>
      <c r="T112" s="431">
        <v>0</v>
      </c>
      <c r="U112" s="431">
        <v>0</v>
      </c>
      <c r="V112" s="431">
        <v>0</v>
      </c>
      <c r="W112" s="431">
        <v>0</v>
      </c>
      <c r="X112" s="431">
        <v>340493</v>
      </c>
      <c r="Y112" s="431">
        <v>13851</v>
      </c>
      <c r="Z112" s="431">
        <v>345960</v>
      </c>
      <c r="AA112" s="431">
        <v>0</v>
      </c>
      <c r="AB112" s="431">
        <v>-8855</v>
      </c>
      <c r="AC112" s="431">
        <v>794715</v>
      </c>
      <c r="AD112" s="431">
        <v>0</v>
      </c>
      <c r="AE112" s="431">
        <v>1086845</v>
      </c>
      <c r="AF112" s="431">
        <v>0</v>
      </c>
      <c r="AG112" s="431">
        <v>13851</v>
      </c>
      <c r="AH112" s="431">
        <v>352348</v>
      </c>
      <c r="AI112" s="431">
        <v>109382</v>
      </c>
      <c r="AJ112" s="431">
        <v>89943</v>
      </c>
      <c r="AK112" s="431">
        <v>0</v>
      </c>
      <c r="AL112" s="431">
        <v>477332</v>
      </c>
      <c r="AM112" s="431">
        <v>0</v>
      </c>
    </row>
    <row r="113" spans="1:39" s="155" customFormat="1" ht="12" x14ac:dyDescent="0.2">
      <c r="A113" s="168">
        <v>59</v>
      </c>
      <c r="B113" s="177">
        <v>152412</v>
      </c>
      <c r="C113" s="175" t="s">
        <v>1956</v>
      </c>
      <c r="D113" s="438">
        <f t="shared" si="12"/>
        <v>16061695</v>
      </c>
      <c r="E113" s="431">
        <v>844741</v>
      </c>
      <c r="F113" s="431">
        <v>256383</v>
      </c>
      <c r="G113" s="431">
        <v>139263</v>
      </c>
      <c r="H113" s="431">
        <v>0</v>
      </c>
      <c r="I113" s="431">
        <v>1119566</v>
      </c>
      <c r="J113" s="431">
        <v>0</v>
      </c>
      <c r="K113" s="431">
        <v>984000</v>
      </c>
      <c r="L113" s="431">
        <v>0</v>
      </c>
      <c r="M113" s="431">
        <v>1776498</v>
      </c>
      <c r="N113" s="431">
        <v>11336890</v>
      </c>
      <c r="O113" s="431">
        <v>0</v>
      </c>
      <c r="P113" s="438">
        <f t="shared" si="14"/>
        <v>10846303</v>
      </c>
      <c r="Q113" s="431">
        <v>1759163</v>
      </c>
      <c r="R113" s="431">
        <v>766717</v>
      </c>
      <c r="S113" s="431">
        <v>139809</v>
      </c>
      <c r="T113" s="431">
        <v>0</v>
      </c>
      <c r="U113" s="431">
        <v>0</v>
      </c>
      <c r="V113" s="431">
        <v>0</v>
      </c>
      <c r="W113" s="431">
        <v>7381987</v>
      </c>
      <c r="X113" s="431">
        <v>93614</v>
      </c>
      <c r="Y113" s="431">
        <v>0</v>
      </c>
      <c r="Z113" s="431">
        <v>519195</v>
      </c>
      <c r="AA113" s="431">
        <v>207290</v>
      </c>
      <c r="AB113" s="431">
        <v>-21472</v>
      </c>
      <c r="AC113" s="431">
        <v>1215415</v>
      </c>
      <c r="AD113" s="431">
        <v>31464</v>
      </c>
      <c r="AE113" s="431">
        <v>1199757</v>
      </c>
      <c r="AF113" s="431">
        <v>0</v>
      </c>
      <c r="AG113" s="431">
        <v>195574</v>
      </c>
      <c r="AH113" s="431">
        <v>180183</v>
      </c>
      <c r="AI113" s="431">
        <v>4231435</v>
      </c>
      <c r="AJ113" s="431">
        <v>58980</v>
      </c>
      <c r="AK113" s="431">
        <v>0</v>
      </c>
      <c r="AL113" s="431">
        <v>3691295</v>
      </c>
      <c r="AM113" s="431">
        <v>42200</v>
      </c>
    </row>
    <row r="114" spans="1:39" s="155" customFormat="1" ht="12" x14ac:dyDescent="0.2">
      <c r="A114" s="168">
        <v>60</v>
      </c>
      <c r="B114" s="178">
        <v>155092</v>
      </c>
      <c r="C114" s="179" t="s">
        <v>1957</v>
      </c>
      <c r="D114" s="438">
        <f t="shared" si="12"/>
        <v>2784228</v>
      </c>
      <c r="E114" s="431">
        <v>550533</v>
      </c>
      <c r="F114" s="431">
        <v>87495</v>
      </c>
      <c r="G114" s="431">
        <v>199224</v>
      </c>
      <c r="H114" s="431">
        <v>0</v>
      </c>
      <c r="I114" s="431">
        <v>1009698</v>
      </c>
      <c r="J114" s="431">
        <v>0</v>
      </c>
      <c r="K114" s="431">
        <v>1164100</v>
      </c>
      <c r="L114" s="431">
        <v>0</v>
      </c>
      <c r="M114" s="431">
        <v>52582</v>
      </c>
      <c r="N114" s="431">
        <v>0</v>
      </c>
      <c r="O114" s="431">
        <v>7315</v>
      </c>
      <c r="P114" s="438">
        <f t="shared" si="14"/>
        <v>2830226</v>
      </c>
      <c r="Q114" s="431">
        <v>1321532</v>
      </c>
      <c r="R114" s="431">
        <v>978012</v>
      </c>
      <c r="S114" s="431">
        <v>398</v>
      </c>
      <c r="T114" s="431">
        <v>0</v>
      </c>
      <c r="U114" s="431">
        <v>0</v>
      </c>
      <c r="V114" s="431">
        <v>0</v>
      </c>
      <c r="W114" s="431">
        <v>0</v>
      </c>
      <c r="X114" s="431">
        <v>166015</v>
      </c>
      <c r="Y114" s="431">
        <v>33269</v>
      </c>
      <c r="Z114" s="431">
        <v>334500</v>
      </c>
      <c r="AA114" s="431">
        <v>0</v>
      </c>
      <c r="AB114" s="431">
        <v>-3500</v>
      </c>
      <c r="AC114" s="431">
        <v>623714</v>
      </c>
      <c r="AD114" s="431">
        <v>71928</v>
      </c>
      <c r="AE114" s="431">
        <v>730106</v>
      </c>
      <c r="AF114" s="431">
        <v>34011</v>
      </c>
      <c r="AG114" s="431">
        <v>20934</v>
      </c>
      <c r="AH114" s="431">
        <v>413927</v>
      </c>
      <c r="AI114" s="431">
        <v>584176</v>
      </c>
      <c r="AJ114" s="431">
        <v>6956</v>
      </c>
      <c r="AK114" s="431">
        <v>0</v>
      </c>
      <c r="AL114" s="431">
        <v>344474</v>
      </c>
      <c r="AM114" s="431">
        <v>0</v>
      </c>
    </row>
    <row r="115" spans="1:39" s="155" customFormat="1" ht="12" x14ac:dyDescent="0.2">
      <c r="A115" s="168">
        <v>61</v>
      </c>
      <c r="B115" s="178">
        <v>152234</v>
      </c>
      <c r="C115" s="180" t="s">
        <v>1958</v>
      </c>
      <c r="D115" s="438">
        <f t="shared" si="12"/>
        <v>3519488</v>
      </c>
      <c r="E115" s="431">
        <v>1131838</v>
      </c>
      <c r="F115" s="431">
        <v>218170</v>
      </c>
      <c r="G115" s="431">
        <v>195752</v>
      </c>
      <c r="H115" s="431">
        <v>0</v>
      </c>
      <c r="I115" s="431">
        <v>1350642</v>
      </c>
      <c r="J115" s="431">
        <v>0</v>
      </c>
      <c r="K115" s="431">
        <v>841280</v>
      </c>
      <c r="L115" s="431">
        <v>0</v>
      </c>
      <c r="M115" s="431">
        <v>78565</v>
      </c>
      <c r="N115" s="431">
        <v>117163</v>
      </c>
      <c r="O115" s="431">
        <v>0</v>
      </c>
      <c r="P115" s="438">
        <f t="shared" si="14"/>
        <v>3500033</v>
      </c>
      <c r="Q115" s="431">
        <v>1712104</v>
      </c>
      <c r="R115" s="431">
        <v>742679</v>
      </c>
      <c r="S115" s="431">
        <v>0</v>
      </c>
      <c r="T115" s="431">
        <v>0</v>
      </c>
      <c r="U115" s="431">
        <v>0</v>
      </c>
      <c r="V115" s="431">
        <v>0</v>
      </c>
      <c r="W115" s="431">
        <v>0</v>
      </c>
      <c r="X115" s="431">
        <v>342556</v>
      </c>
      <c r="Y115" s="431">
        <v>35000</v>
      </c>
      <c r="Z115" s="431">
        <v>667694</v>
      </c>
      <c r="AA115" s="431">
        <v>0</v>
      </c>
      <c r="AB115" s="431">
        <v>0</v>
      </c>
      <c r="AC115" s="431">
        <v>877127</v>
      </c>
      <c r="AD115" s="431">
        <v>146993</v>
      </c>
      <c r="AE115" s="431">
        <v>1130895</v>
      </c>
      <c r="AF115" s="431">
        <v>18352</v>
      </c>
      <c r="AG115" s="431">
        <v>238672</v>
      </c>
      <c r="AH115" s="431">
        <v>342556</v>
      </c>
      <c r="AI115" s="431">
        <v>185728</v>
      </c>
      <c r="AJ115" s="431">
        <v>0</v>
      </c>
      <c r="AK115" s="431">
        <v>0</v>
      </c>
      <c r="AL115" s="431">
        <v>544238</v>
      </c>
      <c r="AM115" s="431">
        <v>15472</v>
      </c>
    </row>
    <row r="116" spans="1:39" s="155" customFormat="1" ht="12" x14ac:dyDescent="0.2">
      <c r="A116" s="168">
        <v>62</v>
      </c>
      <c r="B116" s="178">
        <v>152314</v>
      </c>
      <c r="C116" s="180" t="s">
        <v>1959</v>
      </c>
      <c r="D116" s="438">
        <f t="shared" si="12"/>
        <v>2855221</v>
      </c>
      <c r="E116" s="431">
        <v>491772</v>
      </c>
      <c r="F116" s="431">
        <v>102773</v>
      </c>
      <c r="G116" s="431">
        <v>200191</v>
      </c>
      <c r="H116" s="431">
        <v>0</v>
      </c>
      <c r="I116" s="431">
        <v>892181</v>
      </c>
      <c r="J116" s="431">
        <v>0</v>
      </c>
      <c r="K116" s="431">
        <v>1180680</v>
      </c>
      <c r="L116" s="431">
        <v>0</v>
      </c>
      <c r="M116" s="431">
        <v>87910</v>
      </c>
      <c r="N116" s="431">
        <v>202678</v>
      </c>
      <c r="O116" s="431">
        <v>0</v>
      </c>
      <c r="P116" s="438">
        <f t="shared" si="14"/>
        <v>2668644</v>
      </c>
      <c r="Q116" s="431">
        <v>1179998</v>
      </c>
      <c r="R116" s="431">
        <v>243776</v>
      </c>
      <c r="S116" s="431">
        <v>0</v>
      </c>
      <c r="T116" s="431">
        <v>0</v>
      </c>
      <c r="U116" s="431">
        <v>0</v>
      </c>
      <c r="V116" s="431">
        <v>0</v>
      </c>
      <c r="W116" s="431">
        <v>202221</v>
      </c>
      <c r="X116" s="431">
        <v>257341</v>
      </c>
      <c r="Y116" s="431">
        <v>0</v>
      </c>
      <c r="Z116" s="431">
        <v>785382</v>
      </c>
      <c r="AA116" s="431">
        <v>0</v>
      </c>
      <c r="AB116" s="431">
        <v>-74</v>
      </c>
      <c r="AC116" s="431">
        <v>1091166</v>
      </c>
      <c r="AD116" s="431">
        <v>48864</v>
      </c>
      <c r="AE116" s="431">
        <v>856263</v>
      </c>
      <c r="AF116" s="431">
        <v>0</v>
      </c>
      <c r="AG116" s="431">
        <v>248687</v>
      </c>
      <c r="AH116" s="431">
        <v>257341</v>
      </c>
      <c r="AI116" s="431">
        <v>166323</v>
      </c>
      <c r="AJ116" s="431">
        <v>0</v>
      </c>
      <c r="AK116" s="431">
        <v>0</v>
      </c>
      <c r="AL116" s="431">
        <v>0</v>
      </c>
      <c r="AM116" s="431">
        <v>0</v>
      </c>
    </row>
    <row r="117" spans="1:39" s="155" customFormat="1" ht="12" x14ac:dyDescent="0.2">
      <c r="A117" s="168">
        <v>63</v>
      </c>
      <c r="B117" s="178">
        <v>152500</v>
      </c>
      <c r="C117" s="180" t="s">
        <v>1960</v>
      </c>
      <c r="D117" s="438">
        <f t="shared" si="12"/>
        <v>2749284</v>
      </c>
      <c r="E117" s="431">
        <v>659252</v>
      </c>
      <c r="F117" s="431">
        <v>156151</v>
      </c>
      <c r="G117" s="431">
        <v>173112</v>
      </c>
      <c r="H117" s="431">
        <v>0</v>
      </c>
      <c r="I117" s="431">
        <v>965581</v>
      </c>
      <c r="J117" s="431">
        <v>0</v>
      </c>
      <c r="K117" s="431">
        <v>1101520</v>
      </c>
      <c r="L117" s="431">
        <v>0</v>
      </c>
      <c r="M117" s="431">
        <v>21599</v>
      </c>
      <c r="N117" s="431">
        <v>0</v>
      </c>
      <c r="O117" s="431">
        <v>1332</v>
      </c>
      <c r="P117" s="438">
        <f t="shared" si="14"/>
        <v>2093759</v>
      </c>
      <c r="Q117" s="431">
        <v>1240489</v>
      </c>
      <c r="R117" s="431">
        <v>577856</v>
      </c>
      <c r="S117" s="431">
        <v>0</v>
      </c>
      <c r="T117" s="431">
        <v>0</v>
      </c>
      <c r="U117" s="431">
        <v>0</v>
      </c>
      <c r="V117" s="431">
        <v>0</v>
      </c>
      <c r="W117" s="431">
        <v>0</v>
      </c>
      <c r="X117" s="431">
        <v>177572</v>
      </c>
      <c r="Y117" s="431">
        <v>0</v>
      </c>
      <c r="Z117" s="431">
        <v>102632</v>
      </c>
      <c r="AA117" s="431">
        <v>0</v>
      </c>
      <c r="AB117" s="431">
        <v>-4790</v>
      </c>
      <c r="AC117" s="431">
        <v>614283</v>
      </c>
      <c r="AD117" s="431">
        <v>65178</v>
      </c>
      <c r="AE117" s="431">
        <v>910755</v>
      </c>
      <c r="AF117" s="431">
        <v>0</v>
      </c>
      <c r="AG117" s="431">
        <v>0</v>
      </c>
      <c r="AH117" s="431">
        <v>190891</v>
      </c>
      <c r="AI117" s="431">
        <v>84371</v>
      </c>
      <c r="AJ117" s="431">
        <v>67894</v>
      </c>
      <c r="AK117" s="431">
        <v>0</v>
      </c>
      <c r="AL117" s="431">
        <v>160387</v>
      </c>
      <c r="AM117" s="431">
        <v>0</v>
      </c>
    </row>
    <row r="118" spans="1:39" s="155" customFormat="1" ht="12" x14ac:dyDescent="0.2">
      <c r="A118" s="168">
        <v>64</v>
      </c>
      <c r="B118" s="178">
        <v>152564</v>
      </c>
      <c r="C118" s="180" t="s">
        <v>1961</v>
      </c>
      <c r="D118" s="438">
        <f t="shared" si="12"/>
        <v>3643481</v>
      </c>
      <c r="E118" s="431">
        <v>1197382</v>
      </c>
      <c r="F118" s="431">
        <v>515026</v>
      </c>
      <c r="G118" s="431">
        <v>146033</v>
      </c>
      <c r="H118" s="431">
        <v>0</v>
      </c>
      <c r="I118" s="431">
        <v>1386539</v>
      </c>
      <c r="J118" s="431">
        <v>0</v>
      </c>
      <c r="K118" s="431">
        <v>947450</v>
      </c>
      <c r="L118" s="431">
        <v>0</v>
      </c>
      <c r="M118" s="431">
        <v>88255</v>
      </c>
      <c r="N118" s="431">
        <v>0</v>
      </c>
      <c r="O118" s="431">
        <v>23855</v>
      </c>
      <c r="P118" s="438">
        <f t="shared" si="14"/>
        <v>3320465</v>
      </c>
      <c r="Q118" s="431">
        <v>1796571</v>
      </c>
      <c r="R118" s="431">
        <v>1048311</v>
      </c>
      <c r="S118" s="431">
        <v>0</v>
      </c>
      <c r="T118" s="431">
        <v>0</v>
      </c>
      <c r="U118" s="431">
        <v>0</v>
      </c>
      <c r="V118" s="431">
        <v>0</v>
      </c>
      <c r="W118" s="431">
        <v>5200</v>
      </c>
      <c r="X118" s="431">
        <v>326363</v>
      </c>
      <c r="Y118" s="431">
        <v>10000</v>
      </c>
      <c r="Z118" s="431">
        <v>134020</v>
      </c>
      <c r="AA118" s="431">
        <v>0</v>
      </c>
      <c r="AB118" s="431">
        <v>0</v>
      </c>
      <c r="AC118" s="431">
        <v>1089752</v>
      </c>
      <c r="AD118" s="431">
        <v>117867</v>
      </c>
      <c r="AE118" s="431">
        <v>1140961</v>
      </c>
      <c r="AF118" s="431">
        <v>0</v>
      </c>
      <c r="AG118" s="431">
        <v>189809</v>
      </c>
      <c r="AH118" s="431">
        <v>426624</v>
      </c>
      <c r="AI118" s="431">
        <v>105508</v>
      </c>
      <c r="AJ118" s="431">
        <v>20971</v>
      </c>
      <c r="AK118" s="431">
        <v>0</v>
      </c>
      <c r="AL118" s="431">
        <v>214717</v>
      </c>
      <c r="AM118" s="431">
        <v>14256</v>
      </c>
    </row>
    <row r="119" spans="1:39" s="155" customFormat="1" ht="12" x14ac:dyDescent="0.2">
      <c r="A119" s="168">
        <v>65</v>
      </c>
      <c r="B119" s="178">
        <v>152993</v>
      </c>
      <c r="C119" s="180" t="s">
        <v>1962</v>
      </c>
      <c r="D119" s="438">
        <f t="shared" ref="D119:D146" si="15">E119+SUM(H119:O119)</f>
        <v>2611612</v>
      </c>
      <c r="E119" s="431">
        <v>495646</v>
      </c>
      <c r="F119" s="431">
        <v>65506</v>
      </c>
      <c r="G119" s="431">
        <v>196322</v>
      </c>
      <c r="H119" s="431">
        <v>0</v>
      </c>
      <c r="I119" s="431">
        <v>741566</v>
      </c>
      <c r="J119" s="431">
        <v>0</v>
      </c>
      <c r="K119" s="431">
        <v>1180200</v>
      </c>
      <c r="L119" s="431">
        <v>0</v>
      </c>
      <c r="M119" s="431">
        <v>53178</v>
      </c>
      <c r="N119" s="431">
        <v>139022</v>
      </c>
      <c r="O119" s="431">
        <v>2000</v>
      </c>
      <c r="P119" s="438">
        <f t="shared" ref="P119:P146" si="16">IF(SUM(Q119:AB119)=SUM(AC119:AM119),SUM(Q119:AB119),"  EROARE ART/CAP")</f>
        <v>2251260</v>
      </c>
      <c r="Q119" s="431">
        <v>1189399</v>
      </c>
      <c r="R119" s="431">
        <v>395734</v>
      </c>
      <c r="S119" s="431">
        <v>0</v>
      </c>
      <c r="T119" s="431">
        <v>0</v>
      </c>
      <c r="U119" s="431">
        <v>0</v>
      </c>
      <c r="V119" s="431">
        <v>0</v>
      </c>
      <c r="W119" s="431">
        <v>196209</v>
      </c>
      <c r="X119" s="431">
        <v>103204</v>
      </c>
      <c r="Y119" s="431">
        <v>20847</v>
      </c>
      <c r="Z119" s="431">
        <v>361373</v>
      </c>
      <c r="AA119" s="431">
        <v>0</v>
      </c>
      <c r="AB119" s="431">
        <v>-15506</v>
      </c>
      <c r="AC119" s="431">
        <v>882794</v>
      </c>
      <c r="AD119" s="431">
        <v>24583</v>
      </c>
      <c r="AE119" s="431">
        <v>697097</v>
      </c>
      <c r="AF119" s="431">
        <v>0</v>
      </c>
      <c r="AG119" s="431">
        <v>104777</v>
      </c>
      <c r="AH119" s="431">
        <v>118632</v>
      </c>
      <c r="AI119" s="431">
        <v>115406</v>
      </c>
      <c r="AJ119" s="431">
        <v>100410</v>
      </c>
      <c r="AK119" s="431">
        <v>0</v>
      </c>
      <c r="AL119" s="431">
        <v>207561</v>
      </c>
      <c r="AM119" s="431">
        <v>0</v>
      </c>
    </row>
    <row r="120" spans="1:39" s="155" customFormat="1" ht="12" x14ac:dyDescent="0.2">
      <c r="A120" s="168">
        <v>66</v>
      </c>
      <c r="B120" s="178">
        <v>153106</v>
      </c>
      <c r="C120" s="180" t="s">
        <v>1963</v>
      </c>
      <c r="D120" s="438">
        <f t="shared" si="15"/>
        <v>2979123</v>
      </c>
      <c r="E120" s="431">
        <v>757445</v>
      </c>
      <c r="F120" s="431">
        <v>152364</v>
      </c>
      <c r="G120" s="431">
        <v>177948</v>
      </c>
      <c r="H120" s="431">
        <v>0</v>
      </c>
      <c r="I120" s="431">
        <v>909045</v>
      </c>
      <c r="J120" s="431">
        <v>0</v>
      </c>
      <c r="K120" s="431">
        <v>1091720</v>
      </c>
      <c r="L120" s="431">
        <v>0</v>
      </c>
      <c r="M120" s="431">
        <v>81101</v>
      </c>
      <c r="N120" s="431">
        <v>131812</v>
      </c>
      <c r="O120" s="431">
        <v>8000</v>
      </c>
      <c r="P120" s="438">
        <f t="shared" si="16"/>
        <v>2578387</v>
      </c>
      <c r="Q120" s="431">
        <v>1442641</v>
      </c>
      <c r="R120" s="431">
        <v>638575</v>
      </c>
      <c r="S120" s="431">
        <v>0</v>
      </c>
      <c r="T120" s="431">
        <v>0</v>
      </c>
      <c r="U120" s="431">
        <v>0</v>
      </c>
      <c r="V120" s="431">
        <v>0</v>
      </c>
      <c r="W120" s="431">
        <v>0</v>
      </c>
      <c r="X120" s="431">
        <v>132836</v>
      </c>
      <c r="Y120" s="431">
        <v>30000</v>
      </c>
      <c r="Z120" s="431">
        <v>334335</v>
      </c>
      <c r="AA120" s="431">
        <v>0</v>
      </c>
      <c r="AB120" s="431">
        <v>0</v>
      </c>
      <c r="AC120" s="431">
        <v>805421</v>
      </c>
      <c r="AD120" s="431">
        <v>97423</v>
      </c>
      <c r="AE120" s="431">
        <v>748762</v>
      </c>
      <c r="AF120" s="431">
        <v>0</v>
      </c>
      <c r="AG120" s="431">
        <v>45999</v>
      </c>
      <c r="AH120" s="431">
        <v>279847</v>
      </c>
      <c r="AI120" s="431">
        <v>50758</v>
      </c>
      <c r="AJ120" s="431">
        <v>355213</v>
      </c>
      <c r="AK120" s="431">
        <v>0</v>
      </c>
      <c r="AL120" s="431">
        <v>194964</v>
      </c>
      <c r="AM120" s="431">
        <v>0</v>
      </c>
    </row>
    <row r="121" spans="1:39" s="155" customFormat="1" ht="12" x14ac:dyDescent="0.2">
      <c r="A121" s="168">
        <v>67</v>
      </c>
      <c r="B121" s="178">
        <v>153124</v>
      </c>
      <c r="C121" s="180" t="s">
        <v>179</v>
      </c>
      <c r="D121" s="438">
        <f t="shared" si="15"/>
        <v>5894593</v>
      </c>
      <c r="E121" s="431">
        <v>1066342</v>
      </c>
      <c r="F121" s="431">
        <v>283654</v>
      </c>
      <c r="G121" s="431">
        <v>136362</v>
      </c>
      <c r="H121" s="431">
        <v>0</v>
      </c>
      <c r="I121" s="431">
        <v>839385</v>
      </c>
      <c r="J121" s="431">
        <v>0</v>
      </c>
      <c r="K121" s="431">
        <v>998090</v>
      </c>
      <c r="L121" s="431">
        <v>0</v>
      </c>
      <c r="M121" s="431">
        <v>413541</v>
      </c>
      <c r="N121" s="431">
        <v>300155</v>
      </c>
      <c r="O121" s="431">
        <v>2277080</v>
      </c>
      <c r="P121" s="438">
        <f t="shared" si="16"/>
        <v>5591936</v>
      </c>
      <c r="Q121" s="431">
        <v>1260841</v>
      </c>
      <c r="R121" s="431">
        <v>492223</v>
      </c>
      <c r="S121" s="431">
        <v>0</v>
      </c>
      <c r="T121" s="431">
        <v>0</v>
      </c>
      <c r="U121" s="431">
        <v>0</v>
      </c>
      <c r="V121" s="431">
        <v>3</v>
      </c>
      <c r="W121" s="431">
        <v>980558</v>
      </c>
      <c r="X121" s="431">
        <v>209040</v>
      </c>
      <c r="Y121" s="431">
        <v>0</v>
      </c>
      <c r="Z121" s="431">
        <v>2670838</v>
      </c>
      <c r="AA121" s="431">
        <v>0</v>
      </c>
      <c r="AB121" s="431">
        <v>-21567</v>
      </c>
      <c r="AC121" s="431">
        <v>767200</v>
      </c>
      <c r="AD121" s="431">
        <v>0</v>
      </c>
      <c r="AE121" s="431">
        <v>707177</v>
      </c>
      <c r="AF121" s="431">
        <v>14184</v>
      </c>
      <c r="AG121" s="431">
        <v>115432</v>
      </c>
      <c r="AH121" s="431">
        <v>209040</v>
      </c>
      <c r="AI121" s="431">
        <v>212014</v>
      </c>
      <c r="AJ121" s="431">
        <v>2689164</v>
      </c>
      <c r="AK121" s="431">
        <v>0</v>
      </c>
      <c r="AL121" s="431">
        <v>877725</v>
      </c>
      <c r="AM121" s="431">
        <v>0</v>
      </c>
    </row>
    <row r="122" spans="1:39" s="155" customFormat="1" ht="12" x14ac:dyDescent="0.2">
      <c r="A122" s="168">
        <v>68</v>
      </c>
      <c r="B122" s="178">
        <v>153400</v>
      </c>
      <c r="C122" s="180" t="s">
        <v>1964</v>
      </c>
      <c r="D122" s="438">
        <f t="shared" si="15"/>
        <v>3065455</v>
      </c>
      <c r="E122" s="431">
        <v>692692</v>
      </c>
      <c r="F122" s="431">
        <v>153855</v>
      </c>
      <c r="G122" s="431">
        <v>153770</v>
      </c>
      <c r="H122" s="431">
        <v>0</v>
      </c>
      <c r="I122" s="431">
        <v>1172010</v>
      </c>
      <c r="J122" s="431">
        <v>0</v>
      </c>
      <c r="K122" s="431">
        <v>967880</v>
      </c>
      <c r="L122" s="431">
        <v>0</v>
      </c>
      <c r="M122" s="431">
        <v>147414</v>
      </c>
      <c r="N122" s="431">
        <v>68834</v>
      </c>
      <c r="O122" s="431">
        <v>16625</v>
      </c>
      <c r="P122" s="438">
        <f t="shared" si="16"/>
        <v>3057104</v>
      </c>
      <c r="Q122" s="431">
        <v>1712804</v>
      </c>
      <c r="R122" s="431">
        <v>782380</v>
      </c>
      <c r="S122" s="431">
        <v>0</v>
      </c>
      <c r="T122" s="431">
        <v>0</v>
      </c>
      <c r="U122" s="431">
        <v>0</v>
      </c>
      <c r="V122" s="431">
        <v>0</v>
      </c>
      <c r="W122" s="431">
        <v>133306</v>
      </c>
      <c r="X122" s="431">
        <v>193462</v>
      </c>
      <c r="Y122" s="431">
        <v>0</v>
      </c>
      <c r="Z122" s="431">
        <v>239210</v>
      </c>
      <c r="AA122" s="431">
        <v>0</v>
      </c>
      <c r="AB122" s="431">
        <v>-4058</v>
      </c>
      <c r="AC122" s="431">
        <v>1064371</v>
      </c>
      <c r="AD122" s="431">
        <v>52506</v>
      </c>
      <c r="AE122" s="431">
        <v>1047480</v>
      </c>
      <c r="AF122" s="431">
        <v>21695</v>
      </c>
      <c r="AG122" s="431">
        <v>343123</v>
      </c>
      <c r="AH122" s="431">
        <v>306852</v>
      </c>
      <c r="AI122" s="431">
        <v>62457</v>
      </c>
      <c r="AJ122" s="431">
        <v>24800</v>
      </c>
      <c r="AK122" s="431">
        <v>0</v>
      </c>
      <c r="AL122" s="431">
        <v>133820</v>
      </c>
      <c r="AM122" s="431">
        <v>0</v>
      </c>
    </row>
    <row r="123" spans="1:39" s="155" customFormat="1" ht="12" x14ac:dyDescent="0.2">
      <c r="A123" s="168">
        <v>69</v>
      </c>
      <c r="B123" s="178">
        <v>153561</v>
      </c>
      <c r="C123" s="180" t="s">
        <v>1965</v>
      </c>
      <c r="D123" s="438">
        <f t="shared" si="15"/>
        <v>7376028</v>
      </c>
      <c r="E123" s="431">
        <v>1548108</v>
      </c>
      <c r="F123" s="431">
        <v>305460</v>
      </c>
      <c r="G123" s="431">
        <v>143229</v>
      </c>
      <c r="H123" s="431">
        <v>0</v>
      </c>
      <c r="I123" s="431">
        <v>2053292</v>
      </c>
      <c r="J123" s="431">
        <v>0</v>
      </c>
      <c r="K123" s="431">
        <v>713340</v>
      </c>
      <c r="L123" s="431">
        <v>0</v>
      </c>
      <c r="M123" s="431">
        <v>1361262</v>
      </c>
      <c r="N123" s="431">
        <v>1683769</v>
      </c>
      <c r="O123" s="431">
        <v>16257</v>
      </c>
      <c r="P123" s="438">
        <f t="shared" si="16"/>
        <v>5587800</v>
      </c>
      <c r="Q123" s="431">
        <v>2281285</v>
      </c>
      <c r="R123" s="431">
        <v>700204</v>
      </c>
      <c r="S123" s="431">
        <v>0</v>
      </c>
      <c r="T123" s="431">
        <v>0</v>
      </c>
      <c r="U123" s="431">
        <v>0</v>
      </c>
      <c r="V123" s="431">
        <v>0</v>
      </c>
      <c r="W123" s="431">
        <v>107947</v>
      </c>
      <c r="X123" s="431">
        <v>352886</v>
      </c>
      <c r="Y123" s="431">
        <v>10000</v>
      </c>
      <c r="Z123" s="431">
        <v>2135478</v>
      </c>
      <c r="AA123" s="431">
        <v>0</v>
      </c>
      <c r="AB123" s="431">
        <v>0</v>
      </c>
      <c r="AC123" s="431">
        <v>2390537</v>
      </c>
      <c r="AD123" s="431">
        <v>24497</v>
      </c>
      <c r="AE123" s="431">
        <v>1830282</v>
      </c>
      <c r="AF123" s="431">
        <v>0</v>
      </c>
      <c r="AG123" s="431">
        <v>5430</v>
      </c>
      <c r="AH123" s="431">
        <v>352486</v>
      </c>
      <c r="AI123" s="431">
        <v>235757</v>
      </c>
      <c r="AJ123" s="431">
        <v>267141</v>
      </c>
      <c r="AK123" s="431">
        <v>0</v>
      </c>
      <c r="AL123" s="431">
        <v>30507</v>
      </c>
      <c r="AM123" s="431">
        <v>451163</v>
      </c>
    </row>
    <row r="124" spans="1:39" s="155" customFormat="1" ht="12" x14ac:dyDescent="0.2">
      <c r="A124" s="168">
        <v>70</v>
      </c>
      <c r="B124" s="178">
        <v>153589</v>
      </c>
      <c r="C124" s="180" t="s">
        <v>1966</v>
      </c>
      <c r="D124" s="438">
        <f t="shared" si="15"/>
        <v>3061487</v>
      </c>
      <c r="E124" s="431">
        <v>1013479</v>
      </c>
      <c r="F124" s="431">
        <v>191761</v>
      </c>
      <c r="G124" s="431">
        <v>83171</v>
      </c>
      <c r="H124" s="431">
        <v>0</v>
      </c>
      <c r="I124" s="431">
        <v>1306831</v>
      </c>
      <c r="J124" s="431">
        <v>0</v>
      </c>
      <c r="K124" s="431">
        <v>632930</v>
      </c>
      <c r="L124" s="431">
        <v>0</v>
      </c>
      <c r="M124" s="431">
        <v>58247</v>
      </c>
      <c r="N124" s="431">
        <v>0</v>
      </c>
      <c r="O124" s="431">
        <v>50000</v>
      </c>
      <c r="P124" s="438">
        <f t="shared" si="16"/>
        <v>3081620</v>
      </c>
      <c r="Q124" s="431">
        <v>1650381</v>
      </c>
      <c r="R124" s="431">
        <v>805928</v>
      </c>
      <c r="S124" s="431">
        <v>4200</v>
      </c>
      <c r="T124" s="431">
        <v>0</v>
      </c>
      <c r="U124" s="431">
        <v>0</v>
      </c>
      <c r="V124" s="431">
        <v>0</v>
      </c>
      <c r="W124" s="431">
        <v>0</v>
      </c>
      <c r="X124" s="431">
        <v>277130</v>
      </c>
      <c r="Y124" s="431">
        <v>33900</v>
      </c>
      <c r="Z124" s="431">
        <v>161074</v>
      </c>
      <c r="AA124" s="431">
        <v>168400</v>
      </c>
      <c r="AB124" s="431">
        <v>-19393</v>
      </c>
      <c r="AC124" s="431">
        <v>958893</v>
      </c>
      <c r="AD124" s="431">
        <v>0</v>
      </c>
      <c r="AE124" s="431">
        <v>1131304</v>
      </c>
      <c r="AF124" s="431">
        <v>136338</v>
      </c>
      <c r="AG124" s="431">
        <v>169702</v>
      </c>
      <c r="AH124" s="431">
        <v>277130</v>
      </c>
      <c r="AI124" s="431">
        <v>177249</v>
      </c>
      <c r="AJ124" s="431">
        <v>32324</v>
      </c>
      <c r="AK124" s="431">
        <v>0</v>
      </c>
      <c r="AL124" s="431">
        <v>198680</v>
      </c>
      <c r="AM124" s="431">
        <v>0</v>
      </c>
    </row>
    <row r="125" spans="1:39" s="155" customFormat="1" ht="12" x14ac:dyDescent="0.2">
      <c r="A125" s="168">
        <v>71</v>
      </c>
      <c r="B125" s="178">
        <v>154380</v>
      </c>
      <c r="C125" s="180" t="s">
        <v>1967</v>
      </c>
      <c r="D125" s="438">
        <f t="shared" si="15"/>
        <v>2978016</v>
      </c>
      <c r="E125" s="431">
        <v>828833</v>
      </c>
      <c r="F125" s="431">
        <v>192673</v>
      </c>
      <c r="G125" s="431">
        <v>129592</v>
      </c>
      <c r="H125" s="431">
        <v>0</v>
      </c>
      <c r="I125" s="431">
        <v>1085281</v>
      </c>
      <c r="J125" s="431">
        <v>0</v>
      </c>
      <c r="K125" s="431">
        <v>832180</v>
      </c>
      <c r="L125" s="431">
        <v>0</v>
      </c>
      <c r="M125" s="431">
        <v>74150</v>
      </c>
      <c r="N125" s="431">
        <v>157572</v>
      </c>
      <c r="O125" s="431">
        <v>0</v>
      </c>
      <c r="P125" s="438">
        <f t="shared" si="16"/>
        <v>2605599</v>
      </c>
      <c r="Q125" s="431">
        <v>1204499</v>
      </c>
      <c r="R125" s="431">
        <v>618365</v>
      </c>
      <c r="S125" s="431">
        <v>0</v>
      </c>
      <c r="T125" s="431">
        <v>0</v>
      </c>
      <c r="U125" s="431">
        <v>0</v>
      </c>
      <c r="V125" s="431">
        <v>0</v>
      </c>
      <c r="W125" s="431">
        <v>223946</v>
      </c>
      <c r="X125" s="431">
        <v>266598</v>
      </c>
      <c r="Y125" s="431">
        <v>9984</v>
      </c>
      <c r="Z125" s="431">
        <v>282648</v>
      </c>
      <c r="AA125" s="431">
        <v>0</v>
      </c>
      <c r="AB125" s="431">
        <v>-441</v>
      </c>
      <c r="AC125" s="431">
        <v>768812</v>
      </c>
      <c r="AD125" s="431">
        <v>31088</v>
      </c>
      <c r="AE125" s="431">
        <v>854743</v>
      </c>
      <c r="AF125" s="431">
        <v>3123</v>
      </c>
      <c r="AG125" s="431">
        <v>4160</v>
      </c>
      <c r="AH125" s="431">
        <v>348369</v>
      </c>
      <c r="AI125" s="431">
        <v>136605</v>
      </c>
      <c r="AJ125" s="431">
        <v>223946</v>
      </c>
      <c r="AK125" s="431">
        <v>0</v>
      </c>
      <c r="AL125" s="431">
        <v>234753</v>
      </c>
      <c r="AM125" s="431">
        <v>0</v>
      </c>
    </row>
    <row r="126" spans="1:39" s="155" customFormat="1" ht="12" x14ac:dyDescent="0.2">
      <c r="A126" s="168">
        <v>72</v>
      </c>
      <c r="B126" s="178">
        <v>154460</v>
      </c>
      <c r="C126" s="180" t="s">
        <v>1968</v>
      </c>
      <c r="D126" s="438">
        <f t="shared" si="15"/>
        <v>2701863</v>
      </c>
      <c r="E126" s="431">
        <v>880853</v>
      </c>
      <c r="F126" s="431">
        <v>111216</v>
      </c>
      <c r="G126" s="431">
        <v>126691</v>
      </c>
      <c r="H126" s="431">
        <v>0</v>
      </c>
      <c r="I126" s="431">
        <v>897848</v>
      </c>
      <c r="J126" s="431">
        <v>0</v>
      </c>
      <c r="K126" s="431">
        <v>807570</v>
      </c>
      <c r="L126" s="431">
        <v>0</v>
      </c>
      <c r="M126" s="431">
        <v>44275</v>
      </c>
      <c r="N126" s="431">
        <v>71317</v>
      </c>
      <c r="O126" s="431">
        <v>0</v>
      </c>
      <c r="P126" s="438">
        <f t="shared" si="16"/>
        <v>2532731</v>
      </c>
      <c r="Q126" s="431">
        <v>1283578</v>
      </c>
      <c r="R126" s="431">
        <v>529442</v>
      </c>
      <c r="S126" s="431">
        <v>0</v>
      </c>
      <c r="T126" s="431">
        <v>0</v>
      </c>
      <c r="U126" s="431">
        <v>0</v>
      </c>
      <c r="V126" s="431">
        <v>54622</v>
      </c>
      <c r="W126" s="431">
        <v>160858</v>
      </c>
      <c r="X126" s="431">
        <v>293126</v>
      </c>
      <c r="Y126" s="431">
        <v>157728</v>
      </c>
      <c r="Z126" s="431">
        <v>59487</v>
      </c>
      <c r="AA126" s="431">
        <v>0</v>
      </c>
      <c r="AB126" s="431">
        <v>-6110</v>
      </c>
      <c r="AC126" s="431">
        <v>748246</v>
      </c>
      <c r="AD126" s="431">
        <v>89732</v>
      </c>
      <c r="AE126" s="431">
        <v>667945</v>
      </c>
      <c r="AF126" s="431">
        <v>0</v>
      </c>
      <c r="AG126" s="431">
        <v>347264</v>
      </c>
      <c r="AH126" s="431">
        <v>293126</v>
      </c>
      <c r="AI126" s="431">
        <v>283973</v>
      </c>
      <c r="AJ126" s="431">
        <v>57199</v>
      </c>
      <c r="AK126" s="431">
        <v>0</v>
      </c>
      <c r="AL126" s="431">
        <v>45246</v>
      </c>
      <c r="AM126" s="431">
        <v>0</v>
      </c>
    </row>
    <row r="127" spans="1:39" s="155" customFormat="1" ht="12" x14ac:dyDescent="0.2">
      <c r="A127" s="168">
        <v>73</v>
      </c>
      <c r="B127" s="178">
        <v>154914</v>
      </c>
      <c r="C127" s="180" t="s">
        <v>1969</v>
      </c>
      <c r="D127" s="438">
        <f t="shared" si="15"/>
        <v>2344648</v>
      </c>
      <c r="E127" s="431">
        <v>717067</v>
      </c>
      <c r="F127" s="431">
        <v>111369</v>
      </c>
      <c r="G127" s="431">
        <v>131527</v>
      </c>
      <c r="H127" s="431">
        <v>0</v>
      </c>
      <c r="I127" s="431">
        <v>535380</v>
      </c>
      <c r="J127" s="431">
        <v>0</v>
      </c>
      <c r="K127" s="431">
        <v>938920</v>
      </c>
      <c r="L127" s="431">
        <v>0</v>
      </c>
      <c r="M127" s="431">
        <v>137873</v>
      </c>
      <c r="N127" s="431">
        <v>15408</v>
      </c>
      <c r="O127" s="431">
        <v>0</v>
      </c>
      <c r="P127" s="438">
        <f t="shared" si="16"/>
        <v>1964800</v>
      </c>
      <c r="Q127" s="431">
        <v>908551</v>
      </c>
      <c r="R127" s="431">
        <v>344308</v>
      </c>
      <c r="S127" s="431">
        <v>0</v>
      </c>
      <c r="T127" s="431">
        <v>0</v>
      </c>
      <c r="U127" s="431">
        <v>0</v>
      </c>
      <c r="V127" s="431">
        <v>0</v>
      </c>
      <c r="W127" s="431">
        <v>0</v>
      </c>
      <c r="X127" s="431">
        <v>168197</v>
      </c>
      <c r="Y127" s="431">
        <v>10703</v>
      </c>
      <c r="Z127" s="431">
        <v>535317</v>
      </c>
      <c r="AA127" s="431">
        <v>0</v>
      </c>
      <c r="AB127" s="431">
        <v>-2276</v>
      </c>
      <c r="AC127" s="431">
        <v>816612</v>
      </c>
      <c r="AD127" s="431">
        <v>49874</v>
      </c>
      <c r="AE127" s="431">
        <v>469805</v>
      </c>
      <c r="AF127" s="431">
        <v>0</v>
      </c>
      <c r="AG127" s="431">
        <v>292252</v>
      </c>
      <c r="AH127" s="431">
        <v>168197</v>
      </c>
      <c r="AI127" s="431">
        <v>145113</v>
      </c>
      <c r="AJ127" s="431">
        <v>1856</v>
      </c>
      <c r="AK127" s="431">
        <v>0</v>
      </c>
      <c r="AL127" s="431">
        <v>0</v>
      </c>
      <c r="AM127" s="431">
        <v>21091</v>
      </c>
    </row>
    <row r="128" spans="1:39" s="155" customFormat="1" ht="12" x14ac:dyDescent="0.2">
      <c r="A128" s="168">
        <v>74</v>
      </c>
      <c r="B128" s="178">
        <v>155118</v>
      </c>
      <c r="C128" s="180" t="s">
        <v>1845</v>
      </c>
      <c r="D128" s="438">
        <f t="shared" si="15"/>
        <v>2320559</v>
      </c>
      <c r="E128" s="431">
        <v>865006</v>
      </c>
      <c r="F128" s="431">
        <v>235553</v>
      </c>
      <c r="G128" s="431">
        <v>112184</v>
      </c>
      <c r="H128" s="431">
        <v>0</v>
      </c>
      <c r="I128" s="431">
        <v>545791</v>
      </c>
      <c r="J128" s="431">
        <v>0</v>
      </c>
      <c r="K128" s="431">
        <v>721010</v>
      </c>
      <c r="L128" s="431">
        <v>0</v>
      </c>
      <c r="M128" s="431">
        <v>50476</v>
      </c>
      <c r="N128" s="431">
        <v>137026</v>
      </c>
      <c r="O128" s="431">
        <v>1250</v>
      </c>
      <c r="P128" s="438">
        <f t="shared" si="16"/>
        <v>2204464</v>
      </c>
      <c r="Q128" s="431">
        <v>1416212</v>
      </c>
      <c r="R128" s="431">
        <v>427084</v>
      </c>
      <c r="S128" s="431">
        <v>0</v>
      </c>
      <c r="T128" s="431">
        <v>0</v>
      </c>
      <c r="U128" s="431">
        <v>0</v>
      </c>
      <c r="V128" s="431">
        <v>0</v>
      </c>
      <c r="W128" s="431">
        <v>76398</v>
      </c>
      <c r="X128" s="431">
        <v>80707</v>
      </c>
      <c r="Y128" s="431">
        <v>0</v>
      </c>
      <c r="Z128" s="431">
        <v>204063</v>
      </c>
      <c r="AA128" s="431">
        <v>0</v>
      </c>
      <c r="AB128" s="431">
        <v>0</v>
      </c>
      <c r="AC128" s="431">
        <v>918348</v>
      </c>
      <c r="AD128" s="431">
        <v>119558</v>
      </c>
      <c r="AE128" s="431">
        <v>495884</v>
      </c>
      <c r="AF128" s="431">
        <v>23293</v>
      </c>
      <c r="AG128" s="431">
        <v>117003</v>
      </c>
      <c r="AH128" s="431">
        <v>119995</v>
      </c>
      <c r="AI128" s="431">
        <v>199690</v>
      </c>
      <c r="AJ128" s="431">
        <v>70693</v>
      </c>
      <c r="AK128" s="431">
        <v>0</v>
      </c>
      <c r="AL128" s="431">
        <v>140000</v>
      </c>
      <c r="AM128" s="431">
        <v>0</v>
      </c>
    </row>
    <row r="129" spans="1:39" s="155" customFormat="1" ht="12" x14ac:dyDescent="0.2">
      <c r="A129" s="168">
        <v>75</v>
      </c>
      <c r="B129" s="178">
        <v>151932</v>
      </c>
      <c r="C129" s="180" t="s">
        <v>1970</v>
      </c>
      <c r="D129" s="438">
        <f t="shared" si="15"/>
        <v>2409747</v>
      </c>
      <c r="E129" s="431">
        <v>464467</v>
      </c>
      <c r="F129" s="431">
        <v>64183</v>
      </c>
      <c r="G129" s="431">
        <v>197290</v>
      </c>
      <c r="H129" s="431">
        <v>0</v>
      </c>
      <c r="I129" s="431">
        <v>754557</v>
      </c>
      <c r="J129" s="431">
        <v>0</v>
      </c>
      <c r="K129" s="431">
        <v>1178740</v>
      </c>
      <c r="L129" s="431">
        <v>0</v>
      </c>
      <c r="M129" s="431">
        <v>11983</v>
      </c>
      <c r="N129" s="431">
        <v>0</v>
      </c>
      <c r="O129" s="431">
        <v>0</v>
      </c>
      <c r="P129" s="438">
        <f t="shared" si="16"/>
        <v>2399145</v>
      </c>
      <c r="Q129" s="431">
        <v>1015535</v>
      </c>
      <c r="R129" s="431">
        <v>307609</v>
      </c>
      <c r="S129" s="431">
        <v>0</v>
      </c>
      <c r="T129" s="431">
        <v>0</v>
      </c>
      <c r="U129" s="431">
        <v>0</v>
      </c>
      <c r="V129" s="431">
        <v>0</v>
      </c>
      <c r="W129" s="431">
        <v>0</v>
      </c>
      <c r="X129" s="431">
        <v>109884</v>
      </c>
      <c r="Y129" s="431">
        <v>8580</v>
      </c>
      <c r="Z129" s="431">
        <v>957996</v>
      </c>
      <c r="AA129" s="431">
        <v>0</v>
      </c>
      <c r="AB129" s="431">
        <v>-459</v>
      </c>
      <c r="AC129" s="431">
        <v>677538</v>
      </c>
      <c r="AD129" s="431">
        <v>71356</v>
      </c>
      <c r="AE129" s="431">
        <v>693460</v>
      </c>
      <c r="AF129" s="431">
        <v>2272</v>
      </c>
      <c r="AG129" s="431">
        <v>58564</v>
      </c>
      <c r="AH129" s="431">
        <v>109681</v>
      </c>
      <c r="AI129" s="431">
        <v>40330</v>
      </c>
      <c r="AJ129" s="431">
        <v>0</v>
      </c>
      <c r="AK129" s="431">
        <v>0</v>
      </c>
      <c r="AL129" s="431">
        <v>745944</v>
      </c>
      <c r="AM129" s="431">
        <v>0</v>
      </c>
    </row>
    <row r="130" spans="1:39" s="155" customFormat="1" ht="12" x14ac:dyDescent="0.2">
      <c r="A130" s="168">
        <v>76</v>
      </c>
      <c r="B130" s="178">
        <v>152083</v>
      </c>
      <c r="C130" s="180" t="s">
        <v>1971</v>
      </c>
      <c r="D130" s="438">
        <f t="shared" si="15"/>
        <v>3841825</v>
      </c>
      <c r="E130" s="431">
        <v>1254163</v>
      </c>
      <c r="F130" s="431">
        <v>457931</v>
      </c>
      <c r="G130" s="431">
        <v>102117</v>
      </c>
      <c r="H130" s="431">
        <v>0</v>
      </c>
      <c r="I130" s="431">
        <v>1680107</v>
      </c>
      <c r="J130" s="431">
        <v>0</v>
      </c>
      <c r="K130" s="431">
        <v>853370</v>
      </c>
      <c r="L130" s="431">
        <v>0</v>
      </c>
      <c r="M130" s="431">
        <v>54185</v>
      </c>
      <c r="N130" s="431">
        <v>0</v>
      </c>
      <c r="O130" s="431">
        <v>0</v>
      </c>
      <c r="P130" s="438">
        <f t="shared" si="16"/>
        <v>3563952</v>
      </c>
      <c r="Q130" s="431">
        <v>1883685</v>
      </c>
      <c r="R130" s="431">
        <v>912653</v>
      </c>
      <c r="S130" s="431">
        <v>0</v>
      </c>
      <c r="T130" s="431">
        <v>0</v>
      </c>
      <c r="U130" s="431">
        <v>0</v>
      </c>
      <c r="V130" s="431">
        <v>0</v>
      </c>
      <c r="W130" s="431">
        <v>0</v>
      </c>
      <c r="X130" s="431">
        <v>263361</v>
      </c>
      <c r="Y130" s="431">
        <v>0</v>
      </c>
      <c r="Z130" s="431">
        <v>504253</v>
      </c>
      <c r="AA130" s="431">
        <v>0</v>
      </c>
      <c r="AB130" s="431">
        <v>0</v>
      </c>
      <c r="AC130" s="431">
        <v>764093</v>
      </c>
      <c r="AD130" s="431">
        <v>34130</v>
      </c>
      <c r="AE130" s="431">
        <v>1540929</v>
      </c>
      <c r="AF130" s="431">
        <v>26278</v>
      </c>
      <c r="AG130" s="431">
        <v>173166</v>
      </c>
      <c r="AH130" s="431">
        <v>289361</v>
      </c>
      <c r="AI130" s="431">
        <v>418113</v>
      </c>
      <c r="AJ130" s="431">
        <v>38238</v>
      </c>
      <c r="AK130" s="431">
        <v>0</v>
      </c>
      <c r="AL130" s="431">
        <v>279644</v>
      </c>
      <c r="AM130" s="431">
        <v>0</v>
      </c>
    </row>
    <row r="131" spans="1:39" s="155" customFormat="1" ht="12" x14ac:dyDescent="0.2">
      <c r="A131" s="168">
        <v>77</v>
      </c>
      <c r="B131" s="178">
        <v>152172</v>
      </c>
      <c r="C131" s="180" t="s">
        <v>1972</v>
      </c>
      <c r="D131" s="438">
        <f t="shared" si="15"/>
        <v>5568486</v>
      </c>
      <c r="E131" s="431">
        <v>2102278</v>
      </c>
      <c r="F131" s="431">
        <v>278436</v>
      </c>
      <c r="G131" s="431">
        <v>733831</v>
      </c>
      <c r="H131" s="431">
        <v>0</v>
      </c>
      <c r="I131" s="431">
        <v>2578148</v>
      </c>
      <c r="J131" s="431">
        <v>0</v>
      </c>
      <c r="K131" s="431">
        <v>785660</v>
      </c>
      <c r="L131" s="431">
        <v>0</v>
      </c>
      <c r="M131" s="431">
        <v>102400</v>
      </c>
      <c r="N131" s="431">
        <v>0</v>
      </c>
      <c r="O131" s="431">
        <v>0</v>
      </c>
      <c r="P131" s="438">
        <f t="shared" si="16"/>
        <v>5767204</v>
      </c>
      <c r="Q131" s="431">
        <v>3068680</v>
      </c>
      <c r="R131" s="431">
        <v>1562287</v>
      </c>
      <c r="S131" s="431">
        <v>0</v>
      </c>
      <c r="T131" s="431">
        <v>0</v>
      </c>
      <c r="U131" s="431">
        <v>0</v>
      </c>
      <c r="V131" s="431">
        <v>394</v>
      </c>
      <c r="W131" s="431">
        <v>0</v>
      </c>
      <c r="X131" s="431">
        <v>177558</v>
      </c>
      <c r="Y131" s="431">
        <v>41930</v>
      </c>
      <c r="Z131" s="431">
        <v>916749</v>
      </c>
      <c r="AA131" s="431">
        <v>0</v>
      </c>
      <c r="AB131" s="431">
        <v>-394</v>
      </c>
      <c r="AC131" s="431">
        <v>1105394</v>
      </c>
      <c r="AD131" s="431">
        <v>484266</v>
      </c>
      <c r="AE131" s="431">
        <v>2353489</v>
      </c>
      <c r="AF131" s="431">
        <v>31553</v>
      </c>
      <c r="AG131" s="431">
        <v>262021</v>
      </c>
      <c r="AH131" s="431">
        <v>456635</v>
      </c>
      <c r="AI131" s="431">
        <v>197931</v>
      </c>
      <c r="AJ131" s="431">
        <v>379718</v>
      </c>
      <c r="AK131" s="431">
        <v>0</v>
      </c>
      <c r="AL131" s="431">
        <v>496197</v>
      </c>
      <c r="AM131" s="431">
        <v>0</v>
      </c>
    </row>
    <row r="132" spans="1:39" s="155" customFormat="1" ht="12" x14ac:dyDescent="0.2">
      <c r="A132" s="168">
        <v>78</v>
      </c>
      <c r="B132" s="178">
        <v>153026</v>
      </c>
      <c r="C132" s="180" t="s">
        <v>1973</v>
      </c>
      <c r="D132" s="438">
        <f t="shared" si="15"/>
        <v>3287043</v>
      </c>
      <c r="E132" s="431">
        <v>780077</v>
      </c>
      <c r="F132" s="431">
        <v>204088</v>
      </c>
      <c r="G132" s="431">
        <v>162474</v>
      </c>
      <c r="H132" s="431">
        <v>0</v>
      </c>
      <c r="I132" s="431">
        <v>1328476</v>
      </c>
      <c r="J132" s="431">
        <v>0</v>
      </c>
      <c r="K132" s="431">
        <v>1077700</v>
      </c>
      <c r="L132" s="431">
        <v>0</v>
      </c>
      <c r="M132" s="431">
        <v>100790</v>
      </c>
      <c r="N132" s="431">
        <v>0</v>
      </c>
      <c r="O132" s="431">
        <v>0</v>
      </c>
      <c r="P132" s="438">
        <f t="shared" si="16"/>
        <v>3520160</v>
      </c>
      <c r="Q132" s="431">
        <v>1718773</v>
      </c>
      <c r="R132" s="431">
        <v>963078</v>
      </c>
      <c r="S132" s="431">
        <v>0</v>
      </c>
      <c r="T132" s="431">
        <v>0</v>
      </c>
      <c r="U132" s="431">
        <v>0</v>
      </c>
      <c r="V132" s="431">
        <v>0</v>
      </c>
      <c r="W132" s="431">
        <v>0</v>
      </c>
      <c r="X132" s="431">
        <v>90659</v>
      </c>
      <c r="Y132" s="431">
        <v>50000</v>
      </c>
      <c r="Z132" s="431">
        <v>646128</v>
      </c>
      <c r="AA132" s="431">
        <v>51623</v>
      </c>
      <c r="AB132" s="431">
        <v>-101</v>
      </c>
      <c r="AC132" s="431">
        <v>1069939</v>
      </c>
      <c r="AD132" s="431">
        <v>73650</v>
      </c>
      <c r="AE132" s="431">
        <v>1273168</v>
      </c>
      <c r="AF132" s="431">
        <v>0</v>
      </c>
      <c r="AG132" s="431">
        <v>50000</v>
      </c>
      <c r="AH132" s="431">
        <v>333392</v>
      </c>
      <c r="AI132" s="431">
        <v>343244</v>
      </c>
      <c r="AJ132" s="431">
        <v>116542</v>
      </c>
      <c r="AK132" s="431">
        <v>0</v>
      </c>
      <c r="AL132" s="431">
        <v>249000</v>
      </c>
      <c r="AM132" s="431">
        <v>11225</v>
      </c>
    </row>
    <row r="133" spans="1:39" s="155" customFormat="1" ht="12" x14ac:dyDescent="0.2">
      <c r="A133" s="168">
        <v>79</v>
      </c>
      <c r="B133" s="178">
        <v>153062</v>
      </c>
      <c r="C133" s="180" t="s">
        <v>1974</v>
      </c>
      <c r="D133" s="438">
        <f t="shared" si="15"/>
        <v>6846096</v>
      </c>
      <c r="E133" s="431">
        <v>751434</v>
      </c>
      <c r="F133" s="431">
        <v>144356</v>
      </c>
      <c r="G133" s="431">
        <v>149902</v>
      </c>
      <c r="H133" s="431">
        <v>0</v>
      </c>
      <c r="I133" s="431">
        <v>1439078</v>
      </c>
      <c r="J133" s="431">
        <v>0</v>
      </c>
      <c r="K133" s="431">
        <v>1018150</v>
      </c>
      <c r="L133" s="431">
        <v>0</v>
      </c>
      <c r="M133" s="431">
        <v>3592934</v>
      </c>
      <c r="N133" s="431">
        <v>0</v>
      </c>
      <c r="O133" s="431">
        <v>44500</v>
      </c>
      <c r="P133" s="438">
        <f t="shared" si="16"/>
        <v>6841455</v>
      </c>
      <c r="Q133" s="431">
        <v>1790074</v>
      </c>
      <c r="R133" s="431">
        <v>1171806</v>
      </c>
      <c r="S133" s="431">
        <v>0</v>
      </c>
      <c r="T133" s="431">
        <v>0</v>
      </c>
      <c r="U133" s="431">
        <v>0</v>
      </c>
      <c r="V133" s="431">
        <v>0</v>
      </c>
      <c r="W133" s="431">
        <v>0</v>
      </c>
      <c r="X133" s="431">
        <v>240177</v>
      </c>
      <c r="Y133" s="431">
        <v>0</v>
      </c>
      <c r="Z133" s="431">
        <v>3642363</v>
      </c>
      <c r="AA133" s="431">
        <v>0</v>
      </c>
      <c r="AB133" s="431">
        <v>-2965</v>
      </c>
      <c r="AC133" s="431">
        <v>757790</v>
      </c>
      <c r="AD133" s="431">
        <v>48000</v>
      </c>
      <c r="AE133" s="431">
        <v>1275673</v>
      </c>
      <c r="AF133" s="431">
        <v>0</v>
      </c>
      <c r="AG133" s="431">
        <v>14544</v>
      </c>
      <c r="AH133" s="431">
        <v>358983</v>
      </c>
      <c r="AI133" s="431">
        <v>286130</v>
      </c>
      <c r="AJ133" s="431">
        <v>316781</v>
      </c>
      <c r="AK133" s="431">
        <v>0</v>
      </c>
      <c r="AL133" s="431">
        <v>3515555</v>
      </c>
      <c r="AM133" s="431">
        <v>267999</v>
      </c>
    </row>
    <row r="134" spans="1:39" s="155" customFormat="1" ht="12" x14ac:dyDescent="0.2">
      <c r="A134" s="168">
        <v>80</v>
      </c>
      <c r="B134" s="178">
        <v>153295</v>
      </c>
      <c r="C134" s="180" t="s">
        <v>1345</v>
      </c>
      <c r="D134" s="438">
        <f t="shared" si="15"/>
        <v>3103948</v>
      </c>
      <c r="E134" s="431">
        <v>764357</v>
      </c>
      <c r="F134" s="431">
        <v>146646</v>
      </c>
      <c r="G134" s="431">
        <v>147000</v>
      </c>
      <c r="H134" s="431">
        <v>0</v>
      </c>
      <c r="I134" s="431">
        <v>938445</v>
      </c>
      <c r="J134" s="431">
        <v>0</v>
      </c>
      <c r="K134" s="431">
        <v>944900</v>
      </c>
      <c r="L134" s="431">
        <v>0</v>
      </c>
      <c r="M134" s="431">
        <v>133505</v>
      </c>
      <c r="N134" s="431">
        <v>322741</v>
      </c>
      <c r="O134" s="431">
        <v>0</v>
      </c>
      <c r="P134" s="438">
        <f t="shared" si="16"/>
        <v>2942649</v>
      </c>
      <c r="Q134" s="431">
        <v>1323876</v>
      </c>
      <c r="R134" s="431">
        <v>480668</v>
      </c>
      <c r="S134" s="431">
        <v>0</v>
      </c>
      <c r="T134" s="431">
        <v>0</v>
      </c>
      <c r="U134" s="431">
        <v>0</v>
      </c>
      <c r="V134" s="431">
        <v>0</v>
      </c>
      <c r="W134" s="431">
        <v>401202</v>
      </c>
      <c r="X134" s="431">
        <v>212013</v>
      </c>
      <c r="Y134" s="431">
        <v>14440</v>
      </c>
      <c r="Z134" s="431">
        <v>517111</v>
      </c>
      <c r="AA134" s="431">
        <v>0</v>
      </c>
      <c r="AB134" s="431">
        <v>-6661</v>
      </c>
      <c r="AC134" s="431">
        <v>733971</v>
      </c>
      <c r="AD134" s="431">
        <v>80493</v>
      </c>
      <c r="AE134" s="431">
        <v>1032661</v>
      </c>
      <c r="AF134" s="431">
        <v>0</v>
      </c>
      <c r="AG134" s="431">
        <v>164688</v>
      </c>
      <c r="AH134" s="431">
        <v>204132</v>
      </c>
      <c r="AI134" s="431">
        <v>118170</v>
      </c>
      <c r="AJ134" s="431">
        <v>555261</v>
      </c>
      <c r="AK134" s="431">
        <v>0</v>
      </c>
      <c r="AL134" s="431">
        <v>53273</v>
      </c>
      <c r="AM134" s="431">
        <v>0</v>
      </c>
    </row>
    <row r="135" spans="1:39" s="155" customFormat="1" ht="12" x14ac:dyDescent="0.2">
      <c r="A135" s="168">
        <v>81</v>
      </c>
      <c r="B135" s="178">
        <v>153473</v>
      </c>
      <c r="C135" s="180" t="s">
        <v>1975</v>
      </c>
      <c r="D135" s="438">
        <f t="shared" si="15"/>
        <v>4705627</v>
      </c>
      <c r="E135" s="431">
        <v>813141</v>
      </c>
      <c r="F135" s="431">
        <v>243493</v>
      </c>
      <c r="G135" s="431">
        <v>125724</v>
      </c>
      <c r="H135" s="431">
        <v>0</v>
      </c>
      <c r="I135" s="431">
        <v>2935291</v>
      </c>
      <c r="J135" s="431">
        <v>0</v>
      </c>
      <c r="K135" s="431">
        <v>932940</v>
      </c>
      <c r="L135" s="431">
        <v>0</v>
      </c>
      <c r="M135" s="431">
        <v>24255</v>
      </c>
      <c r="N135" s="431">
        <v>0</v>
      </c>
      <c r="O135" s="431">
        <v>0</v>
      </c>
      <c r="P135" s="438">
        <f t="shared" si="16"/>
        <v>4701233</v>
      </c>
      <c r="Q135" s="431">
        <v>3113559</v>
      </c>
      <c r="R135" s="431">
        <v>1010730</v>
      </c>
      <c r="S135" s="431">
        <v>18534</v>
      </c>
      <c r="T135" s="431">
        <v>0</v>
      </c>
      <c r="U135" s="431">
        <v>0</v>
      </c>
      <c r="V135" s="431">
        <v>0</v>
      </c>
      <c r="W135" s="431">
        <v>0</v>
      </c>
      <c r="X135" s="431">
        <v>199894</v>
      </c>
      <c r="Y135" s="431">
        <v>198211</v>
      </c>
      <c r="Z135" s="431">
        <v>107055</v>
      </c>
      <c r="AA135" s="431">
        <v>53250</v>
      </c>
      <c r="AB135" s="431">
        <v>0</v>
      </c>
      <c r="AC135" s="431">
        <v>1078090</v>
      </c>
      <c r="AD135" s="431">
        <v>68844</v>
      </c>
      <c r="AE135" s="431">
        <v>2618844</v>
      </c>
      <c r="AF135" s="431">
        <v>3726</v>
      </c>
      <c r="AG135" s="431">
        <v>213529</v>
      </c>
      <c r="AH135" s="431">
        <v>363876</v>
      </c>
      <c r="AI135" s="431">
        <v>164135</v>
      </c>
      <c r="AJ135" s="431">
        <v>90639</v>
      </c>
      <c r="AK135" s="431">
        <v>0</v>
      </c>
      <c r="AL135" s="431">
        <v>99550</v>
      </c>
      <c r="AM135" s="431">
        <v>0</v>
      </c>
    </row>
    <row r="136" spans="1:39" s="155" customFormat="1" ht="12" x14ac:dyDescent="0.2">
      <c r="A136" s="168">
        <v>82</v>
      </c>
      <c r="B136" s="178">
        <v>153696</v>
      </c>
      <c r="C136" s="180" t="s">
        <v>1976</v>
      </c>
      <c r="D136" s="438">
        <f t="shared" si="15"/>
        <v>5184544</v>
      </c>
      <c r="E136" s="431">
        <v>3040315</v>
      </c>
      <c r="F136" s="431">
        <v>2448641</v>
      </c>
      <c r="G136" s="431">
        <v>35773</v>
      </c>
      <c r="H136" s="431">
        <v>0</v>
      </c>
      <c r="I136" s="431">
        <v>1974688</v>
      </c>
      <c r="J136" s="431">
        <v>0</v>
      </c>
      <c r="K136" s="431">
        <v>109670</v>
      </c>
      <c r="L136" s="431">
        <v>0</v>
      </c>
      <c r="M136" s="431">
        <v>7288</v>
      </c>
      <c r="N136" s="431">
        <v>0</v>
      </c>
      <c r="O136" s="431">
        <v>52583</v>
      </c>
      <c r="P136" s="438">
        <f t="shared" si="16"/>
        <v>3701542</v>
      </c>
      <c r="Q136" s="431">
        <v>2342727</v>
      </c>
      <c r="R136" s="431">
        <v>858491</v>
      </c>
      <c r="S136" s="431">
        <v>0</v>
      </c>
      <c r="T136" s="431">
        <v>0</v>
      </c>
      <c r="U136" s="431">
        <v>0</v>
      </c>
      <c r="V136" s="431">
        <v>0</v>
      </c>
      <c r="W136" s="431">
        <v>0</v>
      </c>
      <c r="X136" s="431">
        <v>105713</v>
      </c>
      <c r="Y136" s="431">
        <v>8000</v>
      </c>
      <c r="Z136" s="431">
        <v>386611</v>
      </c>
      <c r="AA136" s="431">
        <v>0</v>
      </c>
      <c r="AB136" s="431">
        <v>0</v>
      </c>
      <c r="AC136" s="431">
        <v>769785</v>
      </c>
      <c r="AD136" s="431">
        <v>38211</v>
      </c>
      <c r="AE136" s="431">
        <v>1896308</v>
      </c>
      <c r="AF136" s="431">
        <v>0</v>
      </c>
      <c r="AG136" s="431">
        <v>42654</v>
      </c>
      <c r="AH136" s="431">
        <v>269919</v>
      </c>
      <c r="AI136" s="431">
        <v>622763</v>
      </c>
      <c r="AJ136" s="431">
        <v>9707</v>
      </c>
      <c r="AK136" s="431">
        <v>0</v>
      </c>
      <c r="AL136" s="431">
        <v>52195</v>
      </c>
      <c r="AM136" s="431">
        <v>0</v>
      </c>
    </row>
    <row r="137" spans="1:39" s="155" customFormat="1" ht="12" x14ac:dyDescent="0.2">
      <c r="A137" s="168">
        <v>83</v>
      </c>
      <c r="B137" s="178">
        <v>154068</v>
      </c>
      <c r="C137" s="180" t="s">
        <v>1977</v>
      </c>
      <c r="D137" s="438">
        <f t="shared" si="15"/>
        <v>2837525</v>
      </c>
      <c r="E137" s="431">
        <v>854128</v>
      </c>
      <c r="F137" s="431">
        <v>251002</v>
      </c>
      <c r="G137" s="431">
        <v>142165</v>
      </c>
      <c r="H137" s="431">
        <v>0</v>
      </c>
      <c r="I137" s="431">
        <v>1111641</v>
      </c>
      <c r="J137" s="431">
        <v>0</v>
      </c>
      <c r="K137" s="431">
        <v>865500</v>
      </c>
      <c r="L137" s="431">
        <v>0</v>
      </c>
      <c r="M137" s="431">
        <v>6256</v>
      </c>
      <c r="N137" s="431">
        <v>0</v>
      </c>
      <c r="O137" s="431">
        <v>0</v>
      </c>
      <c r="P137" s="438">
        <f t="shared" si="16"/>
        <v>2886050</v>
      </c>
      <c r="Q137" s="431">
        <v>1403797</v>
      </c>
      <c r="R137" s="431">
        <v>1061380</v>
      </c>
      <c r="S137" s="431">
        <v>0</v>
      </c>
      <c r="T137" s="431">
        <v>0</v>
      </c>
      <c r="U137" s="431">
        <v>0</v>
      </c>
      <c r="V137" s="431">
        <v>3062</v>
      </c>
      <c r="W137" s="431">
        <v>0</v>
      </c>
      <c r="X137" s="431">
        <v>272397</v>
      </c>
      <c r="Y137" s="431">
        <v>0</v>
      </c>
      <c r="Z137" s="431">
        <v>148476</v>
      </c>
      <c r="AA137" s="431">
        <v>0</v>
      </c>
      <c r="AB137" s="431">
        <v>-3062</v>
      </c>
      <c r="AC137" s="431">
        <v>1242485</v>
      </c>
      <c r="AD137" s="431">
        <v>10017</v>
      </c>
      <c r="AE137" s="431">
        <v>948805</v>
      </c>
      <c r="AF137" s="431">
        <v>89188</v>
      </c>
      <c r="AG137" s="431">
        <v>16736</v>
      </c>
      <c r="AH137" s="431">
        <v>272397</v>
      </c>
      <c r="AI137" s="431">
        <v>116338</v>
      </c>
      <c r="AJ137" s="431">
        <v>28888</v>
      </c>
      <c r="AK137" s="431">
        <v>0</v>
      </c>
      <c r="AL137" s="431">
        <v>161196</v>
      </c>
      <c r="AM137" s="431">
        <v>0</v>
      </c>
    </row>
    <row r="138" spans="1:39" s="155" customFormat="1" ht="12" x14ac:dyDescent="0.2">
      <c r="A138" s="168">
        <v>84</v>
      </c>
      <c r="B138" s="178">
        <v>154228</v>
      </c>
      <c r="C138" s="180" t="s">
        <v>1978</v>
      </c>
      <c r="D138" s="438">
        <f t="shared" si="15"/>
        <v>3296546</v>
      </c>
      <c r="E138" s="431">
        <v>954024</v>
      </c>
      <c r="F138" s="431">
        <v>322669</v>
      </c>
      <c r="G138" s="431">
        <v>118954</v>
      </c>
      <c r="H138" s="431">
        <v>0</v>
      </c>
      <c r="I138" s="431">
        <v>1047311</v>
      </c>
      <c r="J138" s="431">
        <v>0</v>
      </c>
      <c r="K138" s="431">
        <v>1213890</v>
      </c>
      <c r="L138" s="431">
        <v>0</v>
      </c>
      <c r="M138" s="431">
        <v>76421</v>
      </c>
      <c r="N138" s="431">
        <v>0</v>
      </c>
      <c r="O138" s="431">
        <v>4900</v>
      </c>
      <c r="P138" s="438">
        <f t="shared" si="16"/>
        <v>2966122</v>
      </c>
      <c r="Q138" s="431">
        <v>1388648</v>
      </c>
      <c r="R138" s="431">
        <v>917920</v>
      </c>
      <c r="S138" s="431">
        <v>0</v>
      </c>
      <c r="T138" s="431">
        <v>0</v>
      </c>
      <c r="U138" s="431">
        <v>0</v>
      </c>
      <c r="V138" s="431">
        <v>40000</v>
      </c>
      <c r="W138" s="431">
        <v>0</v>
      </c>
      <c r="X138" s="431">
        <v>236996</v>
      </c>
      <c r="Y138" s="431">
        <v>12904</v>
      </c>
      <c r="Z138" s="431">
        <v>382166</v>
      </c>
      <c r="AA138" s="431">
        <v>0</v>
      </c>
      <c r="AB138" s="431">
        <v>-12512</v>
      </c>
      <c r="AC138" s="431">
        <v>1028031</v>
      </c>
      <c r="AD138" s="431">
        <v>0</v>
      </c>
      <c r="AE138" s="431">
        <v>1022377</v>
      </c>
      <c r="AF138" s="431">
        <v>0</v>
      </c>
      <c r="AG138" s="431">
        <v>178402</v>
      </c>
      <c r="AH138" s="431">
        <v>236996</v>
      </c>
      <c r="AI138" s="431">
        <v>270302</v>
      </c>
      <c r="AJ138" s="431">
        <v>62511</v>
      </c>
      <c r="AK138" s="431">
        <v>0</v>
      </c>
      <c r="AL138" s="431">
        <v>167503</v>
      </c>
      <c r="AM138" s="431">
        <v>0</v>
      </c>
    </row>
    <row r="139" spans="1:39" s="155" customFormat="1" ht="12" x14ac:dyDescent="0.2">
      <c r="A139" s="168">
        <v>85</v>
      </c>
      <c r="B139" s="178">
        <v>152582</v>
      </c>
      <c r="C139" s="180" t="s">
        <v>1979</v>
      </c>
      <c r="D139" s="438">
        <f t="shared" si="15"/>
        <v>3259629</v>
      </c>
      <c r="E139" s="431">
        <v>1146421</v>
      </c>
      <c r="F139" s="431">
        <v>474239</v>
      </c>
      <c r="G139" s="431">
        <v>271525</v>
      </c>
      <c r="H139" s="431">
        <v>0</v>
      </c>
      <c r="I139" s="431">
        <v>1728968</v>
      </c>
      <c r="J139" s="431">
        <v>0</v>
      </c>
      <c r="K139" s="431">
        <v>262390</v>
      </c>
      <c r="L139" s="431">
        <v>0</v>
      </c>
      <c r="M139" s="431">
        <v>75650</v>
      </c>
      <c r="N139" s="431">
        <v>0</v>
      </c>
      <c r="O139" s="431">
        <v>46200</v>
      </c>
      <c r="P139" s="438">
        <f t="shared" si="16"/>
        <v>3259629</v>
      </c>
      <c r="Q139" s="431">
        <v>1406483</v>
      </c>
      <c r="R139" s="431">
        <v>1705232</v>
      </c>
      <c r="S139" s="431">
        <v>0</v>
      </c>
      <c r="T139" s="431">
        <v>0</v>
      </c>
      <c r="U139" s="431">
        <v>0</v>
      </c>
      <c r="V139" s="431">
        <v>0</v>
      </c>
      <c r="W139" s="431">
        <v>0</v>
      </c>
      <c r="X139" s="431">
        <v>133288</v>
      </c>
      <c r="Y139" s="431">
        <v>0</v>
      </c>
      <c r="Z139" s="431">
        <v>14622</v>
      </c>
      <c r="AA139" s="431">
        <v>4</v>
      </c>
      <c r="AB139" s="431">
        <v>0</v>
      </c>
      <c r="AC139" s="431">
        <v>744598</v>
      </c>
      <c r="AD139" s="431">
        <v>33500</v>
      </c>
      <c r="AE139" s="431">
        <v>1202053</v>
      </c>
      <c r="AF139" s="431">
        <v>0</v>
      </c>
      <c r="AG139" s="431">
        <v>39700</v>
      </c>
      <c r="AH139" s="431">
        <v>374322</v>
      </c>
      <c r="AI139" s="431">
        <v>699836</v>
      </c>
      <c r="AJ139" s="431">
        <v>0</v>
      </c>
      <c r="AK139" s="431">
        <v>0</v>
      </c>
      <c r="AL139" s="431">
        <v>164320</v>
      </c>
      <c r="AM139" s="431">
        <v>1300</v>
      </c>
    </row>
    <row r="140" spans="1:39" s="155" customFormat="1" ht="12" x14ac:dyDescent="0.2">
      <c r="A140" s="168">
        <v>86</v>
      </c>
      <c r="B140" s="178">
        <v>154308</v>
      </c>
      <c r="C140" s="180" t="s">
        <v>1980</v>
      </c>
      <c r="D140" s="438">
        <f t="shared" si="15"/>
        <v>3069016</v>
      </c>
      <c r="E140" s="431">
        <v>620801</v>
      </c>
      <c r="F140" s="431">
        <v>80738</v>
      </c>
      <c r="G140" s="431">
        <v>179882</v>
      </c>
      <c r="H140" s="431">
        <v>0</v>
      </c>
      <c r="I140" s="431">
        <v>1026017</v>
      </c>
      <c r="J140" s="431">
        <v>0</v>
      </c>
      <c r="K140" s="431">
        <v>1070420</v>
      </c>
      <c r="L140" s="431">
        <v>0</v>
      </c>
      <c r="M140" s="431">
        <v>92187</v>
      </c>
      <c r="N140" s="431">
        <v>259591</v>
      </c>
      <c r="O140" s="431">
        <v>0</v>
      </c>
      <c r="P140" s="438">
        <f t="shared" si="16"/>
        <v>2870945</v>
      </c>
      <c r="Q140" s="431">
        <v>1266735</v>
      </c>
      <c r="R140" s="431">
        <v>759514</v>
      </c>
      <c r="S140" s="431">
        <v>2119</v>
      </c>
      <c r="T140" s="431">
        <v>0</v>
      </c>
      <c r="U140" s="431">
        <v>0</v>
      </c>
      <c r="V140" s="431">
        <v>0</v>
      </c>
      <c r="W140" s="431">
        <v>390802</v>
      </c>
      <c r="X140" s="431">
        <v>153649</v>
      </c>
      <c r="Y140" s="431">
        <v>0</v>
      </c>
      <c r="Z140" s="431">
        <v>298126</v>
      </c>
      <c r="AA140" s="431">
        <v>0</v>
      </c>
      <c r="AB140" s="431">
        <v>0</v>
      </c>
      <c r="AC140" s="431">
        <v>848603</v>
      </c>
      <c r="AD140" s="431">
        <v>88617</v>
      </c>
      <c r="AE140" s="431">
        <v>926139</v>
      </c>
      <c r="AF140" s="431">
        <v>0</v>
      </c>
      <c r="AG140" s="431">
        <v>414937</v>
      </c>
      <c r="AH140" s="431">
        <v>153649</v>
      </c>
      <c r="AI140" s="431">
        <v>185580</v>
      </c>
      <c r="AJ140" s="431">
        <v>58171</v>
      </c>
      <c r="AK140" s="431">
        <v>0</v>
      </c>
      <c r="AL140" s="431">
        <v>148010</v>
      </c>
      <c r="AM140" s="431">
        <v>47239</v>
      </c>
    </row>
    <row r="141" spans="1:39" s="155" customFormat="1" ht="12" x14ac:dyDescent="0.2">
      <c r="A141" s="168">
        <v>87</v>
      </c>
      <c r="B141" s="178">
        <v>154521</v>
      </c>
      <c r="C141" s="180" t="s">
        <v>1981</v>
      </c>
      <c r="D141" s="438">
        <f t="shared" si="15"/>
        <v>3368614</v>
      </c>
      <c r="E141" s="431">
        <v>923753</v>
      </c>
      <c r="F141" s="431">
        <v>294208</v>
      </c>
      <c r="G141" s="431">
        <v>81237</v>
      </c>
      <c r="H141" s="431">
        <v>0</v>
      </c>
      <c r="I141" s="431">
        <v>1380448</v>
      </c>
      <c r="J141" s="431">
        <v>0</v>
      </c>
      <c r="K141" s="431">
        <v>618490</v>
      </c>
      <c r="L141" s="431">
        <v>0</v>
      </c>
      <c r="M141" s="431">
        <v>13276</v>
      </c>
      <c r="N141" s="431">
        <v>0</v>
      </c>
      <c r="O141" s="431">
        <v>432647</v>
      </c>
      <c r="P141" s="438">
        <f t="shared" si="16"/>
        <v>3395103</v>
      </c>
      <c r="Q141" s="431">
        <v>2082596</v>
      </c>
      <c r="R141" s="431">
        <v>804563</v>
      </c>
      <c r="S141" s="431">
        <v>40947</v>
      </c>
      <c r="T141" s="431">
        <v>0</v>
      </c>
      <c r="U141" s="431">
        <v>298000</v>
      </c>
      <c r="V141" s="431">
        <v>0</v>
      </c>
      <c r="W141" s="431">
        <v>0</v>
      </c>
      <c r="X141" s="431">
        <v>119369</v>
      </c>
      <c r="Y141" s="431">
        <v>0</v>
      </c>
      <c r="Z141" s="431">
        <v>13536</v>
      </c>
      <c r="AA141" s="431">
        <v>40000</v>
      </c>
      <c r="AB141" s="431">
        <v>-3908</v>
      </c>
      <c r="AC141" s="431">
        <v>963029</v>
      </c>
      <c r="AD141" s="431">
        <v>1979</v>
      </c>
      <c r="AE141" s="431">
        <v>1017447</v>
      </c>
      <c r="AF141" s="431">
        <v>0</v>
      </c>
      <c r="AG141" s="431">
        <v>92056</v>
      </c>
      <c r="AH141" s="431">
        <v>1171460</v>
      </c>
      <c r="AI141" s="431">
        <v>49015</v>
      </c>
      <c r="AJ141" s="431">
        <v>0</v>
      </c>
      <c r="AK141" s="431">
        <v>0</v>
      </c>
      <c r="AL141" s="431">
        <v>100117</v>
      </c>
      <c r="AM141" s="431">
        <v>0</v>
      </c>
    </row>
    <row r="142" spans="1:39" s="155" customFormat="1" ht="12" x14ac:dyDescent="0.2">
      <c r="A142" s="168">
        <v>88</v>
      </c>
      <c r="B142" s="178">
        <v>154585</v>
      </c>
      <c r="C142" s="180" t="s">
        <v>1982</v>
      </c>
      <c r="D142" s="438">
        <f t="shared" si="15"/>
        <v>3604262</v>
      </c>
      <c r="E142" s="431">
        <v>1112111</v>
      </c>
      <c r="F142" s="431">
        <v>344218</v>
      </c>
      <c r="G142" s="431">
        <v>187358</v>
      </c>
      <c r="H142" s="431">
        <v>0</v>
      </c>
      <c r="I142" s="431">
        <v>1672797</v>
      </c>
      <c r="J142" s="431">
        <v>0</v>
      </c>
      <c r="K142" s="431">
        <v>783460</v>
      </c>
      <c r="L142" s="431">
        <v>0</v>
      </c>
      <c r="M142" s="431">
        <v>35894</v>
      </c>
      <c r="N142" s="431">
        <v>0</v>
      </c>
      <c r="O142" s="431">
        <v>0</v>
      </c>
      <c r="P142" s="438">
        <f t="shared" si="16"/>
        <v>3561096</v>
      </c>
      <c r="Q142" s="431">
        <v>2202134</v>
      </c>
      <c r="R142" s="431">
        <v>1087019</v>
      </c>
      <c r="S142" s="431">
        <v>0</v>
      </c>
      <c r="T142" s="431">
        <v>0</v>
      </c>
      <c r="U142" s="431">
        <v>0</v>
      </c>
      <c r="V142" s="431">
        <v>0</v>
      </c>
      <c r="W142" s="431">
        <v>0</v>
      </c>
      <c r="X142" s="431">
        <v>271943</v>
      </c>
      <c r="Y142" s="431">
        <v>0</v>
      </c>
      <c r="Z142" s="431">
        <v>0</v>
      </c>
      <c r="AA142" s="431">
        <v>0</v>
      </c>
      <c r="AB142" s="431">
        <v>0</v>
      </c>
      <c r="AC142" s="431">
        <v>1235896</v>
      </c>
      <c r="AD142" s="431">
        <v>0</v>
      </c>
      <c r="AE142" s="431">
        <v>1311099</v>
      </c>
      <c r="AF142" s="431">
        <v>0</v>
      </c>
      <c r="AG142" s="431">
        <v>23599</v>
      </c>
      <c r="AH142" s="431">
        <v>478555</v>
      </c>
      <c r="AI142" s="431">
        <v>303576</v>
      </c>
      <c r="AJ142" s="431">
        <v>98371</v>
      </c>
      <c r="AK142" s="431">
        <v>0</v>
      </c>
      <c r="AL142" s="431">
        <v>110000</v>
      </c>
      <c r="AM142" s="431">
        <v>0</v>
      </c>
    </row>
    <row r="143" spans="1:39" s="155" customFormat="1" ht="12" x14ac:dyDescent="0.2">
      <c r="A143" s="168">
        <v>89</v>
      </c>
      <c r="B143" s="178">
        <v>154754</v>
      </c>
      <c r="C143" s="180" t="s">
        <v>1983</v>
      </c>
      <c r="D143" s="438">
        <f t="shared" si="15"/>
        <v>2994686</v>
      </c>
      <c r="E143" s="431">
        <v>788751</v>
      </c>
      <c r="F143" s="431">
        <v>149209</v>
      </c>
      <c r="G143" s="431">
        <v>151836</v>
      </c>
      <c r="H143" s="431">
        <v>0</v>
      </c>
      <c r="I143" s="431">
        <v>1150932</v>
      </c>
      <c r="J143" s="431">
        <v>0</v>
      </c>
      <c r="K143" s="431">
        <v>1010690</v>
      </c>
      <c r="L143" s="431">
        <v>0</v>
      </c>
      <c r="M143" s="431">
        <v>44313</v>
      </c>
      <c r="N143" s="431">
        <v>0</v>
      </c>
      <c r="O143" s="431">
        <v>0</v>
      </c>
      <c r="P143" s="438">
        <f t="shared" si="16"/>
        <v>3126322</v>
      </c>
      <c r="Q143" s="431">
        <v>1494212</v>
      </c>
      <c r="R143" s="431">
        <v>742935</v>
      </c>
      <c r="S143" s="431">
        <v>0</v>
      </c>
      <c r="T143" s="431">
        <v>0</v>
      </c>
      <c r="U143" s="431">
        <v>0</v>
      </c>
      <c r="V143" s="431">
        <v>0</v>
      </c>
      <c r="W143" s="431">
        <v>0</v>
      </c>
      <c r="X143" s="431">
        <v>271156</v>
      </c>
      <c r="Y143" s="431">
        <v>149989</v>
      </c>
      <c r="Z143" s="431">
        <v>468201</v>
      </c>
      <c r="AA143" s="431">
        <v>0</v>
      </c>
      <c r="AB143" s="431">
        <v>-171</v>
      </c>
      <c r="AC143" s="431">
        <v>1246025</v>
      </c>
      <c r="AD143" s="431">
        <v>43052</v>
      </c>
      <c r="AE143" s="431">
        <v>859867</v>
      </c>
      <c r="AF143" s="431">
        <v>86430</v>
      </c>
      <c r="AG143" s="431">
        <v>149989</v>
      </c>
      <c r="AH143" s="431">
        <v>406123</v>
      </c>
      <c r="AI143" s="431">
        <v>122547</v>
      </c>
      <c r="AJ143" s="431">
        <v>52716</v>
      </c>
      <c r="AK143" s="431">
        <v>0</v>
      </c>
      <c r="AL143" s="431">
        <v>159573</v>
      </c>
      <c r="AM143" s="431">
        <v>0</v>
      </c>
    </row>
    <row r="144" spans="1:39" s="155" customFormat="1" ht="11.25" x14ac:dyDescent="0.2">
      <c r="A144" s="168">
        <v>90</v>
      </c>
      <c r="B144" s="178">
        <v>154665</v>
      </c>
      <c r="C144" s="180" t="s">
        <v>1984</v>
      </c>
      <c r="D144" s="269">
        <f t="shared" si="15"/>
        <v>3818179</v>
      </c>
      <c r="E144" s="270">
        <v>732039</v>
      </c>
      <c r="F144" s="270">
        <v>169281</v>
      </c>
      <c r="G144" s="270">
        <v>180848</v>
      </c>
      <c r="H144" s="270">
        <v>0</v>
      </c>
      <c r="I144" s="270">
        <v>1587625</v>
      </c>
      <c r="J144" s="270">
        <v>0</v>
      </c>
      <c r="K144" s="270">
        <v>1152840</v>
      </c>
      <c r="L144" s="270">
        <v>0</v>
      </c>
      <c r="M144" s="270">
        <v>120420</v>
      </c>
      <c r="N144" s="270">
        <v>225255</v>
      </c>
      <c r="O144" s="270">
        <v>0</v>
      </c>
      <c r="P144" s="271">
        <f t="shared" si="16"/>
        <v>3373265</v>
      </c>
      <c r="Q144" s="270">
        <v>1746442</v>
      </c>
      <c r="R144" s="270">
        <v>872356</v>
      </c>
      <c r="S144" s="270">
        <v>2035</v>
      </c>
      <c r="T144" s="270">
        <v>0</v>
      </c>
      <c r="U144" s="270">
        <v>0</v>
      </c>
      <c r="V144" s="270">
        <v>0</v>
      </c>
      <c r="W144" s="270">
        <v>294620</v>
      </c>
      <c r="X144" s="270">
        <v>257208</v>
      </c>
      <c r="Y144" s="270">
        <v>13988</v>
      </c>
      <c r="Z144" s="270">
        <v>186616</v>
      </c>
      <c r="AA144" s="270">
        <v>0</v>
      </c>
      <c r="AB144" s="270">
        <v>0</v>
      </c>
      <c r="AC144" s="270">
        <v>650757</v>
      </c>
      <c r="AD144" s="270">
        <v>63776</v>
      </c>
      <c r="AE144" s="270">
        <v>1274324</v>
      </c>
      <c r="AF144" s="270">
        <v>0</v>
      </c>
      <c r="AG144" s="270">
        <v>16947</v>
      </c>
      <c r="AH144" s="270">
        <v>458487</v>
      </c>
      <c r="AI144" s="270">
        <v>325073</v>
      </c>
      <c r="AJ144" s="270">
        <v>453904</v>
      </c>
      <c r="AK144" s="270">
        <v>0</v>
      </c>
      <c r="AL144" s="270">
        <v>129997</v>
      </c>
      <c r="AM144" s="270">
        <v>0</v>
      </c>
    </row>
    <row r="145" spans="1:39" s="155" customFormat="1" ht="11.25" x14ac:dyDescent="0.2">
      <c r="A145" s="168">
        <v>91</v>
      </c>
      <c r="B145" s="178">
        <v>153384</v>
      </c>
      <c r="C145" s="180" t="s">
        <v>1985</v>
      </c>
      <c r="D145" s="176">
        <f t="shared" si="15"/>
        <v>2497658</v>
      </c>
      <c r="E145" s="167">
        <v>581159</v>
      </c>
      <c r="F145" s="167">
        <v>75798</v>
      </c>
      <c r="G145" s="167">
        <v>178914</v>
      </c>
      <c r="H145" s="167">
        <v>0</v>
      </c>
      <c r="I145" s="167">
        <v>791387</v>
      </c>
      <c r="J145" s="167">
        <v>0</v>
      </c>
      <c r="K145" s="167">
        <v>1022160</v>
      </c>
      <c r="L145" s="167">
        <v>0</v>
      </c>
      <c r="M145" s="167">
        <v>102952</v>
      </c>
      <c r="N145" s="167">
        <v>0</v>
      </c>
      <c r="O145" s="167">
        <v>0</v>
      </c>
      <c r="P145" s="174">
        <f t="shared" si="16"/>
        <v>2492851</v>
      </c>
      <c r="Q145" s="167">
        <v>1262195</v>
      </c>
      <c r="R145" s="167">
        <v>568772</v>
      </c>
      <c r="S145" s="167">
        <v>1139</v>
      </c>
      <c r="T145" s="167">
        <v>0</v>
      </c>
      <c r="U145" s="167">
        <v>0</v>
      </c>
      <c r="V145" s="167">
        <v>0</v>
      </c>
      <c r="W145" s="167">
        <v>0</v>
      </c>
      <c r="X145" s="167">
        <v>141392</v>
      </c>
      <c r="Y145" s="167">
        <v>0</v>
      </c>
      <c r="Z145" s="167">
        <v>519353</v>
      </c>
      <c r="AA145" s="167">
        <v>0</v>
      </c>
      <c r="AB145" s="167">
        <v>0</v>
      </c>
      <c r="AC145" s="167">
        <v>1120985</v>
      </c>
      <c r="AD145" s="167">
        <v>710</v>
      </c>
      <c r="AE145" s="167">
        <v>786348</v>
      </c>
      <c r="AF145" s="167">
        <v>0</v>
      </c>
      <c r="AG145" s="167">
        <v>94608</v>
      </c>
      <c r="AH145" s="167">
        <v>141392</v>
      </c>
      <c r="AI145" s="167">
        <v>50900</v>
      </c>
      <c r="AJ145" s="167">
        <v>43357</v>
      </c>
      <c r="AK145" s="167">
        <v>0</v>
      </c>
      <c r="AL145" s="167">
        <v>185657</v>
      </c>
      <c r="AM145" s="167">
        <v>68894</v>
      </c>
    </row>
    <row r="146" spans="1:39" s="155" customFormat="1" ht="11.25" x14ac:dyDescent="0.2">
      <c r="A146" s="168">
        <v>92</v>
      </c>
      <c r="B146" s="178">
        <v>155136</v>
      </c>
      <c r="C146" s="180" t="s">
        <v>1986</v>
      </c>
      <c r="D146" s="176">
        <f t="shared" si="15"/>
        <v>2453148</v>
      </c>
      <c r="E146" s="167">
        <v>498630</v>
      </c>
      <c r="F146" s="167">
        <v>67023</v>
      </c>
      <c r="G146" s="167">
        <v>208895</v>
      </c>
      <c r="H146" s="167">
        <v>0</v>
      </c>
      <c r="I146" s="167">
        <v>756747</v>
      </c>
      <c r="J146" s="167">
        <v>0</v>
      </c>
      <c r="K146" s="167">
        <v>1183530</v>
      </c>
      <c r="L146" s="167">
        <v>0</v>
      </c>
      <c r="M146" s="167">
        <v>14241</v>
      </c>
      <c r="N146" s="167">
        <v>0</v>
      </c>
      <c r="O146" s="167">
        <v>0</v>
      </c>
      <c r="P146" s="174">
        <f t="shared" si="16"/>
        <v>2197029</v>
      </c>
      <c r="Q146" s="167">
        <v>1133107</v>
      </c>
      <c r="R146" s="167">
        <v>534708</v>
      </c>
      <c r="S146" s="167">
        <v>0</v>
      </c>
      <c r="T146" s="167">
        <v>0</v>
      </c>
      <c r="U146" s="167">
        <v>0</v>
      </c>
      <c r="V146" s="167">
        <v>0</v>
      </c>
      <c r="W146" s="167">
        <v>0</v>
      </c>
      <c r="X146" s="167">
        <v>83515</v>
      </c>
      <c r="Y146" s="167">
        <v>12974</v>
      </c>
      <c r="Z146" s="167">
        <v>432725</v>
      </c>
      <c r="AA146" s="167">
        <v>0</v>
      </c>
      <c r="AB146" s="167">
        <v>0</v>
      </c>
      <c r="AC146" s="167">
        <v>808401</v>
      </c>
      <c r="AD146" s="167">
        <v>0</v>
      </c>
      <c r="AE146" s="167">
        <v>654747</v>
      </c>
      <c r="AF146" s="167">
        <v>0</v>
      </c>
      <c r="AG146" s="167">
        <v>142974</v>
      </c>
      <c r="AH146" s="167">
        <v>135337</v>
      </c>
      <c r="AI146" s="167">
        <v>38823</v>
      </c>
      <c r="AJ146" s="167">
        <v>144022</v>
      </c>
      <c r="AK146" s="167">
        <v>0</v>
      </c>
      <c r="AL146" s="167">
        <v>272725</v>
      </c>
      <c r="AM146" s="167">
        <v>0</v>
      </c>
    </row>
    <row r="147" spans="1:39" s="155" customFormat="1" ht="11.25" x14ac:dyDescent="0.2"/>
    <row r="148" spans="1:39" s="155" customFormat="1" ht="11.25" x14ac:dyDescent="0.2"/>
    <row r="149" spans="1:39" s="155" customFormat="1" ht="11.25" x14ac:dyDescent="0.2"/>
    <row r="150" spans="1:39" s="155" customFormat="1" ht="11.25" x14ac:dyDescent="0.2"/>
    <row r="151" spans="1:39" s="155" customFormat="1" ht="11.25" x14ac:dyDescent="0.2"/>
    <row r="152" spans="1:39" s="155" customFormat="1" ht="11.25" x14ac:dyDescent="0.2"/>
    <row r="153" spans="1:39" s="155" customFormat="1" ht="11.25" x14ac:dyDescent="0.2"/>
    <row r="154" spans="1:39" s="155" customFormat="1" ht="11.25" x14ac:dyDescent="0.2"/>
    <row r="155" spans="1:39" s="155" customFormat="1" ht="11.25" x14ac:dyDescent="0.2"/>
    <row r="156" spans="1:39" s="155" customFormat="1" ht="11.25" x14ac:dyDescent="0.2"/>
    <row r="157" spans="1:39" s="155" customFormat="1" ht="11.25" x14ac:dyDescent="0.2"/>
    <row r="158" spans="1:39" s="155" customFormat="1" ht="11.25" x14ac:dyDescent="0.2"/>
    <row r="159" spans="1:39" s="155" customFormat="1" ht="11.25" x14ac:dyDescent="0.2"/>
    <row r="160" spans="1:39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O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41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41" s="55" customFormat="1" ht="15.75" x14ac:dyDescent="0.25">
      <c r="A2" s="53"/>
      <c r="B2" s="54" t="s">
        <v>708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41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41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41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41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41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41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41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41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41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41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41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41" s="155" customFormat="1" ht="13.5" customHeight="1" x14ac:dyDescent="0.2">
      <c r="A14" s="153" t="s">
        <v>70</v>
      </c>
      <c r="B14" s="154"/>
      <c r="C14" s="202"/>
      <c r="D14" s="432">
        <f>E14+SUM(H14:O14)</f>
        <v>2234984333</v>
      </c>
      <c r="E14" s="432">
        <f>SUM(E15,E16,E33,E54)</f>
        <v>1161020162</v>
      </c>
      <c r="F14" s="432">
        <f t="shared" ref="F14:O14" si="0">SUM(F15,F16,F33,F54)</f>
        <v>564290910</v>
      </c>
      <c r="G14" s="432">
        <f t="shared" si="0"/>
        <v>196979603</v>
      </c>
      <c r="H14" s="432">
        <f t="shared" si="0"/>
        <v>99777846</v>
      </c>
      <c r="I14" s="432">
        <f t="shared" si="0"/>
        <v>430716014</v>
      </c>
      <c r="J14" s="432">
        <f t="shared" si="0"/>
        <v>19001244</v>
      </c>
      <c r="K14" s="432">
        <f t="shared" si="0"/>
        <v>87248497</v>
      </c>
      <c r="L14" s="432">
        <f t="shared" si="0"/>
        <v>0</v>
      </c>
      <c r="M14" s="432">
        <f t="shared" si="0"/>
        <v>278318312</v>
      </c>
      <c r="N14" s="432">
        <f t="shared" si="0"/>
        <v>155550729</v>
      </c>
      <c r="O14" s="432">
        <f t="shared" si="0"/>
        <v>3351529</v>
      </c>
      <c r="P14" s="432">
        <f>IF(SUM(Q14:AB14)=SUM(AC14:AM14),SUM(Q14:AB14),"  EROARE ART/CAP")</f>
        <v>2128345535</v>
      </c>
      <c r="Q14" s="432">
        <f t="shared" ref="Q14:AM14" si="1">Q15+Q16+Q33+Q54</f>
        <v>599733615</v>
      </c>
      <c r="R14" s="432">
        <f t="shared" si="1"/>
        <v>559418486</v>
      </c>
      <c r="S14" s="432">
        <f t="shared" si="1"/>
        <v>18612691</v>
      </c>
      <c r="T14" s="432">
        <f t="shared" si="1"/>
        <v>119420688</v>
      </c>
      <c r="U14" s="432">
        <f t="shared" si="1"/>
        <v>126913211</v>
      </c>
      <c r="V14" s="432">
        <f t="shared" si="1"/>
        <v>3155840</v>
      </c>
      <c r="W14" s="432">
        <f t="shared" si="1"/>
        <v>217269891</v>
      </c>
      <c r="X14" s="432">
        <f t="shared" si="1"/>
        <v>60733932</v>
      </c>
      <c r="Y14" s="432">
        <f t="shared" si="1"/>
        <v>18698820</v>
      </c>
      <c r="Z14" s="432">
        <f t="shared" si="1"/>
        <v>369972074</v>
      </c>
      <c r="AA14" s="432">
        <f t="shared" si="1"/>
        <v>53991945</v>
      </c>
      <c r="AB14" s="432">
        <f t="shared" si="1"/>
        <v>-19575658</v>
      </c>
      <c r="AC14" s="432">
        <f t="shared" si="1"/>
        <v>228527801</v>
      </c>
      <c r="AD14" s="432">
        <f t="shared" si="1"/>
        <v>30017152</v>
      </c>
      <c r="AE14" s="432">
        <f t="shared" si="1"/>
        <v>516260746</v>
      </c>
      <c r="AF14" s="432">
        <f t="shared" si="1"/>
        <v>52169617</v>
      </c>
      <c r="AG14" s="432">
        <f t="shared" si="1"/>
        <v>187519832</v>
      </c>
      <c r="AH14" s="432">
        <f t="shared" si="1"/>
        <v>246612666</v>
      </c>
      <c r="AI14" s="432">
        <f t="shared" si="1"/>
        <v>216852265</v>
      </c>
      <c r="AJ14" s="432">
        <f t="shared" si="1"/>
        <v>76352437</v>
      </c>
      <c r="AK14" s="432">
        <f t="shared" si="1"/>
        <v>58190924</v>
      </c>
      <c r="AL14" s="432">
        <f t="shared" si="1"/>
        <v>509403170</v>
      </c>
      <c r="AM14" s="432">
        <f t="shared" si="1"/>
        <v>6438925</v>
      </c>
      <c r="AN14" s="203"/>
      <c r="AO14" s="203"/>
    </row>
    <row r="15" spans="1:41" s="155" customFormat="1" ht="12.75" customHeight="1" x14ac:dyDescent="0.2">
      <c r="A15" s="156" t="s">
        <v>71</v>
      </c>
      <c r="B15" s="157"/>
      <c r="C15" s="158"/>
      <c r="D15" s="432">
        <f>E15+SUM(H15:O15)</f>
        <v>455672887</v>
      </c>
      <c r="E15" s="431">
        <v>182462195</v>
      </c>
      <c r="F15" s="431">
        <v>119798568</v>
      </c>
      <c r="G15" s="431">
        <v>51535603</v>
      </c>
      <c r="H15" s="431">
        <v>99777846</v>
      </c>
      <c r="I15" s="431">
        <v>0</v>
      </c>
      <c r="J15" s="431">
        <v>6657001</v>
      </c>
      <c r="K15" s="431">
        <v>20434000</v>
      </c>
      <c r="L15" s="431">
        <v>0</v>
      </c>
      <c r="M15" s="431">
        <v>124938146</v>
      </c>
      <c r="N15" s="431">
        <v>21403699</v>
      </c>
      <c r="O15" s="431"/>
      <c r="P15" s="432">
        <f t="shared" ref="P15:P78" si="2">IF(SUM(Q15:AB15)=SUM(AC15:AM15),SUM(Q15:AB15),"  EROARE ART/CAP")</f>
        <v>388052070</v>
      </c>
      <c r="Q15" s="431">
        <v>80001327</v>
      </c>
      <c r="R15" s="431">
        <v>87961864</v>
      </c>
      <c r="S15" s="431">
        <v>3979778</v>
      </c>
      <c r="T15" s="431">
        <v>0</v>
      </c>
      <c r="U15" s="431">
        <v>104720894</v>
      </c>
      <c r="V15" s="431">
        <v>2940529</v>
      </c>
      <c r="W15" s="431">
        <v>24158306</v>
      </c>
      <c r="X15" s="431">
        <v>25920315</v>
      </c>
      <c r="Y15" s="431">
        <v>7554003</v>
      </c>
      <c r="Z15" s="431">
        <v>52511884</v>
      </c>
      <c r="AA15" s="431">
        <v>5880001</v>
      </c>
      <c r="AB15" s="431">
        <v>-7576831</v>
      </c>
      <c r="AC15" s="431">
        <v>28559134</v>
      </c>
      <c r="AD15" s="431">
        <v>1822717</v>
      </c>
      <c r="AE15" s="431">
        <v>54793563</v>
      </c>
      <c r="AF15" s="431">
        <v>6974388</v>
      </c>
      <c r="AG15" s="431">
        <v>33405457</v>
      </c>
      <c r="AH15" s="431">
        <v>153115004</v>
      </c>
      <c r="AI15" s="431">
        <v>14066091</v>
      </c>
      <c r="AJ15" s="431">
        <v>12374880</v>
      </c>
      <c r="AK15" s="431">
        <v>0</v>
      </c>
      <c r="AL15" s="431">
        <v>81850231</v>
      </c>
      <c r="AM15" s="440">
        <v>1090605</v>
      </c>
      <c r="AN15" s="203"/>
      <c r="AO15" s="203"/>
    </row>
    <row r="16" spans="1:41" s="155" customFormat="1" ht="12" x14ac:dyDescent="0.2">
      <c r="A16" s="156" t="s">
        <v>72</v>
      </c>
      <c r="B16" s="157"/>
      <c r="C16" s="159"/>
      <c r="D16" s="432">
        <f>E16+SUM(H16:O16)</f>
        <v>922077020</v>
      </c>
      <c r="E16" s="433">
        <f>SUM(E18:E32)</f>
        <v>554521237</v>
      </c>
      <c r="F16" s="433">
        <f t="shared" ref="F16:O16" si="3">SUM(F18:F32)</f>
        <v>329444541</v>
      </c>
      <c r="G16" s="433">
        <f t="shared" si="3"/>
        <v>21461111</v>
      </c>
      <c r="H16" s="433">
        <f t="shared" si="3"/>
        <v>0</v>
      </c>
      <c r="I16" s="433">
        <f t="shared" si="3"/>
        <v>243120037</v>
      </c>
      <c r="J16" s="433">
        <f t="shared" si="3"/>
        <v>0</v>
      </c>
      <c r="K16" s="433">
        <f t="shared" si="3"/>
        <v>3987360</v>
      </c>
      <c r="L16" s="433">
        <f t="shared" si="3"/>
        <v>0</v>
      </c>
      <c r="M16" s="433">
        <f t="shared" si="3"/>
        <v>42988450</v>
      </c>
      <c r="N16" s="433">
        <f t="shared" si="3"/>
        <v>77439936</v>
      </c>
      <c r="O16" s="433">
        <f t="shared" si="3"/>
        <v>20000</v>
      </c>
      <c r="P16" s="432">
        <f t="shared" si="2"/>
        <v>911883967</v>
      </c>
      <c r="Q16" s="432">
        <f>SUM(Q18:Q32)</f>
        <v>297652954</v>
      </c>
      <c r="R16" s="432">
        <f t="shared" ref="R16:AM16" si="4">SUM(R18:R32)</f>
        <v>258537974</v>
      </c>
      <c r="S16" s="432">
        <f t="shared" si="4"/>
        <v>12767710</v>
      </c>
      <c r="T16" s="432">
        <f t="shared" si="4"/>
        <v>118159300</v>
      </c>
      <c r="U16" s="432">
        <f t="shared" si="4"/>
        <v>20337341</v>
      </c>
      <c r="V16" s="432">
        <f t="shared" si="4"/>
        <v>0</v>
      </c>
      <c r="W16" s="432">
        <f t="shared" si="4"/>
        <v>101540361</v>
      </c>
      <c r="X16" s="432">
        <f t="shared" si="4"/>
        <v>17729359</v>
      </c>
      <c r="Y16" s="432">
        <f t="shared" si="4"/>
        <v>5754771</v>
      </c>
      <c r="Z16" s="432">
        <f t="shared" si="4"/>
        <v>58697546</v>
      </c>
      <c r="AA16" s="432">
        <f t="shared" si="4"/>
        <v>30890594</v>
      </c>
      <c r="AB16" s="432">
        <f t="shared" si="4"/>
        <v>-10183943</v>
      </c>
      <c r="AC16" s="432">
        <f t="shared" si="4"/>
        <v>69269817</v>
      </c>
      <c r="AD16" s="432">
        <f t="shared" si="4"/>
        <v>20464113</v>
      </c>
      <c r="AE16" s="432">
        <f t="shared" si="4"/>
        <v>276897744</v>
      </c>
      <c r="AF16" s="432">
        <f t="shared" si="4"/>
        <v>43342665</v>
      </c>
      <c r="AG16" s="432">
        <f t="shared" si="4"/>
        <v>82281453</v>
      </c>
      <c r="AH16" s="432">
        <f t="shared" si="4"/>
        <v>51107894</v>
      </c>
      <c r="AI16" s="432">
        <f t="shared" si="4"/>
        <v>95948231</v>
      </c>
      <c r="AJ16" s="432">
        <f t="shared" si="4"/>
        <v>20222242</v>
      </c>
      <c r="AK16" s="432">
        <f t="shared" si="4"/>
        <v>58190924</v>
      </c>
      <c r="AL16" s="432">
        <f t="shared" si="4"/>
        <v>194131583</v>
      </c>
      <c r="AM16" s="432">
        <f t="shared" si="4"/>
        <v>27301</v>
      </c>
      <c r="AN16" s="203"/>
      <c r="AO16" s="203"/>
    </row>
    <row r="17" spans="1:41" s="155" customFormat="1" ht="22.5" x14ac:dyDescent="0.2">
      <c r="A17" s="277" t="s">
        <v>2306</v>
      </c>
      <c r="B17" s="279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  <c r="AN17" s="203"/>
      <c r="AO17" s="203"/>
    </row>
    <row r="18" spans="1:41" s="155" customFormat="1" ht="12" x14ac:dyDescent="0.2">
      <c r="A18" s="231">
        <v>1</v>
      </c>
      <c r="B18" s="222">
        <v>155350</v>
      </c>
      <c r="C18" s="224" t="s">
        <v>709</v>
      </c>
      <c r="D18" s="432">
        <f t="shared" ref="D18:D41" si="5">E18+SUM(H18:O18)</f>
        <v>91277450</v>
      </c>
      <c r="E18" s="434">
        <v>51265335</v>
      </c>
      <c r="F18" s="434">
        <v>26970161</v>
      </c>
      <c r="G18" s="434">
        <v>3080026</v>
      </c>
      <c r="H18" s="434">
        <v>0</v>
      </c>
      <c r="I18" s="434">
        <v>37178672</v>
      </c>
      <c r="J18" s="434">
        <v>0</v>
      </c>
      <c r="K18" s="434">
        <v>1445000</v>
      </c>
      <c r="L18" s="434">
        <v>0</v>
      </c>
      <c r="M18" s="434">
        <v>1325512</v>
      </c>
      <c r="N18" s="434">
        <v>62931</v>
      </c>
      <c r="O18" s="434"/>
      <c r="P18" s="432">
        <f t="shared" si="2"/>
        <v>67842611</v>
      </c>
      <c r="Q18" s="431">
        <v>42642000</v>
      </c>
      <c r="R18" s="431">
        <v>15224205</v>
      </c>
      <c r="S18" s="431">
        <v>516980</v>
      </c>
      <c r="T18" s="431">
        <v>585242</v>
      </c>
      <c r="U18" s="431">
        <v>2010404</v>
      </c>
      <c r="V18" s="431">
        <v>0</v>
      </c>
      <c r="W18" s="431">
        <v>486393</v>
      </c>
      <c r="X18" s="431">
        <v>1808271</v>
      </c>
      <c r="Y18" s="431">
        <v>116500</v>
      </c>
      <c r="Z18" s="431">
        <v>4495706</v>
      </c>
      <c r="AA18" s="431">
        <v>1658000</v>
      </c>
      <c r="AB18" s="431">
        <v>-1701090</v>
      </c>
      <c r="AC18" s="431">
        <v>7910105</v>
      </c>
      <c r="AD18" s="431">
        <v>1258429</v>
      </c>
      <c r="AE18" s="431">
        <v>33861931</v>
      </c>
      <c r="AF18" s="431">
        <v>1686135</v>
      </c>
      <c r="AG18" s="431">
        <v>5434687</v>
      </c>
      <c r="AH18" s="431">
        <v>8769128</v>
      </c>
      <c r="AI18" s="431">
        <v>2102680</v>
      </c>
      <c r="AJ18" s="431">
        <v>1933980</v>
      </c>
      <c r="AK18" s="431">
        <v>0</v>
      </c>
      <c r="AL18" s="431">
        <v>4858235</v>
      </c>
      <c r="AM18" s="440">
        <v>27301</v>
      </c>
      <c r="AN18" s="203"/>
      <c r="AO18" s="203"/>
    </row>
    <row r="19" spans="1:41" s="155" customFormat="1" ht="12" x14ac:dyDescent="0.2">
      <c r="A19" s="231">
        <v>2</v>
      </c>
      <c r="B19" s="222">
        <v>155243</v>
      </c>
      <c r="C19" s="224" t="s">
        <v>710</v>
      </c>
      <c r="D19" s="432">
        <f t="shared" si="5"/>
        <v>830799570</v>
      </c>
      <c r="E19" s="434">
        <v>503255902</v>
      </c>
      <c r="F19" s="434">
        <v>302474380</v>
      </c>
      <c r="G19" s="434">
        <v>18381085</v>
      </c>
      <c r="H19" s="434">
        <v>0</v>
      </c>
      <c r="I19" s="434">
        <v>205941365</v>
      </c>
      <c r="J19" s="434">
        <v>0</v>
      </c>
      <c r="K19" s="434">
        <v>2542360</v>
      </c>
      <c r="L19" s="434">
        <v>0</v>
      </c>
      <c r="M19" s="434">
        <v>41662938</v>
      </c>
      <c r="N19" s="434">
        <v>77377005</v>
      </c>
      <c r="O19" s="434">
        <v>20000</v>
      </c>
      <c r="P19" s="432">
        <f t="shared" si="2"/>
        <v>844041356</v>
      </c>
      <c r="Q19" s="431">
        <v>255010954</v>
      </c>
      <c r="R19" s="431">
        <v>243313769</v>
      </c>
      <c r="S19" s="431">
        <v>12250730</v>
      </c>
      <c r="T19" s="431">
        <v>117574058</v>
      </c>
      <c r="U19" s="431">
        <v>18326937</v>
      </c>
      <c r="V19" s="431">
        <v>0</v>
      </c>
      <c r="W19" s="431">
        <v>101053968</v>
      </c>
      <c r="X19" s="431">
        <v>15921088</v>
      </c>
      <c r="Y19" s="431">
        <v>5638271</v>
      </c>
      <c r="Z19" s="431">
        <v>54201840</v>
      </c>
      <c r="AA19" s="431">
        <v>29232594</v>
      </c>
      <c r="AB19" s="431">
        <v>-8482853</v>
      </c>
      <c r="AC19" s="431">
        <v>61359712</v>
      </c>
      <c r="AD19" s="431">
        <v>19205684</v>
      </c>
      <c r="AE19" s="431">
        <v>243035813</v>
      </c>
      <c r="AF19" s="431">
        <v>41656530</v>
      </c>
      <c r="AG19" s="431">
        <v>76846766</v>
      </c>
      <c r="AH19" s="431">
        <v>42338766</v>
      </c>
      <c r="AI19" s="431">
        <v>93845551</v>
      </c>
      <c r="AJ19" s="431">
        <v>18288262</v>
      </c>
      <c r="AK19" s="431">
        <v>58190924</v>
      </c>
      <c r="AL19" s="431">
        <v>189273348</v>
      </c>
      <c r="AM19" s="440"/>
      <c r="AN19" s="203"/>
      <c r="AO19" s="203"/>
    </row>
    <row r="20" spans="1:41" s="155" customFormat="1" ht="12" hidden="1" x14ac:dyDescent="0.2">
      <c r="A20" s="181">
        <v>3</v>
      </c>
      <c r="B20" s="181"/>
      <c r="C20" s="249"/>
      <c r="D20" s="432">
        <f t="shared" si="5"/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2">
        <f t="shared" si="2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  <c r="AN20" s="203"/>
      <c r="AO20" s="203"/>
    </row>
    <row r="21" spans="1:41" s="155" customFormat="1" ht="12" hidden="1" x14ac:dyDescent="0.2">
      <c r="A21" s="181">
        <v>4</v>
      </c>
      <c r="B21" s="181"/>
      <c r="C21" s="249"/>
      <c r="D21" s="432">
        <f t="shared" si="5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2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  <c r="AN21" s="203"/>
      <c r="AO21" s="203"/>
    </row>
    <row r="22" spans="1:41" s="155" customFormat="1" ht="12" hidden="1" x14ac:dyDescent="0.2">
      <c r="A22" s="181">
        <v>5</v>
      </c>
      <c r="B22" s="181"/>
      <c r="C22" s="249"/>
      <c r="D22" s="432">
        <f t="shared" si="5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2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  <c r="AN22" s="203"/>
      <c r="AO22" s="203"/>
    </row>
    <row r="23" spans="1:41" s="155" customFormat="1" ht="12" hidden="1" x14ac:dyDescent="0.2">
      <c r="A23" s="181">
        <v>6</v>
      </c>
      <c r="B23" s="181"/>
      <c r="C23" s="249"/>
      <c r="D23" s="432">
        <f t="shared" si="5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2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  <c r="AN23" s="203"/>
      <c r="AO23" s="203"/>
    </row>
    <row r="24" spans="1:41" s="155" customFormat="1" ht="12" hidden="1" x14ac:dyDescent="0.2">
      <c r="A24" s="181">
        <v>7</v>
      </c>
      <c r="B24" s="181"/>
      <c r="C24" s="249"/>
      <c r="D24" s="432">
        <f t="shared" si="5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2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  <c r="AN24" s="203"/>
      <c r="AO24" s="203"/>
    </row>
    <row r="25" spans="1:41" s="155" customFormat="1" ht="12" hidden="1" x14ac:dyDescent="0.2">
      <c r="A25" s="181">
        <v>8</v>
      </c>
      <c r="B25" s="181"/>
      <c r="C25" s="249"/>
      <c r="D25" s="432">
        <f t="shared" si="5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2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  <c r="AN25" s="203"/>
      <c r="AO25" s="203"/>
    </row>
    <row r="26" spans="1:41" s="155" customFormat="1" ht="12" hidden="1" x14ac:dyDescent="0.2">
      <c r="A26" s="181">
        <v>9</v>
      </c>
      <c r="B26" s="181"/>
      <c r="C26" s="249"/>
      <c r="D26" s="432">
        <f t="shared" si="5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2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  <c r="AN26" s="203"/>
      <c r="AO26" s="203"/>
    </row>
    <row r="27" spans="1:41" s="155" customFormat="1" ht="12" hidden="1" x14ac:dyDescent="0.2">
      <c r="A27" s="181">
        <v>10</v>
      </c>
      <c r="B27" s="181"/>
      <c r="C27" s="249"/>
      <c r="D27" s="432">
        <f t="shared" si="5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2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  <c r="AN27" s="203"/>
      <c r="AO27" s="203"/>
    </row>
    <row r="28" spans="1:41" s="155" customFormat="1" ht="12" hidden="1" x14ac:dyDescent="0.2">
      <c r="A28" s="181">
        <v>11</v>
      </c>
      <c r="B28" s="181"/>
      <c r="C28" s="249"/>
      <c r="D28" s="432">
        <f t="shared" si="5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2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  <c r="AN28" s="203"/>
      <c r="AO28" s="203"/>
    </row>
    <row r="29" spans="1:41" s="155" customFormat="1" ht="12" hidden="1" x14ac:dyDescent="0.2">
      <c r="A29" s="181">
        <v>12</v>
      </c>
      <c r="B29" s="181"/>
      <c r="C29" s="249"/>
      <c r="D29" s="432">
        <f t="shared" si="5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2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  <c r="AN29" s="203"/>
      <c r="AO29" s="203"/>
    </row>
    <row r="30" spans="1:41" s="155" customFormat="1" ht="12" hidden="1" x14ac:dyDescent="0.2">
      <c r="A30" s="181">
        <v>13</v>
      </c>
      <c r="B30" s="181"/>
      <c r="C30" s="249"/>
      <c r="D30" s="432">
        <f t="shared" si="5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2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  <c r="AN30" s="203"/>
      <c r="AO30" s="203"/>
    </row>
    <row r="31" spans="1:41" s="155" customFormat="1" ht="12" hidden="1" x14ac:dyDescent="0.2">
      <c r="A31" s="181">
        <v>14</v>
      </c>
      <c r="B31" s="181"/>
      <c r="C31" s="249"/>
      <c r="D31" s="432">
        <f t="shared" si="5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2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  <c r="AN31" s="203"/>
      <c r="AO31" s="203"/>
    </row>
    <row r="32" spans="1:41" s="155" customFormat="1" ht="12" hidden="1" x14ac:dyDescent="0.2">
      <c r="A32" s="181">
        <v>15</v>
      </c>
      <c r="B32" s="181"/>
      <c r="C32" s="250"/>
      <c r="D32" s="432">
        <f t="shared" si="5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2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  <c r="AN32" s="203"/>
      <c r="AO32" s="203"/>
    </row>
    <row r="33" spans="1:41" s="155" customFormat="1" ht="12" x14ac:dyDescent="0.2">
      <c r="A33" s="164" t="s">
        <v>75</v>
      </c>
      <c r="B33" s="204"/>
      <c r="C33" s="251"/>
      <c r="D33" s="432">
        <f t="shared" si="5"/>
        <v>158438852</v>
      </c>
      <c r="E33" s="432">
        <f>SUM(E34:E53)</f>
        <v>91273925</v>
      </c>
      <c r="F33" s="432">
        <f t="shared" ref="F33:O33" si="6">SUM(F34:F53)</f>
        <v>37662772</v>
      </c>
      <c r="G33" s="432">
        <f t="shared" si="6"/>
        <v>16180925</v>
      </c>
      <c r="H33" s="432">
        <f t="shared" si="6"/>
        <v>0</v>
      </c>
      <c r="I33" s="432">
        <f t="shared" si="6"/>
        <v>47354204</v>
      </c>
      <c r="J33" s="432">
        <f t="shared" si="6"/>
        <v>1525539</v>
      </c>
      <c r="K33" s="432">
        <f t="shared" si="6"/>
        <v>5960970</v>
      </c>
      <c r="L33" s="432">
        <f t="shared" si="6"/>
        <v>0</v>
      </c>
      <c r="M33" s="432">
        <f t="shared" si="6"/>
        <v>8332152</v>
      </c>
      <c r="N33" s="432">
        <f t="shared" si="6"/>
        <v>3819967</v>
      </c>
      <c r="O33" s="432">
        <f t="shared" si="6"/>
        <v>172095</v>
      </c>
      <c r="P33" s="432">
        <f t="shared" si="2"/>
        <v>155101270</v>
      </c>
      <c r="Q33" s="432">
        <f>SUM(Q34:Q53)</f>
        <v>54683529</v>
      </c>
      <c r="R33" s="432">
        <f t="shared" ref="R33:AM33" si="7">SUM(R34:R53)</f>
        <v>42587836</v>
      </c>
      <c r="S33" s="432">
        <f t="shared" si="7"/>
        <v>538973</v>
      </c>
      <c r="T33" s="432">
        <f t="shared" si="7"/>
        <v>0</v>
      </c>
      <c r="U33" s="432">
        <f t="shared" si="7"/>
        <v>1237652</v>
      </c>
      <c r="V33" s="432">
        <f t="shared" si="7"/>
        <v>0</v>
      </c>
      <c r="W33" s="432">
        <f t="shared" si="7"/>
        <v>6740216</v>
      </c>
      <c r="X33" s="432">
        <f t="shared" si="7"/>
        <v>2905213</v>
      </c>
      <c r="Y33" s="432">
        <f t="shared" si="7"/>
        <v>1554036</v>
      </c>
      <c r="Z33" s="432">
        <f t="shared" si="7"/>
        <v>37492689</v>
      </c>
      <c r="AA33" s="432">
        <f t="shared" si="7"/>
        <v>8263369</v>
      </c>
      <c r="AB33" s="432">
        <f t="shared" si="7"/>
        <v>-902243</v>
      </c>
      <c r="AC33" s="432">
        <f t="shared" si="7"/>
        <v>21478471</v>
      </c>
      <c r="AD33" s="432">
        <f t="shared" si="7"/>
        <v>341026</v>
      </c>
      <c r="AE33" s="432">
        <f t="shared" si="7"/>
        <v>45817612</v>
      </c>
      <c r="AF33" s="432">
        <f t="shared" si="7"/>
        <v>1229776</v>
      </c>
      <c r="AG33" s="432">
        <f t="shared" si="7"/>
        <v>16127752</v>
      </c>
      <c r="AH33" s="432">
        <f t="shared" si="7"/>
        <v>10549925</v>
      </c>
      <c r="AI33" s="432">
        <f t="shared" si="7"/>
        <v>12625846</v>
      </c>
      <c r="AJ33" s="432">
        <f t="shared" si="7"/>
        <v>2809177</v>
      </c>
      <c r="AK33" s="432">
        <f t="shared" si="7"/>
        <v>0</v>
      </c>
      <c r="AL33" s="432">
        <f t="shared" si="7"/>
        <v>43713526</v>
      </c>
      <c r="AM33" s="432">
        <f t="shared" si="7"/>
        <v>408159</v>
      </c>
      <c r="AN33" s="203"/>
      <c r="AO33" s="203"/>
    </row>
    <row r="34" spans="1:41" s="155" customFormat="1" ht="12" x14ac:dyDescent="0.2">
      <c r="A34" s="231">
        <v>1</v>
      </c>
      <c r="B34" s="222">
        <v>155403</v>
      </c>
      <c r="C34" s="224" t="s">
        <v>711</v>
      </c>
      <c r="D34" s="432">
        <f t="shared" si="5"/>
        <v>14555406</v>
      </c>
      <c r="E34" s="431">
        <v>8071169</v>
      </c>
      <c r="F34" s="431">
        <v>2390778</v>
      </c>
      <c r="G34" s="431">
        <v>1614561</v>
      </c>
      <c r="H34" s="431">
        <v>0</v>
      </c>
      <c r="I34" s="431">
        <v>4529000</v>
      </c>
      <c r="J34" s="431">
        <v>200000</v>
      </c>
      <c r="K34" s="431">
        <v>1074000</v>
      </c>
      <c r="L34" s="431">
        <v>0</v>
      </c>
      <c r="M34" s="431">
        <v>675737</v>
      </c>
      <c r="N34" s="431">
        <v>0</v>
      </c>
      <c r="O34" s="431">
        <v>5500</v>
      </c>
      <c r="P34" s="432">
        <f t="shared" si="2"/>
        <v>13925073</v>
      </c>
      <c r="Q34" s="431">
        <v>5562452</v>
      </c>
      <c r="R34" s="431">
        <v>5906520</v>
      </c>
      <c r="S34" s="431">
        <v>0</v>
      </c>
      <c r="T34" s="431">
        <v>0</v>
      </c>
      <c r="U34" s="431">
        <v>0</v>
      </c>
      <c r="V34" s="431">
        <v>0</v>
      </c>
      <c r="W34" s="431">
        <v>0</v>
      </c>
      <c r="X34" s="431">
        <v>485632</v>
      </c>
      <c r="Y34" s="431">
        <v>141127</v>
      </c>
      <c r="Z34" s="431">
        <v>1829342</v>
      </c>
      <c r="AA34" s="431">
        <v>0</v>
      </c>
      <c r="AB34" s="431">
        <v>0</v>
      </c>
      <c r="AC34" s="431">
        <v>1869878</v>
      </c>
      <c r="AD34" s="431">
        <v>23871</v>
      </c>
      <c r="AE34" s="431">
        <v>4204622</v>
      </c>
      <c r="AF34" s="431">
        <v>32738</v>
      </c>
      <c r="AG34" s="431">
        <v>2540745</v>
      </c>
      <c r="AH34" s="431">
        <v>701763</v>
      </c>
      <c r="AI34" s="431">
        <v>1577607</v>
      </c>
      <c r="AJ34" s="431">
        <v>827404</v>
      </c>
      <c r="AK34" s="431">
        <v>0</v>
      </c>
      <c r="AL34" s="431">
        <v>2146445</v>
      </c>
      <c r="AM34" s="441"/>
      <c r="AN34" s="203"/>
      <c r="AO34" s="203"/>
    </row>
    <row r="35" spans="1:41" s="155" customFormat="1" ht="12" x14ac:dyDescent="0.2">
      <c r="A35" s="231">
        <v>2</v>
      </c>
      <c r="B35" s="222">
        <v>156357</v>
      </c>
      <c r="C35" s="224" t="s">
        <v>712</v>
      </c>
      <c r="D35" s="432">
        <f t="shared" si="5"/>
        <v>11169187</v>
      </c>
      <c r="E35" s="431">
        <v>7047343</v>
      </c>
      <c r="F35" s="431">
        <v>508761</v>
      </c>
      <c r="G35" s="431">
        <v>4567070</v>
      </c>
      <c r="H35" s="431">
        <v>0</v>
      </c>
      <c r="I35" s="431">
        <v>3696062</v>
      </c>
      <c r="J35" s="431">
        <v>160000</v>
      </c>
      <c r="K35" s="431">
        <v>236000</v>
      </c>
      <c r="L35" s="431">
        <v>0</v>
      </c>
      <c r="M35" s="431">
        <v>29782</v>
      </c>
      <c r="N35" s="431">
        <v>0</v>
      </c>
      <c r="O35" s="431"/>
      <c r="P35" s="432">
        <f t="shared" si="2"/>
        <v>9377202</v>
      </c>
      <c r="Q35" s="431">
        <v>4295618</v>
      </c>
      <c r="R35" s="431">
        <v>3753662</v>
      </c>
      <c r="S35" s="431">
        <v>0</v>
      </c>
      <c r="T35" s="431">
        <v>0</v>
      </c>
      <c r="U35" s="431">
        <v>0</v>
      </c>
      <c r="V35" s="431">
        <v>0</v>
      </c>
      <c r="W35" s="431">
        <v>0</v>
      </c>
      <c r="X35" s="431">
        <v>243097</v>
      </c>
      <c r="Y35" s="431">
        <v>18000</v>
      </c>
      <c r="Z35" s="431">
        <v>1066825</v>
      </c>
      <c r="AA35" s="431">
        <v>0</v>
      </c>
      <c r="AB35" s="431">
        <v>0</v>
      </c>
      <c r="AC35" s="431">
        <v>2394984</v>
      </c>
      <c r="AD35" s="431">
        <v>55712</v>
      </c>
      <c r="AE35" s="431">
        <v>3343487</v>
      </c>
      <c r="AF35" s="431">
        <v>0</v>
      </c>
      <c r="AG35" s="431">
        <v>394747</v>
      </c>
      <c r="AH35" s="431">
        <v>527605</v>
      </c>
      <c r="AI35" s="431">
        <v>519588</v>
      </c>
      <c r="AJ35" s="431">
        <v>364608</v>
      </c>
      <c r="AK35" s="431">
        <v>0</v>
      </c>
      <c r="AL35" s="431">
        <v>1776471</v>
      </c>
      <c r="AM35" s="440"/>
      <c r="AN35" s="203"/>
      <c r="AO35" s="203"/>
    </row>
    <row r="36" spans="1:41" s="155" customFormat="1" ht="12" x14ac:dyDescent="0.2">
      <c r="A36" s="231">
        <v>3</v>
      </c>
      <c r="B36" s="222">
        <v>155458</v>
      </c>
      <c r="C36" s="224" t="s">
        <v>713</v>
      </c>
      <c r="D36" s="432">
        <f t="shared" si="5"/>
        <v>13256035</v>
      </c>
      <c r="E36" s="431">
        <v>7429413</v>
      </c>
      <c r="F36" s="431">
        <v>3738218</v>
      </c>
      <c r="G36" s="431">
        <v>821994</v>
      </c>
      <c r="H36" s="431">
        <v>0</v>
      </c>
      <c r="I36" s="431">
        <v>4684033</v>
      </c>
      <c r="J36" s="431">
        <v>526964</v>
      </c>
      <c r="K36" s="431">
        <v>382000</v>
      </c>
      <c r="L36" s="431">
        <v>0</v>
      </c>
      <c r="M36" s="431">
        <v>42473</v>
      </c>
      <c r="N36" s="431">
        <v>170448</v>
      </c>
      <c r="O36" s="431">
        <v>20704</v>
      </c>
      <c r="P36" s="432">
        <f t="shared" si="2"/>
        <v>12913648</v>
      </c>
      <c r="Q36" s="431">
        <v>5158115</v>
      </c>
      <c r="R36" s="431">
        <v>4283709</v>
      </c>
      <c r="S36" s="431">
        <v>58000</v>
      </c>
      <c r="T36" s="431">
        <v>0</v>
      </c>
      <c r="U36" s="431">
        <v>100000</v>
      </c>
      <c r="V36" s="431">
        <v>0</v>
      </c>
      <c r="W36" s="431">
        <v>133000</v>
      </c>
      <c r="X36" s="431">
        <v>268798</v>
      </c>
      <c r="Y36" s="431">
        <v>231098</v>
      </c>
      <c r="Z36" s="431">
        <v>2476449</v>
      </c>
      <c r="AA36" s="431">
        <v>205000</v>
      </c>
      <c r="AB36" s="431">
        <v>-521</v>
      </c>
      <c r="AC36" s="431">
        <v>1783107</v>
      </c>
      <c r="AD36" s="431">
        <v>4980</v>
      </c>
      <c r="AE36" s="431">
        <v>4259847</v>
      </c>
      <c r="AF36" s="431">
        <v>100000</v>
      </c>
      <c r="AG36" s="431">
        <v>940343</v>
      </c>
      <c r="AH36" s="431">
        <v>685964</v>
      </c>
      <c r="AI36" s="431">
        <v>2967299</v>
      </c>
      <c r="AJ36" s="431">
        <v>69274</v>
      </c>
      <c r="AK36" s="431">
        <v>0</v>
      </c>
      <c r="AL36" s="431">
        <v>2102834</v>
      </c>
      <c r="AM36" s="441"/>
      <c r="AN36" s="203"/>
      <c r="AO36" s="203"/>
    </row>
    <row r="37" spans="1:41" s="155" customFormat="1" ht="12" x14ac:dyDescent="0.2">
      <c r="A37" s="231">
        <v>4</v>
      </c>
      <c r="B37" s="222">
        <v>156801</v>
      </c>
      <c r="C37" s="224" t="s">
        <v>714</v>
      </c>
      <c r="D37" s="432">
        <f t="shared" si="5"/>
        <v>17752917</v>
      </c>
      <c r="E37" s="431">
        <v>8023471</v>
      </c>
      <c r="F37" s="431">
        <v>3602459</v>
      </c>
      <c r="G37" s="431">
        <v>2030463</v>
      </c>
      <c r="H37" s="431">
        <v>0</v>
      </c>
      <c r="I37" s="431">
        <v>6812494</v>
      </c>
      <c r="J37" s="431">
        <v>160000</v>
      </c>
      <c r="K37" s="431">
        <v>236000</v>
      </c>
      <c r="L37" s="431">
        <v>0</v>
      </c>
      <c r="M37" s="431">
        <v>2325928</v>
      </c>
      <c r="N37" s="431">
        <v>195024</v>
      </c>
      <c r="O37" s="431"/>
      <c r="P37" s="432">
        <f t="shared" si="2"/>
        <v>17182225</v>
      </c>
      <c r="Q37" s="431">
        <v>7829827</v>
      </c>
      <c r="R37" s="431">
        <v>4947225</v>
      </c>
      <c r="S37" s="431">
        <v>84050</v>
      </c>
      <c r="T37" s="431">
        <v>0</v>
      </c>
      <c r="U37" s="431">
        <v>173100</v>
      </c>
      <c r="V37" s="431">
        <v>0</v>
      </c>
      <c r="W37" s="431">
        <v>0</v>
      </c>
      <c r="X37" s="431">
        <v>246346</v>
      </c>
      <c r="Y37" s="431">
        <v>0</v>
      </c>
      <c r="Z37" s="431">
        <v>3901677</v>
      </c>
      <c r="AA37" s="431">
        <v>0</v>
      </c>
      <c r="AB37" s="431">
        <v>0</v>
      </c>
      <c r="AC37" s="431">
        <v>2920374</v>
      </c>
      <c r="AD37" s="431">
        <v>6891</v>
      </c>
      <c r="AE37" s="431">
        <v>5852087</v>
      </c>
      <c r="AF37" s="431">
        <v>186020</v>
      </c>
      <c r="AG37" s="431">
        <v>458821</v>
      </c>
      <c r="AH37" s="431">
        <v>1355448</v>
      </c>
      <c r="AI37" s="431">
        <v>370919</v>
      </c>
      <c r="AJ37" s="431">
        <v>0</v>
      </c>
      <c r="AK37" s="431">
        <v>0</v>
      </c>
      <c r="AL37" s="431">
        <v>6031665</v>
      </c>
      <c r="AM37" s="441"/>
      <c r="AN37" s="203"/>
      <c r="AO37" s="203"/>
    </row>
    <row r="38" spans="1:41" s="155" customFormat="1" ht="12" x14ac:dyDescent="0.2">
      <c r="A38" s="231">
        <v>5</v>
      </c>
      <c r="B38" s="222">
        <v>157086</v>
      </c>
      <c r="C38" s="224" t="s">
        <v>715</v>
      </c>
      <c r="D38" s="432">
        <f t="shared" si="5"/>
        <v>12648164</v>
      </c>
      <c r="E38" s="431">
        <v>7795791</v>
      </c>
      <c r="F38" s="431">
        <v>1411113</v>
      </c>
      <c r="G38" s="431">
        <v>2465983</v>
      </c>
      <c r="H38" s="431">
        <v>0</v>
      </c>
      <c r="I38" s="431">
        <v>4359403</v>
      </c>
      <c r="J38" s="431">
        <v>133000</v>
      </c>
      <c r="K38" s="431">
        <v>359970</v>
      </c>
      <c r="L38" s="431">
        <v>0</v>
      </c>
      <c r="M38" s="431">
        <v>0</v>
      </c>
      <c r="N38" s="431">
        <v>0</v>
      </c>
      <c r="O38" s="431"/>
      <c r="P38" s="432">
        <f t="shared" si="2"/>
        <v>11426828</v>
      </c>
      <c r="Q38" s="431">
        <v>4842394</v>
      </c>
      <c r="R38" s="431">
        <v>3234391</v>
      </c>
      <c r="S38" s="431">
        <v>40000</v>
      </c>
      <c r="T38" s="431">
        <v>0</v>
      </c>
      <c r="U38" s="431">
        <v>0</v>
      </c>
      <c r="V38" s="431">
        <v>0</v>
      </c>
      <c r="W38" s="431">
        <v>0</v>
      </c>
      <c r="X38" s="431">
        <v>286654</v>
      </c>
      <c r="Y38" s="431">
        <v>38283</v>
      </c>
      <c r="Z38" s="431">
        <v>2871106</v>
      </c>
      <c r="AA38" s="431">
        <v>114000</v>
      </c>
      <c r="AB38" s="431">
        <v>0</v>
      </c>
      <c r="AC38" s="431">
        <v>2050003</v>
      </c>
      <c r="AD38" s="431">
        <v>88599</v>
      </c>
      <c r="AE38" s="431">
        <v>3989380</v>
      </c>
      <c r="AF38" s="431">
        <v>0</v>
      </c>
      <c r="AG38" s="431">
        <v>896400</v>
      </c>
      <c r="AH38" s="431">
        <v>961821</v>
      </c>
      <c r="AI38" s="431">
        <v>754690</v>
      </c>
      <c r="AJ38" s="431">
        <v>501127</v>
      </c>
      <c r="AK38" s="431">
        <v>0</v>
      </c>
      <c r="AL38" s="431">
        <v>2065311</v>
      </c>
      <c r="AM38" s="440">
        <v>119497</v>
      </c>
      <c r="AN38" s="203"/>
      <c r="AO38" s="203"/>
    </row>
    <row r="39" spans="1:41" s="155" customFormat="1" ht="12" x14ac:dyDescent="0.2">
      <c r="A39" s="231">
        <v>6</v>
      </c>
      <c r="B39" s="222">
        <v>155494</v>
      </c>
      <c r="C39" s="224" t="s">
        <v>716</v>
      </c>
      <c r="D39" s="432">
        <f t="shared" si="5"/>
        <v>23155481</v>
      </c>
      <c r="E39" s="431">
        <v>12663697</v>
      </c>
      <c r="F39" s="431">
        <v>6182020</v>
      </c>
      <c r="G39" s="431">
        <v>1348737</v>
      </c>
      <c r="H39" s="431">
        <v>0</v>
      </c>
      <c r="I39" s="431">
        <v>8338552</v>
      </c>
      <c r="J39" s="431">
        <v>0</v>
      </c>
      <c r="K39" s="431">
        <v>1245000</v>
      </c>
      <c r="L39" s="431">
        <v>0</v>
      </c>
      <c r="M39" s="431">
        <v>830966</v>
      </c>
      <c r="N39" s="431">
        <v>0</v>
      </c>
      <c r="O39" s="431">
        <v>77266</v>
      </c>
      <c r="P39" s="432">
        <f t="shared" si="2"/>
        <v>21605512</v>
      </c>
      <c r="Q39" s="431">
        <v>8959355</v>
      </c>
      <c r="R39" s="431">
        <v>7084017</v>
      </c>
      <c r="S39" s="431">
        <v>111447</v>
      </c>
      <c r="T39" s="431">
        <v>0</v>
      </c>
      <c r="U39" s="431">
        <v>764541</v>
      </c>
      <c r="V39" s="431">
        <v>0</v>
      </c>
      <c r="W39" s="431">
        <v>1826411</v>
      </c>
      <c r="X39" s="431">
        <v>419710</v>
      </c>
      <c r="Y39" s="431">
        <v>309750</v>
      </c>
      <c r="Z39" s="431">
        <v>1922177</v>
      </c>
      <c r="AA39" s="431">
        <v>237369</v>
      </c>
      <c r="AB39" s="431">
        <v>-29265</v>
      </c>
      <c r="AC39" s="431">
        <v>3639930</v>
      </c>
      <c r="AD39" s="431">
        <v>0</v>
      </c>
      <c r="AE39" s="431">
        <v>8252833</v>
      </c>
      <c r="AF39" s="431">
        <v>609541</v>
      </c>
      <c r="AG39" s="431">
        <v>2295778</v>
      </c>
      <c r="AH39" s="431">
        <v>1345366</v>
      </c>
      <c r="AI39" s="431">
        <v>2298142</v>
      </c>
      <c r="AJ39" s="431">
        <v>417480</v>
      </c>
      <c r="AK39" s="431">
        <v>0</v>
      </c>
      <c r="AL39" s="431">
        <v>2727756</v>
      </c>
      <c r="AM39" s="440">
        <v>18686</v>
      </c>
      <c r="AN39" s="203"/>
      <c r="AO39" s="203"/>
    </row>
    <row r="40" spans="1:41" s="155" customFormat="1" ht="12" x14ac:dyDescent="0.2">
      <c r="A40" s="231">
        <v>7</v>
      </c>
      <c r="B40" s="222">
        <v>158314</v>
      </c>
      <c r="C40" s="224" t="s">
        <v>717</v>
      </c>
      <c r="D40" s="432">
        <f t="shared" si="5"/>
        <v>21295967</v>
      </c>
      <c r="E40" s="431">
        <v>12272308</v>
      </c>
      <c r="F40" s="431">
        <v>2810804</v>
      </c>
      <c r="G40" s="431">
        <v>2119725</v>
      </c>
      <c r="H40" s="431">
        <v>0</v>
      </c>
      <c r="I40" s="431">
        <v>4206600</v>
      </c>
      <c r="J40" s="431">
        <v>220000</v>
      </c>
      <c r="K40" s="431">
        <v>2284000</v>
      </c>
      <c r="L40" s="431">
        <v>0</v>
      </c>
      <c r="M40" s="431">
        <v>2310559</v>
      </c>
      <c r="N40" s="431">
        <v>0</v>
      </c>
      <c r="O40" s="431">
        <v>2500</v>
      </c>
      <c r="P40" s="432">
        <f t="shared" si="2"/>
        <v>22100068</v>
      </c>
      <c r="Q40" s="431">
        <v>5936928</v>
      </c>
      <c r="R40" s="431">
        <v>5157700</v>
      </c>
      <c r="S40" s="431">
        <v>85476</v>
      </c>
      <c r="T40" s="431">
        <v>0</v>
      </c>
      <c r="U40" s="431">
        <v>0</v>
      </c>
      <c r="V40" s="431">
        <v>0</v>
      </c>
      <c r="W40" s="431">
        <v>2762469</v>
      </c>
      <c r="X40" s="431">
        <v>512819</v>
      </c>
      <c r="Y40" s="431">
        <v>450994</v>
      </c>
      <c r="Z40" s="431">
        <v>5818932</v>
      </c>
      <c r="AA40" s="431">
        <v>1375000</v>
      </c>
      <c r="AB40" s="431">
        <v>-250</v>
      </c>
      <c r="AC40" s="431">
        <v>3342438</v>
      </c>
      <c r="AD40" s="431">
        <v>158753</v>
      </c>
      <c r="AE40" s="431">
        <v>3557124</v>
      </c>
      <c r="AF40" s="431">
        <v>41012</v>
      </c>
      <c r="AG40" s="431">
        <v>1403287</v>
      </c>
      <c r="AH40" s="431">
        <v>4027217</v>
      </c>
      <c r="AI40" s="431">
        <v>1293140</v>
      </c>
      <c r="AJ40" s="431">
        <v>564223</v>
      </c>
      <c r="AK40" s="431">
        <v>0</v>
      </c>
      <c r="AL40" s="431">
        <v>7442898</v>
      </c>
      <c r="AM40" s="440">
        <v>269976</v>
      </c>
      <c r="AN40" s="203"/>
      <c r="AO40" s="203"/>
    </row>
    <row r="41" spans="1:41" s="155" customFormat="1" ht="12" x14ac:dyDescent="0.2">
      <c r="A41" s="231">
        <v>8</v>
      </c>
      <c r="B41" s="222">
        <v>155528</v>
      </c>
      <c r="C41" s="224" t="s">
        <v>718</v>
      </c>
      <c r="D41" s="432">
        <f t="shared" si="5"/>
        <v>44605695</v>
      </c>
      <c r="E41" s="431">
        <v>27970733</v>
      </c>
      <c r="F41" s="431">
        <v>17018619</v>
      </c>
      <c r="G41" s="431">
        <v>1212392</v>
      </c>
      <c r="H41" s="431">
        <v>0</v>
      </c>
      <c r="I41" s="431">
        <v>10728060</v>
      </c>
      <c r="J41" s="431">
        <v>125575</v>
      </c>
      <c r="K41" s="431">
        <v>144000</v>
      </c>
      <c r="L41" s="431">
        <v>0</v>
      </c>
      <c r="M41" s="431">
        <v>2116707</v>
      </c>
      <c r="N41" s="431">
        <v>3454495</v>
      </c>
      <c r="O41" s="431">
        <v>66125</v>
      </c>
      <c r="P41" s="432">
        <f t="shared" si="2"/>
        <v>46570714</v>
      </c>
      <c r="Q41" s="431">
        <v>12098840</v>
      </c>
      <c r="R41" s="431">
        <v>8220612</v>
      </c>
      <c r="S41" s="431">
        <v>160000</v>
      </c>
      <c r="T41" s="431">
        <v>0</v>
      </c>
      <c r="U41" s="431">
        <v>200011</v>
      </c>
      <c r="V41" s="431">
        <v>0</v>
      </c>
      <c r="W41" s="431">
        <v>2018336</v>
      </c>
      <c r="X41" s="431">
        <v>442157</v>
      </c>
      <c r="Y41" s="431">
        <v>364784</v>
      </c>
      <c r="Z41" s="431">
        <v>17606181</v>
      </c>
      <c r="AA41" s="431">
        <v>6332000</v>
      </c>
      <c r="AB41" s="431">
        <v>-872207</v>
      </c>
      <c r="AC41" s="431">
        <v>3477757</v>
      </c>
      <c r="AD41" s="431">
        <v>2220</v>
      </c>
      <c r="AE41" s="431">
        <v>12358232</v>
      </c>
      <c r="AF41" s="431">
        <v>260465</v>
      </c>
      <c r="AG41" s="431">
        <v>7197631</v>
      </c>
      <c r="AH41" s="431">
        <v>944741</v>
      </c>
      <c r="AI41" s="431">
        <v>2844461</v>
      </c>
      <c r="AJ41" s="431">
        <v>65061</v>
      </c>
      <c r="AK41" s="431">
        <v>0</v>
      </c>
      <c r="AL41" s="431">
        <v>19420146</v>
      </c>
      <c r="AM41" s="441"/>
      <c r="AN41" s="203"/>
      <c r="AO41" s="203"/>
    </row>
    <row r="42" spans="1:41" s="155" customFormat="1" ht="12" hidden="1" x14ac:dyDescent="0.2">
      <c r="A42" s="181">
        <v>9</v>
      </c>
      <c r="B42" s="181"/>
      <c r="C42" s="249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2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  <c r="AN42" s="203"/>
      <c r="AO42" s="203"/>
    </row>
    <row r="43" spans="1:41" s="155" customFormat="1" ht="12" hidden="1" x14ac:dyDescent="0.2">
      <c r="A43" s="181">
        <v>10</v>
      </c>
      <c r="B43" s="181"/>
      <c r="C43" s="249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2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  <c r="AN43" s="203"/>
      <c r="AO43" s="203"/>
    </row>
    <row r="44" spans="1:41" s="155" customFormat="1" ht="12" hidden="1" x14ac:dyDescent="0.2">
      <c r="A44" s="181">
        <v>11</v>
      </c>
      <c r="B44" s="181"/>
      <c r="C44" s="249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2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  <c r="AN44" s="203"/>
      <c r="AO44" s="203"/>
    </row>
    <row r="45" spans="1:41" s="155" customFormat="1" ht="12" hidden="1" x14ac:dyDescent="0.2">
      <c r="A45" s="181">
        <v>12</v>
      </c>
      <c r="B45" s="181"/>
      <c r="C45" s="249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2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  <c r="AN45" s="203"/>
      <c r="AO45" s="203"/>
    </row>
    <row r="46" spans="1:41" s="155" customFormat="1" ht="12" hidden="1" x14ac:dyDescent="0.2">
      <c r="A46" s="181">
        <v>13</v>
      </c>
      <c r="B46" s="181"/>
      <c r="C46" s="249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2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  <c r="AN46" s="203"/>
      <c r="AO46" s="203"/>
    </row>
    <row r="47" spans="1:41" s="155" customFormat="1" ht="12" hidden="1" x14ac:dyDescent="0.2">
      <c r="A47" s="181">
        <v>14</v>
      </c>
      <c r="B47" s="181"/>
      <c r="C47" s="249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2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  <c r="AN47" s="203"/>
      <c r="AO47" s="203"/>
    </row>
    <row r="48" spans="1:41" s="155" customFormat="1" ht="12" hidden="1" x14ac:dyDescent="0.2">
      <c r="A48" s="181">
        <v>15</v>
      </c>
      <c r="B48" s="181"/>
      <c r="C48" s="249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2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  <c r="AN48" s="203"/>
      <c r="AO48" s="203"/>
    </row>
    <row r="49" spans="1:41" s="155" customFormat="1" ht="12" hidden="1" x14ac:dyDescent="0.2">
      <c r="A49" s="181">
        <v>16</v>
      </c>
      <c r="B49" s="181"/>
      <c r="C49" s="249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2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  <c r="AN49" s="203"/>
      <c r="AO49" s="203"/>
    </row>
    <row r="50" spans="1:41" s="155" customFormat="1" ht="12" hidden="1" x14ac:dyDescent="0.2">
      <c r="A50" s="181">
        <v>17</v>
      </c>
      <c r="B50" s="181"/>
      <c r="C50" s="249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2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  <c r="AN50" s="203"/>
      <c r="AO50" s="203"/>
    </row>
    <row r="51" spans="1:41" s="155" customFormat="1" ht="12" hidden="1" x14ac:dyDescent="0.2">
      <c r="A51" s="181">
        <v>18</v>
      </c>
      <c r="B51" s="181"/>
      <c r="C51" s="249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2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  <c r="AN51" s="203"/>
      <c r="AO51" s="203"/>
    </row>
    <row r="52" spans="1:41" s="155" customFormat="1" ht="12" hidden="1" x14ac:dyDescent="0.2">
      <c r="A52" s="181">
        <v>19</v>
      </c>
      <c r="B52" s="181"/>
      <c r="C52" s="250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2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  <c r="AN52" s="203"/>
      <c r="AO52" s="203"/>
    </row>
    <row r="53" spans="1:41" s="155" customFormat="1" ht="12" hidden="1" x14ac:dyDescent="0.2">
      <c r="A53" s="181">
        <v>20</v>
      </c>
      <c r="B53" s="181"/>
      <c r="C53" s="250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2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  <c r="AN53" s="203"/>
      <c r="AO53" s="203"/>
    </row>
    <row r="54" spans="1:41" s="155" customFormat="1" ht="12.75" customHeight="1" x14ac:dyDescent="0.2">
      <c r="A54" s="164" t="s">
        <v>76</v>
      </c>
      <c r="B54" s="204"/>
      <c r="C54" s="251"/>
      <c r="D54" s="432">
        <f t="shared" ref="D54:D117" si="8">E54+SUM(H54:O54)</f>
        <v>698795574</v>
      </c>
      <c r="E54" s="432">
        <f>SUM(E55:E143)</f>
        <v>332762805</v>
      </c>
      <c r="F54" s="432">
        <f t="shared" ref="F54:O54" si="9">SUM(F55:F143)</f>
        <v>77385029</v>
      </c>
      <c r="G54" s="432">
        <f t="shared" si="9"/>
        <v>107801964</v>
      </c>
      <c r="H54" s="432">
        <f t="shared" si="9"/>
        <v>0</v>
      </c>
      <c r="I54" s="432">
        <f t="shared" si="9"/>
        <v>140241773</v>
      </c>
      <c r="J54" s="432">
        <f t="shared" si="9"/>
        <v>10818704</v>
      </c>
      <c r="K54" s="432">
        <f t="shared" si="9"/>
        <v>56866167</v>
      </c>
      <c r="L54" s="432">
        <f t="shared" si="9"/>
        <v>0</v>
      </c>
      <c r="M54" s="432">
        <f t="shared" si="9"/>
        <v>102059564</v>
      </c>
      <c r="N54" s="432">
        <f t="shared" si="9"/>
        <v>52887127</v>
      </c>
      <c r="O54" s="432">
        <f t="shared" si="9"/>
        <v>3159434</v>
      </c>
      <c r="P54" s="432">
        <f t="shared" si="2"/>
        <v>673308228</v>
      </c>
      <c r="Q54" s="432">
        <f>SUM(Q55:Q143)</f>
        <v>167395805</v>
      </c>
      <c r="R54" s="432">
        <f t="shared" ref="R54:AM54" si="10">SUM(R55:R143)</f>
        <v>170330812</v>
      </c>
      <c r="S54" s="432">
        <f t="shared" si="10"/>
        <v>1326230</v>
      </c>
      <c r="T54" s="432">
        <f t="shared" si="10"/>
        <v>1261388</v>
      </c>
      <c r="U54" s="432">
        <f t="shared" si="10"/>
        <v>617324</v>
      </c>
      <c r="V54" s="432">
        <f t="shared" si="10"/>
        <v>215311</v>
      </c>
      <c r="W54" s="432">
        <f t="shared" si="10"/>
        <v>84831008</v>
      </c>
      <c r="X54" s="432">
        <f t="shared" si="10"/>
        <v>14179045</v>
      </c>
      <c r="Y54" s="432">
        <f t="shared" si="10"/>
        <v>3836010</v>
      </c>
      <c r="Z54" s="432">
        <f t="shared" si="10"/>
        <v>221269955</v>
      </c>
      <c r="AA54" s="432">
        <f t="shared" si="10"/>
        <v>8957981</v>
      </c>
      <c r="AB54" s="432">
        <f t="shared" si="10"/>
        <v>-912641</v>
      </c>
      <c r="AC54" s="432">
        <f t="shared" si="10"/>
        <v>109220379</v>
      </c>
      <c r="AD54" s="432">
        <f t="shared" si="10"/>
        <v>7389296</v>
      </c>
      <c r="AE54" s="432">
        <f t="shared" si="10"/>
        <v>138751827</v>
      </c>
      <c r="AF54" s="432">
        <f t="shared" si="10"/>
        <v>622788</v>
      </c>
      <c r="AG54" s="432">
        <f t="shared" si="10"/>
        <v>55705170</v>
      </c>
      <c r="AH54" s="432">
        <f t="shared" si="10"/>
        <v>31839843</v>
      </c>
      <c r="AI54" s="432">
        <f t="shared" si="10"/>
        <v>94212097</v>
      </c>
      <c r="AJ54" s="432">
        <f t="shared" si="10"/>
        <v>40946138</v>
      </c>
      <c r="AK54" s="432">
        <f t="shared" si="10"/>
        <v>0</v>
      </c>
      <c r="AL54" s="432">
        <f>SUM(AL55:AL143)</f>
        <v>189707830</v>
      </c>
      <c r="AM54" s="432">
        <f t="shared" si="10"/>
        <v>4912860</v>
      </c>
      <c r="AN54" s="203"/>
      <c r="AO54" s="203"/>
    </row>
    <row r="55" spans="1:41" s="155" customFormat="1" ht="12" x14ac:dyDescent="0.2">
      <c r="A55" s="205">
        <v>1</v>
      </c>
      <c r="B55" s="578">
        <v>155546</v>
      </c>
      <c r="C55" s="224" t="s">
        <v>719</v>
      </c>
      <c r="D55" s="432">
        <f t="shared" si="8"/>
        <v>4988335</v>
      </c>
      <c r="E55" s="431">
        <v>1929749</v>
      </c>
      <c r="F55" s="431">
        <v>212636</v>
      </c>
      <c r="G55" s="431">
        <v>1356585</v>
      </c>
      <c r="H55" s="431">
        <v>0</v>
      </c>
      <c r="I55" s="431">
        <v>989416</v>
      </c>
      <c r="J55" s="431">
        <v>120000</v>
      </c>
      <c r="K55" s="431">
        <v>127000</v>
      </c>
      <c r="L55" s="431">
        <v>0</v>
      </c>
      <c r="M55" s="431">
        <v>242468</v>
      </c>
      <c r="N55" s="431">
        <v>1579702</v>
      </c>
      <c r="O55" s="431"/>
      <c r="P55" s="432">
        <f t="shared" si="2"/>
        <v>3675854</v>
      </c>
      <c r="Q55" s="431">
        <v>1331568</v>
      </c>
      <c r="R55" s="431">
        <v>489232</v>
      </c>
      <c r="S55" s="431">
        <v>0</v>
      </c>
      <c r="T55" s="431">
        <v>0</v>
      </c>
      <c r="U55" s="431">
        <v>0</v>
      </c>
      <c r="V55" s="431">
        <v>0</v>
      </c>
      <c r="W55" s="431">
        <v>394656</v>
      </c>
      <c r="X55" s="431">
        <v>100742</v>
      </c>
      <c r="Y55" s="431">
        <v>0</v>
      </c>
      <c r="Z55" s="431">
        <v>1359756</v>
      </c>
      <c r="AA55" s="431">
        <v>0</v>
      </c>
      <c r="AB55" s="431">
        <v>-100</v>
      </c>
      <c r="AC55" s="431">
        <v>858685</v>
      </c>
      <c r="AD55" s="431">
        <v>0</v>
      </c>
      <c r="AE55" s="431">
        <v>850802</v>
      </c>
      <c r="AF55" s="431">
        <v>0</v>
      </c>
      <c r="AG55" s="431">
        <v>506269</v>
      </c>
      <c r="AH55" s="431">
        <v>186234</v>
      </c>
      <c r="AI55" s="431">
        <v>436694</v>
      </c>
      <c r="AJ55" s="431">
        <v>38169</v>
      </c>
      <c r="AK55" s="431">
        <v>0</v>
      </c>
      <c r="AL55" s="431">
        <v>320933</v>
      </c>
      <c r="AM55" s="440">
        <v>478068</v>
      </c>
      <c r="AN55" s="203"/>
      <c r="AO55" s="203"/>
    </row>
    <row r="56" spans="1:41" s="155" customFormat="1" ht="12" x14ac:dyDescent="0.2">
      <c r="A56" s="205">
        <v>2</v>
      </c>
      <c r="B56" s="578">
        <v>155591</v>
      </c>
      <c r="C56" s="224" t="s">
        <v>720</v>
      </c>
      <c r="D56" s="432">
        <f t="shared" si="8"/>
        <v>5675389</v>
      </c>
      <c r="E56" s="431">
        <v>2809099</v>
      </c>
      <c r="F56" s="431">
        <v>277149</v>
      </c>
      <c r="G56" s="431">
        <v>1501758</v>
      </c>
      <c r="H56" s="431">
        <v>0</v>
      </c>
      <c r="I56" s="431">
        <v>1462761</v>
      </c>
      <c r="J56" s="431">
        <v>180000</v>
      </c>
      <c r="K56" s="431">
        <v>1025000</v>
      </c>
      <c r="L56" s="431">
        <v>0</v>
      </c>
      <c r="M56" s="431">
        <v>48408</v>
      </c>
      <c r="N56" s="431">
        <v>150121</v>
      </c>
      <c r="O56" s="431"/>
      <c r="P56" s="432">
        <f t="shared" si="2"/>
        <v>5674805</v>
      </c>
      <c r="Q56" s="431">
        <v>2020023</v>
      </c>
      <c r="R56" s="431">
        <v>2156085</v>
      </c>
      <c r="S56" s="431">
        <v>0</v>
      </c>
      <c r="T56" s="431">
        <v>0</v>
      </c>
      <c r="U56" s="431">
        <v>0</v>
      </c>
      <c r="V56" s="431">
        <v>0</v>
      </c>
      <c r="W56" s="431">
        <v>0</v>
      </c>
      <c r="X56" s="431">
        <v>124771</v>
      </c>
      <c r="Y56" s="431">
        <v>0</v>
      </c>
      <c r="Z56" s="431">
        <v>1417666</v>
      </c>
      <c r="AA56" s="431">
        <v>0</v>
      </c>
      <c r="AB56" s="431">
        <v>-43740</v>
      </c>
      <c r="AC56" s="431">
        <v>1444607</v>
      </c>
      <c r="AD56" s="431">
        <v>0</v>
      </c>
      <c r="AE56" s="431">
        <v>1180649</v>
      </c>
      <c r="AF56" s="431">
        <v>0</v>
      </c>
      <c r="AG56" s="431">
        <v>450720</v>
      </c>
      <c r="AH56" s="431">
        <v>398704</v>
      </c>
      <c r="AI56" s="431">
        <v>949797</v>
      </c>
      <c r="AJ56" s="431">
        <v>252281</v>
      </c>
      <c r="AK56" s="431">
        <v>0</v>
      </c>
      <c r="AL56" s="431">
        <v>984168</v>
      </c>
      <c r="AM56" s="440">
        <v>13879</v>
      </c>
      <c r="AN56" s="203"/>
      <c r="AO56" s="203"/>
    </row>
    <row r="57" spans="1:41" s="155" customFormat="1" ht="12" x14ac:dyDescent="0.2">
      <c r="A57" s="205">
        <v>3</v>
      </c>
      <c r="B57" s="578">
        <v>155662</v>
      </c>
      <c r="C57" s="224" t="s">
        <v>721</v>
      </c>
      <c r="D57" s="432">
        <f t="shared" si="8"/>
        <v>2099654</v>
      </c>
      <c r="E57" s="431">
        <v>1844875</v>
      </c>
      <c r="F57" s="431">
        <v>28459</v>
      </c>
      <c r="G57" s="431">
        <v>1535109</v>
      </c>
      <c r="H57" s="431">
        <v>0</v>
      </c>
      <c r="I57" s="431">
        <v>87700</v>
      </c>
      <c r="J57" s="431">
        <v>70000</v>
      </c>
      <c r="K57" s="431">
        <v>94000</v>
      </c>
      <c r="L57" s="431">
        <v>0</v>
      </c>
      <c r="M57" s="431">
        <v>3079</v>
      </c>
      <c r="N57" s="431">
        <v>0</v>
      </c>
      <c r="O57" s="431"/>
      <c r="P57" s="432">
        <f t="shared" si="2"/>
        <v>2006655</v>
      </c>
      <c r="Q57" s="431">
        <v>367188</v>
      </c>
      <c r="R57" s="431">
        <v>1510667</v>
      </c>
      <c r="S57" s="431">
        <v>0</v>
      </c>
      <c r="T57" s="431">
        <v>0</v>
      </c>
      <c r="U57" s="431">
        <v>0</v>
      </c>
      <c r="V57" s="431">
        <v>0</v>
      </c>
      <c r="W57" s="431">
        <v>0</v>
      </c>
      <c r="X57" s="431">
        <v>4079</v>
      </c>
      <c r="Y57" s="431">
        <v>50000</v>
      </c>
      <c r="Z57" s="431">
        <v>26306</v>
      </c>
      <c r="AA57" s="431">
        <v>48415</v>
      </c>
      <c r="AB57" s="431">
        <v>0</v>
      </c>
      <c r="AC57" s="431">
        <v>574341</v>
      </c>
      <c r="AD57" s="431">
        <v>0</v>
      </c>
      <c r="AE57" s="431">
        <v>85568</v>
      </c>
      <c r="AF57" s="431">
        <v>0</v>
      </c>
      <c r="AG57" s="431">
        <v>409295</v>
      </c>
      <c r="AH57" s="431">
        <v>18781</v>
      </c>
      <c r="AI57" s="431">
        <v>170994</v>
      </c>
      <c r="AJ57" s="431">
        <v>0</v>
      </c>
      <c r="AK57" s="431">
        <v>0</v>
      </c>
      <c r="AL57" s="431">
        <v>620187</v>
      </c>
      <c r="AM57" s="440">
        <v>127489</v>
      </c>
      <c r="AN57" s="203"/>
      <c r="AO57" s="203"/>
    </row>
    <row r="58" spans="1:41" s="155" customFormat="1" ht="12" x14ac:dyDescent="0.2">
      <c r="A58" s="205">
        <v>4</v>
      </c>
      <c r="B58" s="578">
        <v>155724</v>
      </c>
      <c r="C58" s="224" t="s">
        <v>722</v>
      </c>
      <c r="D58" s="432">
        <f t="shared" si="8"/>
        <v>3079953</v>
      </c>
      <c r="E58" s="431">
        <v>1820602</v>
      </c>
      <c r="F58" s="431">
        <v>317283</v>
      </c>
      <c r="G58" s="431">
        <v>887715</v>
      </c>
      <c r="H58" s="431">
        <v>0</v>
      </c>
      <c r="I58" s="431">
        <v>965695</v>
      </c>
      <c r="J58" s="431">
        <v>0</v>
      </c>
      <c r="K58" s="431">
        <v>285000</v>
      </c>
      <c r="L58" s="431">
        <v>0</v>
      </c>
      <c r="M58" s="431">
        <v>8656</v>
      </c>
      <c r="N58" s="431">
        <v>0</v>
      </c>
      <c r="O58" s="431"/>
      <c r="P58" s="432">
        <f t="shared" si="2"/>
        <v>3087406</v>
      </c>
      <c r="Q58" s="431">
        <v>1176863</v>
      </c>
      <c r="R58" s="431">
        <v>928838</v>
      </c>
      <c r="S58" s="431">
        <v>0</v>
      </c>
      <c r="T58" s="431">
        <v>0</v>
      </c>
      <c r="U58" s="431">
        <v>140000</v>
      </c>
      <c r="V58" s="431">
        <v>0</v>
      </c>
      <c r="W58" s="431">
        <v>0</v>
      </c>
      <c r="X58" s="431">
        <v>114970</v>
      </c>
      <c r="Y58" s="431">
        <v>5971</v>
      </c>
      <c r="Z58" s="431">
        <v>720764</v>
      </c>
      <c r="AA58" s="431">
        <v>0</v>
      </c>
      <c r="AB58" s="431">
        <v>0</v>
      </c>
      <c r="AC58" s="431">
        <v>677272</v>
      </c>
      <c r="AD58" s="431">
        <v>5347</v>
      </c>
      <c r="AE58" s="431">
        <v>902558</v>
      </c>
      <c r="AF58" s="431">
        <v>0</v>
      </c>
      <c r="AG58" s="431">
        <v>115853</v>
      </c>
      <c r="AH58" s="431">
        <v>116550</v>
      </c>
      <c r="AI58" s="431">
        <v>1014841</v>
      </c>
      <c r="AJ58" s="431">
        <v>39089</v>
      </c>
      <c r="AK58" s="431">
        <v>0</v>
      </c>
      <c r="AL58" s="431">
        <v>215896</v>
      </c>
      <c r="AM58" s="440"/>
      <c r="AN58" s="203"/>
      <c r="AO58" s="203"/>
    </row>
    <row r="59" spans="1:41" s="155" customFormat="1" ht="12" x14ac:dyDescent="0.2">
      <c r="A59" s="205">
        <v>5</v>
      </c>
      <c r="B59" s="578">
        <v>155760</v>
      </c>
      <c r="C59" s="224" t="s">
        <v>723</v>
      </c>
      <c r="D59" s="432">
        <f t="shared" si="8"/>
        <v>6498039</v>
      </c>
      <c r="E59" s="431">
        <v>3324162</v>
      </c>
      <c r="F59" s="431">
        <v>384557</v>
      </c>
      <c r="G59" s="431">
        <v>1027983</v>
      </c>
      <c r="H59" s="431">
        <v>0</v>
      </c>
      <c r="I59" s="431">
        <v>1235120</v>
      </c>
      <c r="J59" s="431">
        <v>0</v>
      </c>
      <c r="K59" s="431">
        <v>1005000</v>
      </c>
      <c r="L59" s="431">
        <v>0</v>
      </c>
      <c r="M59" s="431">
        <v>178751</v>
      </c>
      <c r="N59" s="431">
        <v>755006</v>
      </c>
      <c r="O59" s="431"/>
      <c r="P59" s="432">
        <f t="shared" si="2"/>
        <v>6129956</v>
      </c>
      <c r="Q59" s="431">
        <v>1939768</v>
      </c>
      <c r="R59" s="431">
        <v>2592872</v>
      </c>
      <c r="S59" s="431">
        <v>0</v>
      </c>
      <c r="T59" s="431">
        <v>0</v>
      </c>
      <c r="U59" s="431">
        <v>0</v>
      </c>
      <c r="V59" s="431">
        <v>78620</v>
      </c>
      <c r="W59" s="431">
        <v>571161</v>
      </c>
      <c r="X59" s="431">
        <v>104469</v>
      </c>
      <c r="Y59" s="431">
        <v>99472</v>
      </c>
      <c r="Z59" s="431">
        <v>743594</v>
      </c>
      <c r="AA59" s="431">
        <v>0</v>
      </c>
      <c r="AB59" s="431">
        <v>0</v>
      </c>
      <c r="AC59" s="431">
        <v>1242158</v>
      </c>
      <c r="AD59" s="431">
        <v>17652</v>
      </c>
      <c r="AE59" s="431">
        <v>1602846</v>
      </c>
      <c r="AF59" s="431">
        <v>0</v>
      </c>
      <c r="AG59" s="431">
        <v>294434</v>
      </c>
      <c r="AH59" s="431">
        <v>341091</v>
      </c>
      <c r="AI59" s="431">
        <v>1174325</v>
      </c>
      <c r="AJ59" s="431">
        <v>245832</v>
      </c>
      <c r="AK59" s="431">
        <v>0</v>
      </c>
      <c r="AL59" s="431">
        <v>1211618</v>
      </c>
      <c r="AM59" s="440"/>
      <c r="AN59" s="203"/>
      <c r="AO59" s="203"/>
    </row>
    <row r="60" spans="1:41" s="155" customFormat="1" ht="12" x14ac:dyDescent="0.2">
      <c r="A60" s="205">
        <v>6</v>
      </c>
      <c r="B60" s="578">
        <v>155797</v>
      </c>
      <c r="C60" s="224" t="s">
        <v>724</v>
      </c>
      <c r="D60" s="432">
        <f t="shared" si="8"/>
        <v>5855729</v>
      </c>
      <c r="E60" s="431">
        <v>2885742</v>
      </c>
      <c r="F60" s="431">
        <v>1210784</v>
      </c>
      <c r="G60" s="431">
        <v>463966</v>
      </c>
      <c r="H60" s="431">
        <v>0</v>
      </c>
      <c r="I60" s="431">
        <v>1137429</v>
      </c>
      <c r="J60" s="431">
        <v>133000</v>
      </c>
      <c r="K60" s="431">
        <v>209000</v>
      </c>
      <c r="L60" s="431">
        <v>0</v>
      </c>
      <c r="M60" s="431">
        <v>348101</v>
      </c>
      <c r="N60" s="431">
        <v>1142457</v>
      </c>
      <c r="O60" s="431"/>
      <c r="P60" s="432">
        <f t="shared" si="2"/>
        <v>6639200</v>
      </c>
      <c r="Q60" s="431">
        <v>1296871</v>
      </c>
      <c r="R60" s="431">
        <v>1140922</v>
      </c>
      <c r="S60" s="431">
        <v>0</v>
      </c>
      <c r="T60" s="431">
        <v>0</v>
      </c>
      <c r="U60" s="431">
        <v>0</v>
      </c>
      <c r="V60" s="431">
        <v>0</v>
      </c>
      <c r="W60" s="431">
        <v>2666242</v>
      </c>
      <c r="X60" s="431">
        <v>191918</v>
      </c>
      <c r="Y60" s="431">
        <v>118819</v>
      </c>
      <c r="Z60" s="431">
        <v>1239081</v>
      </c>
      <c r="AA60" s="431">
        <v>0</v>
      </c>
      <c r="AB60" s="431">
        <v>-14653</v>
      </c>
      <c r="AC60" s="431">
        <v>1080964</v>
      </c>
      <c r="AD60" s="431">
        <v>0</v>
      </c>
      <c r="AE60" s="431">
        <v>1066543</v>
      </c>
      <c r="AF60" s="431">
        <v>0</v>
      </c>
      <c r="AG60" s="431">
        <v>315097</v>
      </c>
      <c r="AH60" s="431">
        <v>189572</v>
      </c>
      <c r="AI60" s="431">
        <v>306812</v>
      </c>
      <c r="AJ60" s="431">
        <v>0</v>
      </c>
      <c r="AK60" s="431">
        <v>0</v>
      </c>
      <c r="AL60" s="431">
        <v>3680212</v>
      </c>
      <c r="AM60" s="440"/>
      <c r="AN60" s="203"/>
      <c r="AO60" s="203"/>
    </row>
    <row r="61" spans="1:41" s="155" customFormat="1" ht="12" x14ac:dyDescent="0.2">
      <c r="A61" s="205">
        <v>7</v>
      </c>
      <c r="B61" s="578">
        <v>155840</v>
      </c>
      <c r="C61" s="224" t="s">
        <v>725</v>
      </c>
      <c r="D61" s="432">
        <f t="shared" si="8"/>
        <v>5360003</v>
      </c>
      <c r="E61" s="431">
        <v>2504064</v>
      </c>
      <c r="F61" s="431">
        <v>170739</v>
      </c>
      <c r="G61" s="431">
        <v>1695976</v>
      </c>
      <c r="H61" s="431">
        <v>0</v>
      </c>
      <c r="I61" s="431">
        <v>1990045</v>
      </c>
      <c r="J61" s="431">
        <v>130000</v>
      </c>
      <c r="K61" s="431">
        <v>340000</v>
      </c>
      <c r="L61" s="431">
        <v>0</v>
      </c>
      <c r="M61" s="431">
        <v>120812</v>
      </c>
      <c r="N61" s="431">
        <v>275082</v>
      </c>
      <c r="O61" s="431"/>
      <c r="P61" s="432">
        <f t="shared" si="2"/>
        <v>5401956</v>
      </c>
      <c r="Q61" s="431">
        <v>2172815</v>
      </c>
      <c r="R61" s="431">
        <v>1765749</v>
      </c>
      <c r="S61" s="431">
        <v>0</v>
      </c>
      <c r="T61" s="431">
        <v>0</v>
      </c>
      <c r="U61" s="431">
        <v>0</v>
      </c>
      <c r="V61" s="431">
        <v>0</v>
      </c>
      <c r="W61" s="431">
        <v>415471</v>
      </c>
      <c r="X61" s="431">
        <v>283280</v>
      </c>
      <c r="Y61" s="431">
        <v>0</v>
      </c>
      <c r="Z61" s="431">
        <v>570691</v>
      </c>
      <c r="AA61" s="431">
        <v>193950</v>
      </c>
      <c r="AB61" s="431">
        <v>0</v>
      </c>
      <c r="AC61" s="431">
        <v>1726301</v>
      </c>
      <c r="AD61" s="431">
        <v>0</v>
      </c>
      <c r="AE61" s="431">
        <v>1800747</v>
      </c>
      <c r="AF61" s="431">
        <v>0</v>
      </c>
      <c r="AG61" s="431">
        <v>1001732</v>
      </c>
      <c r="AH61" s="431">
        <v>539575</v>
      </c>
      <c r="AI61" s="431">
        <v>147418</v>
      </c>
      <c r="AJ61" s="431">
        <v>18571</v>
      </c>
      <c r="AK61" s="431">
        <v>0</v>
      </c>
      <c r="AL61" s="431">
        <v>94910</v>
      </c>
      <c r="AM61" s="440">
        <v>72702</v>
      </c>
      <c r="AN61" s="203"/>
      <c r="AO61" s="203"/>
    </row>
    <row r="62" spans="1:41" s="155" customFormat="1" ht="12" x14ac:dyDescent="0.2">
      <c r="A62" s="205">
        <v>8</v>
      </c>
      <c r="B62" s="578">
        <v>155911</v>
      </c>
      <c r="C62" s="224" t="s">
        <v>726</v>
      </c>
      <c r="D62" s="432">
        <f t="shared" si="8"/>
        <v>8148264</v>
      </c>
      <c r="E62" s="431">
        <v>3442625</v>
      </c>
      <c r="F62" s="431">
        <v>1096319</v>
      </c>
      <c r="G62" s="431">
        <v>793549</v>
      </c>
      <c r="H62" s="431">
        <v>0</v>
      </c>
      <c r="I62" s="431">
        <v>2985185</v>
      </c>
      <c r="J62" s="431">
        <v>60000</v>
      </c>
      <c r="K62" s="431">
        <v>975000</v>
      </c>
      <c r="L62" s="431">
        <v>0</v>
      </c>
      <c r="M62" s="431">
        <v>194227</v>
      </c>
      <c r="N62" s="431">
        <v>491227</v>
      </c>
      <c r="O62" s="431"/>
      <c r="P62" s="432">
        <f t="shared" si="2"/>
        <v>7368259</v>
      </c>
      <c r="Q62" s="431">
        <v>3556732</v>
      </c>
      <c r="R62" s="431">
        <v>1861773</v>
      </c>
      <c r="S62" s="431">
        <v>0</v>
      </c>
      <c r="T62" s="431">
        <v>0</v>
      </c>
      <c r="U62" s="431">
        <v>0</v>
      </c>
      <c r="V62" s="431">
        <v>0</v>
      </c>
      <c r="W62" s="431">
        <v>617665</v>
      </c>
      <c r="X62" s="431">
        <v>190427</v>
      </c>
      <c r="Y62" s="431">
        <v>19819</v>
      </c>
      <c r="Z62" s="431">
        <v>1121843</v>
      </c>
      <c r="AA62" s="431">
        <v>0</v>
      </c>
      <c r="AB62" s="431">
        <v>0</v>
      </c>
      <c r="AC62" s="431">
        <v>1169763</v>
      </c>
      <c r="AD62" s="431">
        <v>140328</v>
      </c>
      <c r="AE62" s="431">
        <v>2815000</v>
      </c>
      <c r="AF62" s="431">
        <v>0</v>
      </c>
      <c r="AG62" s="431">
        <v>904890</v>
      </c>
      <c r="AH62" s="431">
        <v>376904</v>
      </c>
      <c r="AI62" s="431">
        <v>768915</v>
      </c>
      <c r="AJ62" s="431">
        <v>332985</v>
      </c>
      <c r="AK62" s="431">
        <v>0</v>
      </c>
      <c r="AL62" s="431">
        <v>859474</v>
      </c>
      <c r="AM62" s="440"/>
      <c r="AN62" s="203"/>
      <c r="AO62" s="203"/>
    </row>
    <row r="63" spans="1:41" s="155" customFormat="1" ht="12" x14ac:dyDescent="0.2">
      <c r="A63" s="205">
        <v>9</v>
      </c>
      <c r="B63" s="578">
        <v>159366</v>
      </c>
      <c r="C63" s="224" t="s">
        <v>727</v>
      </c>
      <c r="D63" s="432">
        <f t="shared" si="8"/>
        <v>6605189</v>
      </c>
      <c r="E63" s="431">
        <v>2907243</v>
      </c>
      <c r="F63" s="431">
        <v>531400</v>
      </c>
      <c r="G63" s="431">
        <v>1143729</v>
      </c>
      <c r="H63" s="431">
        <v>0</v>
      </c>
      <c r="I63" s="431">
        <v>946281</v>
      </c>
      <c r="J63" s="431">
        <v>100000</v>
      </c>
      <c r="K63" s="431">
        <v>711000</v>
      </c>
      <c r="L63" s="431">
        <v>0</v>
      </c>
      <c r="M63" s="431">
        <v>1649922</v>
      </c>
      <c r="N63" s="431">
        <v>276243</v>
      </c>
      <c r="O63" s="431">
        <v>14500</v>
      </c>
      <c r="P63" s="432">
        <f t="shared" si="2"/>
        <v>5028407</v>
      </c>
      <c r="Q63" s="431">
        <v>1314201</v>
      </c>
      <c r="R63" s="431">
        <v>1211560</v>
      </c>
      <c r="S63" s="431">
        <v>0</v>
      </c>
      <c r="T63" s="431">
        <v>0</v>
      </c>
      <c r="U63" s="431">
        <v>0</v>
      </c>
      <c r="V63" s="431">
        <v>0</v>
      </c>
      <c r="W63" s="431">
        <v>0</v>
      </c>
      <c r="X63" s="431">
        <v>64562</v>
      </c>
      <c r="Y63" s="431">
        <v>7711</v>
      </c>
      <c r="Z63" s="431">
        <v>2430373</v>
      </c>
      <c r="AA63" s="431">
        <v>0</v>
      </c>
      <c r="AB63" s="431">
        <v>0</v>
      </c>
      <c r="AC63" s="431">
        <v>1147695</v>
      </c>
      <c r="AD63" s="431">
        <v>8774</v>
      </c>
      <c r="AE63" s="431">
        <v>964566</v>
      </c>
      <c r="AF63" s="431">
        <v>0</v>
      </c>
      <c r="AG63" s="431">
        <v>573948</v>
      </c>
      <c r="AH63" s="431">
        <v>112394</v>
      </c>
      <c r="AI63" s="431">
        <v>142121</v>
      </c>
      <c r="AJ63" s="431">
        <v>333504</v>
      </c>
      <c r="AK63" s="431">
        <v>0</v>
      </c>
      <c r="AL63" s="431">
        <v>1723972</v>
      </c>
      <c r="AM63" s="440">
        <v>21433</v>
      </c>
      <c r="AN63" s="203"/>
      <c r="AO63" s="203"/>
    </row>
    <row r="64" spans="1:41" s="155" customFormat="1" ht="12" x14ac:dyDescent="0.2">
      <c r="A64" s="205">
        <v>10</v>
      </c>
      <c r="B64" s="578">
        <v>155957</v>
      </c>
      <c r="C64" s="224" t="s">
        <v>728</v>
      </c>
      <c r="D64" s="432">
        <f t="shared" si="8"/>
        <v>3270411</v>
      </c>
      <c r="E64" s="431">
        <v>1691896</v>
      </c>
      <c r="F64" s="431">
        <v>61594</v>
      </c>
      <c r="G64" s="431">
        <v>1347757</v>
      </c>
      <c r="H64" s="431">
        <v>0</v>
      </c>
      <c r="I64" s="431">
        <v>1037006</v>
      </c>
      <c r="J64" s="431">
        <v>170000</v>
      </c>
      <c r="K64" s="431">
        <v>163000</v>
      </c>
      <c r="L64" s="431">
        <v>0</v>
      </c>
      <c r="M64" s="431">
        <v>48631</v>
      </c>
      <c r="N64" s="431">
        <v>159877</v>
      </c>
      <c r="O64" s="431">
        <v>1</v>
      </c>
      <c r="P64" s="432">
        <f t="shared" si="2"/>
        <v>3217303</v>
      </c>
      <c r="Q64" s="431">
        <v>1179632</v>
      </c>
      <c r="R64" s="431">
        <v>1138195</v>
      </c>
      <c r="S64" s="431">
        <v>0</v>
      </c>
      <c r="T64" s="431">
        <v>0</v>
      </c>
      <c r="U64" s="431">
        <v>0</v>
      </c>
      <c r="V64" s="431">
        <v>0</v>
      </c>
      <c r="W64" s="431">
        <v>114347</v>
      </c>
      <c r="X64" s="431">
        <v>160926</v>
      </c>
      <c r="Y64" s="431">
        <v>0</v>
      </c>
      <c r="Z64" s="431">
        <v>624203</v>
      </c>
      <c r="AA64" s="431">
        <v>0</v>
      </c>
      <c r="AB64" s="431">
        <v>0</v>
      </c>
      <c r="AC64" s="431">
        <v>1198749</v>
      </c>
      <c r="AD64" s="431">
        <v>0</v>
      </c>
      <c r="AE64" s="431">
        <v>873963</v>
      </c>
      <c r="AF64" s="431">
        <v>0</v>
      </c>
      <c r="AG64" s="431">
        <v>92703</v>
      </c>
      <c r="AH64" s="431">
        <v>194718</v>
      </c>
      <c r="AI64" s="431">
        <v>0</v>
      </c>
      <c r="AJ64" s="431">
        <v>46753</v>
      </c>
      <c r="AK64" s="431">
        <v>0</v>
      </c>
      <c r="AL64" s="431">
        <v>810417</v>
      </c>
      <c r="AM64" s="440"/>
      <c r="AN64" s="203"/>
      <c r="AO64" s="203"/>
    </row>
    <row r="65" spans="1:41" s="155" customFormat="1" ht="12" x14ac:dyDescent="0.2">
      <c r="A65" s="205">
        <v>11</v>
      </c>
      <c r="B65" s="578">
        <v>156035</v>
      </c>
      <c r="C65" s="224" t="s">
        <v>729</v>
      </c>
      <c r="D65" s="432">
        <f t="shared" si="8"/>
        <v>2278242</v>
      </c>
      <c r="E65" s="431">
        <v>1549533</v>
      </c>
      <c r="F65" s="431">
        <v>42176</v>
      </c>
      <c r="G65" s="431">
        <v>1243781</v>
      </c>
      <c r="H65" s="431">
        <v>0</v>
      </c>
      <c r="I65" s="431">
        <v>173416</v>
      </c>
      <c r="J65" s="431">
        <v>50000</v>
      </c>
      <c r="K65" s="431">
        <v>58000</v>
      </c>
      <c r="L65" s="431">
        <v>0</v>
      </c>
      <c r="M65" s="431">
        <v>400048</v>
      </c>
      <c r="N65" s="431">
        <v>0</v>
      </c>
      <c r="O65" s="431">
        <v>47245</v>
      </c>
      <c r="P65" s="432">
        <f t="shared" si="2"/>
        <v>1997928</v>
      </c>
      <c r="Q65" s="431">
        <v>412981</v>
      </c>
      <c r="R65" s="431">
        <v>827210</v>
      </c>
      <c r="S65" s="431">
        <v>0</v>
      </c>
      <c r="T65" s="431">
        <v>0</v>
      </c>
      <c r="U65" s="431">
        <v>0</v>
      </c>
      <c r="V65" s="431">
        <v>0</v>
      </c>
      <c r="W65" s="431">
        <v>0</v>
      </c>
      <c r="X65" s="431">
        <v>51362</v>
      </c>
      <c r="Y65" s="431">
        <v>0</v>
      </c>
      <c r="Z65" s="431">
        <v>706375</v>
      </c>
      <c r="AA65" s="431">
        <v>0</v>
      </c>
      <c r="AB65" s="431">
        <v>0</v>
      </c>
      <c r="AC65" s="431">
        <v>504475</v>
      </c>
      <c r="AD65" s="431">
        <v>2526</v>
      </c>
      <c r="AE65" s="431">
        <v>90416</v>
      </c>
      <c r="AF65" s="431">
        <v>0</v>
      </c>
      <c r="AG65" s="431">
        <v>46478</v>
      </c>
      <c r="AH65" s="431">
        <v>133475</v>
      </c>
      <c r="AI65" s="431">
        <v>685492</v>
      </c>
      <c r="AJ65" s="431">
        <v>100242</v>
      </c>
      <c r="AK65" s="431">
        <v>0</v>
      </c>
      <c r="AL65" s="431">
        <v>434824</v>
      </c>
      <c r="AM65" s="440"/>
      <c r="AN65" s="203"/>
      <c r="AO65" s="203"/>
    </row>
    <row r="66" spans="1:41" s="155" customFormat="1" ht="12" x14ac:dyDescent="0.2">
      <c r="A66" s="205">
        <v>12</v>
      </c>
      <c r="B66" s="578">
        <v>156106</v>
      </c>
      <c r="C66" s="224" t="s">
        <v>730</v>
      </c>
      <c r="D66" s="432">
        <f t="shared" si="8"/>
        <v>7895449</v>
      </c>
      <c r="E66" s="431">
        <v>2775056</v>
      </c>
      <c r="F66" s="431">
        <v>285153</v>
      </c>
      <c r="G66" s="431">
        <v>942645</v>
      </c>
      <c r="H66" s="431">
        <v>0</v>
      </c>
      <c r="I66" s="431">
        <v>1298399</v>
      </c>
      <c r="J66" s="431">
        <v>130000</v>
      </c>
      <c r="K66" s="431">
        <v>974000</v>
      </c>
      <c r="L66" s="431">
        <v>0</v>
      </c>
      <c r="M66" s="431">
        <v>1622223</v>
      </c>
      <c r="N66" s="431">
        <v>0</v>
      </c>
      <c r="O66" s="431">
        <v>1095771</v>
      </c>
      <c r="P66" s="432">
        <f t="shared" si="2"/>
        <v>6474793</v>
      </c>
      <c r="Q66" s="431">
        <v>1669597</v>
      </c>
      <c r="R66" s="431">
        <v>1317260</v>
      </c>
      <c r="S66" s="431">
        <v>20606</v>
      </c>
      <c r="T66" s="431">
        <v>0</v>
      </c>
      <c r="U66" s="431">
        <v>0</v>
      </c>
      <c r="V66" s="431">
        <v>0</v>
      </c>
      <c r="W66" s="431">
        <v>0</v>
      </c>
      <c r="X66" s="431">
        <v>97929</v>
      </c>
      <c r="Y66" s="431">
        <v>0</v>
      </c>
      <c r="Z66" s="431">
        <v>3249893</v>
      </c>
      <c r="AA66" s="431">
        <v>127356</v>
      </c>
      <c r="AB66" s="431">
        <v>-7848</v>
      </c>
      <c r="AC66" s="431">
        <v>1122157</v>
      </c>
      <c r="AD66" s="431">
        <v>20765</v>
      </c>
      <c r="AE66" s="431">
        <v>1091017</v>
      </c>
      <c r="AF66" s="431">
        <v>0</v>
      </c>
      <c r="AG66" s="431">
        <v>232899</v>
      </c>
      <c r="AH66" s="431">
        <v>356843</v>
      </c>
      <c r="AI66" s="431">
        <v>201171</v>
      </c>
      <c r="AJ66" s="431">
        <v>1202778</v>
      </c>
      <c r="AK66" s="431">
        <v>0</v>
      </c>
      <c r="AL66" s="431">
        <v>2205273</v>
      </c>
      <c r="AM66" s="440">
        <v>41890</v>
      </c>
      <c r="AN66" s="203"/>
      <c r="AO66" s="203"/>
    </row>
    <row r="67" spans="1:41" s="155" customFormat="1" ht="12" x14ac:dyDescent="0.2">
      <c r="A67" s="205">
        <v>13</v>
      </c>
      <c r="B67" s="578">
        <v>156151</v>
      </c>
      <c r="C67" s="224" t="s">
        <v>731</v>
      </c>
      <c r="D67" s="432">
        <f t="shared" si="8"/>
        <v>2500962</v>
      </c>
      <c r="E67" s="431">
        <v>1847498</v>
      </c>
      <c r="F67" s="431">
        <v>34718</v>
      </c>
      <c r="G67" s="431">
        <v>1487044</v>
      </c>
      <c r="H67" s="431">
        <v>0</v>
      </c>
      <c r="I67" s="431">
        <v>421879</v>
      </c>
      <c r="J67" s="431">
        <v>133000</v>
      </c>
      <c r="K67" s="431">
        <v>93000</v>
      </c>
      <c r="L67" s="431">
        <v>0</v>
      </c>
      <c r="M67" s="431">
        <v>5585</v>
      </c>
      <c r="N67" s="431">
        <v>0</v>
      </c>
      <c r="O67" s="431"/>
      <c r="P67" s="432">
        <f t="shared" si="2"/>
        <v>1855165</v>
      </c>
      <c r="Q67" s="431">
        <v>625631</v>
      </c>
      <c r="R67" s="431">
        <v>684754</v>
      </c>
      <c r="S67" s="431">
        <v>0</v>
      </c>
      <c r="T67" s="431">
        <v>0</v>
      </c>
      <c r="U67" s="431">
        <v>0</v>
      </c>
      <c r="V67" s="431">
        <v>0</v>
      </c>
      <c r="W67" s="431">
        <v>0</v>
      </c>
      <c r="X67" s="431">
        <v>59595</v>
      </c>
      <c r="Y67" s="431">
        <v>52000</v>
      </c>
      <c r="Z67" s="431">
        <v>433185</v>
      </c>
      <c r="AA67" s="431">
        <v>0</v>
      </c>
      <c r="AB67" s="431">
        <v>0</v>
      </c>
      <c r="AC67" s="431">
        <v>698491</v>
      </c>
      <c r="AD67" s="431">
        <v>0</v>
      </c>
      <c r="AE67" s="431">
        <v>424086</v>
      </c>
      <c r="AF67" s="431">
        <v>0</v>
      </c>
      <c r="AG67" s="431">
        <v>243151</v>
      </c>
      <c r="AH67" s="431">
        <v>59595</v>
      </c>
      <c r="AI67" s="431">
        <v>195278</v>
      </c>
      <c r="AJ67" s="431">
        <v>0</v>
      </c>
      <c r="AK67" s="431">
        <v>0</v>
      </c>
      <c r="AL67" s="431">
        <v>234564</v>
      </c>
      <c r="AM67" s="440"/>
      <c r="AN67" s="203"/>
      <c r="AO67" s="203"/>
    </row>
    <row r="68" spans="1:41" s="155" customFormat="1" ht="12" x14ac:dyDescent="0.2">
      <c r="A68" s="205">
        <v>14</v>
      </c>
      <c r="B68" s="578">
        <v>159516</v>
      </c>
      <c r="C68" s="224" t="s">
        <v>732</v>
      </c>
      <c r="D68" s="432">
        <f t="shared" si="8"/>
        <v>4409327</v>
      </c>
      <c r="E68" s="431">
        <v>3115935</v>
      </c>
      <c r="F68" s="431">
        <v>127365</v>
      </c>
      <c r="G68" s="431">
        <v>1067219</v>
      </c>
      <c r="H68" s="431">
        <v>0</v>
      </c>
      <c r="I68" s="431">
        <v>784931</v>
      </c>
      <c r="J68" s="431">
        <v>0</v>
      </c>
      <c r="K68" s="431">
        <v>505000</v>
      </c>
      <c r="L68" s="431">
        <v>0</v>
      </c>
      <c r="M68" s="431">
        <v>3461</v>
      </c>
      <c r="N68" s="431">
        <v>0</v>
      </c>
      <c r="O68" s="431"/>
      <c r="P68" s="432">
        <f t="shared" si="2"/>
        <v>4011913</v>
      </c>
      <c r="Q68" s="431">
        <v>1079444</v>
      </c>
      <c r="R68" s="431">
        <v>1427032</v>
      </c>
      <c r="S68" s="431">
        <v>0</v>
      </c>
      <c r="T68" s="431">
        <v>0</v>
      </c>
      <c r="U68" s="431">
        <v>0</v>
      </c>
      <c r="V68" s="431">
        <v>0</v>
      </c>
      <c r="W68" s="431">
        <v>0</v>
      </c>
      <c r="X68" s="431">
        <v>31378</v>
      </c>
      <c r="Y68" s="431">
        <v>4461</v>
      </c>
      <c r="Z68" s="431">
        <v>1469598</v>
      </c>
      <c r="AA68" s="431">
        <v>0</v>
      </c>
      <c r="AB68" s="431">
        <v>0</v>
      </c>
      <c r="AC68" s="431">
        <v>584917</v>
      </c>
      <c r="AD68" s="431">
        <v>0</v>
      </c>
      <c r="AE68" s="431">
        <v>746181</v>
      </c>
      <c r="AF68" s="431">
        <v>79358</v>
      </c>
      <c r="AG68" s="431">
        <v>640725</v>
      </c>
      <c r="AH68" s="431">
        <v>163755</v>
      </c>
      <c r="AI68" s="431">
        <v>183827</v>
      </c>
      <c r="AJ68" s="431">
        <v>116294</v>
      </c>
      <c r="AK68" s="431">
        <v>0</v>
      </c>
      <c r="AL68" s="431">
        <v>1480848</v>
      </c>
      <c r="AM68" s="440">
        <v>16008</v>
      </c>
      <c r="AN68" s="203"/>
      <c r="AO68" s="203"/>
    </row>
    <row r="69" spans="1:41" s="155" customFormat="1" ht="12" x14ac:dyDescent="0.2">
      <c r="A69" s="205">
        <v>15</v>
      </c>
      <c r="B69" s="578">
        <v>156213</v>
      </c>
      <c r="C69" s="224" t="s">
        <v>733</v>
      </c>
      <c r="D69" s="432">
        <f t="shared" si="8"/>
        <v>10694072</v>
      </c>
      <c r="E69" s="431">
        <v>3207866</v>
      </c>
      <c r="F69" s="431">
        <v>486596</v>
      </c>
      <c r="G69" s="431">
        <v>1635160</v>
      </c>
      <c r="H69" s="431">
        <v>0</v>
      </c>
      <c r="I69" s="431">
        <v>2139415</v>
      </c>
      <c r="J69" s="431">
        <v>0</v>
      </c>
      <c r="K69" s="431">
        <v>1427000</v>
      </c>
      <c r="L69" s="431">
        <v>0</v>
      </c>
      <c r="M69" s="431">
        <v>3736594</v>
      </c>
      <c r="N69" s="431">
        <v>183197</v>
      </c>
      <c r="O69" s="431"/>
      <c r="P69" s="432">
        <f t="shared" si="2"/>
        <v>10055076</v>
      </c>
      <c r="Q69" s="431">
        <v>2283583</v>
      </c>
      <c r="R69" s="431">
        <v>1668897</v>
      </c>
      <c r="S69" s="431">
        <v>0</v>
      </c>
      <c r="T69" s="431">
        <v>0</v>
      </c>
      <c r="U69" s="431">
        <v>0</v>
      </c>
      <c r="V69" s="431">
        <v>0</v>
      </c>
      <c r="W69" s="431">
        <v>0</v>
      </c>
      <c r="X69" s="431">
        <v>305401</v>
      </c>
      <c r="Y69" s="431">
        <v>45052</v>
      </c>
      <c r="Z69" s="431">
        <v>5752143</v>
      </c>
      <c r="AA69" s="431">
        <v>0</v>
      </c>
      <c r="AB69" s="431">
        <v>0</v>
      </c>
      <c r="AC69" s="431">
        <v>658328</v>
      </c>
      <c r="AD69" s="431">
        <v>0</v>
      </c>
      <c r="AE69" s="431">
        <v>1950135</v>
      </c>
      <c r="AF69" s="431">
        <v>0</v>
      </c>
      <c r="AG69" s="431">
        <v>74476</v>
      </c>
      <c r="AH69" s="431">
        <v>305401</v>
      </c>
      <c r="AI69" s="431">
        <v>7066736</v>
      </c>
      <c r="AJ69" s="431">
        <v>0</v>
      </c>
      <c r="AK69" s="431">
        <v>0</v>
      </c>
      <c r="AL69" s="431">
        <v>0</v>
      </c>
      <c r="AM69" s="440"/>
      <c r="AN69" s="203"/>
      <c r="AO69" s="203"/>
    </row>
    <row r="70" spans="1:41" s="155" customFormat="1" ht="12" x14ac:dyDescent="0.2">
      <c r="A70" s="205">
        <v>16</v>
      </c>
      <c r="B70" s="578">
        <v>156259</v>
      </c>
      <c r="C70" s="224" t="s">
        <v>734</v>
      </c>
      <c r="D70" s="432">
        <f t="shared" si="8"/>
        <v>5877762</v>
      </c>
      <c r="E70" s="431">
        <v>2732880</v>
      </c>
      <c r="F70" s="431">
        <v>460843</v>
      </c>
      <c r="G70" s="431">
        <v>1213373</v>
      </c>
      <c r="H70" s="431">
        <v>0</v>
      </c>
      <c r="I70" s="431">
        <v>1782898</v>
      </c>
      <c r="J70" s="431">
        <v>0</v>
      </c>
      <c r="K70" s="431">
        <v>858000</v>
      </c>
      <c r="L70" s="431">
        <v>0</v>
      </c>
      <c r="M70" s="431">
        <v>51886</v>
      </c>
      <c r="N70" s="431">
        <v>307809</v>
      </c>
      <c r="O70" s="431">
        <v>144289</v>
      </c>
      <c r="P70" s="432">
        <f t="shared" si="2"/>
        <v>5851857</v>
      </c>
      <c r="Q70" s="431">
        <v>1896221</v>
      </c>
      <c r="R70" s="431">
        <v>1026505</v>
      </c>
      <c r="S70" s="431">
        <v>0</v>
      </c>
      <c r="T70" s="431">
        <v>0</v>
      </c>
      <c r="U70" s="431">
        <v>0</v>
      </c>
      <c r="V70" s="431">
        <v>27571</v>
      </c>
      <c r="W70" s="431">
        <v>415400</v>
      </c>
      <c r="X70" s="431">
        <v>197646</v>
      </c>
      <c r="Y70" s="431">
        <v>7200</v>
      </c>
      <c r="Z70" s="431">
        <v>2281624</v>
      </c>
      <c r="AA70" s="431">
        <v>0</v>
      </c>
      <c r="AB70" s="431">
        <v>-310</v>
      </c>
      <c r="AC70" s="431">
        <v>635004</v>
      </c>
      <c r="AD70" s="431">
        <v>38417</v>
      </c>
      <c r="AE70" s="431">
        <v>1510148</v>
      </c>
      <c r="AF70" s="431">
        <v>0</v>
      </c>
      <c r="AG70" s="431">
        <v>2042578</v>
      </c>
      <c r="AH70" s="431">
        <v>534046</v>
      </c>
      <c r="AI70" s="431">
        <v>589014</v>
      </c>
      <c r="AJ70" s="431">
        <v>30972</v>
      </c>
      <c r="AK70" s="431">
        <v>0</v>
      </c>
      <c r="AL70" s="431">
        <v>398185</v>
      </c>
      <c r="AM70" s="440">
        <v>73493</v>
      </c>
      <c r="AN70" s="203"/>
      <c r="AO70" s="203"/>
    </row>
    <row r="71" spans="1:41" s="155" customFormat="1" ht="12" x14ac:dyDescent="0.2">
      <c r="A71" s="205">
        <v>17</v>
      </c>
      <c r="B71" s="578">
        <v>156277</v>
      </c>
      <c r="C71" s="224" t="s">
        <v>735</v>
      </c>
      <c r="D71" s="432">
        <f t="shared" si="8"/>
        <v>4734117</v>
      </c>
      <c r="E71" s="431">
        <v>2444122</v>
      </c>
      <c r="F71" s="431">
        <v>314808</v>
      </c>
      <c r="G71" s="431">
        <v>1057411</v>
      </c>
      <c r="H71" s="431">
        <v>0</v>
      </c>
      <c r="I71" s="431">
        <v>1213360</v>
      </c>
      <c r="J71" s="431">
        <v>133000</v>
      </c>
      <c r="K71" s="431">
        <v>930000</v>
      </c>
      <c r="L71" s="431">
        <v>0</v>
      </c>
      <c r="M71" s="431">
        <v>11635</v>
      </c>
      <c r="N71" s="431">
        <v>0</v>
      </c>
      <c r="O71" s="431">
        <v>2000</v>
      </c>
      <c r="P71" s="432">
        <f t="shared" si="2"/>
        <v>4401742</v>
      </c>
      <c r="Q71" s="431">
        <v>1540021</v>
      </c>
      <c r="R71" s="431">
        <v>1455027</v>
      </c>
      <c r="S71" s="431">
        <v>0</v>
      </c>
      <c r="T71" s="431">
        <v>0</v>
      </c>
      <c r="U71" s="431">
        <v>0</v>
      </c>
      <c r="V71" s="431">
        <v>0</v>
      </c>
      <c r="W71" s="431">
        <v>0</v>
      </c>
      <c r="X71" s="431">
        <v>108231</v>
      </c>
      <c r="Y71" s="431">
        <v>4590</v>
      </c>
      <c r="Z71" s="431">
        <v>1293873</v>
      </c>
      <c r="AA71" s="431">
        <v>0</v>
      </c>
      <c r="AB71" s="431">
        <v>0</v>
      </c>
      <c r="AC71" s="431">
        <v>1213310</v>
      </c>
      <c r="AD71" s="431">
        <v>0</v>
      </c>
      <c r="AE71" s="431">
        <v>1175548</v>
      </c>
      <c r="AF71" s="431">
        <v>0</v>
      </c>
      <c r="AG71" s="431">
        <v>295065</v>
      </c>
      <c r="AH71" s="431">
        <v>152337</v>
      </c>
      <c r="AI71" s="431">
        <v>176669</v>
      </c>
      <c r="AJ71" s="431">
        <v>256999</v>
      </c>
      <c r="AK71" s="431">
        <v>0</v>
      </c>
      <c r="AL71" s="431">
        <v>1131814</v>
      </c>
      <c r="AM71" s="440"/>
      <c r="AN71" s="203"/>
      <c r="AO71" s="203"/>
    </row>
    <row r="72" spans="1:41" s="155" customFormat="1" ht="12" x14ac:dyDescent="0.2">
      <c r="A72" s="205">
        <v>18</v>
      </c>
      <c r="B72" s="578">
        <v>159375</v>
      </c>
      <c r="C72" s="224" t="s">
        <v>736</v>
      </c>
      <c r="D72" s="432">
        <f t="shared" si="8"/>
        <v>4044152</v>
      </c>
      <c r="E72" s="431">
        <v>2059399</v>
      </c>
      <c r="F72" s="431">
        <v>129367</v>
      </c>
      <c r="G72" s="431">
        <v>1059372</v>
      </c>
      <c r="H72" s="431">
        <v>0</v>
      </c>
      <c r="I72" s="431">
        <v>930639</v>
      </c>
      <c r="J72" s="431">
        <v>133000</v>
      </c>
      <c r="K72" s="431">
        <v>110000</v>
      </c>
      <c r="L72" s="431">
        <v>0</v>
      </c>
      <c r="M72" s="431">
        <v>444304</v>
      </c>
      <c r="N72" s="431">
        <v>366810</v>
      </c>
      <c r="O72" s="431"/>
      <c r="P72" s="432">
        <f t="shared" si="2"/>
        <v>3122648</v>
      </c>
      <c r="Q72" s="431">
        <v>1059851</v>
      </c>
      <c r="R72" s="431">
        <v>843452</v>
      </c>
      <c r="S72" s="431">
        <v>0</v>
      </c>
      <c r="T72" s="431">
        <v>0</v>
      </c>
      <c r="U72" s="431">
        <v>0</v>
      </c>
      <c r="V72" s="431">
        <v>0</v>
      </c>
      <c r="W72" s="431">
        <v>458011</v>
      </c>
      <c r="X72" s="431">
        <v>161314</v>
      </c>
      <c r="Y72" s="431">
        <v>30000</v>
      </c>
      <c r="Z72" s="431">
        <v>570020</v>
      </c>
      <c r="AA72" s="431">
        <v>0</v>
      </c>
      <c r="AB72" s="431">
        <v>0</v>
      </c>
      <c r="AC72" s="431">
        <v>872952</v>
      </c>
      <c r="AD72" s="431">
        <v>0</v>
      </c>
      <c r="AE72" s="431">
        <v>877583</v>
      </c>
      <c r="AF72" s="431">
        <v>0</v>
      </c>
      <c r="AG72" s="431">
        <v>274310</v>
      </c>
      <c r="AH72" s="431">
        <v>161314</v>
      </c>
      <c r="AI72" s="431">
        <v>116886</v>
      </c>
      <c r="AJ72" s="431">
        <v>0</v>
      </c>
      <c r="AK72" s="431">
        <v>0</v>
      </c>
      <c r="AL72" s="431">
        <v>565867</v>
      </c>
      <c r="AM72" s="440">
        <v>253736</v>
      </c>
      <c r="AN72" s="203"/>
      <c r="AO72" s="203"/>
    </row>
    <row r="73" spans="1:41" s="155" customFormat="1" ht="12" x14ac:dyDescent="0.2">
      <c r="A73" s="205">
        <v>19</v>
      </c>
      <c r="B73" s="578">
        <v>156311</v>
      </c>
      <c r="C73" s="224" t="s">
        <v>737</v>
      </c>
      <c r="D73" s="432">
        <f t="shared" si="8"/>
        <v>6431841</v>
      </c>
      <c r="E73" s="431">
        <v>2064735</v>
      </c>
      <c r="F73" s="431">
        <v>125998</v>
      </c>
      <c r="G73" s="431">
        <v>1193756</v>
      </c>
      <c r="H73" s="431">
        <v>0</v>
      </c>
      <c r="I73" s="431">
        <v>1016341</v>
      </c>
      <c r="J73" s="431">
        <v>180000</v>
      </c>
      <c r="K73" s="431">
        <v>699000</v>
      </c>
      <c r="L73" s="431">
        <v>0</v>
      </c>
      <c r="M73" s="431">
        <v>2471765</v>
      </c>
      <c r="N73" s="431">
        <v>0</v>
      </c>
      <c r="O73" s="431"/>
      <c r="P73" s="432">
        <f t="shared" si="2"/>
        <v>6431331</v>
      </c>
      <c r="Q73" s="431">
        <v>1265959</v>
      </c>
      <c r="R73" s="431">
        <v>2492209</v>
      </c>
      <c r="S73" s="431">
        <v>0</v>
      </c>
      <c r="T73" s="431">
        <v>0</v>
      </c>
      <c r="U73" s="431">
        <v>0</v>
      </c>
      <c r="V73" s="431">
        <v>0</v>
      </c>
      <c r="W73" s="431">
        <v>0</v>
      </c>
      <c r="X73" s="431">
        <v>171818</v>
      </c>
      <c r="Y73" s="431">
        <v>0</v>
      </c>
      <c r="Z73" s="431">
        <v>2501345</v>
      </c>
      <c r="AA73" s="431">
        <v>0</v>
      </c>
      <c r="AB73" s="431">
        <v>0</v>
      </c>
      <c r="AC73" s="431">
        <v>1136374</v>
      </c>
      <c r="AD73" s="431">
        <v>0</v>
      </c>
      <c r="AE73" s="431">
        <v>964387</v>
      </c>
      <c r="AF73" s="431">
        <v>0</v>
      </c>
      <c r="AG73" s="431">
        <v>283683</v>
      </c>
      <c r="AH73" s="431">
        <v>171818</v>
      </c>
      <c r="AI73" s="431">
        <v>921811</v>
      </c>
      <c r="AJ73" s="431">
        <v>0</v>
      </c>
      <c r="AK73" s="431">
        <v>0</v>
      </c>
      <c r="AL73" s="431">
        <v>2936114</v>
      </c>
      <c r="AM73" s="440">
        <v>17144</v>
      </c>
      <c r="AN73" s="203"/>
      <c r="AO73" s="203"/>
    </row>
    <row r="74" spans="1:41" s="155" customFormat="1" ht="12" x14ac:dyDescent="0.2">
      <c r="A74" s="205">
        <v>20</v>
      </c>
      <c r="B74" s="578">
        <v>156437</v>
      </c>
      <c r="C74" s="224" t="s">
        <v>738</v>
      </c>
      <c r="D74" s="432">
        <f t="shared" si="8"/>
        <v>12167568</v>
      </c>
      <c r="E74" s="431">
        <v>3197964</v>
      </c>
      <c r="F74" s="431">
        <v>780714</v>
      </c>
      <c r="G74" s="431">
        <v>1044658</v>
      </c>
      <c r="H74" s="431">
        <v>0</v>
      </c>
      <c r="I74" s="431">
        <v>2205211</v>
      </c>
      <c r="J74" s="431">
        <v>150000</v>
      </c>
      <c r="K74" s="431">
        <v>896000</v>
      </c>
      <c r="L74" s="431">
        <v>0</v>
      </c>
      <c r="M74" s="431">
        <v>4188267</v>
      </c>
      <c r="N74" s="431">
        <v>1465477</v>
      </c>
      <c r="O74" s="431">
        <v>64649</v>
      </c>
      <c r="P74" s="432">
        <f t="shared" si="2"/>
        <v>10935580</v>
      </c>
      <c r="Q74" s="431">
        <v>2488706</v>
      </c>
      <c r="R74" s="431">
        <v>1572751</v>
      </c>
      <c r="S74" s="431">
        <v>23136</v>
      </c>
      <c r="T74" s="431">
        <v>0</v>
      </c>
      <c r="U74" s="431">
        <v>50000</v>
      </c>
      <c r="V74" s="431">
        <v>0</v>
      </c>
      <c r="W74" s="431">
        <v>1925747</v>
      </c>
      <c r="X74" s="431">
        <v>187419</v>
      </c>
      <c r="Y74" s="431">
        <v>25093</v>
      </c>
      <c r="Z74" s="431">
        <v>4629374</v>
      </c>
      <c r="AA74" s="431">
        <v>34687</v>
      </c>
      <c r="AB74" s="431">
        <v>-1333</v>
      </c>
      <c r="AC74" s="431">
        <v>1106884</v>
      </c>
      <c r="AD74" s="431">
        <v>16480</v>
      </c>
      <c r="AE74" s="431">
        <v>1940540</v>
      </c>
      <c r="AF74" s="431">
        <v>3277</v>
      </c>
      <c r="AG74" s="431">
        <v>460463</v>
      </c>
      <c r="AH74" s="431">
        <v>592533</v>
      </c>
      <c r="AI74" s="431">
        <v>1491863</v>
      </c>
      <c r="AJ74" s="431">
        <v>11368</v>
      </c>
      <c r="AK74" s="431">
        <v>0</v>
      </c>
      <c r="AL74" s="431">
        <v>5312172</v>
      </c>
      <c r="AM74" s="440"/>
      <c r="AN74" s="203"/>
      <c r="AO74" s="203"/>
    </row>
    <row r="75" spans="1:41" s="155" customFormat="1" ht="12" x14ac:dyDescent="0.2">
      <c r="A75" s="205">
        <v>21</v>
      </c>
      <c r="B75" s="578">
        <v>156473</v>
      </c>
      <c r="C75" s="224" t="s">
        <v>739</v>
      </c>
      <c r="D75" s="432">
        <f t="shared" si="8"/>
        <v>6139741</v>
      </c>
      <c r="E75" s="431">
        <v>2976329</v>
      </c>
      <c r="F75" s="431">
        <v>192027</v>
      </c>
      <c r="G75" s="431">
        <v>1694995</v>
      </c>
      <c r="H75" s="431">
        <v>0</v>
      </c>
      <c r="I75" s="431">
        <v>1327908</v>
      </c>
      <c r="J75" s="431">
        <v>150000</v>
      </c>
      <c r="K75" s="431">
        <v>752000</v>
      </c>
      <c r="L75" s="431">
        <v>0</v>
      </c>
      <c r="M75" s="431">
        <v>720868</v>
      </c>
      <c r="N75" s="431">
        <v>212636</v>
      </c>
      <c r="O75" s="431"/>
      <c r="P75" s="432">
        <f t="shared" si="2"/>
        <v>4846442</v>
      </c>
      <c r="Q75" s="431">
        <v>1469645</v>
      </c>
      <c r="R75" s="431">
        <v>1218957</v>
      </c>
      <c r="S75" s="431">
        <v>0</v>
      </c>
      <c r="T75" s="431">
        <v>0</v>
      </c>
      <c r="U75" s="431">
        <v>0</v>
      </c>
      <c r="V75" s="431">
        <v>0</v>
      </c>
      <c r="W75" s="431">
        <v>0</v>
      </c>
      <c r="X75" s="431">
        <v>301021</v>
      </c>
      <c r="Y75" s="431">
        <v>0</v>
      </c>
      <c r="Z75" s="431">
        <v>1860798</v>
      </c>
      <c r="AA75" s="431">
        <v>0</v>
      </c>
      <c r="AB75" s="431">
        <v>-3979</v>
      </c>
      <c r="AC75" s="431">
        <v>1056326</v>
      </c>
      <c r="AD75" s="431">
        <v>7439</v>
      </c>
      <c r="AE75" s="431">
        <v>1053547</v>
      </c>
      <c r="AF75" s="431">
        <v>0</v>
      </c>
      <c r="AG75" s="431">
        <v>922468</v>
      </c>
      <c r="AH75" s="431">
        <v>305031</v>
      </c>
      <c r="AI75" s="431">
        <v>511879</v>
      </c>
      <c r="AJ75" s="431">
        <v>3468</v>
      </c>
      <c r="AK75" s="431">
        <v>0</v>
      </c>
      <c r="AL75" s="431">
        <v>986284</v>
      </c>
      <c r="AM75" s="440"/>
      <c r="AN75" s="203"/>
      <c r="AO75" s="203"/>
    </row>
    <row r="76" spans="1:41" s="155" customFormat="1" ht="12" x14ac:dyDescent="0.2">
      <c r="A76" s="205">
        <v>22</v>
      </c>
      <c r="B76" s="578">
        <v>156534</v>
      </c>
      <c r="C76" s="224" t="s">
        <v>740</v>
      </c>
      <c r="D76" s="432">
        <f t="shared" si="8"/>
        <v>4438650</v>
      </c>
      <c r="E76" s="431">
        <v>1721888</v>
      </c>
      <c r="F76" s="431">
        <v>93500</v>
      </c>
      <c r="G76" s="431">
        <v>1265361</v>
      </c>
      <c r="H76" s="431">
        <v>0</v>
      </c>
      <c r="I76" s="431">
        <v>1039294</v>
      </c>
      <c r="J76" s="431">
        <v>150000</v>
      </c>
      <c r="K76" s="431">
        <v>287430</v>
      </c>
      <c r="L76" s="431">
        <v>0</v>
      </c>
      <c r="M76" s="431">
        <v>1140255</v>
      </c>
      <c r="N76" s="431">
        <v>0</v>
      </c>
      <c r="O76" s="431">
        <v>99783</v>
      </c>
      <c r="P76" s="432">
        <f t="shared" si="2"/>
        <v>3752598</v>
      </c>
      <c r="Q76" s="431">
        <v>1293940</v>
      </c>
      <c r="R76" s="431">
        <v>640331</v>
      </c>
      <c r="S76" s="431">
        <v>0</v>
      </c>
      <c r="T76" s="431">
        <v>0</v>
      </c>
      <c r="U76" s="431">
        <v>0</v>
      </c>
      <c r="V76" s="431">
        <v>0</v>
      </c>
      <c r="W76" s="431">
        <v>0</v>
      </c>
      <c r="X76" s="431">
        <v>170728</v>
      </c>
      <c r="Y76" s="431">
        <v>0</v>
      </c>
      <c r="Z76" s="431">
        <v>1652499</v>
      </c>
      <c r="AA76" s="431">
        <v>0</v>
      </c>
      <c r="AB76" s="431">
        <v>-4900</v>
      </c>
      <c r="AC76" s="431">
        <v>659278</v>
      </c>
      <c r="AD76" s="431">
        <v>154</v>
      </c>
      <c r="AE76" s="431">
        <v>865225</v>
      </c>
      <c r="AF76" s="431">
        <v>0</v>
      </c>
      <c r="AG76" s="431">
        <v>314781</v>
      </c>
      <c r="AH76" s="431">
        <v>239461</v>
      </c>
      <c r="AI76" s="431">
        <v>1242331</v>
      </c>
      <c r="AJ76" s="431">
        <v>198720</v>
      </c>
      <c r="AK76" s="431">
        <v>0</v>
      </c>
      <c r="AL76" s="431">
        <v>133242</v>
      </c>
      <c r="AM76" s="440">
        <v>99406</v>
      </c>
      <c r="AN76" s="203"/>
      <c r="AO76" s="203"/>
    </row>
    <row r="77" spans="1:41" s="155" customFormat="1" ht="12" x14ac:dyDescent="0.2">
      <c r="A77" s="205">
        <v>23</v>
      </c>
      <c r="B77" s="578">
        <v>156589</v>
      </c>
      <c r="C77" s="224" t="s">
        <v>741</v>
      </c>
      <c r="D77" s="432">
        <f t="shared" si="8"/>
        <v>3025186</v>
      </c>
      <c r="E77" s="431">
        <v>1911063</v>
      </c>
      <c r="F77" s="431">
        <v>213439</v>
      </c>
      <c r="G77" s="431">
        <v>1440942</v>
      </c>
      <c r="H77" s="431">
        <v>0</v>
      </c>
      <c r="I77" s="431">
        <v>857275</v>
      </c>
      <c r="J77" s="431">
        <v>120000</v>
      </c>
      <c r="K77" s="431">
        <v>111000</v>
      </c>
      <c r="L77" s="431">
        <v>0</v>
      </c>
      <c r="M77" s="431">
        <v>25848</v>
      </c>
      <c r="N77" s="431">
        <v>0</v>
      </c>
      <c r="O77" s="431"/>
      <c r="P77" s="432">
        <f t="shared" si="2"/>
        <v>3011619</v>
      </c>
      <c r="Q77" s="431">
        <v>1095084</v>
      </c>
      <c r="R77" s="431">
        <v>1172215</v>
      </c>
      <c r="S77" s="431">
        <v>0</v>
      </c>
      <c r="T77" s="431">
        <v>0</v>
      </c>
      <c r="U77" s="431">
        <v>0</v>
      </c>
      <c r="V77" s="431">
        <v>0</v>
      </c>
      <c r="W77" s="431">
        <v>0</v>
      </c>
      <c r="X77" s="431">
        <v>67806</v>
      </c>
      <c r="Y77" s="431">
        <v>0</v>
      </c>
      <c r="Z77" s="431">
        <v>676514</v>
      </c>
      <c r="AA77" s="431">
        <v>0</v>
      </c>
      <c r="AB77" s="431">
        <v>0</v>
      </c>
      <c r="AC77" s="431">
        <v>887019</v>
      </c>
      <c r="AD77" s="431">
        <v>2761</v>
      </c>
      <c r="AE77" s="431">
        <v>757262</v>
      </c>
      <c r="AF77" s="431">
        <v>21969</v>
      </c>
      <c r="AG77" s="431">
        <v>66861</v>
      </c>
      <c r="AH77" s="431">
        <v>193760</v>
      </c>
      <c r="AI77" s="431">
        <v>0</v>
      </c>
      <c r="AJ77" s="431">
        <v>0</v>
      </c>
      <c r="AK77" s="431">
        <v>0</v>
      </c>
      <c r="AL77" s="431">
        <v>1081987</v>
      </c>
      <c r="AM77" s="440"/>
      <c r="AN77" s="203"/>
      <c r="AO77" s="203"/>
    </row>
    <row r="78" spans="1:41" s="155" customFormat="1" ht="12" x14ac:dyDescent="0.2">
      <c r="A78" s="205">
        <v>24</v>
      </c>
      <c r="B78" s="578">
        <v>156623</v>
      </c>
      <c r="C78" s="224" t="s">
        <v>742</v>
      </c>
      <c r="D78" s="432">
        <f t="shared" si="8"/>
        <v>5725115</v>
      </c>
      <c r="E78" s="431">
        <v>2470496</v>
      </c>
      <c r="F78" s="431">
        <v>172082</v>
      </c>
      <c r="G78" s="431">
        <v>1295769</v>
      </c>
      <c r="H78" s="431">
        <v>0</v>
      </c>
      <c r="I78" s="431">
        <v>1544321</v>
      </c>
      <c r="J78" s="431">
        <v>133000</v>
      </c>
      <c r="K78" s="431">
        <v>1166000</v>
      </c>
      <c r="L78" s="431">
        <v>0</v>
      </c>
      <c r="M78" s="431">
        <v>410147</v>
      </c>
      <c r="N78" s="431">
        <v>0</v>
      </c>
      <c r="O78" s="431">
        <v>1151</v>
      </c>
      <c r="P78" s="432">
        <f t="shared" si="2"/>
        <v>6017595</v>
      </c>
      <c r="Q78" s="431">
        <v>1950378</v>
      </c>
      <c r="R78" s="431">
        <v>1000423</v>
      </c>
      <c r="S78" s="431">
        <v>75629</v>
      </c>
      <c r="T78" s="431">
        <v>0</v>
      </c>
      <c r="U78" s="431">
        <v>0</v>
      </c>
      <c r="V78" s="431">
        <v>0</v>
      </c>
      <c r="W78" s="431">
        <v>0</v>
      </c>
      <c r="X78" s="431">
        <v>119629</v>
      </c>
      <c r="Y78" s="431">
        <v>6309</v>
      </c>
      <c r="Z78" s="431">
        <v>1695885</v>
      </c>
      <c r="AA78" s="431">
        <v>1175000</v>
      </c>
      <c r="AB78" s="431">
        <v>-5658</v>
      </c>
      <c r="AC78" s="431">
        <v>2373201</v>
      </c>
      <c r="AD78" s="431">
        <v>0</v>
      </c>
      <c r="AE78" s="431">
        <v>1144632</v>
      </c>
      <c r="AF78" s="431">
        <v>80883</v>
      </c>
      <c r="AG78" s="431">
        <v>292845</v>
      </c>
      <c r="AH78" s="431">
        <v>481893</v>
      </c>
      <c r="AI78" s="431">
        <v>935228</v>
      </c>
      <c r="AJ78" s="431">
        <v>0</v>
      </c>
      <c r="AK78" s="431">
        <v>0</v>
      </c>
      <c r="AL78" s="431">
        <v>634017</v>
      </c>
      <c r="AM78" s="440">
        <v>74896</v>
      </c>
      <c r="AN78" s="203"/>
      <c r="AO78" s="203"/>
    </row>
    <row r="79" spans="1:41" s="155" customFormat="1" ht="12" x14ac:dyDescent="0.2">
      <c r="A79" s="205">
        <v>25</v>
      </c>
      <c r="B79" s="578">
        <v>156669</v>
      </c>
      <c r="C79" s="224" t="s">
        <v>743</v>
      </c>
      <c r="D79" s="432">
        <f t="shared" si="8"/>
        <v>7740820</v>
      </c>
      <c r="E79" s="431">
        <v>3020705</v>
      </c>
      <c r="F79" s="431">
        <v>235202</v>
      </c>
      <c r="G79" s="431">
        <v>1626332</v>
      </c>
      <c r="H79" s="431">
        <v>0</v>
      </c>
      <c r="I79" s="431">
        <v>1399484</v>
      </c>
      <c r="J79" s="431">
        <v>100000</v>
      </c>
      <c r="K79" s="431">
        <v>988000</v>
      </c>
      <c r="L79" s="431">
        <v>0</v>
      </c>
      <c r="M79" s="431">
        <v>1732468</v>
      </c>
      <c r="N79" s="431">
        <v>500163</v>
      </c>
      <c r="O79" s="431"/>
      <c r="P79" s="432">
        <f t="shared" ref="P79:P142" si="11">IF(SUM(Q79:AB79)=SUM(AC79:AM79),SUM(Q79:AB79),"  EROARE ART/CAP")</f>
        <v>7235923</v>
      </c>
      <c r="Q79" s="431">
        <v>1568473</v>
      </c>
      <c r="R79" s="431">
        <v>1463533</v>
      </c>
      <c r="S79" s="431">
        <v>0</v>
      </c>
      <c r="T79" s="431">
        <v>0</v>
      </c>
      <c r="U79" s="431">
        <v>0</v>
      </c>
      <c r="V79" s="431">
        <v>0</v>
      </c>
      <c r="W79" s="431">
        <v>436452</v>
      </c>
      <c r="X79" s="431">
        <v>168465</v>
      </c>
      <c r="Y79" s="431">
        <v>6000</v>
      </c>
      <c r="Z79" s="431">
        <v>3624854</v>
      </c>
      <c r="AA79" s="431">
        <v>0</v>
      </c>
      <c r="AB79" s="431">
        <v>-31854</v>
      </c>
      <c r="AC79" s="431">
        <v>531183</v>
      </c>
      <c r="AD79" s="431">
        <v>895</v>
      </c>
      <c r="AE79" s="431">
        <v>1020417</v>
      </c>
      <c r="AF79" s="431">
        <v>0</v>
      </c>
      <c r="AG79" s="431">
        <v>635511</v>
      </c>
      <c r="AH79" s="431">
        <v>430341</v>
      </c>
      <c r="AI79" s="431">
        <v>1550546</v>
      </c>
      <c r="AJ79" s="431">
        <v>213872</v>
      </c>
      <c r="AK79" s="431">
        <v>0</v>
      </c>
      <c r="AL79" s="431">
        <v>2853158</v>
      </c>
      <c r="AM79" s="440"/>
      <c r="AN79" s="203"/>
      <c r="AO79" s="203"/>
    </row>
    <row r="80" spans="1:41" s="155" customFormat="1" ht="12" x14ac:dyDescent="0.2">
      <c r="A80" s="205">
        <v>26</v>
      </c>
      <c r="B80" s="578">
        <v>159384</v>
      </c>
      <c r="C80" s="224" t="s">
        <v>744</v>
      </c>
      <c r="D80" s="432">
        <f t="shared" si="8"/>
        <v>9602183</v>
      </c>
      <c r="E80" s="431">
        <v>6594798</v>
      </c>
      <c r="F80" s="431">
        <v>1743513</v>
      </c>
      <c r="G80" s="431">
        <v>989728</v>
      </c>
      <c r="H80" s="431">
        <v>0</v>
      </c>
      <c r="I80" s="431">
        <v>1373414</v>
      </c>
      <c r="J80" s="431">
        <v>133000</v>
      </c>
      <c r="K80" s="431">
        <v>397000</v>
      </c>
      <c r="L80" s="431">
        <v>0</v>
      </c>
      <c r="M80" s="431">
        <v>258807</v>
      </c>
      <c r="N80" s="431">
        <v>845164</v>
      </c>
      <c r="O80" s="431"/>
      <c r="P80" s="432">
        <f t="shared" si="11"/>
        <v>8602414</v>
      </c>
      <c r="Q80" s="431">
        <v>1558463</v>
      </c>
      <c r="R80" s="431">
        <v>3751116</v>
      </c>
      <c r="S80" s="431">
        <v>0</v>
      </c>
      <c r="T80" s="431">
        <v>0</v>
      </c>
      <c r="U80" s="431">
        <v>0</v>
      </c>
      <c r="V80" s="431">
        <v>109120</v>
      </c>
      <c r="W80" s="431">
        <v>2237754</v>
      </c>
      <c r="X80" s="431">
        <v>263394</v>
      </c>
      <c r="Y80" s="431">
        <v>0</v>
      </c>
      <c r="Z80" s="431">
        <v>683237</v>
      </c>
      <c r="AA80" s="431">
        <v>0</v>
      </c>
      <c r="AB80" s="431">
        <v>-670</v>
      </c>
      <c r="AC80" s="431">
        <v>1525396</v>
      </c>
      <c r="AD80" s="431">
        <v>68817</v>
      </c>
      <c r="AE80" s="431">
        <v>1419685</v>
      </c>
      <c r="AF80" s="431">
        <v>0</v>
      </c>
      <c r="AG80" s="431">
        <v>809580</v>
      </c>
      <c r="AH80" s="431">
        <v>393639</v>
      </c>
      <c r="AI80" s="431">
        <v>2886473</v>
      </c>
      <c r="AJ80" s="431">
        <v>270168</v>
      </c>
      <c r="AK80" s="431">
        <v>0</v>
      </c>
      <c r="AL80" s="431">
        <v>1198025</v>
      </c>
      <c r="AM80" s="440">
        <v>30631</v>
      </c>
      <c r="AN80" s="203"/>
      <c r="AO80" s="203"/>
    </row>
    <row r="81" spans="1:41" s="155" customFormat="1" ht="12" x14ac:dyDescent="0.2">
      <c r="A81" s="205">
        <v>27</v>
      </c>
      <c r="B81" s="578">
        <v>156712</v>
      </c>
      <c r="C81" s="224" t="s">
        <v>745</v>
      </c>
      <c r="D81" s="432">
        <f t="shared" si="8"/>
        <v>8008901</v>
      </c>
      <c r="E81" s="431">
        <v>3210316</v>
      </c>
      <c r="F81" s="431">
        <v>560895</v>
      </c>
      <c r="G81" s="431">
        <v>1268304</v>
      </c>
      <c r="H81" s="431">
        <v>0</v>
      </c>
      <c r="I81" s="431">
        <v>2571700</v>
      </c>
      <c r="J81" s="431">
        <v>100000</v>
      </c>
      <c r="K81" s="431">
        <v>1311000</v>
      </c>
      <c r="L81" s="431">
        <v>0</v>
      </c>
      <c r="M81" s="431">
        <v>748560</v>
      </c>
      <c r="N81" s="431">
        <v>0</v>
      </c>
      <c r="O81" s="431">
        <v>67325</v>
      </c>
      <c r="P81" s="432">
        <f t="shared" si="11"/>
        <v>8442663</v>
      </c>
      <c r="Q81" s="431">
        <v>2588906</v>
      </c>
      <c r="R81" s="431">
        <v>2916614</v>
      </c>
      <c r="S81" s="431">
        <v>0</v>
      </c>
      <c r="T81" s="431">
        <v>0</v>
      </c>
      <c r="U81" s="431">
        <v>70000</v>
      </c>
      <c r="V81" s="431">
        <v>0</v>
      </c>
      <c r="W81" s="431">
        <v>0</v>
      </c>
      <c r="X81" s="431">
        <v>321148</v>
      </c>
      <c r="Y81" s="431">
        <v>20900</v>
      </c>
      <c r="Z81" s="431">
        <v>2525095</v>
      </c>
      <c r="AA81" s="431">
        <v>0</v>
      </c>
      <c r="AB81" s="431">
        <v>0</v>
      </c>
      <c r="AC81" s="431">
        <v>1084925</v>
      </c>
      <c r="AD81" s="431">
        <v>86876</v>
      </c>
      <c r="AE81" s="431">
        <v>2336588</v>
      </c>
      <c r="AF81" s="431">
        <v>0</v>
      </c>
      <c r="AG81" s="431">
        <v>918268</v>
      </c>
      <c r="AH81" s="431">
        <v>321148</v>
      </c>
      <c r="AI81" s="431">
        <v>1859144</v>
      </c>
      <c r="AJ81" s="431">
        <v>302430</v>
      </c>
      <c r="AK81" s="431">
        <v>0</v>
      </c>
      <c r="AL81" s="431">
        <v>1533284</v>
      </c>
      <c r="AM81" s="440"/>
      <c r="AN81" s="203"/>
      <c r="AO81" s="203"/>
    </row>
    <row r="82" spans="1:41" s="155" customFormat="1" ht="12" x14ac:dyDescent="0.2">
      <c r="A82" s="205">
        <v>28</v>
      </c>
      <c r="B82" s="578">
        <v>156767</v>
      </c>
      <c r="C82" s="224" t="s">
        <v>521</v>
      </c>
      <c r="D82" s="432">
        <f t="shared" si="8"/>
        <v>10669848</v>
      </c>
      <c r="E82" s="431">
        <v>2492993</v>
      </c>
      <c r="F82" s="431">
        <v>276406</v>
      </c>
      <c r="G82" s="431">
        <v>1594942</v>
      </c>
      <c r="H82" s="431">
        <v>0</v>
      </c>
      <c r="I82" s="431">
        <v>1964258</v>
      </c>
      <c r="J82" s="431">
        <v>100000</v>
      </c>
      <c r="K82" s="431">
        <v>310000</v>
      </c>
      <c r="L82" s="431">
        <v>0</v>
      </c>
      <c r="M82" s="431">
        <v>1537593</v>
      </c>
      <c r="N82" s="431">
        <v>3718516</v>
      </c>
      <c r="O82" s="431">
        <v>546488</v>
      </c>
      <c r="P82" s="432">
        <f t="shared" si="11"/>
        <v>10743699</v>
      </c>
      <c r="Q82" s="431">
        <v>2087727</v>
      </c>
      <c r="R82" s="431">
        <v>1548454</v>
      </c>
      <c r="S82" s="431">
        <v>0</v>
      </c>
      <c r="T82" s="431">
        <v>0</v>
      </c>
      <c r="U82" s="431">
        <v>0</v>
      </c>
      <c r="V82" s="431">
        <v>0</v>
      </c>
      <c r="W82" s="431">
        <v>5408795</v>
      </c>
      <c r="X82" s="431">
        <v>322608</v>
      </c>
      <c r="Y82" s="431">
        <v>22176</v>
      </c>
      <c r="Z82" s="431">
        <v>1353939</v>
      </c>
      <c r="AA82" s="431">
        <v>0</v>
      </c>
      <c r="AB82" s="431">
        <v>0</v>
      </c>
      <c r="AC82" s="431">
        <v>1195931</v>
      </c>
      <c r="AD82" s="431">
        <v>4841</v>
      </c>
      <c r="AE82" s="431">
        <v>1695784</v>
      </c>
      <c r="AF82" s="431">
        <v>0</v>
      </c>
      <c r="AG82" s="431">
        <v>453163</v>
      </c>
      <c r="AH82" s="431">
        <v>352012</v>
      </c>
      <c r="AI82" s="431">
        <v>1522081</v>
      </c>
      <c r="AJ82" s="431">
        <v>0</v>
      </c>
      <c r="AK82" s="431">
        <v>0</v>
      </c>
      <c r="AL82" s="431">
        <v>5507487</v>
      </c>
      <c r="AM82" s="440">
        <v>12400</v>
      </c>
      <c r="AN82" s="203"/>
      <c r="AO82" s="203"/>
    </row>
    <row r="83" spans="1:41" s="155" customFormat="1" ht="12" x14ac:dyDescent="0.2">
      <c r="A83" s="205">
        <v>29</v>
      </c>
      <c r="B83" s="578">
        <v>155261</v>
      </c>
      <c r="C83" s="224" t="s">
        <v>169</v>
      </c>
      <c r="D83" s="432">
        <f t="shared" si="8"/>
        <v>28750294</v>
      </c>
      <c r="E83" s="431">
        <v>20685594</v>
      </c>
      <c r="F83" s="431">
        <v>5377348</v>
      </c>
      <c r="G83" s="431">
        <v>876925</v>
      </c>
      <c r="H83" s="431">
        <v>0</v>
      </c>
      <c r="I83" s="431">
        <v>2958813</v>
      </c>
      <c r="J83" s="431">
        <v>0</v>
      </c>
      <c r="K83" s="431">
        <v>215000</v>
      </c>
      <c r="L83" s="431">
        <v>0</v>
      </c>
      <c r="M83" s="431">
        <v>2118901</v>
      </c>
      <c r="N83" s="431">
        <v>2546022</v>
      </c>
      <c r="O83" s="431">
        <v>225964</v>
      </c>
      <c r="P83" s="432">
        <f t="shared" si="11"/>
        <v>28747988</v>
      </c>
      <c r="Q83" s="431">
        <v>4313271</v>
      </c>
      <c r="R83" s="431">
        <v>5322757</v>
      </c>
      <c r="S83" s="431">
        <v>0</v>
      </c>
      <c r="T83" s="431">
        <v>0</v>
      </c>
      <c r="U83" s="431">
        <v>0</v>
      </c>
      <c r="V83" s="431">
        <v>0</v>
      </c>
      <c r="W83" s="431">
        <v>11978961</v>
      </c>
      <c r="X83" s="431">
        <v>168786</v>
      </c>
      <c r="Y83" s="431">
        <v>376700</v>
      </c>
      <c r="Z83" s="431">
        <v>6587513</v>
      </c>
      <c r="AA83" s="431">
        <v>0</v>
      </c>
      <c r="AB83" s="431">
        <v>0</v>
      </c>
      <c r="AC83" s="431">
        <v>3405876</v>
      </c>
      <c r="AD83" s="431">
        <v>467536</v>
      </c>
      <c r="AE83" s="431">
        <v>8460861</v>
      </c>
      <c r="AF83" s="431">
        <v>0</v>
      </c>
      <c r="AG83" s="431">
        <v>7665145</v>
      </c>
      <c r="AH83" s="431">
        <v>503365</v>
      </c>
      <c r="AI83" s="431">
        <v>1099704</v>
      </c>
      <c r="AJ83" s="431">
        <v>942455</v>
      </c>
      <c r="AK83" s="431">
        <v>0</v>
      </c>
      <c r="AL83" s="431">
        <v>6203046</v>
      </c>
      <c r="AM83" s="440"/>
      <c r="AN83" s="203"/>
      <c r="AO83" s="203"/>
    </row>
    <row r="84" spans="1:41" s="155" customFormat="1" ht="12" x14ac:dyDescent="0.2">
      <c r="A84" s="205">
        <v>30</v>
      </c>
      <c r="B84" s="578">
        <v>159393</v>
      </c>
      <c r="C84" s="224" t="s">
        <v>746</v>
      </c>
      <c r="D84" s="432">
        <f t="shared" si="8"/>
        <v>3101967</v>
      </c>
      <c r="E84" s="431">
        <v>1872081</v>
      </c>
      <c r="F84" s="431">
        <v>175883</v>
      </c>
      <c r="G84" s="431">
        <v>1056429</v>
      </c>
      <c r="H84" s="431">
        <v>0</v>
      </c>
      <c r="I84" s="431">
        <v>818500</v>
      </c>
      <c r="J84" s="431">
        <v>0</v>
      </c>
      <c r="K84" s="431">
        <v>303000</v>
      </c>
      <c r="L84" s="431">
        <v>0</v>
      </c>
      <c r="M84" s="431">
        <v>108386</v>
      </c>
      <c r="N84" s="431">
        <v>0</v>
      </c>
      <c r="O84" s="431"/>
      <c r="P84" s="432">
        <f t="shared" si="11"/>
        <v>2344896</v>
      </c>
      <c r="Q84" s="431">
        <v>1079390</v>
      </c>
      <c r="R84" s="431">
        <v>881882</v>
      </c>
      <c r="S84" s="431">
        <v>0</v>
      </c>
      <c r="T84" s="431">
        <v>0</v>
      </c>
      <c r="U84" s="431">
        <v>0</v>
      </c>
      <c r="V84" s="431">
        <v>0</v>
      </c>
      <c r="W84" s="431">
        <v>0</v>
      </c>
      <c r="X84" s="431">
        <v>45499</v>
      </c>
      <c r="Y84" s="431">
        <v>19970</v>
      </c>
      <c r="Z84" s="431">
        <v>319005</v>
      </c>
      <c r="AA84" s="431">
        <v>0</v>
      </c>
      <c r="AB84" s="431">
        <v>-850</v>
      </c>
      <c r="AC84" s="431">
        <v>665480</v>
      </c>
      <c r="AD84" s="431">
        <v>1000</v>
      </c>
      <c r="AE84" s="431">
        <v>825758</v>
      </c>
      <c r="AF84" s="431">
        <v>0</v>
      </c>
      <c r="AG84" s="431">
        <v>93619</v>
      </c>
      <c r="AH84" s="431">
        <v>91602</v>
      </c>
      <c r="AI84" s="431">
        <v>222645</v>
      </c>
      <c r="AJ84" s="431">
        <v>153049</v>
      </c>
      <c r="AK84" s="431">
        <v>0</v>
      </c>
      <c r="AL84" s="431">
        <v>283743</v>
      </c>
      <c r="AM84" s="440">
        <v>8000</v>
      </c>
      <c r="AN84" s="203"/>
      <c r="AO84" s="203"/>
    </row>
    <row r="85" spans="1:41" s="155" customFormat="1" ht="12" x14ac:dyDescent="0.2">
      <c r="A85" s="205">
        <v>31</v>
      </c>
      <c r="B85" s="578">
        <v>156927</v>
      </c>
      <c r="C85" s="224" t="s">
        <v>747</v>
      </c>
      <c r="D85" s="432">
        <f t="shared" si="8"/>
        <v>8516576</v>
      </c>
      <c r="E85" s="431">
        <v>2115851</v>
      </c>
      <c r="F85" s="431">
        <v>125321</v>
      </c>
      <c r="G85" s="431">
        <v>1435056</v>
      </c>
      <c r="H85" s="431">
        <v>0</v>
      </c>
      <c r="I85" s="431">
        <v>1202045</v>
      </c>
      <c r="J85" s="431">
        <v>133000</v>
      </c>
      <c r="K85" s="431">
        <v>145000</v>
      </c>
      <c r="L85" s="431">
        <v>0</v>
      </c>
      <c r="M85" s="431">
        <v>3086379</v>
      </c>
      <c r="N85" s="431">
        <v>1834301</v>
      </c>
      <c r="O85" s="431"/>
      <c r="P85" s="432">
        <f t="shared" si="11"/>
        <v>6714918</v>
      </c>
      <c r="Q85" s="431">
        <v>1698604</v>
      </c>
      <c r="R85" s="431">
        <v>1117549</v>
      </c>
      <c r="S85" s="431">
        <v>11002</v>
      </c>
      <c r="T85" s="431">
        <v>0</v>
      </c>
      <c r="U85" s="431">
        <v>0</v>
      </c>
      <c r="V85" s="431">
        <v>0</v>
      </c>
      <c r="W85" s="431">
        <v>351599</v>
      </c>
      <c r="X85" s="431">
        <v>199598</v>
      </c>
      <c r="Y85" s="431">
        <v>8184</v>
      </c>
      <c r="Z85" s="431">
        <v>3278555</v>
      </c>
      <c r="AA85" s="431">
        <v>49827</v>
      </c>
      <c r="AB85" s="431">
        <v>0</v>
      </c>
      <c r="AC85" s="431">
        <v>1262697</v>
      </c>
      <c r="AD85" s="431">
        <v>271</v>
      </c>
      <c r="AE85" s="431">
        <v>892636</v>
      </c>
      <c r="AF85" s="431">
        <v>0</v>
      </c>
      <c r="AG85" s="431">
        <v>159376</v>
      </c>
      <c r="AH85" s="431">
        <v>433721</v>
      </c>
      <c r="AI85" s="431">
        <v>150200</v>
      </c>
      <c r="AJ85" s="431">
        <v>1342130</v>
      </c>
      <c r="AK85" s="431">
        <v>0</v>
      </c>
      <c r="AL85" s="431">
        <v>2408622</v>
      </c>
      <c r="AM85" s="440">
        <v>65265</v>
      </c>
      <c r="AN85" s="203"/>
      <c r="AO85" s="203"/>
    </row>
    <row r="86" spans="1:41" s="155" customFormat="1" ht="12" x14ac:dyDescent="0.2">
      <c r="A86" s="205">
        <v>32</v>
      </c>
      <c r="B86" s="578">
        <v>157004</v>
      </c>
      <c r="C86" s="224" t="s">
        <v>748</v>
      </c>
      <c r="D86" s="432">
        <f t="shared" si="8"/>
        <v>3814159</v>
      </c>
      <c r="E86" s="431">
        <v>1942306</v>
      </c>
      <c r="F86" s="431">
        <v>317589</v>
      </c>
      <c r="G86" s="431">
        <v>812185</v>
      </c>
      <c r="H86" s="431">
        <v>0</v>
      </c>
      <c r="I86" s="431">
        <v>866493</v>
      </c>
      <c r="J86" s="431">
        <v>133000</v>
      </c>
      <c r="K86" s="431">
        <v>254000</v>
      </c>
      <c r="L86" s="431">
        <v>0</v>
      </c>
      <c r="M86" s="431">
        <v>618360</v>
      </c>
      <c r="N86" s="431">
        <v>0</v>
      </c>
      <c r="O86" s="431"/>
      <c r="P86" s="432">
        <f t="shared" si="11"/>
        <v>3092272</v>
      </c>
      <c r="Q86" s="431">
        <v>1234456</v>
      </c>
      <c r="R86" s="431">
        <v>958796</v>
      </c>
      <c r="S86" s="431">
        <v>0</v>
      </c>
      <c r="T86" s="431">
        <v>0</v>
      </c>
      <c r="U86" s="431">
        <v>0</v>
      </c>
      <c r="V86" s="431">
        <v>0</v>
      </c>
      <c r="W86" s="431">
        <v>0</v>
      </c>
      <c r="X86" s="431">
        <v>34810</v>
      </c>
      <c r="Y86" s="431">
        <v>0</v>
      </c>
      <c r="Z86" s="431">
        <v>864210</v>
      </c>
      <c r="AA86" s="431">
        <v>0</v>
      </c>
      <c r="AB86" s="431">
        <v>0</v>
      </c>
      <c r="AC86" s="431">
        <v>651279</v>
      </c>
      <c r="AD86" s="431">
        <v>2809</v>
      </c>
      <c r="AE86" s="431">
        <v>666928</v>
      </c>
      <c r="AF86" s="431">
        <v>0</v>
      </c>
      <c r="AG86" s="431">
        <v>86777</v>
      </c>
      <c r="AH86" s="431">
        <v>233494</v>
      </c>
      <c r="AI86" s="431">
        <v>1062634</v>
      </c>
      <c r="AJ86" s="431">
        <v>124809</v>
      </c>
      <c r="AK86" s="431">
        <v>0</v>
      </c>
      <c r="AL86" s="431">
        <v>263542</v>
      </c>
      <c r="AM86" s="440"/>
      <c r="AN86" s="203"/>
      <c r="AO86" s="203"/>
    </row>
    <row r="87" spans="1:41" s="155" customFormat="1" ht="12" x14ac:dyDescent="0.2">
      <c r="A87" s="205">
        <v>33</v>
      </c>
      <c r="B87" s="578">
        <v>157031</v>
      </c>
      <c r="C87" s="224" t="s">
        <v>749</v>
      </c>
      <c r="D87" s="432">
        <f t="shared" si="8"/>
        <v>7670530</v>
      </c>
      <c r="E87" s="431">
        <v>2353513</v>
      </c>
      <c r="F87" s="431">
        <v>497303</v>
      </c>
      <c r="G87" s="431">
        <v>1022098</v>
      </c>
      <c r="H87" s="431">
        <v>0</v>
      </c>
      <c r="I87" s="431">
        <v>1376276</v>
      </c>
      <c r="J87" s="431">
        <v>133000</v>
      </c>
      <c r="K87" s="431">
        <v>803000</v>
      </c>
      <c r="L87" s="431">
        <v>0</v>
      </c>
      <c r="M87" s="431">
        <v>2994241</v>
      </c>
      <c r="N87" s="431">
        <v>0</v>
      </c>
      <c r="O87" s="431">
        <v>10500</v>
      </c>
      <c r="P87" s="432">
        <f t="shared" si="11"/>
        <v>7260782</v>
      </c>
      <c r="Q87" s="431">
        <v>1692824</v>
      </c>
      <c r="R87" s="431">
        <v>1290193</v>
      </c>
      <c r="S87" s="431">
        <v>0</v>
      </c>
      <c r="T87" s="431">
        <v>0</v>
      </c>
      <c r="U87" s="431">
        <v>0</v>
      </c>
      <c r="V87" s="431">
        <v>0</v>
      </c>
      <c r="W87" s="431">
        <v>0</v>
      </c>
      <c r="X87" s="431">
        <v>209924</v>
      </c>
      <c r="Y87" s="431">
        <v>0</v>
      </c>
      <c r="Z87" s="431">
        <v>4226226</v>
      </c>
      <c r="AA87" s="431">
        <v>0</v>
      </c>
      <c r="AB87" s="431">
        <v>-158385</v>
      </c>
      <c r="AC87" s="431">
        <v>883885</v>
      </c>
      <c r="AD87" s="431">
        <v>277</v>
      </c>
      <c r="AE87" s="431">
        <v>1189259</v>
      </c>
      <c r="AF87" s="431">
        <v>0</v>
      </c>
      <c r="AG87" s="431">
        <v>276054</v>
      </c>
      <c r="AH87" s="431">
        <v>354822</v>
      </c>
      <c r="AI87" s="431">
        <v>320700</v>
      </c>
      <c r="AJ87" s="431">
        <v>1310950</v>
      </c>
      <c r="AK87" s="431">
        <v>0</v>
      </c>
      <c r="AL87" s="431">
        <v>2878394</v>
      </c>
      <c r="AM87" s="440">
        <v>46441</v>
      </c>
      <c r="AN87" s="203"/>
      <c r="AO87" s="203"/>
    </row>
    <row r="88" spans="1:41" s="155" customFormat="1" ht="12" x14ac:dyDescent="0.2">
      <c r="A88" s="205">
        <v>34</v>
      </c>
      <c r="B88" s="578">
        <v>159400</v>
      </c>
      <c r="C88" s="224" t="s">
        <v>750</v>
      </c>
      <c r="D88" s="432">
        <f t="shared" si="8"/>
        <v>5685369</v>
      </c>
      <c r="E88" s="431">
        <v>2511815</v>
      </c>
      <c r="F88" s="431">
        <v>87857</v>
      </c>
      <c r="G88" s="431">
        <v>1332062</v>
      </c>
      <c r="H88" s="431">
        <v>0</v>
      </c>
      <c r="I88" s="431">
        <v>1063400</v>
      </c>
      <c r="J88" s="431">
        <v>133000</v>
      </c>
      <c r="K88" s="431">
        <v>319000</v>
      </c>
      <c r="L88" s="431">
        <v>0</v>
      </c>
      <c r="M88" s="431">
        <v>932863</v>
      </c>
      <c r="N88" s="431">
        <v>657348</v>
      </c>
      <c r="O88" s="431">
        <v>67943</v>
      </c>
      <c r="P88" s="432">
        <f t="shared" si="11"/>
        <v>6042499</v>
      </c>
      <c r="Q88" s="431">
        <v>1409329</v>
      </c>
      <c r="R88" s="431">
        <v>1379616</v>
      </c>
      <c r="S88" s="431">
        <v>0</v>
      </c>
      <c r="T88" s="431">
        <v>0</v>
      </c>
      <c r="U88" s="431">
        <v>0</v>
      </c>
      <c r="V88" s="431">
        <v>0</v>
      </c>
      <c r="W88" s="431">
        <v>1510342</v>
      </c>
      <c r="X88" s="431">
        <v>46022</v>
      </c>
      <c r="Y88" s="431">
        <v>48090</v>
      </c>
      <c r="Z88" s="431">
        <v>1649100</v>
      </c>
      <c r="AA88" s="431">
        <v>0</v>
      </c>
      <c r="AB88" s="431">
        <v>0</v>
      </c>
      <c r="AC88" s="431">
        <v>1127093</v>
      </c>
      <c r="AD88" s="431">
        <v>32109</v>
      </c>
      <c r="AE88" s="431">
        <v>1135042</v>
      </c>
      <c r="AF88" s="431">
        <v>0</v>
      </c>
      <c r="AG88" s="431">
        <v>130489</v>
      </c>
      <c r="AH88" s="431">
        <v>156280</v>
      </c>
      <c r="AI88" s="431">
        <v>3111567</v>
      </c>
      <c r="AJ88" s="431">
        <v>0</v>
      </c>
      <c r="AK88" s="431">
        <v>0</v>
      </c>
      <c r="AL88" s="431">
        <v>349919</v>
      </c>
      <c r="AM88" s="440"/>
      <c r="AN88" s="203"/>
      <c r="AO88" s="203"/>
    </row>
    <row r="89" spans="1:41" s="155" customFormat="1" ht="12" x14ac:dyDescent="0.2">
      <c r="A89" s="205">
        <v>35</v>
      </c>
      <c r="B89" s="578">
        <v>155289</v>
      </c>
      <c r="C89" s="224" t="s">
        <v>751</v>
      </c>
      <c r="D89" s="432">
        <f t="shared" si="8"/>
        <v>22941824</v>
      </c>
      <c r="E89" s="431">
        <v>21270855</v>
      </c>
      <c r="F89" s="431">
        <v>12993559</v>
      </c>
      <c r="G89" s="431">
        <v>445329</v>
      </c>
      <c r="H89" s="431">
        <v>0</v>
      </c>
      <c r="I89" s="431">
        <v>1556931</v>
      </c>
      <c r="J89" s="431">
        <v>70000</v>
      </c>
      <c r="K89" s="431">
        <v>43000</v>
      </c>
      <c r="L89" s="431">
        <v>0</v>
      </c>
      <c r="M89" s="431">
        <v>1038</v>
      </c>
      <c r="N89" s="431">
        <v>0</v>
      </c>
      <c r="O89" s="431"/>
      <c r="P89" s="432">
        <f t="shared" si="11"/>
        <v>18055361</v>
      </c>
      <c r="Q89" s="431">
        <v>2066452</v>
      </c>
      <c r="R89" s="431">
        <v>3411861</v>
      </c>
      <c r="S89" s="431">
        <v>0</v>
      </c>
      <c r="T89" s="431">
        <v>0</v>
      </c>
      <c r="U89" s="431">
        <v>0</v>
      </c>
      <c r="V89" s="431">
        <v>0</v>
      </c>
      <c r="W89" s="431">
        <v>0</v>
      </c>
      <c r="X89" s="431">
        <v>238427</v>
      </c>
      <c r="Y89" s="431">
        <v>572500</v>
      </c>
      <c r="Z89" s="431">
        <v>11766121</v>
      </c>
      <c r="AA89" s="431">
        <v>0</v>
      </c>
      <c r="AB89" s="431">
        <v>0</v>
      </c>
      <c r="AC89" s="431">
        <v>1115729</v>
      </c>
      <c r="AD89" s="431">
        <v>168425</v>
      </c>
      <c r="AE89" s="431">
        <v>1662697</v>
      </c>
      <c r="AF89" s="431">
        <v>40282</v>
      </c>
      <c r="AG89" s="431">
        <v>3080907</v>
      </c>
      <c r="AH89" s="431">
        <v>461012</v>
      </c>
      <c r="AI89" s="431">
        <v>1287180</v>
      </c>
      <c r="AJ89" s="431">
        <v>2308273</v>
      </c>
      <c r="AK89" s="431">
        <v>0</v>
      </c>
      <c r="AL89" s="431">
        <v>7930856</v>
      </c>
      <c r="AM89" s="440"/>
      <c r="AN89" s="203"/>
      <c r="AO89" s="203"/>
    </row>
    <row r="90" spans="1:41" s="155" customFormat="1" ht="12" x14ac:dyDescent="0.2">
      <c r="A90" s="205">
        <v>36</v>
      </c>
      <c r="B90" s="578">
        <v>157193</v>
      </c>
      <c r="C90" s="224" t="s">
        <v>752</v>
      </c>
      <c r="D90" s="432">
        <f t="shared" si="8"/>
        <v>3505049</v>
      </c>
      <c r="E90" s="431">
        <v>1851147</v>
      </c>
      <c r="F90" s="431">
        <v>158766</v>
      </c>
      <c r="G90" s="431">
        <v>992671</v>
      </c>
      <c r="H90" s="431">
        <v>0</v>
      </c>
      <c r="I90" s="431">
        <v>840902</v>
      </c>
      <c r="J90" s="431">
        <v>150000</v>
      </c>
      <c r="K90" s="431">
        <v>663000</v>
      </c>
      <c r="L90" s="431">
        <v>0</v>
      </c>
      <c r="M90" s="431">
        <v>0</v>
      </c>
      <c r="N90" s="431">
        <v>0</v>
      </c>
      <c r="O90" s="431"/>
      <c r="P90" s="432">
        <f t="shared" si="11"/>
        <v>2833853</v>
      </c>
      <c r="Q90" s="431">
        <v>1049543</v>
      </c>
      <c r="R90" s="431">
        <v>712613</v>
      </c>
      <c r="S90" s="431">
        <v>0</v>
      </c>
      <c r="T90" s="431">
        <v>0</v>
      </c>
      <c r="U90" s="431">
        <v>0</v>
      </c>
      <c r="V90" s="431">
        <v>0</v>
      </c>
      <c r="W90" s="431">
        <v>0</v>
      </c>
      <c r="X90" s="431">
        <v>64781</v>
      </c>
      <c r="Y90" s="431">
        <v>0</v>
      </c>
      <c r="Z90" s="431">
        <v>1006916</v>
      </c>
      <c r="AA90" s="431">
        <v>0</v>
      </c>
      <c r="AB90" s="431">
        <v>0</v>
      </c>
      <c r="AC90" s="431">
        <v>647782</v>
      </c>
      <c r="AD90" s="431">
        <v>0</v>
      </c>
      <c r="AE90" s="431">
        <v>791767</v>
      </c>
      <c r="AF90" s="431">
        <v>0</v>
      </c>
      <c r="AG90" s="431">
        <v>322268</v>
      </c>
      <c r="AH90" s="431">
        <v>229737</v>
      </c>
      <c r="AI90" s="431">
        <v>266400</v>
      </c>
      <c r="AJ90" s="431">
        <v>537760</v>
      </c>
      <c r="AK90" s="431">
        <v>0</v>
      </c>
      <c r="AL90" s="431">
        <v>38139</v>
      </c>
      <c r="AM90" s="440"/>
      <c r="AN90" s="203"/>
      <c r="AO90" s="203"/>
    </row>
    <row r="91" spans="1:41" s="155" customFormat="1" ht="12" x14ac:dyDescent="0.2">
      <c r="A91" s="205">
        <v>37</v>
      </c>
      <c r="B91" s="578">
        <v>157246</v>
      </c>
      <c r="C91" s="224" t="s">
        <v>753</v>
      </c>
      <c r="D91" s="432">
        <f t="shared" si="8"/>
        <v>16674020</v>
      </c>
      <c r="E91" s="431">
        <v>11657041</v>
      </c>
      <c r="F91" s="431">
        <v>5910209</v>
      </c>
      <c r="G91" s="431">
        <v>984824</v>
      </c>
      <c r="H91" s="431">
        <v>0</v>
      </c>
      <c r="I91" s="431">
        <v>2601071</v>
      </c>
      <c r="J91" s="431">
        <v>150000</v>
      </c>
      <c r="K91" s="431">
        <v>165000</v>
      </c>
      <c r="L91" s="431">
        <v>0</v>
      </c>
      <c r="M91" s="431">
        <v>2079699</v>
      </c>
      <c r="N91" s="431">
        <v>0</v>
      </c>
      <c r="O91" s="431">
        <v>21209</v>
      </c>
      <c r="P91" s="432">
        <f t="shared" si="11"/>
        <v>13822762</v>
      </c>
      <c r="Q91" s="431">
        <v>3400376</v>
      </c>
      <c r="R91" s="431">
        <v>3133820</v>
      </c>
      <c r="S91" s="431">
        <v>0</v>
      </c>
      <c r="T91" s="431">
        <v>0</v>
      </c>
      <c r="U91" s="431">
        <v>0</v>
      </c>
      <c r="V91" s="431">
        <v>0</v>
      </c>
      <c r="W91" s="431">
        <v>0</v>
      </c>
      <c r="X91" s="431">
        <v>248772</v>
      </c>
      <c r="Y91" s="431">
        <v>255000</v>
      </c>
      <c r="Z91" s="431">
        <v>6831801</v>
      </c>
      <c r="AA91" s="431">
        <v>0</v>
      </c>
      <c r="AB91" s="431">
        <v>-47007</v>
      </c>
      <c r="AC91" s="431">
        <v>1869473</v>
      </c>
      <c r="AD91" s="431">
        <v>1000260</v>
      </c>
      <c r="AE91" s="431">
        <v>2209239</v>
      </c>
      <c r="AF91" s="431">
        <v>98061</v>
      </c>
      <c r="AG91" s="431">
        <v>1877892</v>
      </c>
      <c r="AH91" s="431">
        <v>706604</v>
      </c>
      <c r="AI91" s="431">
        <v>1320534</v>
      </c>
      <c r="AJ91" s="431">
        <v>1270827</v>
      </c>
      <c r="AK91" s="431">
        <v>0</v>
      </c>
      <c r="AL91" s="431">
        <v>3457632</v>
      </c>
      <c r="AM91" s="440">
        <v>12240</v>
      </c>
      <c r="AN91" s="203"/>
      <c r="AO91" s="203"/>
    </row>
    <row r="92" spans="1:41" s="155" customFormat="1" ht="12" x14ac:dyDescent="0.2">
      <c r="A92" s="205">
        <v>38</v>
      </c>
      <c r="B92" s="578">
        <v>157273</v>
      </c>
      <c r="C92" s="224" t="s">
        <v>754</v>
      </c>
      <c r="D92" s="432">
        <f t="shared" si="8"/>
        <v>3324972</v>
      </c>
      <c r="E92" s="431">
        <v>2229748</v>
      </c>
      <c r="F92" s="431">
        <v>180113</v>
      </c>
      <c r="G92" s="431">
        <v>1392878</v>
      </c>
      <c r="H92" s="431">
        <v>0</v>
      </c>
      <c r="I92" s="431">
        <v>615756</v>
      </c>
      <c r="J92" s="431">
        <v>160000</v>
      </c>
      <c r="K92" s="431">
        <v>102000</v>
      </c>
      <c r="L92" s="431">
        <v>0</v>
      </c>
      <c r="M92" s="431">
        <v>53528</v>
      </c>
      <c r="N92" s="431">
        <v>163940</v>
      </c>
      <c r="O92" s="431"/>
      <c r="P92" s="432">
        <f t="shared" si="11"/>
        <v>3154062</v>
      </c>
      <c r="Q92" s="431">
        <v>899817</v>
      </c>
      <c r="R92" s="431">
        <v>870069</v>
      </c>
      <c r="S92" s="431">
        <v>0</v>
      </c>
      <c r="T92" s="431">
        <v>0</v>
      </c>
      <c r="U92" s="431">
        <v>0</v>
      </c>
      <c r="V92" s="431">
        <v>0</v>
      </c>
      <c r="W92" s="431">
        <v>0</v>
      </c>
      <c r="X92" s="431">
        <v>26103</v>
      </c>
      <c r="Y92" s="431">
        <v>0</v>
      </c>
      <c r="Z92" s="431">
        <v>1358073</v>
      </c>
      <c r="AA92" s="431">
        <v>0</v>
      </c>
      <c r="AB92" s="431">
        <v>0</v>
      </c>
      <c r="AC92" s="431">
        <v>560636</v>
      </c>
      <c r="AD92" s="431">
        <v>0</v>
      </c>
      <c r="AE92" s="431">
        <v>619996</v>
      </c>
      <c r="AF92" s="431">
        <v>0</v>
      </c>
      <c r="AG92" s="431">
        <v>123845</v>
      </c>
      <c r="AH92" s="431">
        <v>99904</v>
      </c>
      <c r="AI92" s="431">
        <v>246028</v>
      </c>
      <c r="AJ92" s="431">
        <v>208859</v>
      </c>
      <c r="AK92" s="431">
        <v>0</v>
      </c>
      <c r="AL92" s="431">
        <v>1264685</v>
      </c>
      <c r="AM92" s="440">
        <v>30109</v>
      </c>
      <c r="AN92" s="203"/>
      <c r="AO92" s="203"/>
    </row>
    <row r="93" spans="1:41" s="155" customFormat="1" ht="12" x14ac:dyDescent="0.2">
      <c r="A93" s="205">
        <v>39</v>
      </c>
      <c r="B93" s="578">
        <v>155314</v>
      </c>
      <c r="C93" s="224" t="s">
        <v>755</v>
      </c>
      <c r="D93" s="432">
        <f t="shared" si="8"/>
        <v>28117223</v>
      </c>
      <c r="E93" s="431">
        <v>23365152</v>
      </c>
      <c r="F93" s="431">
        <v>10342067</v>
      </c>
      <c r="G93" s="431">
        <v>1083895</v>
      </c>
      <c r="H93" s="431">
        <v>0</v>
      </c>
      <c r="I93" s="431">
        <v>3774464</v>
      </c>
      <c r="J93" s="431">
        <v>100000</v>
      </c>
      <c r="K93" s="431">
        <v>155000</v>
      </c>
      <c r="L93" s="431">
        <v>0</v>
      </c>
      <c r="M93" s="431">
        <v>722607</v>
      </c>
      <c r="N93" s="431">
        <v>0</v>
      </c>
      <c r="O93" s="431"/>
      <c r="P93" s="432">
        <f t="shared" si="11"/>
        <v>32333863</v>
      </c>
      <c r="Q93" s="431">
        <v>4060517</v>
      </c>
      <c r="R93" s="431">
        <v>10203407</v>
      </c>
      <c r="S93" s="431">
        <v>358348</v>
      </c>
      <c r="T93" s="431">
        <v>1261388</v>
      </c>
      <c r="U93" s="431">
        <v>0</v>
      </c>
      <c r="V93" s="431">
        <v>0</v>
      </c>
      <c r="W93" s="431">
        <v>3149096</v>
      </c>
      <c r="X93" s="431">
        <v>503657</v>
      </c>
      <c r="Y93" s="431">
        <v>74986</v>
      </c>
      <c r="Z93" s="431">
        <v>11435595</v>
      </c>
      <c r="AA93" s="431">
        <v>1286869</v>
      </c>
      <c r="AB93" s="431">
        <v>0</v>
      </c>
      <c r="AC93" s="431">
        <v>5734664</v>
      </c>
      <c r="AD93" s="431">
        <v>666871</v>
      </c>
      <c r="AE93" s="431">
        <v>5424171</v>
      </c>
      <c r="AF93" s="431">
        <v>0</v>
      </c>
      <c r="AG93" s="431">
        <v>1202453</v>
      </c>
      <c r="AH93" s="431">
        <v>1281289</v>
      </c>
      <c r="AI93" s="431">
        <v>3267529</v>
      </c>
      <c r="AJ93" s="431">
        <v>1746563</v>
      </c>
      <c r="AK93" s="431">
        <v>0</v>
      </c>
      <c r="AL93" s="431">
        <v>13010323</v>
      </c>
      <c r="AM93" s="440"/>
      <c r="AN93" s="203"/>
      <c r="AO93" s="203"/>
    </row>
    <row r="94" spans="1:41" s="155" customFormat="1" ht="12" x14ac:dyDescent="0.2">
      <c r="A94" s="205">
        <v>40</v>
      </c>
      <c r="B94" s="578">
        <v>157317</v>
      </c>
      <c r="C94" s="224" t="s">
        <v>756</v>
      </c>
      <c r="D94" s="432">
        <f t="shared" si="8"/>
        <v>6395798</v>
      </c>
      <c r="E94" s="431">
        <v>2884739</v>
      </c>
      <c r="F94" s="431">
        <v>402730</v>
      </c>
      <c r="G94" s="431">
        <v>1157462</v>
      </c>
      <c r="H94" s="431">
        <v>0</v>
      </c>
      <c r="I94" s="431">
        <v>2699000</v>
      </c>
      <c r="J94" s="431">
        <v>79027</v>
      </c>
      <c r="K94" s="431">
        <v>639000</v>
      </c>
      <c r="L94" s="431">
        <v>0</v>
      </c>
      <c r="M94" s="431">
        <v>1150</v>
      </c>
      <c r="N94" s="431">
        <v>92882</v>
      </c>
      <c r="O94" s="431"/>
      <c r="P94" s="432">
        <f t="shared" si="11"/>
        <v>6201240</v>
      </c>
      <c r="Q94" s="431">
        <v>2819359</v>
      </c>
      <c r="R94" s="431">
        <v>1360974</v>
      </c>
      <c r="S94" s="431">
        <v>0</v>
      </c>
      <c r="T94" s="431">
        <v>0</v>
      </c>
      <c r="U94" s="431">
        <v>0</v>
      </c>
      <c r="V94" s="431">
        <v>0</v>
      </c>
      <c r="W94" s="431">
        <v>0</v>
      </c>
      <c r="X94" s="431">
        <v>246072</v>
      </c>
      <c r="Y94" s="431">
        <v>24767</v>
      </c>
      <c r="Z94" s="431">
        <v>1782827</v>
      </c>
      <c r="AA94" s="431">
        <v>0</v>
      </c>
      <c r="AB94" s="431">
        <v>-32759</v>
      </c>
      <c r="AC94" s="431">
        <v>770463</v>
      </c>
      <c r="AD94" s="431">
        <v>4995</v>
      </c>
      <c r="AE94" s="431">
        <v>2403955</v>
      </c>
      <c r="AF94" s="431">
        <v>0</v>
      </c>
      <c r="AG94" s="431">
        <v>199668</v>
      </c>
      <c r="AH94" s="431">
        <v>460422</v>
      </c>
      <c r="AI94" s="431">
        <v>213566</v>
      </c>
      <c r="AJ94" s="431">
        <v>217888</v>
      </c>
      <c r="AK94" s="431">
        <v>0</v>
      </c>
      <c r="AL94" s="431">
        <v>1930283</v>
      </c>
      <c r="AM94" s="440"/>
      <c r="AN94" s="203"/>
      <c r="AO94" s="203"/>
    </row>
    <row r="95" spans="1:41" s="155" customFormat="1" ht="12" x14ac:dyDescent="0.2">
      <c r="A95" s="205">
        <v>41</v>
      </c>
      <c r="B95" s="578">
        <v>159419</v>
      </c>
      <c r="C95" s="224" t="s">
        <v>757</v>
      </c>
      <c r="D95" s="432">
        <f t="shared" si="8"/>
        <v>11828076</v>
      </c>
      <c r="E95" s="431">
        <v>2243773</v>
      </c>
      <c r="F95" s="431">
        <v>228375</v>
      </c>
      <c r="G95" s="431">
        <v>1235934</v>
      </c>
      <c r="H95" s="431">
        <v>0</v>
      </c>
      <c r="I95" s="431">
        <v>954890</v>
      </c>
      <c r="J95" s="431">
        <v>133000</v>
      </c>
      <c r="K95" s="431">
        <v>253000</v>
      </c>
      <c r="L95" s="431">
        <v>0</v>
      </c>
      <c r="M95" s="431">
        <v>3204114</v>
      </c>
      <c r="N95" s="431">
        <v>5026799</v>
      </c>
      <c r="O95" s="431">
        <v>12500</v>
      </c>
      <c r="P95" s="432">
        <f t="shared" si="11"/>
        <v>15041614</v>
      </c>
      <c r="Q95" s="431">
        <v>1292240</v>
      </c>
      <c r="R95" s="431">
        <v>1462029</v>
      </c>
      <c r="S95" s="431">
        <v>17425</v>
      </c>
      <c r="T95" s="431">
        <v>0</v>
      </c>
      <c r="U95" s="431">
        <v>0</v>
      </c>
      <c r="V95" s="431">
        <v>0</v>
      </c>
      <c r="W95" s="431">
        <v>9464944</v>
      </c>
      <c r="X95" s="431">
        <v>121266</v>
      </c>
      <c r="Y95" s="431">
        <v>0</v>
      </c>
      <c r="Z95" s="431">
        <v>2683710</v>
      </c>
      <c r="AA95" s="431">
        <v>0</v>
      </c>
      <c r="AB95" s="431">
        <v>0</v>
      </c>
      <c r="AC95" s="431">
        <v>1518451</v>
      </c>
      <c r="AD95" s="431">
        <v>306512</v>
      </c>
      <c r="AE95" s="431">
        <v>961467</v>
      </c>
      <c r="AF95" s="431">
        <v>0</v>
      </c>
      <c r="AG95" s="431">
        <v>1174782</v>
      </c>
      <c r="AH95" s="431">
        <v>721138</v>
      </c>
      <c r="AI95" s="431">
        <v>237393</v>
      </c>
      <c r="AJ95" s="431">
        <v>71960</v>
      </c>
      <c r="AK95" s="431">
        <v>0</v>
      </c>
      <c r="AL95" s="431">
        <v>10049911</v>
      </c>
      <c r="AM95" s="440"/>
      <c r="AN95" s="203"/>
      <c r="AO95" s="203"/>
    </row>
    <row r="96" spans="1:41" s="155" customFormat="1" ht="12" x14ac:dyDescent="0.2">
      <c r="A96" s="205">
        <v>42</v>
      </c>
      <c r="B96" s="578">
        <v>159428</v>
      </c>
      <c r="C96" s="224" t="s">
        <v>758</v>
      </c>
      <c r="D96" s="432">
        <f t="shared" si="8"/>
        <v>6280646</v>
      </c>
      <c r="E96" s="431">
        <v>2547942</v>
      </c>
      <c r="F96" s="431">
        <v>97156</v>
      </c>
      <c r="G96" s="431">
        <v>1716879</v>
      </c>
      <c r="H96" s="431">
        <v>0</v>
      </c>
      <c r="I96" s="431">
        <v>895275</v>
      </c>
      <c r="J96" s="431">
        <v>119691</v>
      </c>
      <c r="K96" s="431">
        <v>949830</v>
      </c>
      <c r="L96" s="431">
        <v>0</v>
      </c>
      <c r="M96" s="431">
        <v>1767908</v>
      </c>
      <c r="N96" s="431">
        <v>0</v>
      </c>
      <c r="O96" s="431"/>
      <c r="P96" s="432">
        <f t="shared" si="11"/>
        <v>4963064</v>
      </c>
      <c r="Q96" s="431">
        <v>1236599</v>
      </c>
      <c r="R96" s="431">
        <v>1034385</v>
      </c>
      <c r="S96" s="431">
        <v>0</v>
      </c>
      <c r="T96" s="431">
        <v>0</v>
      </c>
      <c r="U96" s="431">
        <v>0</v>
      </c>
      <c r="V96" s="431">
        <v>0</v>
      </c>
      <c r="W96" s="431">
        <v>0</v>
      </c>
      <c r="X96" s="431">
        <v>103585</v>
      </c>
      <c r="Y96" s="431">
        <v>119744</v>
      </c>
      <c r="Z96" s="431">
        <v>2665044</v>
      </c>
      <c r="AA96" s="431">
        <v>0</v>
      </c>
      <c r="AB96" s="431">
        <v>-196293</v>
      </c>
      <c r="AC96" s="431">
        <v>694893</v>
      </c>
      <c r="AD96" s="431">
        <v>0</v>
      </c>
      <c r="AE96" s="431">
        <v>1024207</v>
      </c>
      <c r="AF96" s="431">
        <v>0</v>
      </c>
      <c r="AG96" s="431">
        <v>297875</v>
      </c>
      <c r="AH96" s="431">
        <v>103585</v>
      </c>
      <c r="AI96" s="431">
        <v>716186</v>
      </c>
      <c r="AJ96" s="431">
        <v>319475</v>
      </c>
      <c r="AK96" s="431">
        <v>0</v>
      </c>
      <c r="AL96" s="431">
        <v>1806843</v>
      </c>
      <c r="AM96" s="440"/>
      <c r="AN96" s="203"/>
      <c r="AO96" s="203"/>
    </row>
    <row r="97" spans="1:41" s="155" customFormat="1" ht="12" x14ac:dyDescent="0.2">
      <c r="A97" s="205">
        <v>43</v>
      </c>
      <c r="B97" s="578">
        <v>157362</v>
      </c>
      <c r="C97" s="224" t="s">
        <v>759</v>
      </c>
      <c r="D97" s="432">
        <f t="shared" si="8"/>
        <v>5428624</v>
      </c>
      <c r="E97" s="431">
        <v>2876114</v>
      </c>
      <c r="F97" s="431">
        <v>130870</v>
      </c>
      <c r="G97" s="431">
        <v>1456637</v>
      </c>
      <c r="H97" s="431">
        <v>0</v>
      </c>
      <c r="I97" s="431">
        <v>1325543</v>
      </c>
      <c r="J97" s="431">
        <v>80000</v>
      </c>
      <c r="K97" s="431">
        <v>802000</v>
      </c>
      <c r="L97" s="431">
        <v>0</v>
      </c>
      <c r="M97" s="431">
        <v>67210</v>
      </c>
      <c r="N97" s="431">
        <v>164389</v>
      </c>
      <c r="O97" s="431">
        <v>113368</v>
      </c>
      <c r="P97" s="432">
        <f t="shared" si="11"/>
        <v>4724959</v>
      </c>
      <c r="Q97" s="431">
        <v>1376482</v>
      </c>
      <c r="R97" s="431">
        <v>1765840</v>
      </c>
      <c r="S97" s="431">
        <v>5100</v>
      </c>
      <c r="T97" s="431">
        <v>0</v>
      </c>
      <c r="U97" s="431">
        <v>0</v>
      </c>
      <c r="V97" s="431">
        <v>0</v>
      </c>
      <c r="W97" s="431">
        <v>143948</v>
      </c>
      <c r="X97" s="431">
        <v>261730</v>
      </c>
      <c r="Y97" s="431">
        <v>0</v>
      </c>
      <c r="Z97" s="431">
        <v>1145859</v>
      </c>
      <c r="AA97" s="431">
        <v>26000</v>
      </c>
      <c r="AB97" s="431">
        <v>0</v>
      </c>
      <c r="AC97" s="431">
        <v>1377892</v>
      </c>
      <c r="AD97" s="431">
        <v>0</v>
      </c>
      <c r="AE97" s="431">
        <v>1077713</v>
      </c>
      <c r="AF97" s="431">
        <v>20704</v>
      </c>
      <c r="AG97" s="431">
        <v>274918</v>
      </c>
      <c r="AH97" s="431">
        <v>261730</v>
      </c>
      <c r="AI97" s="431">
        <v>864426</v>
      </c>
      <c r="AJ97" s="431">
        <v>237301</v>
      </c>
      <c r="AK97" s="431">
        <v>0</v>
      </c>
      <c r="AL97" s="431">
        <v>591275</v>
      </c>
      <c r="AM97" s="440">
        <v>19000</v>
      </c>
      <c r="AN97" s="203"/>
      <c r="AO97" s="203"/>
    </row>
    <row r="98" spans="1:41" s="155" customFormat="1" ht="12" x14ac:dyDescent="0.2">
      <c r="A98" s="205">
        <v>44</v>
      </c>
      <c r="B98" s="578">
        <v>157424</v>
      </c>
      <c r="C98" s="224" t="s">
        <v>760</v>
      </c>
      <c r="D98" s="432">
        <f t="shared" si="8"/>
        <v>12145687</v>
      </c>
      <c r="E98" s="431">
        <v>3326568</v>
      </c>
      <c r="F98" s="431">
        <v>839872</v>
      </c>
      <c r="G98" s="431">
        <v>1010327</v>
      </c>
      <c r="H98" s="431">
        <v>0</v>
      </c>
      <c r="I98" s="431">
        <v>1506392</v>
      </c>
      <c r="J98" s="431">
        <v>160000</v>
      </c>
      <c r="K98" s="431">
        <v>939000</v>
      </c>
      <c r="L98" s="431">
        <v>0</v>
      </c>
      <c r="M98" s="431">
        <v>2753809</v>
      </c>
      <c r="N98" s="431">
        <v>3459918</v>
      </c>
      <c r="O98" s="431"/>
      <c r="P98" s="432">
        <f t="shared" si="11"/>
        <v>16446783</v>
      </c>
      <c r="Q98" s="431">
        <v>1954051</v>
      </c>
      <c r="R98" s="431">
        <v>2543240</v>
      </c>
      <c r="S98" s="431">
        <v>0</v>
      </c>
      <c r="T98" s="431">
        <v>0</v>
      </c>
      <c r="U98" s="431">
        <v>0</v>
      </c>
      <c r="V98" s="431">
        <v>0</v>
      </c>
      <c r="W98" s="431">
        <v>9406517</v>
      </c>
      <c r="X98" s="431">
        <v>118136</v>
      </c>
      <c r="Y98" s="431">
        <v>41873</v>
      </c>
      <c r="Z98" s="431">
        <v>2382966</v>
      </c>
      <c r="AA98" s="431">
        <v>0</v>
      </c>
      <c r="AB98" s="431">
        <v>0</v>
      </c>
      <c r="AC98" s="431">
        <v>2559019</v>
      </c>
      <c r="AD98" s="431">
        <v>4447</v>
      </c>
      <c r="AE98" s="431">
        <v>1315337</v>
      </c>
      <c r="AF98" s="431">
        <v>0</v>
      </c>
      <c r="AG98" s="431">
        <v>337316</v>
      </c>
      <c r="AH98" s="431">
        <v>272629</v>
      </c>
      <c r="AI98" s="431">
        <v>1143021</v>
      </c>
      <c r="AJ98" s="431">
        <v>3754599</v>
      </c>
      <c r="AK98" s="431">
        <v>0</v>
      </c>
      <c r="AL98" s="431">
        <v>7060415</v>
      </c>
      <c r="AM98" s="440"/>
      <c r="AN98" s="203"/>
      <c r="AO98" s="203"/>
    </row>
    <row r="99" spans="1:41" s="155" customFormat="1" ht="12" x14ac:dyDescent="0.2">
      <c r="A99" s="205">
        <v>45</v>
      </c>
      <c r="B99" s="578">
        <v>157451</v>
      </c>
      <c r="C99" s="224" t="s">
        <v>761</v>
      </c>
      <c r="D99" s="432">
        <f t="shared" si="8"/>
        <v>10026869</v>
      </c>
      <c r="E99" s="431">
        <v>4004159</v>
      </c>
      <c r="F99" s="431">
        <v>473059</v>
      </c>
      <c r="G99" s="431">
        <v>1709709</v>
      </c>
      <c r="H99" s="431">
        <v>0</v>
      </c>
      <c r="I99" s="431">
        <v>2918632</v>
      </c>
      <c r="J99" s="431">
        <v>133000</v>
      </c>
      <c r="K99" s="431">
        <v>1788000</v>
      </c>
      <c r="L99" s="431">
        <v>0</v>
      </c>
      <c r="M99" s="431">
        <v>571168</v>
      </c>
      <c r="N99" s="431">
        <v>563910</v>
      </c>
      <c r="O99" s="431">
        <v>48000</v>
      </c>
      <c r="P99" s="432">
        <f t="shared" si="11"/>
        <v>10887875</v>
      </c>
      <c r="Q99" s="431">
        <v>3145182</v>
      </c>
      <c r="R99" s="431">
        <v>2313885</v>
      </c>
      <c r="S99" s="431">
        <v>15317</v>
      </c>
      <c r="T99" s="431">
        <v>0</v>
      </c>
      <c r="U99" s="431">
        <v>0</v>
      </c>
      <c r="V99" s="431">
        <v>0</v>
      </c>
      <c r="W99" s="431">
        <v>2133051</v>
      </c>
      <c r="X99" s="431">
        <v>187531</v>
      </c>
      <c r="Y99" s="431">
        <v>166933</v>
      </c>
      <c r="Z99" s="431">
        <v>1831076</v>
      </c>
      <c r="AA99" s="431">
        <v>1094900</v>
      </c>
      <c r="AB99" s="431">
        <v>0</v>
      </c>
      <c r="AC99" s="431">
        <v>1638802</v>
      </c>
      <c r="AD99" s="431">
        <v>0</v>
      </c>
      <c r="AE99" s="431">
        <v>2522697</v>
      </c>
      <c r="AF99" s="431">
        <v>0</v>
      </c>
      <c r="AG99" s="431">
        <v>321066</v>
      </c>
      <c r="AH99" s="431">
        <v>598859</v>
      </c>
      <c r="AI99" s="431">
        <v>1442069</v>
      </c>
      <c r="AJ99" s="431">
        <v>232229</v>
      </c>
      <c r="AK99" s="431">
        <v>0</v>
      </c>
      <c r="AL99" s="431">
        <v>4132153</v>
      </c>
      <c r="AM99" s="440"/>
      <c r="AN99" s="203"/>
      <c r="AO99" s="203"/>
    </row>
    <row r="100" spans="1:41" s="155" customFormat="1" ht="12" x14ac:dyDescent="0.2">
      <c r="A100" s="205">
        <v>46</v>
      </c>
      <c r="B100" s="578">
        <v>157497</v>
      </c>
      <c r="C100" s="224" t="s">
        <v>762</v>
      </c>
      <c r="D100" s="432">
        <f t="shared" si="8"/>
        <v>6472513</v>
      </c>
      <c r="E100" s="431">
        <v>2849212</v>
      </c>
      <c r="F100" s="431">
        <v>533421</v>
      </c>
      <c r="G100" s="431">
        <v>825918</v>
      </c>
      <c r="H100" s="431">
        <v>0</v>
      </c>
      <c r="I100" s="431">
        <v>2536029</v>
      </c>
      <c r="J100" s="431">
        <v>133000</v>
      </c>
      <c r="K100" s="431">
        <v>749000</v>
      </c>
      <c r="L100" s="431">
        <v>0</v>
      </c>
      <c r="M100" s="431">
        <v>40644</v>
      </c>
      <c r="N100" s="431">
        <v>164628</v>
      </c>
      <c r="O100" s="431"/>
      <c r="P100" s="432">
        <f t="shared" si="11"/>
        <v>6451408</v>
      </c>
      <c r="Q100" s="431">
        <v>3059459</v>
      </c>
      <c r="R100" s="431">
        <v>1528455</v>
      </c>
      <c r="S100" s="431">
        <v>0</v>
      </c>
      <c r="T100" s="431">
        <v>0</v>
      </c>
      <c r="U100" s="431">
        <v>0</v>
      </c>
      <c r="V100" s="431">
        <v>0</v>
      </c>
      <c r="W100" s="431">
        <v>203510</v>
      </c>
      <c r="X100" s="431">
        <v>241328</v>
      </c>
      <c r="Y100" s="431">
        <v>0</v>
      </c>
      <c r="Z100" s="431">
        <v>1418656</v>
      </c>
      <c r="AA100" s="431">
        <v>0</v>
      </c>
      <c r="AB100" s="431">
        <v>0</v>
      </c>
      <c r="AC100" s="431">
        <v>1852889</v>
      </c>
      <c r="AD100" s="431">
        <v>842</v>
      </c>
      <c r="AE100" s="431">
        <v>2100067</v>
      </c>
      <c r="AF100" s="431">
        <v>6964</v>
      </c>
      <c r="AG100" s="431">
        <v>517788</v>
      </c>
      <c r="AH100" s="431">
        <v>661967</v>
      </c>
      <c r="AI100" s="431">
        <v>604339</v>
      </c>
      <c r="AJ100" s="431">
        <v>0</v>
      </c>
      <c r="AK100" s="431">
        <v>0</v>
      </c>
      <c r="AL100" s="431">
        <v>706552</v>
      </c>
      <c r="AM100" s="440"/>
      <c r="AN100" s="203"/>
      <c r="AO100" s="203"/>
    </row>
    <row r="101" spans="1:41" s="155" customFormat="1" ht="12" x14ac:dyDescent="0.2">
      <c r="A101" s="205">
        <v>47</v>
      </c>
      <c r="B101" s="578">
        <v>159491</v>
      </c>
      <c r="C101" s="224" t="s">
        <v>537</v>
      </c>
      <c r="D101" s="432">
        <f t="shared" si="8"/>
        <v>3745747</v>
      </c>
      <c r="E101" s="431">
        <v>2277324</v>
      </c>
      <c r="F101" s="431">
        <v>166016</v>
      </c>
      <c r="G101" s="431">
        <v>1242799</v>
      </c>
      <c r="H101" s="431">
        <v>0</v>
      </c>
      <c r="I101" s="431">
        <v>867407</v>
      </c>
      <c r="J101" s="431">
        <v>133000</v>
      </c>
      <c r="K101" s="431">
        <v>141000</v>
      </c>
      <c r="L101" s="431">
        <v>0</v>
      </c>
      <c r="M101" s="431">
        <v>46211</v>
      </c>
      <c r="N101" s="431">
        <v>278805</v>
      </c>
      <c r="O101" s="431">
        <v>2000</v>
      </c>
      <c r="P101" s="432">
        <f t="shared" si="11"/>
        <v>3766075</v>
      </c>
      <c r="Q101" s="431">
        <v>1208316</v>
      </c>
      <c r="R101" s="431">
        <v>716002</v>
      </c>
      <c r="S101" s="431">
        <v>0</v>
      </c>
      <c r="T101" s="431">
        <v>0</v>
      </c>
      <c r="U101" s="431">
        <v>48052</v>
      </c>
      <c r="V101" s="431">
        <v>0</v>
      </c>
      <c r="W101" s="431">
        <v>157862</v>
      </c>
      <c r="X101" s="431">
        <v>22192</v>
      </c>
      <c r="Y101" s="431">
        <v>0</v>
      </c>
      <c r="Z101" s="431">
        <v>1613651</v>
      </c>
      <c r="AA101" s="431">
        <v>0</v>
      </c>
      <c r="AB101" s="431">
        <v>0</v>
      </c>
      <c r="AC101" s="431">
        <v>1204813</v>
      </c>
      <c r="AD101" s="431">
        <v>0</v>
      </c>
      <c r="AE101" s="431">
        <v>812722</v>
      </c>
      <c r="AF101" s="431">
        <v>0</v>
      </c>
      <c r="AG101" s="431">
        <v>181812</v>
      </c>
      <c r="AH101" s="431">
        <v>114210</v>
      </c>
      <c r="AI101" s="431">
        <v>101000</v>
      </c>
      <c r="AJ101" s="431">
        <v>0</v>
      </c>
      <c r="AK101" s="431">
        <v>0</v>
      </c>
      <c r="AL101" s="431">
        <v>1193656</v>
      </c>
      <c r="AM101" s="440">
        <v>157862</v>
      </c>
      <c r="AN101" s="203"/>
      <c r="AO101" s="203"/>
    </row>
    <row r="102" spans="1:41" s="155" customFormat="1" ht="12" x14ac:dyDescent="0.2">
      <c r="A102" s="205">
        <v>48</v>
      </c>
      <c r="B102" s="578">
        <v>157530</v>
      </c>
      <c r="C102" s="224" t="s">
        <v>763</v>
      </c>
      <c r="D102" s="432">
        <f t="shared" si="8"/>
        <v>9336914</v>
      </c>
      <c r="E102" s="431">
        <v>2839072</v>
      </c>
      <c r="F102" s="431">
        <v>653691</v>
      </c>
      <c r="G102" s="431">
        <v>740580</v>
      </c>
      <c r="H102" s="431">
        <v>0</v>
      </c>
      <c r="I102" s="431">
        <v>2921543</v>
      </c>
      <c r="J102" s="431">
        <v>133000</v>
      </c>
      <c r="K102" s="431">
        <v>950910</v>
      </c>
      <c r="L102" s="431">
        <v>0</v>
      </c>
      <c r="M102" s="431">
        <v>2096933</v>
      </c>
      <c r="N102" s="431">
        <v>302964</v>
      </c>
      <c r="O102" s="431">
        <v>92492</v>
      </c>
      <c r="P102" s="432">
        <f t="shared" si="11"/>
        <v>9377971</v>
      </c>
      <c r="Q102" s="431">
        <v>2998289</v>
      </c>
      <c r="R102" s="431">
        <v>2781769</v>
      </c>
      <c r="S102" s="431">
        <v>4318</v>
      </c>
      <c r="T102" s="431">
        <v>0</v>
      </c>
      <c r="U102" s="431">
        <v>0</v>
      </c>
      <c r="V102" s="431">
        <v>0</v>
      </c>
      <c r="W102" s="431">
        <v>0</v>
      </c>
      <c r="X102" s="431">
        <v>116865</v>
      </c>
      <c r="Y102" s="431">
        <v>0</v>
      </c>
      <c r="Z102" s="431">
        <v>3089374</v>
      </c>
      <c r="AA102" s="431">
        <v>387554</v>
      </c>
      <c r="AB102" s="431">
        <v>-198</v>
      </c>
      <c r="AC102" s="431">
        <v>955325</v>
      </c>
      <c r="AD102" s="431">
        <v>538269</v>
      </c>
      <c r="AE102" s="431">
        <v>2673083</v>
      </c>
      <c r="AF102" s="431">
        <v>0</v>
      </c>
      <c r="AG102" s="431">
        <v>496063</v>
      </c>
      <c r="AH102" s="431">
        <v>318366</v>
      </c>
      <c r="AI102" s="431">
        <v>1900629</v>
      </c>
      <c r="AJ102" s="431">
        <v>0</v>
      </c>
      <c r="AK102" s="431">
        <v>0</v>
      </c>
      <c r="AL102" s="431">
        <v>2496236</v>
      </c>
      <c r="AM102" s="440"/>
      <c r="AN102" s="203"/>
      <c r="AO102" s="203"/>
    </row>
    <row r="103" spans="1:41" s="155" customFormat="1" ht="12" x14ac:dyDescent="0.2">
      <c r="A103" s="205">
        <v>49</v>
      </c>
      <c r="B103" s="578">
        <v>157736</v>
      </c>
      <c r="C103" s="224" t="s">
        <v>764</v>
      </c>
      <c r="D103" s="432">
        <f t="shared" si="8"/>
        <v>4913049</v>
      </c>
      <c r="E103" s="431">
        <v>2397581</v>
      </c>
      <c r="F103" s="431">
        <v>215225</v>
      </c>
      <c r="G103" s="431">
        <v>1741098</v>
      </c>
      <c r="H103" s="431">
        <v>0</v>
      </c>
      <c r="I103" s="431">
        <v>1090821</v>
      </c>
      <c r="J103" s="431">
        <v>160000</v>
      </c>
      <c r="K103" s="431">
        <v>162000</v>
      </c>
      <c r="L103" s="431">
        <v>0</v>
      </c>
      <c r="M103" s="431">
        <v>855292</v>
      </c>
      <c r="N103" s="431">
        <v>247355</v>
      </c>
      <c r="O103" s="431"/>
      <c r="P103" s="432">
        <f t="shared" si="11"/>
        <v>4913049</v>
      </c>
      <c r="Q103" s="431">
        <v>1615312</v>
      </c>
      <c r="R103" s="431">
        <v>997959</v>
      </c>
      <c r="S103" s="431">
        <v>5200</v>
      </c>
      <c r="T103" s="431">
        <v>0</v>
      </c>
      <c r="U103" s="431">
        <v>0</v>
      </c>
      <c r="V103" s="431">
        <v>0</v>
      </c>
      <c r="W103" s="431">
        <v>201917</v>
      </c>
      <c r="X103" s="431">
        <v>130926</v>
      </c>
      <c r="Y103" s="431">
        <v>0</v>
      </c>
      <c r="Z103" s="431">
        <v>1441735</v>
      </c>
      <c r="AA103" s="431">
        <v>520000</v>
      </c>
      <c r="AB103" s="431">
        <v>0</v>
      </c>
      <c r="AC103" s="431">
        <v>1210043</v>
      </c>
      <c r="AD103" s="431">
        <v>3946</v>
      </c>
      <c r="AE103" s="431">
        <v>820221</v>
      </c>
      <c r="AF103" s="431">
        <v>0</v>
      </c>
      <c r="AG103" s="431">
        <v>79399</v>
      </c>
      <c r="AH103" s="431">
        <v>333259</v>
      </c>
      <c r="AI103" s="431">
        <v>493672</v>
      </c>
      <c r="AJ103" s="431">
        <v>612825</v>
      </c>
      <c r="AK103" s="431">
        <v>0</v>
      </c>
      <c r="AL103" s="431">
        <v>1177529</v>
      </c>
      <c r="AM103" s="440">
        <v>182155</v>
      </c>
      <c r="AN103" s="203"/>
      <c r="AO103" s="203"/>
    </row>
    <row r="104" spans="1:41" s="155" customFormat="1" ht="12" x14ac:dyDescent="0.2">
      <c r="A104" s="205">
        <v>50</v>
      </c>
      <c r="B104" s="578">
        <v>157585</v>
      </c>
      <c r="C104" s="224" t="s">
        <v>765</v>
      </c>
      <c r="D104" s="432">
        <f t="shared" si="8"/>
        <v>10121373</v>
      </c>
      <c r="E104" s="431">
        <v>2551882</v>
      </c>
      <c r="F104" s="431">
        <v>147353</v>
      </c>
      <c r="G104" s="431">
        <v>1524319</v>
      </c>
      <c r="H104" s="431">
        <v>0</v>
      </c>
      <c r="I104" s="431">
        <v>1417129</v>
      </c>
      <c r="J104" s="431">
        <v>200000</v>
      </c>
      <c r="K104" s="431">
        <v>380000</v>
      </c>
      <c r="L104" s="431">
        <v>0</v>
      </c>
      <c r="M104" s="431">
        <v>1336751</v>
      </c>
      <c r="N104" s="431">
        <v>4235611</v>
      </c>
      <c r="O104" s="431"/>
      <c r="P104" s="432">
        <f t="shared" si="11"/>
        <v>14350103</v>
      </c>
      <c r="Q104" s="431">
        <v>1653271</v>
      </c>
      <c r="R104" s="431">
        <v>1140491</v>
      </c>
      <c r="S104" s="431">
        <v>9000</v>
      </c>
      <c r="T104" s="431">
        <v>0</v>
      </c>
      <c r="U104" s="431">
        <v>0</v>
      </c>
      <c r="V104" s="431">
        <v>0</v>
      </c>
      <c r="W104" s="431">
        <v>9071168</v>
      </c>
      <c r="X104" s="431">
        <v>254498</v>
      </c>
      <c r="Y104" s="431">
        <v>27673</v>
      </c>
      <c r="Z104" s="431">
        <v>1612668</v>
      </c>
      <c r="AA104" s="431">
        <v>581334</v>
      </c>
      <c r="AB104" s="431">
        <v>0</v>
      </c>
      <c r="AC104" s="431">
        <v>1021386</v>
      </c>
      <c r="AD104" s="431">
        <v>184334</v>
      </c>
      <c r="AE104" s="431">
        <v>1834838</v>
      </c>
      <c r="AF104" s="431">
        <v>19074</v>
      </c>
      <c r="AG104" s="431">
        <v>1200582</v>
      </c>
      <c r="AH104" s="431">
        <v>391101</v>
      </c>
      <c r="AI104" s="431">
        <v>756888</v>
      </c>
      <c r="AJ104" s="431">
        <v>234025</v>
      </c>
      <c r="AK104" s="431">
        <v>0</v>
      </c>
      <c r="AL104" s="431">
        <v>8707875</v>
      </c>
      <c r="AM104" s="440"/>
      <c r="AN104" s="203"/>
      <c r="AO104" s="203"/>
    </row>
    <row r="105" spans="1:41" s="155" customFormat="1" ht="12" x14ac:dyDescent="0.2">
      <c r="A105" s="205">
        <v>51</v>
      </c>
      <c r="B105" s="578">
        <v>157683</v>
      </c>
      <c r="C105" s="224" t="s">
        <v>766</v>
      </c>
      <c r="D105" s="432">
        <f t="shared" si="8"/>
        <v>6960133</v>
      </c>
      <c r="E105" s="431">
        <v>4137257</v>
      </c>
      <c r="F105" s="431">
        <v>311952</v>
      </c>
      <c r="G105" s="431">
        <v>1179042</v>
      </c>
      <c r="H105" s="431">
        <v>0</v>
      </c>
      <c r="I105" s="431">
        <v>1842900</v>
      </c>
      <c r="J105" s="431">
        <v>120000</v>
      </c>
      <c r="K105" s="431">
        <v>537000</v>
      </c>
      <c r="L105" s="431">
        <v>0</v>
      </c>
      <c r="M105" s="431">
        <v>240393</v>
      </c>
      <c r="N105" s="431">
        <v>82583</v>
      </c>
      <c r="O105" s="431"/>
      <c r="P105" s="432">
        <f t="shared" si="11"/>
        <v>6682052</v>
      </c>
      <c r="Q105" s="431">
        <v>2086259</v>
      </c>
      <c r="R105" s="431">
        <v>1946554</v>
      </c>
      <c r="S105" s="431">
        <v>0</v>
      </c>
      <c r="T105" s="431">
        <v>0</v>
      </c>
      <c r="U105" s="431">
        <v>0</v>
      </c>
      <c r="V105" s="431">
        <v>0</v>
      </c>
      <c r="W105" s="431">
        <v>1951604</v>
      </c>
      <c r="X105" s="431">
        <v>115800</v>
      </c>
      <c r="Y105" s="431">
        <v>0</v>
      </c>
      <c r="Z105" s="431">
        <v>592549</v>
      </c>
      <c r="AA105" s="431">
        <v>0</v>
      </c>
      <c r="AB105" s="431">
        <v>-10714</v>
      </c>
      <c r="AC105" s="431">
        <v>1410369</v>
      </c>
      <c r="AD105" s="431">
        <v>25768</v>
      </c>
      <c r="AE105" s="431">
        <v>1816628</v>
      </c>
      <c r="AF105" s="431">
        <v>0</v>
      </c>
      <c r="AG105" s="431">
        <v>77230</v>
      </c>
      <c r="AH105" s="431">
        <v>284319</v>
      </c>
      <c r="AI105" s="431">
        <v>2901834</v>
      </c>
      <c r="AJ105" s="431">
        <v>165904</v>
      </c>
      <c r="AK105" s="431">
        <v>0</v>
      </c>
      <c r="AL105" s="431">
        <v>0</v>
      </c>
      <c r="AM105" s="440"/>
      <c r="AN105" s="203"/>
      <c r="AO105" s="203"/>
    </row>
    <row r="106" spans="1:41" s="155" customFormat="1" ht="12" x14ac:dyDescent="0.2">
      <c r="A106" s="205">
        <v>52</v>
      </c>
      <c r="B106" s="578">
        <v>157781</v>
      </c>
      <c r="C106" s="224" t="s">
        <v>767</v>
      </c>
      <c r="D106" s="432">
        <f t="shared" si="8"/>
        <v>6207054</v>
      </c>
      <c r="E106" s="431">
        <v>2948914</v>
      </c>
      <c r="F106" s="431">
        <v>735261</v>
      </c>
      <c r="G106" s="431">
        <v>975995</v>
      </c>
      <c r="H106" s="431">
        <v>0</v>
      </c>
      <c r="I106" s="431">
        <v>1398104</v>
      </c>
      <c r="J106" s="431">
        <v>120000</v>
      </c>
      <c r="K106" s="431">
        <v>654000</v>
      </c>
      <c r="L106" s="431">
        <v>0</v>
      </c>
      <c r="M106" s="431">
        <v>692346</v>
      </c>
      <c r="N106" s="431">
        <v>393690</v>
      </c>
      <c r="O106" s="431"/>
      <c r="P106" s="432">
        <f t="shared" si="11"/>
        <v>6082005</v>
      </c>
      <c r="Q106" s="431">
        <v>1581236</v>
      </c>
      <c r="R106" s="431">
        <v>1519306</v>
      </c>
      <c r="S106" s="431">
        <v>7165</v>
      </c>
      <c r="T106" s="431">
        <v>0</v>
      </c>
      <c r="U106" s="431">
        <v>10000</v>
      </c>
      <c r="V106" s="431">
        <v>0</v>
      </c>
      <c r="W106" s="431">
        <v>0</v>
      </c>
      <c r="X106" s="431">
        <v>190987</v>
      </c>
      <c r="Y106" s="431">
        <v>130394</v>
      </c>
      <c r="Z106" s="431">
        <v>2011338</v>
      </c>
      <c r="AA106" s="431">
        <v>631579</v>
      </c>
      <c r="AB106" s="431">
        <v>0</v>
      </c>
      <c r="AC106" s="431">
        <v>1196003</v>
      </c>
      <c r="AD106" s="431">
        <v>418358</v>
      </c>
      <c r="AE106" s="431">
        <v>1277204</v>
      </c>
      <c r="AF106" s="431">
        <v>0</v>
      </c>
      <c r="AG106" s="431">
        <v>504291</v>
      </c>
      <c r="AH106" s="431">
        <v>196387</v>
      </c>
      <c r="AI106" s="431">
        <v>323691</v>
      </c>
      <c r="AJ106" s="431">
        <v>814451</v>
      </c>
      <c r="AK106" s="431">
        <v>0</v>
      </c>
      <c r="AL106" s="431">
        <v>1182234</v>
      </c>
      <c r="AM106" s="440">
        <v>169386</v>
      </c>
      <c r="AN106" s="203"/>
      <c r="AO106" s="203"/>
    </row>
    <row r="107" spans="1:41" s="155" customFormat="1" ht="12" x14ac:dyDescent="0.2">
      <c r="A107" s="205">
        <v>53</v>
      </c>
      <c r="B107" s="578">
        <v>157834</v>
      </c>
      <c r="C107" s="224" t="s">
        <v>768</v>
      </c>
      <c r="D107" s="432">
        <f t="shared" si="8"/>
        <v>18192491</v>
      </c>
      <c r="E107" s="431">
        <v>9121078</v>
      </c>
      <c r="F107" s="431">
        <v>1253291</v>
      </c>
      <c r="G107" s="431">
        <v>1598867</v>
      </c>
      <c r="H107" s="431">
        <v>0</v>
      </c>
      <c r="I107" s="431">
        <v>2636348</v>
      </c>
      <c r="J107" s="431">
        <v>160000</v>
      </c>
      <c r="K107" s="431">
        <v>1482000</v>
      </c>
      <c r="L107" s="431">
        <v>0</v>
      </c>
      <c r="M107" s="431">
        <v>4454570</v>
      </c>
      <c r="N107" s="431">
        <v>338495</v>
      </c>
      <c r="O107" s="431"/>
      <c r="P107" s="432">
        <f t="shared" si="11"/>
        <v>18734454</v>
      </c>
      <c r="Q107" s="431">
        <v>3221434</v>
      </c>
      <c r="R107" s="431">
        <v>5026820</v>
      </c>
      <c r="S107" s="431">
        <v>0</v>
      </c>
      <c r="T107" s="431">
        <v>0</v>
      </c>
      <c r="U107" s="431">
        <v>0</v>
      </c>
      <c r="V107" s="431">
        <v>0</v>
      </c>
      <c r="W107" s="431">
        <v>806733</v>
      </c>
      <c r="X107" s="431">
        <v>299025</v>
      </c>
      <c r="Y107" s="431">
        <v>52337</v>
      </c>
      <c r="Z107" s="431">
        <v>9328105</v>
      </c>
      <c r="AA107" s="431">
        <v>0</v>
      </c>
      <c r="AB107" s="431">
        <v>0</v>
      </c>
      <c r="AC107" s="431">
        <v>2624139</v>
      </c>
      <c r="AD107" s="431">
        <v>261516</v>
      </c>
      <c r="AE107" s="431">
        <v>3065710</v>
      </c>
      <c r="AF107" s="431">
        <v>0</v>
      </c>
      <c r="AG107" s="431">
        <v>269531</v>
      </c>
      <c r="AH107" s="431">
        <v>733076</v>
      </c>
      <c r="AI107" s="431">
        <v>8388305</v>
      </c>
      <c r="AJ107" s="431">
        <v>399000</v>
      </c>
      <c r="AK107" s="431">
        <v>0</v>
      </c>
      <c r="AL107" s="431">
        <v>2937458</v>
      </c>
      <c r="AM107" s="440">
        <v>55719</v>
      </c>
      <c r="AN107" s="203"/>
      <c r="AO107" s="203"/>
    </row>
    <row r="108" spans="1:41" s="155" customFormat="1" ht="12" x14ac:dyDescent="0.2">
      <c r="A108" s="205">
        <v>54</v>
      </c>
      <c r="B108" s="578">
        <v>157898</v>
      </c>
      <c r="C108" s="224" t="s">
        <v>769</v>
      </c>
      <c r="D108" s="432">
        <f t="shared" si="8"/>
        <v>6242195</v>
      </c>
      <c r="E108" s="431">
        <v>3417943</v>
      </c>
      <c r="F108" s="431">
        <v>2275785</v>
      </c>
      <c r="G108" s="431">
        <v>664069</v>
      </c>
      <c r="H108" s="431">
        <v>0</v>
      </c>
      <c r="I108" s="431">
        <v>2200867</v>
      </c>
      <c r="J108" s="431">
        <v>150000</v>
      </c>
      <c r="K108" s="431">
        <v>192000</v>
      </c>
      <c r="L108" s="431">
        <v>0</v>
      </c>
      <c r="M108" s="431">
        <v>119441</v>
      </c>
      <c r="N108" s="431">
        <v>161944</v>
      </c>
      <c r="O108" s="431"/>
      <c r="P108" s="432">
        <f t="shared" si="11"/>
        <v>5417577</v>
      </c>
      <c r="Q108" s="431">
        <v>2429923</v>
      </c>
      <c r="R108" s="431">
        <v>1189018</v>
      </c>
      <c r="S108" s="431">
        <v>0</v>
      </c>
      <c r="T108" s="431">
        <v>0</v>
      </c>
      <c r="U108" s="431">
        <v>0</v>
      </c>
      <c r="V108" s="431">
        <v>0</v>
      </c>
      <c r="W108" s="431">
        <v>199600</v>
      </c>
      <c r="X108" s="431">
        <v>224257</v>
      </c>
      <c r="Y108" s="431">
        <v>18945</v>
      </c>
      <c r="Z108" s="431">
        <v>1435358</v>
      </c>
      <c r="AA108" s="431">
        <v>0</v>
      </c>
      <c r="AB108" s="431">
        <v>-79524</v>
      </c>
      <c r="AC108" s="431">
        <v>1374330</v>
      </c>
      <c r="AD108" s="431">
        <v>0</v>
      </c>
      <c r="AE108" s="431">
        <v>2037358</v>
      </c>
      <c r="AF108" s="431">
        <v>0</v>
      </c>
      <c r="AG108" s="431">
        <v>26990</v>
      </c>
      <c r="AH108" s="431">
        <v>476798</v>
      </c>
      <c r="AI108" s="431">
        <v>831461</v>
      </c>
      <c r="AJ108" s="431">
        <v>125340</v>
      </c>
      <c r="AK108" s="431">
        <v>0</v>
      </c>
      <c r="AL108" s="431">
        <v>545300</v>
      </c>
      <c r="AM108" s="440"/>
      <c r="AN108" s="203"/>
      <c r="AO108" s="203"/>
    </row>
    <row r="109" spans="1:41" s="155" customFormat="1" ht="12" x14ac:dyDescent="0.2">
      <c r="A109" s="205">
        <v>55</v>
      </c>
      <c r="B109" s="578">
        <v>157923</v>
      </c>
      <c r="C109" s="224" t="s">
        <v>770</v>
      </c>
      <c r="D109" s="432">
        <f t="shared" si="8"/>
        <v>3653726</v>
      </c>
      <c r="E109" s="431">
        <v>1949042</v>
      </c>
      <c r="F109" s="431">
        <v>101632</v>
      </c>
      <c r="G109" s="431">
        <v>1087818</v>
      </c>
      <c r="H109" s="431">
        <v>0</v>
      </c>
      <c r="I109" s="431">
        <v>896607</v>
      </c>
      <c r="J109" s="431">
        <v>120000</v>
      </c>
      <c r="K109" s="431">
        <v>270000</v>
      </c>
      <c r="L109" s="431">
        <v>0</v>
      </c>
      <c r="M109" s="431">
        <v>408281</v>
      </c>
      <c r="N109" s="431">
        <v>7796</v>
      </c>
      <c r="O109" s="431">
        <v>2000</v>
      </c>
      <c r="P109" s="432">
        <f t="shared" si="11"/>
        <v>3829120</v>
      </c>
      <c r="Q109" s="431">
        <v>1273497</v>
      </c>
      <c r="R109" s="431">
        <v>1609813</v>
      </c>
      <c r="S109" s="431">
        <v>0</v>
      </c>
      <c r="T109" s="431">
        <v>0</v>
      </c>
      <c r="U109" s="431">
        <v>0</v>
      </c>
      <c r="V109" s="431">
        <v>0</v>
      </c>
      <c r="W109" s="431">
        <v>6680</v>
      </c>
      <c r="X109" s="431">
        <v>53827</v>
      </c>
      <c r="Y109" s="431">
        <v>0</v>
      </c>
      <c r="Z109" s="431">
        <v>885303</v>
      </c>
      <c r="AA109" s="431">
        <v>0</v>
      </c>
      <c r="AB109" s="431">
        <v>0</v>
      </c>
      <c r="AC109" s="431">
        <v>781680</v>
      </c>
      <c r="AD109" s="431">
        <v>0</v>
      </c>
      <c r="AE109" s="431">
        <v>955005</v>
      </c>
      <c r="AF109" s="431">
        <v>0</v>
      </c>
      <c r="AG109" s="431">
        <v>551170</v>
      </c>
      <c r="AH109" s="431">
        <v>242992</v>
      </c>
      <c r="AI109" s="431">
        <v>214714</v>
      </c>
      <c r="AJ109" s="431">
        <v>0</v>
      </c>
      <c r="AK109" s="431">
        <v>0</v>
      </c>
      <c r="AL109" s="431">
        <v>922992</v>
      </c>
      <c r="AM109" s="440">
        <v>160567</v>
      </c>
      <c r="AN109" s="203"/>
      <c r="AO109" s="203"/>
    </row>
    <row r="110" spans="1:41" s="155" customFormat="1" ht="12" x14ac:dyDescent="0.2">
      <c r="A110" s="205">
        <v>56</v>
      </c>
      <c r="B110" s="578">
        <v>157969</v>
      </c>
      <c r="C110" s="224" t="s">
        <v>771</v>
      </c>
      <c r="D110" s="432">
        <f t="shared" si="8"/>
        <v>6344865</v>
      </c>
      <c r="E110" s="431">
        <v>1775577</v>
      </c>
      <c r="F110" s="431">
        <v>55527</v>
      </c>
      <c r="G110" s="431">
        <v>1409553</v>
      </c>
      <c r="H110" s="431">
        <v>0</v>
      </c>
      <c r="I110" s="431">
        <v>828839</v>
      </c>
      <c r="J110" s="431">
        <v>130000</v>
      </c>
      <c r="K110" s="431">
        <v>110000</v>
      </c>
      <c r="L110" s="431">
        <v>0</v>
      </c>
      <c r="M110" s="431">
        <v>3500449</v>
      </c>
      <c r="N110" s="431">
        <v>0</v>
      </c>
      <c r="O110" s="431"/>
      <c r="P110" s="432">
        <f t="shared" si="11"/>
        <v>5156053</v>
      </c>
      <c r="Q110" s="431">
        <v>1142718</v>
      </c>
      <c r="R110" s="431">
        <v>480906</v>
      </c>
      <c r="S110" s="431">
        <v>0</v>
      </c>
      <c r="T110" s="431">
        <v>0</v>
      </c>
      <c r="U110" s="431">
        <v>0</v>
      </c>
      <c r="V110" s="431">
        <v>0</v>
      </c>
      <c r="W110" s="431">
        <v>376316</v>
      </c>
      <c r="X110" s="431">
        <v>54826</v>
      </c>
      <c r="Y110" s="431">
        <v>0</v>
      </c>
      <c r="Z110" s="431">
        <v>3101287</v>
      </c>
      <c r="AA110" s="431">
        <v>0</v>
      </c>
      <c r="AB110" s="431">
        <v>0</v>
      </c>
      <c r="AC110" s="431">
        <v>596547</v>
      </c>
      <c r="AD110" s="431">
        <v>0</v>
      </c>
      <c r="AE110" s="431">
        <v>668264</v>
      </c>
      <c r="AF110" s="431">
        <v>21506</v>
      </c>
      <c r="AG110" s="431">
        <v>29437</v>
      </c>
      <c r="AH110" s="431">
        <v>309869</v>
      </c>
      <c r="AI110" s="431">
        <v>365786</v>
      </c>
      <c r="AJ110" s="431">
        <v>327853</v>
      </c>
      <c r="AK110" s="431">
        <v>0</v>
      </c>
      <c r="AL110" s="431">
        <v>2808433</v>
      </c>
      <c r="AM110" s="440">
        <v>28358</v>
      </c>
      <c r="AN110" s="203"/>
      <c r="AO110" s="203"/>
    </row>
    <row r="111" spans="1:41" s="155" customFormat="1" ht="12" x14ac:dyDescent="0.2">
      <c r="A111" s="205">
        <v>57</v>
      </c>
      <c r="B111" s="578">
        <v>158010</v>
      </c>
      <c r="C111" s="224" t="s">
        <v>772</v>
      </c>
      <c r="D111" s="432">
        <f t="shared" si="8"/>
        <v>10688936</v>
      </c>
      <c r="E111" s="431">
        <v>7407395</v>
      </c>
      <c r="F111" s="431">
        <v>2998607</v>
      </c>
      <c r="G111" s="431">
        <v>977958</v>
      </c>
      <c r="H111" s="431">
        <v>0</v>
      </c>
      <c r="I111" s="431">
        <v>2270914</v>
      </c>
      <c r="J111" s="431">
        <v>130000</v>
      </c>
      <c r="K111" s="431">
        <v>864000</v>
      </c>
      <c r="L111" s="431">
        <v>0</v>
      </c>
      <c r="M111" s="431">
        <v>13127</v>
      </c>
      <c r="N111" s="431">
        <v>0</v>
      </c>
      <c r="O111" s="431">
        <v>3500</v>
      </c>
      <c r="P111" s="432">
        <f t="shared" si="11"/>
        <v>10416618</v>
      </c>
      <c r="Q111" s="431">
        <v>2498505</v>
      </c>
      <c r="R111" s="431">
        <v>5811835</v>
      </c>
      <c r="S111" s="431">
        <v>0</v>
      </c>
      <c r="T111" s="431">
        <v>0</v>
      </c>
      <c r="U111" s="431">
        <v>0</v>
      </c>
      <c r="V111" s="431">
        <v>0</v>
      </c>
      <c r="W111" s="431">
        <v>0</v>
      </c>
      <c r="X111" s="431">
        <v>128948</v>
      </c>
      <c r="Y111" s="431">
        <v>0</v>
      </c>
      <c r="Z111" s="431">
        <v>2069730</v>
      </c>
      <c r="AA111" s="431">
        <v>0</v>
      </c>
      <c r="AB111" s="431">
        <v>-92400</v>
      </c>
      <c r="AC111" s="431">
        <v>1496690</v>
      </c>
      <c r="AD111" s="431">
        <v>87418</v>
      </c>
      <c r="AE111" s="431">
        <v>2159231</v>
      </c>
      <c r="AF111" s="431">
        <v>153674</v>
      </c>
      <c r="AG111" s="431">
        <v>2067653</v>
      </c>
      <c r="AH111" s="431">
        <v>426195</v>
      </c>
      <c r="AI111" s="431">
        <v>569138</v>
      </c>
      <c r="AJ111" s="431">
        <v>349306</v>
      </c>
      <c r="AK111" s="431">
        <v>0</v>
      </c>
      <c r="AL111" s="431">
        <v>2977313</v>
      </c>
      <c r="AM111" s="440">
        <v>130000</v>
      </c>
      <c r="AN111" s="203"/>
      <c r="AO111" s="203"/>
    </row>
    <row r="112" spans="1:41" s="155" customFormat="1" ht="12" x14ac:dyDescent="0.2">
      <c r="A112" s="205">
        <v>58</v>
      </c>
      <c r="B112" s="578">
        <v>159525</v>
      </c>
      <c r="C112" s="224" t="s">
        <v>773</v>
      </c>
      <c r="D112" s="432">
        <f t="shared" si="8"/>
        <v>4443127</v>
      </c>
      <c r="E112" s="431">
        <v>2086734</v>
      </c>
      <c r="F112" s="431">
        <v>73529</v>
      </c>
      <c r="G112" s="431">
        <v>1055449</v>
      </c>
      <c r="H112" s="431">
        <v>0</v>
      </c>
      <c r="I112" s="431">
        <v>981606</v>
      </c>
      <c r="J112" s="431">
        <v>100000</v>
      </c>
      <c r="K112" s="431">
        <v>258000</v>
      </c>
      <c r="L112" s="431">
        <v>0</v>
      </c>
      <c r="M112" s="431">
        <v>593685</v>
      </c>
      <c r="N112" s="431">
        <v>423102</v>
      </c>
      <c r="O112" s="431"/>
      <c r="P112" s="432">
        <f t="shared" si="11"/>
        <v>4019764</v>
      </c>
      <c r="Q112" s="431">
        <v>1182767</v>
      </c>
      <c r="R112" s="431">
        <v>1036950</v>
      </c>
      <c r="S112" s="431">
        <v>0</v>
      </c>
      <c r="T112" s="431">
        <v>0</v>
      </c>
      <c r="U112" s="431">
        <v>0</v>
      </c>
      <c r="V112" s="431">
        <v>0</v>
      </c>
      <c r="W112" s="431">
        <v>0</v>
      </c>
      <c r="X112" s="431">
        <v>91886</v>
      </c>
      <c r="Y112" s="431">
        <v>4956</v>
      </c>
      <c r="Z112" s="431">
        <v>1703205</v>
      </c>
      <c r="AA112" s="431">
        <v>0</v>
      </c>
      <c r="AB112" s="431">
        <v>0</v>
      </c>
      <c r="AC112" s="431">
        <v>594716</v>
      </c>
      <c r="AD112" s="431">
        <v>300886</v>
      </c>
      <c r="AE112" s="431">
        <v>1058453</v>
      </c>
      <c r="AF112" s="431">
        <v>0</v>
      </c>
      <c r="AG112" s="431">
        <v>231606</v>
      </c>
      <c r="AH112" s="431">
        <v>191289</v>
      </c>
      <c r="AI112" s="431">
        <v>872275</v>
      </c>
      <c r="AJ112" s="431">
        <v>140219</v>
      </c>
      <c r="AK112" s="431">
        <v>0</v>
      </c>
      <c r="AL112" s="431">
        <v>539461</v>
      </c>
      <c r="AM112" s="440">
        <v>90859</v>
      </c>
      <c r="AN112" s="203"/>
      <c r="AO112" s="203"/>
    </row>
    <row r="113" spans="1:41" s="155" customFormat="1" ht="12" x14ac:dyDescent="0.2">
      <c r="A113" s="205">
        <v>59</v>
      </c>
      <c r="B113" s="578">
        <v>159446</v>
      </c>
      <c r="C113" s="224" t="s">
        <v>774</v>
      </c>
      <c r="D113" s="432">
        <f t="shared" si="8"/>
        <v>3593369</v>
      </c>
      <c r="E113" s="431">
        <v>2044088</v>
      </c>
      <c r="F113" s="431">
        <v>134609</v>
      </c>
      <c r="G113" s="431">
        <v>1219259</v>
      </c>
      <c r="H113" s="431">
        <v>0</v>
      </c>
      <c r="I113" s="431">
        <v>1030321</v>
      </c>
      <c r="J113" s="431">
        <v>133000</v>
      </c>
      <c r="K113" s="431">
        <v>117000</v>
      </c>
      <c r="L113" s="431">
        <v>0</v>
      </c>
      <c r="M113" s="431">
        <v>131418</v>
      </c>
      <c r="N113" s="431">
        <v>137542</v>
      </c>
      <c r="O113" s="431"/>
      <c r="P113" s="432">
        <f t="shared" si="11"/>
        <v>3350614</v>
      </c>
      <c r="Q113" s="431">
        <v>1111936</v>
      </c>
      <c r="R113" s="431">
        <v>1386899</v>
      </c>
      <c r="S113" s="431">
        <v>0</v>
      </c>
      <c r="T113" s="431">
        <v>0</v>
      </c>
      <c r="U113" s="431">
        <v>0</v>
      </c>
      <c r="V113" s="431">
        <v>0</v>
      </c>
      <c r="W113" s="431">
        <v>208120</v>
      </c>
      <c r="X113" s="431">
        <v>118512</v>
      </c>
      <c r="Y113" s="431">
        <v>2474</v>
      </c>
      <c r="Z113" s="431">
        <v>592832</v>
      </c>
      <c r="AA113" s="431">
        <v>0</v>
      </c>
      <c r="AB113" s="431">
        <v>-70159</v>
      </c>
      <c r="AC113" s="431">
        <v>709274</v>
      </c>
      <c r="AD113" s="431">
        <v>64210</v>
      </c>
      <c r="AE113" s="431">
        <v>1145609</v>
      </c>
      <c r="AF113" s="431">
        <v>0</v>
      </c>
      <c r="AG113" s="431">
        <v>327393</v>
      </c>
      <c r="AH113" s="431">
        <v>118512</v>
      </c>
      <c r="AI113" s="431">
        <v>404451</v>
      </c>
      <c r="AJ113" s="431">
        <v>103799</v>
      </c>
      <c r="AK113" s="431">
        <v>0</v>
      </c>
      <c r="AL113" s="431">
        <v>477366</v>
      </c>
      <c r="AM113" s="440"/>
      <c r="AN113" s="203"/>
      <c r="AO113" s="203"/>
    </row>
    <row r="114" spans="1:41" s="155" customFormat="1" ht="12" x14ac:dyDescent="0.2">
      <c r="A114" s="205">
        <v>60</v>
      </c>
      <c r="B114" s="578">
        <v>159437</v>
      </c>
      <c r="C114" s="224" t="s">
        <v>775</v>
      </c>
      <c r="D114" s="432">
        <f t="shared" si="8"/>
        <v>7341703</v>
      </c>
      <c r="E114" s="431">
        <v>6020314</v>
      </c>
      <c r="F114" s="431">
        <v>2896079</v>
      </c>
      <c r="G114" s="431">
        <v>424730</v>
      </c>
      <c r="H114" s="431">
        <v>0</v>
      </c>
      <c r="I114" s="431">
        <v>1054982</v>
      </c>
      <c r="J114" s="431">
        <v>140000</v>
      </c>
      <c r="K114" s="431">
        <v>122997</v>
      </c>
      <c r="L114" s="431">
        <v>0</v>
      </c>
      <c r="M114" s="431">
        <v>3410</v>
      </c>
      <c r="N114" s="431">
        <v>0</v>
      </c>
      <c r="O114" s="431"/>
      <c r="P114" s="432">
        <f t="shared" si="11"/>
        <v>7019357</v>
      </c>
      <c r="Q114" s="431">
        <v>1283204</v>
      </c>
      <c r="R114" s="431">
        <v>1646933</v>
      </c>
      <c r="S114" s="431">
        <v>0</v>
      </c>
      <c r="T114" s="431">
        <v>0</v>
      </c>
      <c r="U114" s="431">
        <v>0</v>
      </c>
      <c r="V114" s="431">
        <v>0</v>
      </c>
      <c r="W114" s="431">
        <v>0</v>
      </c>
      <c r="X114" s="431">
        <v>88321</v>
      </c>
      <c r="Y114" s="431">
        <v>250000</v>
      </c>
      <c r="Z114" s="431">
        <v>3750899</v>
      </c>
      <c r="AA114" s="431">
        <v>0</v>
      </c>
      <c r="AB114" s="431">
        <v>0</v>
      </c>
      <c r="AC114" s="431">
        <v>1730003</v>
      </c>
      <c r="AD114" s="431">
        <v>0</v>
      </c>
      <c r="AE114" s="431">
        <v>2635334</v>
      </c>
      <c r="AF114" s="431">
        <v>12517</v>
      </c>
      <c r="AG114" s="431">
        <v>450234</v>
      </c>
      <c r="AH114" s="431">
        <v>250028</v>
      </c>
      <c r="AI114" s="431">
        <v>1314717</v>
      </c>
      <c r="AJ114" s="431">
        <v>154821</v>
      </c>
      <c r="AK114" s="431">
        <v>0</v>
      </c>
      <c r="AL114" s="431">
        <v>471703</v>
      </c>
      <c r="AM114" s="440"/>
      <c r="AN114" s="203"/>
      <c r="AO114" s="203"/>
    </row>
    <row r="115" spans="1:41" s="155" customFormat="1" ht="12" x14ac:dyDescent="0.2">
      <c r="A115" s="205">
        <v>61</v>
      </c>
      <c r="B115" s="578">
        <v>158065</v>
      </c>
      <c r="C115" s="224" t="s">
        <v>776</v>
      </c>
      <c r="D115" s="432">
        <f t="shared" si="8"/>
        <v>13533951</v>
      </c>
      <c r="E115" s="431">
        <v>5576831</v>
      </c>
      <c r="F115" s="431">
        <v>659094</v>
      </c>
      <c r="G115" s="431">
        <v>1461541</v>
      </c>
      <c r="H115" s="431">
        <v>0</v>
      </c>
      <c r="I115" s="431">
        <v>3642380</v>
      </c>
      <c r="J115" s="431">
        <v>133000</v>
      </c>
      <c r="K115" s="431">
        <v>1198000</v>
      </c>
      <c r="L115" s="431">
        <v>0</v>
      </c>
      <c r="M115" s="431">
        <v>1167324</v>
      </c>
      <c r="N115" s="431">
        <v>1807916</v>
      </c>
      <c r="O115" s="431">
        <v>8500</v>
      </c>
      <c r="P115" s="432">
        <f t="shared" si="11"/>
        <v>15752420</v>
      </c>
      <c r="Q115" s="431">
        <v>4116913</v>
      </c>
      <c r="R115" s="431">
        <v>4106711</v>
      </c>
      <c r="S115" s="431">
        <v>0</v>
      </c>
      <c r="T115" s="431">
        <v>0</v>
      </c>
      <c r="U115" s="431">
        <v>0</v>
      </c>
      <c r="V115" s="431">
        <v>0</v>
      </c>
      <c r="W115" s="431">
        <v>4837638</v>
      </c>
      <c r="X115" s="431">
        <v>241964</v>
      </c>
      <c r="Y115" s="431">
        <v>0</v>
      </c>
      <c r="Z115" s="431">
        <v>2450424</v>
      </c>
      <c r="AA115" s="431">
        <v>0</v>
      </c>
      <c r="AB115" s="431">
        <v>-1230</v>
      </c>
      <c r="AC115" s="431">
        <v>2047928</v>
      </c>
      <c r="AD115" s="431">
        <v>234454</v>
      </c>
      <c r="AE115" s="431">
        <v>3144150</v>
      </c>
      <c r="AF115" s="431">
        <v>0</v>
      </c>
      <c r="AG115" s="431">
        <v>355252</v>
      </c>
      <c r="AH115" s="431">
        <v>653435</v>
      </c>
      <c r="AI115" s="431">
        <v>4664033</v>
      </c>
      <c r="AJ115" s="431">
        <v>3859972</v>
      </c>
      <c r="AK115" s="431">
        <v>0</v>
      </c>
      <c r="AL115" s="431">
        <v>793196</v>
      </c>
      <c r="AM115" s="440"/>
      <c r="AN115" s="203"/>
      <c r="AO115" s="203"/>
    </row>
    <row r="116" spans="1:41" s="155" customFormat="1" ht="12" x14ac:dyDescent="0.2">
      <c r="A116" s="205">
        <v>62</v>
      </c>
      <c r="B116" s="578">
        <v>158109</v>
      </c>
      <c r="C116" s="224" t="s">
        <v>777</v>
      </c>
      <c r="D116" s="432">
        <f t="shared" si="8"/>
        <v>13947638</v>
      </c>
      <c r="E116" s="431">
        <v>3855153</v>
      </c>
      <c r="F116" s="431">
        <v>1245257</v>
      </c>
      <c r="G116" s="431">
        <v>804338</v>
      </c>
      <c r="H116" s="431">
        <v>0</v>
      </c>
      <c r="I116" s="431">
        <v>2998289</v>
      </c>
      <c r="J116" s="431">
        <v>100000</v>
      </c>
      <c r="K116" s="431">
        <v>912000</v>
      </c>
      <c r="L116" s="431">
        <v>0</v>
      </c>
      <c r="M116" s="431">
        <v>5712691</v>
      </c>
      <c r="N116" s="431">
        <v>261928</v>
      </c>
      <c r="O116" s="431">
        <v>107577</v>
      </c>
      <c r="P116" s="432">
        <f t="shared" si="11"/>
        <v>13992637</v>
      </c>
      <c r="Q116" s="431">
        <v>3338095</v>
      </c>
      <c r="R116" s="431">
        <v>1863518</v>
      </c>
      <c r="S116" s="431">
        <v>16830</v>
      </c>
      <c r="T116" s="431">
        <v>0</v>
      </c>
      <c r="U116" s="431">
        <v>0</v>
      </c>
      <c r="V116" s="431">
        <v>0</v>
      </c>
      <c r="W116" s="431">
        <v>0</v>
      </c>
      <c r="X116" s="431">
        <v>183802</v>
      </c>
      <c r="Y116" s="431">
        <v>40000</v>
      </c>
      <c r="Z116" s="431">
        <v>8250064</v>
      </c>
      <c r="AA116" s="431">
        <v>346628</v>
      </c>
      <c r="AB116" s="431">
        <v>-46300</v>
      </c>
      <c r="AC116" s="431">
        <v>1142086</v>
      </c>
      <c r="AD116" s="431">
        <v>0</v>
      </c>
      <c r="AE116" s="431">
        <v>2649720</v>
      </c>
      <c r="AF116" s="431">
        <v>0</v>
      </c>
      <c r="AG116" s="431">
        <v>1161481</v>
      </c>
      <c r="AH116" s="431">
        <v>524801</v>
      </c>
      <c r="AI116" s="431">
        <v>1729755</v>
      </c>
      <c r="AJ116" s="431">
        <v>2730314</v>
      </c>
      <c r="AK116" s="431">
        <v>0</v>
      </c>
      <c r="AL116" s="431">
        <v>4004510</v>
      </c>
      <c r="AM116" s="440">
        <v>49970</v>
      </c>
      <c r="AN116" s="203"/>
      <c r="AO116" s="203"/>
    </row>
    <row r="117" spans="1:41" s="155" customFormat="1" ht="12" x14ac:dyDescent="0.2">
      <c r="A117" s="205">
        <v>63</v>
      </c>
      <c r="B117" s="578">
        <v>159507</v>
      </c>
      <c r="C117" s="224" t="s">
        <v>778</v>
      </c>
      <c r="D117" s="432">
        <f t="shared" si="8"/>
        <v>4467290</v>
      </c>
      <c r="E117" s="431">
        <v>1731796</v>
      </c>
      <c r="F117" s="431">
        <v>124400</v>
      </c>
      <c r="G117" s="431">
        <v>1157462</v>
      </c>
      <c r="H117" s="431">
        <v>0</v>
      </c>
      <c r="I117" s="431">
        <v>1150900</v>
      </c>
      <c r="J117" s="431">
        <v>0</v>
      </c>
      <c r="K117" s="431">
        <v>231000</v>
      </c>
      <c r="L117" s="431">
        <v>0</v>
      </c>
      <c r="M117" s="431">
        <v>1041116</v>
      </c>
      <c r="N117" s="431">
        <v>312478</v>
      </c>
      <c r="O117" s="431"/>
      <c r="P117" s="432">
        <f t="shared" si="11"/>
        <v>4505147</v>
      </c>
      <c r="Q117" s="431">
        <v>1555957</v>
      </c>
      <c r="R117" s="431">
        <v>697151</v>
      </c>
      <c r="S117" s="431">
        <v>7399</v>
      </c>
      <c r="T117" s="431">
        <v>0</v>
      </c>
      <c r="U117" s="431">
        <v>0</v>
      </c>
      <c r="V117" s="431">
        <v>0</v>
      </c>
      <c r="W117" s="431">
        <v>21061</v>
      </c>
      <c r="X117" s="431">
        <v>95596</v>
      </c>
      <c r="Y117" s="431">
        <v>30000</v>
      </c>
      <c r="Z117" s="431">
        <v>1716952</v>
      </c>
      <c r="AA117" s="431">
        <v>381404</v>
      </c>
      <c r="AB117" s="431">
        <v>-373</v>
      </c>
      <c r="AC117" s="431">
        <v>920461</v>
      </c>
      <c r="AD117" s="431">
        <v>0</v>
      </c>
      <c r="AE117" s="431">
        <v>1386932</v>
      </c>
      <c r="AF117" s="431">
        <v>-373</v>
      </c>
      <c r="AG117" s="431">
        <v>279964</v>
      </c>
      <c r="AH117" s="431">
        <v>416838</v>
      </c>
      <c r="AI117" s="431">
        <v>1339778</v>
      </c>
      <c r="AJ117" s="431">
        <v>95143</v>
      </c>
      <c r="AK117" s="431">
        <v>0</v>
      </c>
      <c r="AL117" s="431">
        <v>66404</v>
      </c>
      <c r="AM117" s="440"/>
      <c r="AN117" s="203"/>
      <c r="AO117" s="203"/>
    </row>
    <row r="118" spans="1:41" s="155" customFormat="1" ht="12" x14ac:dyDescent="0.2">
      <c r="A118" s="205">
        <v>64</v>
      </c>
      <c r="B118" s="578">
        <v>158136</v>
      </c>
      <c r="C118" s="224" t="s">
        <v>779</v>
      </c>
      <c r="D118" s="432">
        <f t="shared" ref="D118:D143" si="12">E118+SUM(H118:O118)</f>
        <v>3026080</v>
      </c>
      <c r="E118" s="431">
        <v>1742166</v>
      </c>
      <c r="F118" s="431">
        <v>52649</v>
      </c>
      <c r="G118" s="431">
        <v>1477235</v>
      </c>
      <c r="H118" s="431">
        <v>0</v>
      </c>
      <c r="I118" s="431">
        <v>1044914</v>
      </c>
      <c r="J118" s="431">
        <v>130000</v>
      </c>
      <c r="K118" s="431">
        <v>109000</v>
      </c>
      <c r="L118" s="431">
        <v>0</v>
      </c>
      <c r="M118" s="431">
        <v>0</v>
      </c>
      <c r="N118" s="431">
        <v>0</v>
      </c>
      <c r="O118" s="431"/>
      <c r="P118" s="432">
        <f t="shared" si="11"/>
        <v>2642676</v>
      </c>
      <c r="Q118" s="431">
        <v>1336320</v>
      </c>
      <c r="R118" s="431">
        <v>606758</v>
      </c>
      <c r="S118" s="431">
        <v>0</v>
      </c>
      <c r="T118" s="431">
        <v>0</v>
      </c>
      <c r="U118" s="431">
        <v>0</v>
      </c>
      <c r="V118" s="431">
        <v>0</v>
      </c>
      <c r="W118" s="431">
        <v>663864</v>
      </c>
      <c r="X118" s="431">
        <v>11219</v>
      </c>
      <c r="Y118" s="431">
        <v>0</v>
      </c>
      <c r="Z118" s="431">
        <v>24515</v>
      </c>
      <c r="AA118" s="431">
        <v>0</v>
      </c>
      <c r="AB118" s="431">
        <v>0</v>
      </c>
      <c r="AC118" s="431">
        <v>535695</v>
      </c>
      <c r="AD118" s="431">
        <v>16571</v>
      </c>
      <c r="AE118" s="431">
        <v>851144</v>
      </c>
      <c r="AF118" s="431">
        <v>0</v>
      </c>
      <c r="AG118" s="431">
        <v>72930</v>
      </c>
      <c r="AH118" s="431">
        <v>261869</v>
      </c>
      <c r="AI118" s="431">
        <v>25546</v>
      </c>
      <c r="AJ118" s="431">
        <v>0</v>
      </c>
      <c r="AK118" s="431">
        <v>0</v>
      </c>
      <c r="AL118" s="431">
        <v>878921</v>
      </c>
      <c r="AM118" s="440"/>
      <c r="AN118" s="203"/>
      <c r="AO118" s="203"/>
    </row>
    <row r="119" spans="1:41" s="155" customFormat="1" ht="12" x14ac:dyDescent="0.2">
      <c r="A119" s="205">
        <v>65</v>
      </c>
      <c r="B119" s="578">
        <v>158181</v>
      </c>
      <c r="C119" s="224" t="s">
        <v>780</v>
      </c>
      <c r="D119" s="432">
        <f t="shared" si="12"/>
        <v>6127610</v>
      </c>
      <c r="E119" s="431">
        <v>2770272</v>
      </c>
      <c r="F119" s="431">
        <v>176756</v>
      </c>
      <c r="G119" s="431">
        <v>1301654</v>
      </c>
      <c r="H119" s="431">
        <v>0</v>
      </c>
      <c r="I119" s="431">
        <v>1936567</v>
      </c>
      <c r="J119" s="431">
        <v>132942</v>
      </c>
      <c r="K119" s="431">
        <v>1125000</v>
      </c>
      <c r="L119" s="431">
        <v>0</v>
      </c>
      <c r="M119" s="431">
        <v>128512</v>
      </c>
      <c r="N119" s="431">
        <v>34317</v>
      </c>
      <c r="O119" s="431"/>
      <c r="P119" s="432">
        <f t="shared" si="11"/>
        <v>6890912</v>
      </c>
      <c r="Q119" s="431">
        <v>2242877</v>
      </c>
      <c r="R119" s="431">
        <v>1795245</v>
      </c>
      <c r="S119" s="431">
        <v>0</v>
      </c>
      <c r="T119" s="431">
        <v>0</v>
      </c>
      <c r="U119" s="431">
        <v>0</v>
      </c>
      <c r="V119" s="431">
        <v>0</v>
      </c>
      <c r="W119" s="431">
        <v>517662</v>
      </c>
      <c r="X119" s="431">
        <v>194873</v>
      </c>
      <c r="Y119" s="431">
        <v>0</v>
      </c>
      <c r="Z119" s="431">
        <v>2140255</v>
      </c>
      <c r="AA119" s="431">
        <v>0</v>
      </c>
      <c r="AB119" s="431">
        <v>0</v>
      </c>
      <c r="AC119" s="431">
        <v>1170727</v>
      </c>
      <c r="AD119" s="431">
        <v>2055</v>
      </c>
      <c r="AE119" s="431">
        <v>1510494</v>
      </c>
      <c r="AF119" s="431">
        <v>2380</v>
      </c>
      <c r="AG119" s="431">
        <v>531952</v>
      </c>
      <c r="AH119" s="431">
        <v>463090</v>
      </c>
      <c r="AI119" s="431">
        <v>956901</v>
      </c>
      <c r="AJ119" s="431">
        <v>543527</v>
      </c>
      <c r="AK119" s="431">
        <v>0</v>
      </c>
      <c r="AL119" s="431">
        <v>1709786</v>
      </c>
      <c r="AM119" s="440"/>
      <c r="AN119" s="203"/>
      <c r="AO119" s="203"/>
    </row>
    <row r="120" spans="1:41" s="155" customFormat="1" ht="12" x14ac:dyDescent="0.2">
      <c r="A120" s="205">
        <v>66</v>
      </c>
      <c r="B120" s="578">
        <v>158243</v>
      </c>
      <c r="C120" s="224" t="s">
        <v>481</v>
      </c>
      <c r="D120" s="432">
        <f t="shared" si="12"/>
        <v>5456527</v>
      </c>
      <c r="E120" s="431">
        <v>2486621</v>
      </c>
      <c r="F120" s="431">
        <v>168759</v>
      </c>
      <c r="G120" s="431">
        <v>1508624</v>
      </c>
      <c r="H120" s="431">
        <v>0</v>
      </c>
      <c r="I120" s="431">
        <v>2039600</v>
      </c>
      <c r="J120" s="431">
        <v>140000</v>
      </c>
      <c r="K120" s="431">
        <v>718000</v>
      </c>
      <c r="L120" s="431">
        <v>0</v>
      </c>
      <c r="M120" s="431">
        <v>72306</v>
      </c>
      <c r="N120" s="431">
        <v>0</v>
      </c>
      <c r="O120" s="431"/>
      <c r="P120" s="432">
        <f t="shared" si="11"/>
        <v>5456527</v>
      </c>
      <c r="Q120" s="431">
        <v>2287538</v>
      </c>
      <c r="R120" s="431">
        <v>2741123</v>
      </c>
      <c r="S120" s="431">
        <v>0</v>
      </c>
      <c r="T120" s="431">
        <v>0</v>
      </c>
      <c r="U120" s="431">
        <v>0</v>
      </c>
      <c r="V120" s="431">
        <v>0</v>
      </c>
      <c r="W120" s="431">
        <v>0</v>
      </c>
      <c r="X120" s="431">
        <v>357486</v>
      </c>
      <c r="Y120" s="431">
        <v>0</v>
      </c>
      <c r="Z120" s="431">
        <v>70380</v>
      </c>
      <c r="AA120" s="431">
        <v>0</v>
      </c>
      <c r="AB120" s="431">
        <v>0</v>
      </c>
      <c r="AC120" s="431">
        <v>1538777</v>
      </c>
      <c r="AD120" s="431">
        <v>210690</v>
      </c>
      <c r="AE120" s="431">
        <v>1360600</v>
      </c>
      <c r="AF120" s="431">
        <v>0</v>
      </c>
      <c r="AG120" s="431">
        <v>360282</v>
      </c>
      <c r="AH120" s="431">
        <v>767841</v>
      </c>
      <c r="AI120" s="431">
        <v>682088</v>
      </c>
      <c r="AJ120" s="431">
        <v>0</v>
      </c>
      <c r="AK120" s="431">
        <v>0</v>
      </c>
      <c r="AL120" s="431">
        <v>418674</v>
      </c>
      <c r="AM120" s="440">
        <v>117575</v>
      </c>
      <c r="AN120" s="203"/>
      <c r="AO120" s="203"/>
    </row>
    <row r="121" spans="1:41" s="155" customFormat="1" ht="12" x14ac:dyDescent="0.2">
      <c r="A121" s="205">
        <v>67</v>
      </c>
      <c r="B121" s="578">
        <v>158396</v>
      </c>
      <c r="C121" s="224" t="s">
        <v>781</v>
      </c>
      <c r="D121" s="432">
        <f t="shared" si="12"/>
        <v>9485143</v>
      </c>
      <c r="E121" s="431">
        <v>5145903</v>
      </c>
      <c r="F121" s="431">
        <v>2415594</v>
      </c>
      <c r="G121" s="431">
        <v>873001</v>
      </c>
      <c r="H121" s="431">
        <v>0</v>
      </c>
      <c r="I121" s="431">
        <v>1341600</v>
      </c>
      <c r="J121" s="431">
        <v>200000</v>
      </c>
      <c r="K121" s="431">
        <v>693000</v>
      </c>
      <c r="L121" s="431">
        <v>0</v>
      </c>
      <c r="M121" s="431">
        <v>2104640</v>
      </c>
      <c r="N121" s="431">
        <v>0</v>
      </c>
      <c r="O121" s="431"/>
      <c r="P121" s="432">
        <f t="shared" si="11"/>
        <v>7338262</v>
      </c>
      <c r="Q121" s="431">
        <v>1637545</v>
      </c>
      <c r="R121" s="431">
        <v>1631479</v>
      </c>
      <c r="S121" s="431">
        <v>0</v>
      </c>
      <c r="T121" s="431">
        <v>0</v>
      </c>
      <c r="U121" s="431">
        <v>0</v>
      </c>
      <c r="V121" s="431">
        <v>0</v>
      </c>
      <c r="W121" s="431">
        <v>0</v>
      </c>
      <c r="X121" s="431">
        <v>100120</v>
      </c>
      <c r="Y121" s="431">
        <v>30047</v>
      </c>
      <c r="Z121" s="431">
        <v>3939071</v>
      </c>
      <c r="AA121" s="431">
        <v>0</v>
      </c>
      <c r="AB121" s="431">
        <v>0</v>
      </c>
      <c r="AC121" s="431">
        <v>973038</v>
      </c>
      <c r="AD121" s="431">
        <v>18257</v>
      </c>
      <c r="AE121" s="431">
        <v>1599434</v>
      </c>
      <c r="AF121" s="431">
        <v>0</v>
      </c>
      <c r="AG121" s="431">
        <v>272188</v>
      </c>
      <c r="AH121" s="431">
        <v>326418</v>
      </c>
      <c r="AI121" s="431">
        <v>502092</v>
      </c>
      <c r="AJ121" s="431">
        <v>148755</v>
      </c>
      <c r="AK121" s="431">
        <v>0</v>
      </c>
      <c r="AL121" s="431">
        <v>3498080</v>
      </c>
      <c r="AM121" s="440"/>
      <c r="AN121" s="203"/>
      <c r="AO121" s="203"/>
    </row>
    <row r="122" spans="1:41" s="155" customFormat="1" ht="12" x14ac:dyDescent="0.2">
      <c r="A122" s="205">
        <v>68</v>
      </c>
      <c r="B122" s="578">
        <v>158564</v>
      </c>
      <c r="C122" s="224" t="s">
        <v>782</v>
      </c>
      <c r="D122" s="432">
        <f t="shared" si="12"/>
        <v>15894493</v>
      </c>
      <c r="E122" s="431">
        <v>9360812</v>
      </c>
      <c r="F122" s="431">
        <v>1732973</v>
      </c>
      <c r="G122" s="431">
        <v>2315905</v>
      </c>
      <c r="H122" s="431">
        <v>0</v>
      </c>
      <c r="I122" s="431">
        <v>3824854</v>
      </c>
      <c r="J122" s="431">
        <v>60000</v>
      </c>
      <c r="K122" s="431">
        <v>1798000</v>
      </c>
      <c r="L122" s="431">
        <v>0</v>
      </c>
      <c r="M122" s="431">
        <v>277853</v>
      </c>
      <c r="N122" s="431">
        <v>565974</v>
      </c>
      <c r="O122" s="431">
        <v>7000</v>
      </c>
      <c r="P122" s="432">
        <f t="shared" si="11"/>
        <v>15982127</v>
      </c>
      <c r="Q122" s="431">
        <v>4684953</v>
      </c>
      <c r="R122" s="431">
        <v>6514113</v>
      </c>
      <c r="S122" s="431">
        <v>588092</v>
      </c>
      <c r="T122" s="431">
        <v>0</v>
      </c>
      <c r="U122" s="431">
        <v>0</v>
      </c>
      <c r="V122" s="431">
        <v>0</v>
      </c>
      <c r="W122" s="431">
        <v>662111</v>
      </c>
      <c r="X122" s="431">
        <v>349858</v>
      </c>
      <c r="Y122" s="431">
        <v>583330</v>
      </c>
      <c r="Z122" s="431">
        <v>1395764</v>
      </c>
      <c r="AA122" s="431">
        <v>1203906</v>
      </c>
      <c r="AB122" s="431">
        <v>0</v>
      </c>
      <c r="AC122" s="431">
        <v>4111764</v>
      </c>
      <c r="AD122" s="431">
        <v>25312</v>
      </c>
      <c r="AE122" s="431">
        <v>3319619</v>
      </c>
      <c r="AF122" s="431">
        <v>0</v>
      </c>
      <c r="AG122" s="431">
        <v>1648291</v>
      </c>
      <c r="AH122" s="431">
        <v>1036974</v>
      </c>
      <c r="AI122" s="431">
        <v>1823333</v>
      </c>
      <c r="AJ122" s="431">
        <v>0</v>
      </c>
      <c r="AK122" s="431">
        <v>0</v>
      </c>
      <c r="AL122" s="431">
        <v>2269286</v>
      </c>
      <c r="AM122" s="440">
        <v>1747548</v>
      </c>
      <c r="AN122" s="203"/>
      <c r="AO122" s="203"/>
    </row>
    <row r="123" spans="1:41" s="155" customFormat="1" ht="12" x14ac:dyDescent="0.2">
      <c r="A123" s="205">
        <v>69</v>
      </c>
      <c r="B123" s="578">
        <v>158449</v>
      </c>
      <c r="C123" s="224" t="s">
        <v>783</v>
      </c>
      <c r="D123" s="432">
        <f t="shared" si="12"/>
        <v>9330307</v>
      </c>
      <c r="E123" s="431">
        <v>2661691</v>
      </c>
      <c r="F123" s="431">
        <v>234819</v>
      </c>
      <c r="G123" s="431">
        <v>1194736</v>
      </c>
      <c r="H123" s="431">
        <v>0</v>
      </c>
      <c r="I123" s="431">
        <v>1596681</v>
      </c>
      <c r="J123" s="431">
        <v>439913</v>
      </c>
      <c r="K123" s="431">
        <v>877000</v>
      </c>
      <c r="L123" s="431">
        <v>0</v>
      </c>
      <c r="M123" s="431">
        <v>3755022</v>
      </c>
      <c r="N123" s="431">
        <v>0</v>
      </c>
      <c r="O123" s="431"/>
      <c r="P123" s="432">
        <f t="shared" si="11"/>
        <v>9317901</v>
      </c>
      <c r="Q123" s="431">
        <v>1725166</v>
      </c>
      <c r="R123" s="431">
        <v>1415205</v>
      </c>
      <c r="S123" s="431">
        <v>0</v>
      </c>
      <c r="T123" s="431">
        <v>0</v>
      </c>
      <c r="U123" s="431">
        <v>0</v>
      </c>
      <c r="V123" s="431">
        <v>0</v>
      </c>
      <c r="W123" s="431">
        <v>0</v>
      </c>
      <c r="X123" s="431">
        <v>192097</v>
      </c>
      <c r="Y123" s="431">
        <v>0</v>
      </c>
      <c r="Z123" s="431">
        <v>5985433</v>
      </c>
      <c r="AA123" s="431">
        <v>0</v>
      </c>
      <c r="AB123" s="431">
        <v>0</v>
      </c>
      <c r="AC123" s="431">
        <v>688549</v>
      </c>
      <c r="AD123" s="431">
        <v>0</v>
      </c>
      <c r="AE123" s="431">
        <v>1429445</v>
      </c>
      <c r="AF123" s="431">
        <v>0</v>
      </c>
      <c r="AG123" s="431">
        <v>1509868</v>
      </c>
      <c r="AH123" s="431">
        <v>331971</v>
      </c>
      <c r="AI123" s="431">
        <v>392158</v>
      </c>
      <c r="AJ123" s="431">
        <v>195394</v>
      </c>
      <c r="AK123" s="431">
        <v>0</v>
      </c>
      <c r="AL123" s="431">
        <v>4698590</v>
      </c>
      <c r="AM123" s="440">
        <v>71926</v>
      </c>
      <c r="AN123" s="203"/>
      <c r="AO123" s="203"/>
    </row>
    <row r="124" spans="1:41" s="155" customFormat="1" ht="12" x14ac:dyDescent="0.2">
      <c r="A124" s="205">
        <v>70</v>
      </c>
      <c r="B124" s="578">
        <v>158779</v>
      </c>
      <c r="C124" s="224" t="s">
        <v>784</v>
      </c>
      <c r="D124" s="432">
        <f t="shared" si="12"/>
        <v>5633655</v>
      </c>
      <c r="E124" s="431">
        <v>3380251</v>
      </c>
      <c r="F124" s="431">
        <v>706494</v>
      </c>
      <c r="G124" s="431">
        <v>697420</v>
      </c>
      <c r="H124" s="431">
        <v>0</v>
      </c>
      <c r="I124" s="431">
        <v>1265768</v>
      </c>
      <c r="J124" s="431">
        <v>133000</v>
      </c>
      <c r="K124" s="431">
        <v>851000</v>
      </c>
      <c r="L124" s="431">
        <v>0</v>
      </c>
      <c r="M124" s="431">
        <v>3636</v>
      </c>
      <c r="N124" s="431">
        <v>0</v>
      </c>
      <c r="O124" s="431"/>
      <c r="P124" s="432">
        <f t="shared" si="11"/>
        <v>4734885</v>
      </c>
      <c r="Q124" s="431">
        <v>1678051</v>
      </c>
      <c r="R124" s="431">
        <v>1000492</v>
      </c>
      <c r="S124" s="431">
        <v>0</v>
      </c>
      <c r="T124" s="431">
        <v>0</v>
      </c>
      <c r="U124" s="431">
        <v>0</v>
      </c>
      <c r="V124" s="431">
        <v>0</v>
      </c>
      <c r="W124" s="431">
        <v>0</v>
      </c>
      <c r="X124" s="431">
        <v>78795</v>
      </c>
      <c r="Y124" s="431">
        <v>0</v>
      </c>
      <c r="Z124" s="431">
        <v>1977547</v>
      </c>
      <c r="AA124" s="431">
        <v>0</v>
      </c>
      <c r="AB124" s="431">
        <v>0</v>
      </c>
      <c r="AC124" s="431">
        <v>760982</v>
      </c>
      <c r="AD124" s="431">
        <v>121934</v>
      </c>
      <c r="AE124" s="431">
        <v>1510431</v>
      </c>
      <c r="AF124" s="431">
        <v>38512</v>
      </c>
      <c r="AG124" s="431">
        <v>234391</v>
      </c>
      <c r="AH124" s="431">
        <v>248453</v>
      </c>
      <c r="AI124" s="431">
        <v>505022</v>
      </c>
      <c r="AJ124" s="431">
        <v>116397</v>
      </c>
      <c r="AK124" s="431">
        <v>0</v>
      </c>
      <c r="AL124" s="431">
        <v>1198763</v>
      </c>
      <c r="AM124" s="440"/>
      <c r="AN124" s="203"/>
      <c r="AO124" s="203"/>
    </row>
    <row r="125" spans="1:41" s="155" customFormat="1" ht="12" x14ac:dyDescent="0.2">
      <c r="A125" s="205">
        <v>71</v>
      </c>
      <c r="B125" s="578">
        <v>159464</v>
      </c>
      <c r="C125" s="224" t="s">
        <v>785</v>
      </c>
      <c r="D125" s="432">
        <f t="shared" si="12"/>
        <v>8738768</v>
      </c>
      <c r="E125" s="431">
        <v>2762103</v>
      </c>
      <c r="F125" s="431">
        <v>757432</v>
      </c>
      <c r="G125" s="431">
        <v>611101</v>
      </c>
      <c r="H125" s="431">
        <v>0</v>
      </c>
      <c r="I125" s="431">
        <v>1250008</v>
      </c>
      <c r="J125" s="431">
        <v>148135</v>
      </c>
      <c r="K125" s="431">
        <v>720000</v>
      </c>
      <c r="L125" s="431">
        <v>0</v>
      </c>
      <c r="M125" s="431">
        <v>3461776</v>
      </c>
      <c r="N125" s="431">
        <v>302964</v>
      </c>
      <c r="O125" s="431">
        <v>93782</v>
      </c>
      <c r="P125" s="432">
        <f t="shared" si="11"/>
        <v>9109572</v>
      </c>
      <c r="Q125" s="431">
        <v>1475089</v>
      </c>
      <c r="R125" s="431">
        <v>2541088</v>
      </c>
      <c r="S125" s="431">
        <v>4452</v>
      </c>
      <c r="T125" s="431">
        <v>0</v>
      </c>
      <c r="U125" s="431">
        <v>0</v>
      </c>
      <c r="V125" s="431">
        <v>0</v>
      </c>
      <c r="W125" s="431">
        <v>0</v>
      </c>
      <c r="X125" s="431">
        <v>76850</v>
      </c>
      <c r="Y125" s="431">
        <v>2340</v>
      </c>
      <c r="Z125" s="431">
        <v>4609732</v>
      </c>
      <c r="AA125" s="431">
        <v>403261</v>
      </c>
      <c r="AB125" s="431">
        <v>-3240</v>
      </c>
      <c r="AC125" s="431">
        <v>997060</v>
      </c>
      <c r="AD125" s="431">
        <v>494132</v>
      </c>
      <c r="AE125" s="431">
        <v>1618377</v>
      </c>
      <c r="AF125" s="431">
        <v>0</v>
      </c>
      <c r="AG125" s="431">
        <v>676227</v>
      </c>
      <c r="AH125" s="431">
        <v>195616</v>
      </c>
      <c r="AI125" s="431">
        <v>2015683</v>
      </c>
      <c r="AJ125" s="431">
        <v>250544</v>
      </c>
      <c r="AK125" s="431">
        <v>0</v>
      </c>
      <c r="AL125" s="431">
        <v>2861933</v>
      </c>
      <c r="AM125" s="440"/>
      <c r="AN125" s="203"/>
      <c r="AO125" s="203"/>
    </row>
    <row r="126" spans="1:41" s="155" customFormat="1" ht="12" x14ac:dyDescent="0.2">
      <c r="A126" s="205">
        <v>72</v>
      </c>
      <c r="B126" s="578">
        <v>159455</v>
      </c>
      <c r="C126" s="224" t="s">
        <v>786</v>
      </c>
      <c r="D126" s="432">
        <f t="shared" si="12"/>
        <v>5684692</v>
      </c>
      <c r="E126" s="431">
        <v>2342151</v>
      </c>
      <c r="F126" s="431">
        <v>133249</v>
      </c>
      <c r="G126" s="431">
        <v>1527261</v>
      </c>
      <c r="H126" s="431">
        <v>0</v>
      </c>
      <c r="I126" s="431">
        <v>1406368</v>
      </c>
      <c r="J126" s="431">
        <v>60000</v>
      </c>
      <c r="K126" s="431">
        <v>673000</v>
      </c>
      <c r="L126" s="431">
        <v>0</v>
      </c>
      <c r="M126" s="431">
        <v>1203173</v>
      </c>
      <c r="N126" s="431">
        <v>0</v>
      </c>
      <c r="O126" s="431"/>
      <c r="P126" s="432">
        <f t="shared" si="11"/>
        <v>5222919</v>
      </c>
      <c r="Q126" s="431">
        <v>1440226</v>
      </c>
      <c r="R126" s="431">
        <v>1601642</v>
      </c>
      <c r="S126" s="431">
        <v>0</v>
      </c>
      <c r="T126" s="431">
        <v>0</v>
      </c>
      <c r="U126" s="431">
        <v>0</v>
      </c>
      <c r="V126" s="431">
        <v>0</v>
      </c>
      <c r="W126" s="431">
        <v>0</v>
      </c>
      <c r="X126" s="431">
        <v>222951</v>
      </c>
      <c r="Y126" s="431">
        <v>40000</v>
      </c>
      <c r="Z126" s="431">
        <v>1918908</v>
      </c>
      <c r="AA126" s="431">
        <v>0</v>
      </c>
      <c r="AB126" s="431">
        <v>-808</v>
      </c>
      <c r="AC126" s="431">
        <v>1150036</v>
      </c>
      <c r="AD126" s="431">
        <v>0</v>
      </c>
      <c r="AE126" s="431">
        <v>1249140</v>
      </c>
      <c r="AF126" s="431">
        <v>0</v>
      </c>
      <c r="AG126" s="431">
        <v>297722</v>
      </c>
      <c r="AH126" s="431">
        <v>228497</v>
      </c>
      <c r="AI126" s="431">
        <v>1629699</v>
      </c>
      <c r="AJ126" s="431">
        <v>174283</v>
      </c>
      <c r="AK126" s="431">
        <v>0</v>
      </c>
      <c r="AL126" s="431">
        <v>493542</v>
      </c>
      <c r="AM126" s="440"/>
      <c r="AN126" s="203"/>
      <c r="AO126" s="203"/>
    </row>
    <row r="127" spans="1:41" s="155" customFormat="1" ht="12" x14ac:dyDescent="0.2">
      <c r="A127" s="205">
        <v>73</v>
      </c>
      <c r="B127" s="578">
        <v>158528</v>
      </c>
      <c r="C127" s="224" t="s">
        <v>787</v>
      </c>
      <c r="D127" s="432">
        <f t="shared" si="12"/>
        <v>9619528</v>
      </c>
      <c r="E127" s="431">
        <v>4090472</v>
      </c>
      <c r="F127" s="431">
        <v>1038264</v>
      </c>
      <c r="G127" s="431">
        <v>776639</v>
      </c>
      <c r="H127" s="431">
        <v>0</v>
      </c>
      <c r="I127" s="431">
        <v>2554798</v>
      </c>
      <c r="J127" s="431">
        <v>133000</v>
      </c>
      <c r="K127" s="431">
        <v>2086000</v>
      </c>
      <c r="L127" s="431">
        <v>0</v>
      </c>
      <c r="M127" s="431">
        <v>126546</v>
      </c>
      <c r="N127" s="431">
        <v>628711</v>
      </c>
      <c r="O127" s="431">
        <v>1</v>
      </c>
      <c r="P127" s="432">
        <f t="shared" si="11"/>
        <v>9839908</v>
      </c>
      <c r="Q127" s="431">
        <v>3027539</v>
      </c>
      <c r="R127" s="431">
        <v>3818635</v>
      </c>
      <c r="S127" s="431">
        <v>0</v>
      </c>
      <c r="T127" s="431">
        <v>0</v>
      </c>
      <c r="U127" s="431">
        <v>0</v>
      </c>
      <c r="V127" s="431">
        <v>0</v>
      </c>
      <c r="W127" s="431">
        <v>1275564</v>
      </c>
      <c r="X127" s="431">
        <v>184624</v>
      </c>
      <c r="Y127" s="431">
        <v>9000</v>
      </c>
      <c r="Z127" s="431">
        <v>1524546</v>
      </c>
      <c r="AA127" s="431">
        <v>0</v>
      </c>
      <c r="AB127" s="431">
        <v>0</v>
      </c>
      <c r="AC127" s="431">
        <v>1515470</v>
      </c>
      <c r="AD127" s="431">
        <v>47836</v>
      </c>
      <c r="AE127" s="431">
        <v>2422692</v>
      </c>
      <c r="AF127" s="431">
        <v>0</v>
      </c>
      <c r="AG127" s="431">
        <v>1195311</v>
      </c>
      <c r="AH127" s="431">
        <v>533232</v>
      </c>
      <c r="AI127" s="431">
        <v>489842</v>
      </c>
      <c r="AJ127" s="431">
        <v>303208</v>
      </c>
      <c r="AK127" s="431">
        <v>0</v>
      </c>
      <c r="AL127" s="431">
        <v>3332317</v>
      </c>
      <c r="AM127" s="440"/>
      <c r="AN127" s="203"/>
      <c r="AO127" s="203"/>
    </row>
    <row r="128" spans="1:41" s="155" customFormat="1" ht="12" x14ac:dyDescent="0.2">
      <c r="A128" s="205">
        <v>74</v>
      </c>
      <c r="B128" s="578">
        <v>158608</v>
      </c>
      <c r="C128" s="224" t="s">
        <v>788</v>
      </c>
      <c r="D128" s="432">
        <f t="shared" si="12"/>
        <v>3513779</v>
      </c>
      <c r="E128" s="431">
        <v>1502010</v>
      </c>
      <c r="F128" s="431">
        <v>23276</v>
      </c>
      <c r="G128" s="431">
        <v>1295769</v>
      </c>
      <c r="H128" s="431">
        <v>0</v>
      </c>
      <c r="I128" s="431">
        <v>149500</v>
      </c>
      <c r="J128" s="431">
        <v>100000</v>
      </c>
      <c r="K128" s="431">
        <v>19000</v>
      </c>
      <c r="L128" s="431">
        <v>0</v>
      </c>
      <c r="M128" s="431">
        <v>88873</v>
      </c>
      <c r="N128" s="431">
        <v>1654396</v>
      </c>
      <c r="O128" s="431"/>
      <c r="P128" s="432">
        <f t="shared" si="11"/>
        <v>1562951</v>
      </c>
      <c r="Q128" s="431">
        <v>531394</v>
      </c>
      <c r="R128" s="431">
        <v>677833</v>
      </c>
      <c r="S128" s="431">
        <v>0</v>
      </c>
      <c r="T128" s="431">
        <v>0</v>
      </c>
      <c r="U128" s="431">
        <v>0</v>
      </c>
      <c r="V128" s="431">
        <v>0</v>
      </c>
      <c r="W128" s="431">
        <v>113881</v>
      </c>
      <c r="X128" s="431">
        <v>21005</v>
      </c>
      <c r="Y128" s="431">
        <v>165000</v>
      </c>
      <c r="Z128" s="431">
        <v>53838</v>
      </c>
      <c r="AA128" s="431">
        <v>0</v>
      </c>
      <c r="AB128" s="431">
        <v>0</v>
      </c>
      <c r="AC128" s="431">
        <v>840318</v>
      </c>
      <c r="AD128" s="431">
        <v>0</v>
      </c>
      <c r="AE128" s="431">
        <v>115547</v>
      </c>
      <c r="AF128" s="431">
        <v>0</v>
      </c>
      <c r="AG128" s="431">
        <v>256735</v>
      </c>
      <c r="AH128" s="431">
        <v>50205</v>
      </c>
      <c r="AI128" s="431">
        <v>27008</v>
      </c>
      <c r="AJ128" s="431">
        <v>0</v>
      </c>
      <c r="AK128" s="431">
        <v>0</v>
      </c>
      <c r="AL128" s="431">
        <v>273138</v>
      </c>
      <c r="AM128" s="440"/>
      <c r="AN128" s="203"/>
      <c r="AO128" s="203"/>
    </row>
    <row r="129" spans="1:41" s="155" customFormat="1" ht="12" x14ac:dyDescent="0.2">
      <c r="A129" s="205">
        <v>75</v>
      </c>
      <c r="B129" s="578">
        <v>158733</v>
      </c>
      <c r="C129" s="224" t="s">
        <v>789</v>
      </c>
      <c r="D129" s="432">
        <f t="shared" si="12"/>
        <v>6087581</v>
      </c>
      <c r="E129" s="431">
        <v>2996451</v>
      </c>
      <c r="F129" s="431">
        <v>176495</v>
      </c>
      <c r="G129" s="431">
        <v>1657721</v>
      </c>
      <c r="H129" s="431">
        <v>0</v>
      </c>
      <c r="I129" s="431">
        <v>1409384</v>
      </c>
      <c r="J129" s="431">
        <v>120000</v>
      </c>
      <c r="K129" s="431">
        <v>1293000</v>
      </c>
      <c r="L129" s="431">
        <v>0</v>
      </c>
      <c r="M129" s="431">
        <v>71194</v>
      </c>
      <c r="N129" s="431">
        <v>197552</v>
      </c>
      <c r="O129" s="431"/>
      <c r="P129" s="432">
        <f t="shared" si="11"/>
        <v>5453594</v>
      </c>
      <c r="Q129" s="431">
        <v>1781694</v>
      </c>
      <c r="R129" s="431">
        <v>2957796</v>
      </c>
      <c r="S129" s="431">
        <v>0</v>
      </c>
      <c r="T129" s="431">
        <v>0</v>
      </c>
      <c r="U129" s="431">
        <v>275272</v>
      </c>
      <c r="V129" s="431">
        <v>0</v>
      </c>
      <c r="W129" s="431">
        <v>0</v>
      </c>
      <c r="X129" s="431">
        <v>130765</v>
      </c>
      <c r="Y129" s="431">
        <v>4985</v>
      </c>
      <c r="Z129" s="431">
        <v>341931</v>
      </c>
      <c r="AA129" s="431">
        <v>0</v>
      </c>
      <c r="AB129" s="431">
        <v>-38849</v>
      </c>
      <c r="AC129" s="431">
        <v>1321817</v>
      </c>
      <c r="AD129" s="431">
        <v>0</v>
      </c>
      <c r="AE129" s="431">
        <v>1252645</v>
      </c>
      <c r="AF129" s="431">
        <v>0</v>
      </c>
      <c r="AG129" s="431">
        <v>787020</v>
      </c>
      <c r="AH129" s="431">
        <v>276765</v>
      </c>
      <c r="AI129" s="431">
        <v>513541</v>
      </c>
      <c r="AJ129" s="431">
        <v>333902</v>
      </c>
      <c r="AK129" s="431">
        <v>0</v>
      </c>
      <c r="AL129" s="431">
        <v>967904</v>
      </c>
      <c r="AM129" s="440"/>
      <c r="AN129" s="203"/>
      <c r="AO129" s="203"/>
    </row>
    <row r="130" spans="1:41" s="155" customFormat="1" ht="12" x14ac:dyDescent="0.2">
      <c r="A130" s="205">
        <v>76</v>
      </c>
      <c r="B130" s="578">
        <v>158653</v>
      </c>
      <c r="C130" s="224" t="s">
        <v>790</v>
      </c>
      <c r="D130" s="432">
        <f t="shared" si="12"/>
        <v>12696168</v>
      </c>
      <c r="E130" s="431">
        <v>6995666</v>
      </c>
      <c r="F130" s="431">
        <v>1513667</v>
      </c>
      <c r="G130" s="431">
        <v>1020136</v>
      </c>
      <c r="H130" s="431">
        <v>0</v>
      </c>
      <c r="I130" s="431">
        <v>2512171</v>
      </c>
      <c r="J130" s="431">
        <v>300000</v>
      </c>
      <c r="K130" s="431">
        <v>1073000</v>
      </c>
      <c r="L130" s="431">
        <v>0</v>
      </c>
      <c r="M130" s="431">
        <v>1815331</v>
      </c>
      <c r="N130" s="431">
        <v>0</v>
      </c>
      <c r="O130" s="431"/>
      <c r="P130" s="432">
        <f t="shared" si="11"/>
        <v>12677305</v>
      </c>
      <c r="Q130" s="431">
        <v>2963523</v>
      </c>
      <c r="R130" s="431">
        <v>5203503</v>
      </c>
      <c r="S130" s="431">
        <v>0</v>
      </c>
      <c r="T130" s="431">
        <v>0</v>
      </c>
      <c r="U130" s="431">
        <v>0</v>
      </c>
      <c r="V130" s="431">
        <v>0</v>
      </c>
      <c r="W130" s="431">
        <v>0</v>
      </c>
      <c r="X130" s="431">
        <v>223909</v>
      </c>
      <c r="Y130" s="431">
        <v>0</v>
      </c>
      <c r="Z130" s="431">
        <v>4286370</v>
      </c>
      <c r="AA130" s="431">
        <v>0</v>
      </c>
      <c r="AB130" s="431">
        <v>0</v>
      </c>
      <c r="AC130" s="431">
        <v>1964843</v>
      </c>
      <c r="AD130" s="431">
        <v>175600</v>
      </c>
      <c r="AE130" s="431">
        <v>2173818</v>
      </c>
      <c r="AF130" s="431">
        <v>0</v>
      </c>
      <c r="AG130" s="431">
        <v>433255</v>
      </c>
      <c r="AH130" s="431">
        <v>554233</v>
      </c>
      <c r="AI130" s="431">
        <v>1001013</v>
      </c>
      <c r="AJ130" s="431">
        <v>571328</v>
      </c>
      <c r="AK130" s="431">
        <v>0</v>
      </c>
      <c r="AL130" s="431">
        <v>5701023</v>
      </c>
      <c r="AM130" s="440">
        <v>102192</v>
      </c>
      <c r="AN130" s="203"/>
      <c r="AO130" s="203"/>
    </row>
    <row r="131" spans="1:41" s="155" customFormat="1" ht="12" x14ac:dyDescent="0.2">
      <c r="A131" s="205">
        <v>77</v>
      </c>
      <c r="B131" s="578">
        <v>158699</v>
      </c>
      <c r="C131" s="224" t="s">
        <v>791</v>
      </c>
      <c r="D131" s="432">
        <f t="shared" si="12"/>
        <v>12665232</v>
      </c>
      <c r="E131" s="431">
        <v>4356044</v>
      </c>
      <c r="F131" s="431">
        <v>578962</v>
      </c>
      <c r="G131" s="431">
        <v>1596905</v>
      </c>
      <c r="H131" s="431">
        <v>0</v>
      </c>
      <c r="I131" s="431">
        <v>2503379</v>
      </c>
      <c r="J131" s="431">
        <v>150000</v>
      </c>
      <c r="K131" s="431">
        <v>1644000</v>
      </c>
      <c r="L131" s="431">
        <v>0</v>
      </c>
      <c r="M131" s="431">
        <v>203259</v>
      </c>
      <c r="N131" s="431">
        <v>3808550</v>
      </c>
      <c r="O131" s="431"/>
      <c r="P131" s="432">
        <f t="shared" si="11"/>
        <v>7225668</v>
      </c>
      <c r="Q131" s="431">
        <v>2768386</v>
      </c>
      <c r="R131" s="431">
        <v>2292763</v>
      </c>
      <c r="S131" s="431">
        <v>0</v>
      </c>
      <c r="T131" s="431">
        <v>0</v>
      </c>
      <c r="U131" s="431">
        <v>0</v>
      </c>
      <c r="V131" s="431">
        <v>0</v>
      </c>
      <c r="W131" s="431">
        <v>0</v>
      </c>
      <c r="X131" s="431">
        <v>231656</v>
      </c>
      <c r="Y131" s="431">
        <v>154478</v>
      </c>
      <c r="Z131" s="431">
        <v>1778385</v>
      </c>
      <c r="AA131" s="431">
        <v>0</v>
      </c>
      <c r="AB131" s="431">
        <v>0</v>
      </c>
      <c r="AC131" s="431">
        <v>1593310</v>
      </c>
      <c r="AD131" s="431">
        <v>0</v>
      </c>
      <c r="AE131" s="431">
        <v>2135507</v>
      </c>
      <c r="AF131" s="431">
        <v>0</v>
      </c>
      <c r="AG131" s="431">
        <v>524458</v>
      </c>
      <c r="AH131" s="431">
        <v>498388</v>
      </c>
      <c r="AI131" s="431">
        <v>486360</v>
      </c>
      <c r="AJ131" s="431">
        <v>147056</v>
      </c>
      <c r="AK131" s="431">
        <v>0</v>
      </c>
      <c r="AL131" s="431">
        <v>1822131</v>
      </c>
      <c r="AM131" s="440">
        <v>18458</v>
      </c>
      <c r="AN131" s="203"/>
      <c r="AO131" s="203"/>
    </row>
    <row r="132" spans="1:41" s="155" customFormat="1" ht="12" x14ac:dyDescent="0.2">
      <c r="A132" s="205">
        <v>78</v>
      </c>
      <c r="B132" s="578">
        <v>158805</v>
      </c>
      <c r="C132" s="224" t="s">
        <v>792</v>
      </c>
      <c r="D132" s="432">
        <f t="shared" si="12"/>
        <v>7466749</v>
      </c>
      <c r="E132" s="431">
        <v>2315204</v>
      </c>
      <c r="F132" s="431">
        <v>250333</v>
      </c>
      <c r="G132" s="431">
        <v>1237896</v>
      </c>
      <c r="H132" s="431">
        <v>0</v>
      </c>
      <c r="I132" s="431">
        <v>1397324</v>
      </c>
      <c r="J132" s="431">
        <v>133000</v>
      </c>
      <c r="K132" s="431">
        <v>740000</v>
      </c>
      <c r="L132" s="431">
        <v>0</v>
      </c>
      <c r="M132" s="431">
        <v>2881221</v>
      </c>
      <c r="N132" s="431">
        <v>0</v>
      </c>
      <c r="O132" s="431"/>
      <c r="P132" s="432">
        <f t="shared" si="11"/>
        <v>6637581</v>
      </c>
      <c r="Q132" s="431">
        <v>1593055</v>
      </c>
      <c r="R132" s="431">
        <v>1149967</v>
      </c>
      <c r="S132" s="431">
        <v>0</v>
      </c>
      <c r="T132" s="431">
        <v>0</v>
      </c>
      <c r="U132" s="431">
        <v>0</v>
      </c>
      <c r="V132" s="431">
        <v>0</v>
      </c>
      <c r="W132" s="431">
        <v>0</v>
      </c>
      <c r="X132" s="431">
        <v>82882</v>
      </c>
      <c r="Y132" s="431">
        <v>0</v>
      </c>
      <c r="Z132" s="431">
        <v>3811677</v>
      </c>
      <c r="AA132" s="431">
        <v>0</v>
      </c>
      <c r="AB132" s="431">
        <v>0</v>
      </c>
      <c r="AC132" s="431">
        <v>727379</v>
      </c>
      <c r="AD132" s="431">
        <v>0</v>
      </c>
      <c r="AE132" s="431">
        <v>1137689</v>
      </c>
      <c r="AF132" s="431">
        <v>0</v>
      </c>
      <c r="AG132" s="431">
        <v>599181</v>
      </c>
      <c r="AH132" s="431">
        <v>292411</v>
      </c>
      <c r="AI132" s="431">
        <v>117983</v>
      </c>
      <c r="AJ132" s="431">
        <v>1982644</v>
      </c>
      <c r="AK132" s="431">
        <v>0</v>
      </c>
      <c r="AL132" s="431">
        <v>1780294</v>
      </c>
      <c r="AM132" s="440"/>
      <c r="AN132" s="203"/>
      <c r="AO132" s="203"/>
    </row>
    <row r="133" spans="1:41" s="155" customFormat="1" ht="12" x14ac:dyDescent="0.2">
      <c r="A133" s="205">
        <v>79</v>
      </c>
      <c r="B133" s="578">
        <v>158859</v>
      </c>
      <c r="C133" s="224" t="s">
        <v>793</v>
      </c>
      <c r="D133" s="432">
        <f t="shared" si="12"/>
        <v>7377812</v>
      </c>
      <c r="E133" s="431">
        <v>2882415</v>
      </c>
      <c r="F133" s="431">
        <v>305094</v>
      </c>
      <c r="G133" s="431">
        <v>1098608</v>
      </c>
      <c r="H133" s="431">
        <v>0</v>
      </c>
      <c r="I133" s="431">
        <v>2730853</v>
      </c>
      <c r="J133" s="431">
        <v>133000</v>
      </c>
      <c r="K133" s="431">
        <v>1056000</v>
      </c>
      <c r="L133" s="431">
        <v>0</v>
      </c>
      <c r="M133" s="431">
        <v>575544</v>
      </c>
      <c r="N133" s="431">
        <v>0</v>
      </c>
      <c r="O133" s="431"/>
      <c r="P133" s="432">
        <f t="shared" si="11"/>
        <v>8574220</v>
      </c>
      <c r="Q133" s="431">
        <v>2787695</v>
      </c>
      <c r="R133" s="431">
        <v>3368694</v>
      </c>
      <c r="S133" s="431">
        <v>0</v>
      </c>
      <c r="T133" s="431">
        <v>0</v>
      </c>
      <c r="U133" s="431">
        <v>0</v>
      </c>
      <c r="V133" s="431">
        <v>0</v>
      </c>
      <c r="W133" s="431">
        <v>0</v>
      </c>
      <c r="X133" s="431">
        <v>316163</v>
      </c>
      <c r="Y133" s="431">
        <v>0</v>
      </c>
      <c r="Z133" s="431">
        <v>2102388</v>
      </c>
      <c r="AA133" s="431">
        <v>0</v>
      </c>
      <c r="AB133" s="431">
        <v>-720</v>
      </c>
      <c r="AC133" s="431">
        <v>931412</v>
      </c>
      <c r="AD133" s="431">
        <v>5243</v>
      </c>
      <c r="AE133" s="431">
        <v>2685916</v>
      </c>
      <c r="AF133" s="431">
        <v>0</v>
      </c>
      <c r="AG133" s="431">
        <v>544082</v>
      </c>
      <c r="AH133" s="431">
        <v>340493</v>
      </c>
      <c r="AI133" s="431">
        <v>1978300</v>
      </c>
      <c r="AJ133" s="431">
        <v>240127</v>
      </c>
      <c r="AK133" s="431">
        <v>0</v>
      </c>
      <c r="AL133" s="431">
        <v>1848647</v>
      </c>
      <c r="AM133" s="440"/>
      <c r="AN133" s="203"/>
      <c r="AO133" s="203"/>
    </row>
    <row r="134" spans="1:41" s="155" customFormat="1" ht="12" x14ac:dyDescent="0.2">
      <c r="A134" s="205">
        <v>80</v>
      </c>
      <c r="B134" s="578">
        <v>158895</v>
      </c>
      <c r="C134" s="224" t="s">
        <v>794</v>
      </c>
      <c r="D134" s="432">
        <f t="shared" si="12"/>
        <v>6438619</v>
      </c>
      <c r="E134" s="431">
        <v>2676516</v>
      </c>
      <c r="F134" s="431">
        <v>151722</v>
      </c>
      <c r="G134" s="431">
        <v>1679301</v>
      </c>
      <c r="H134" s="431">
        <v>0</v>
      </c>
      <c r="I134" s="431">
        <v>1052487</v>
      </c>
      <c r="J134" s="431">
        <v>132996</v>
      </c>
      <c r="K134" s="431">
        <v>146000</v>
      </c>
      <c r="L134" s="431">
        <v>0</v>
      </c>
      <c r="M134" s="431">
        <v>461884</v>
      </c>
      <c r="N134" s="431">
        <v>1968736</v>
      </c>
      <c r="O134" s="431"/>
      <c r="P134" s="432">
        <f t="shared" si="11"/>
        <v>4716654</v>
      </c>
      <c r="Q134" s="431">
        <v>1373880</v>
      </c>
      <c r="R134" s="431">
        <v>739628</v>
      </c>
      <c r="S134" s="431">
        <v>14400</v>
      </c>
      <c r="T134" s="431">
        <v>0</v>
      </c>
      <c r="U134" s="431">
        <v>0</v>
      </c>
      <c r="V134" s="431">
        <v>0</v>
      </c>
      <c r="W134" s="431">
        <v>966215</v>
      </c>
      <c r="X134" s="431">
        <v>116551</v>
      </c>
      <c r="Y134" s="431">
        <v>0</v>
      </c>
      <c r="Z134" s="431">
        <v>1393225</v>
      </c>
      <c r="AA134" s="431">
        <v>112755</v>
      </c>
      <c r="AB134" s="431">
        <v>0</v>
      </c>
      <c r="AC134" s="431">
        <v>888727</v>
      </c>
      <c r="AD134" s="431">
        <v>399106</v>
      </c>
      <c r="AE134" s="431">
        <v>1500800</v>
      </c>
      <c r="AF134" s="431">
        <v>0</v>
      </c>
      <c r="AG134" s="431">
        <v>300349</v>
      </c>
      <c r="AH134" s="431">
        <v>166098</v>
      </c>
      <c r="AI134" s="431">
        <v>61198</v>
      </c>
      <c r="AJ134" s="431">
        <v>0</v>
      </c>
      <c r="AK134" s="431">
        <v>0</v>
      </c>
      <c r="AL134" s="431">
        <v>1282061</v>
      </c>
      <c r="AM134" s="440">
        <v>118315</v>
      </c>
      <c r="AN134" s="203"/>
      <c r="AO134" s="203"/>
    </row>
    <row r="135" spans="1:41" s="155" customFormat="1" ht="12" x14ac:dyDescent="0.2">
      <c r="A135" s="205">
        <v>81</v>
      </c>
      <c r="B135" s="578">
        <v>159473</v>
      </c>
      <c r="C135" s="224" t="s">
        <v>795</v>
      </c>
      <c r="D135" s="432">
        <f t="shared" si="12"/>
        <v>14422161</v>
      </c>
      <c r="E135" s="431">
        <v>2909886</v>
      </c>
      <c r="F135" s="431">
        <v>449928</v>
      </c>
      <c r="G135" s="431">
        <v>1705785</v>
      </c>
      <c r="H135" s="431">
        <v>0</v>
      </c>
      <c r="I135" s="431">
        <v>1647701</v>
      </c>
      <c r="J135" s="431">
        <v>120000</v>
      </c>
      <c r="K135" s="431">
        <v>779000</v>
      </c>
      <c r="L135" s="431">
        <v>0</v>
      </c>
      <c r="M135" s="431">
        <v>8094376</v>
      </c>
      <c r="N135" s="431">
        <v>612703</v>
      </c>
      <c r="O135" s="431">
        <v>258495</v>
      </c>
      <c r="P135" s="432">
        <f t="shared" si="11"/>
        <v>14920788</v>
      </c>
      <c r="Q135" s="431">
        <v>1719120</v>
      </c>
      <c r="R135" s="431">
        <v>1281143</v>
      </c>
      <c r="S135" s="431">
        <v>0</v>
      </c>
      <c r="T135" s="431">
        <v>0</v>
      </c>
      <c r="U135" s="431">
        <v>0</v>
      </c>
      <c r="V135" s="431">
        <v>0</v>
      </c>
      <c r="W135" s="431">
        <v>0</v>
      </c>
      <c r="X135" s="431">
        <v>214365</v>
      </c>
      <c r="Y135" s="431">
        <v>0</v>
      </c>
      <c r="Z135" s="431">
        <v>11707286</v>
      </c>
      <c r="AA135" s="431">
        <v>0</v>
      </c>
      <c r="AB135" s="431">
        <v>-1126</v>
      </c>
      <c r="AC135" s="431">
        <v>880501</v>
      </c>
      <c r="AD135" s="431">
        <v>462686</v>
      </c>
      <c r="AE135" s="431">
        <v>1464664</v>
      </c>
      <c r="AF135" s="431">
        <v>0</v>
      </c>
      <c r="AG135" s="431">
        <v>3064063</v>
      </c>
      <c r="AH135" s="431">
        <v>353859</v>
      </c>
      <c r="AI135" s="431">
        <v>5613773</v>
      </c>
      <c r="AJ135" s="431">
        <v>39905</v>
      </c>
      <c r="AK135" s="431">
        <v>0</v>
      </c>
      <c r="AL135" s="431">
        <v>3041000</v>
      </c>
      <c r="AM135" s="440">
        <v>337</v>
      </c>
      <c r="AN135" s="203"/>
      <c r="AO135" s="203"/>
    </row>
    <row r="136" spans="1:41" s="155" customFormat="1" ht="12" x14ac:dyDescent="0.2">
      <c r="A136" s="205">
        <v>82</v>
      </c>
      <c r="B136" s="578">
        <v>158966</v>
      </c>
      <c r="C136" s="224" t="s">
        <v>796</v>
      </c>
      <c r="D136" s="432">
        <f t="shared" si="12"/>
        <v>4158802</v>
      </c>
      <c r="E136" s="431">
        <v>2002834</v>
      </c>
      <c r="F136" s="431">
        <v>310534</v>
      </c>
      <c r="G136" s="431">
        <v>935779</v>
      </c>
      <c r="H136" s="431">
        <v>0</v>
      </c>
      <c r="I136" s="431">
        <v>1179268</v>
      </c>
      <c r="J136" s="431">
        <v>133000</v>
      </c>
      <c r="K136" s="431">
        <v>836000</v>
      </c>
      <c r="L136" s="431">
        <v>0</v>
      </c>
      <c r="M136" s="431">
        <v>7700</v>
      </c>
      <c r="N136" s="431">
        <v>0</v>
      </c>
      <c r="O136" s="431"/>
      <c r="P136" s="432">
        <f t="shared" si="11"/>
        <v>2981200</v>
      </c>
      <c r="Q136" s="431">
        <v>1323060</v>
      </c>
      <c r="R136" s="431">
        <v>1233740</v>
      </c>
      <c r="S136" s="431">
        <v>0</v>
      </c>
      <c r="T136" s="431">
        <v>0</v>
      </c>
      <c r="U136" s="431">
        <v>0</v>
      </c>
      <c r="V136" s="431">
        <v>0</v>
      </c>
      <c r="W136" s="431">
        <v>0</v>
      </c>
      <c r="X136" s="431">
        <v>126730</v>
      </c>
      <c r="Y136" s="431">
        <v>4000</v>
      </c>
      <c r="Z136" s="431">
        <v>293670</v>
      </c>
      <c r="AA136" s="431">
        <v>0</v>
      </c>
      <c r="AB136" s="431">
        <v>0</v>
      </c>
      <c r="AC136" s="431">
        <v>650143</v>
      </c>
      <c r="AD136" s="431">
        <v>0</v>
      </c>
      <c r="AE136" s="431">
        <v>880769</v>
      </c>
      <c r="AF136" s="431">
        <v>0</v>
      </c>
      <c r="AG136" s="431">
        <v>173634</v>
      </c>
      <c r="AH136" s="431">
        <v>349966</v>
      </c>
      <c r="AI136" s="431">
        <v>620963</v>
      </c>
      <c r="AJ136" s="431">
        <v>0</v>
      </c>
      <c r="AK136" s="431">
        <v>0</v>
      </c>
      <c r="AL136" s="431">
        <v>305725</v>
      </c>
      <c r="AM136" s="440"/>
      <c r="AN136" s="203"/>
      <c r="AO136" s="203"/>
    </row>
    <row r="137" spans="1:41" s="155" customFormat="1" ht="12" x14ac:dyDescent="0.2">
      <c r="A137" s="205">
        <v>83</v>
      </c>
      <c r="B137" s="578">
        <v>159035</v>
      </c>
      <c r="C137" s="224" t="s">
        <v>797</v>
      </c>
      <c r="D137" s="432">
        <f t="shared" si="12"/>
        <v>4743416</v>
      </c>
      <c r="E137" s="431">
        <v>2171520</v>
      </c>
      <c r="F137" s="431">
        <v>239648</v>
      </c>
      <c r="G137" s="431">
        <v>1208469</v>
      </c>
      <c r="H137" s="431">
        <v>0</v>
      </c>
      <c r="I137" s="431">
        <v>1818100</v>
      </c>
      <c r="J137" s="431">
        <v>120000</v>
      </c>
      <c r="K137" s="431">
        <v>621000</v>
      </c>
      <c r="L137" s="431">
        <v>0</v>
      </c>
      <c r="M137" s="431">
        <v>11395</v>
      </c>
      <c r="N137" s="431">
        <v>0</v>
      </c>
      <c r="O137" s="431">
        <v>1401</v>
      </c>
      <c r="P137" s="432">
        <f t="shared" si="11"/>
        <v>4732590</v>
      </c>
      <c r="Q137" s="431">
        <v>2168645</v>
      </c>
      <c r="R137" s="431">
        <v>1207097</v>
      </c>
      <c r="S137" s="431">
        <v>55404</v>
      </c>
      <c r="T137" s="431">
        <v>0</v>
      </c>
      <c r="U137" s="431">
        <v>0</v>
      </c>
      <c r="V137" s="431">
        <v>0</v>
      </c>
      <c r="W137" s="431">
        <v>0</v>
      </c>
      <c r="X137" s="431">
        <v>110179</v>
      </c>
      <c r="Y137" s="431">
        <v>0</v>
      </c>
      <c r="Z137" s="431">
        <v>970664</v>
      </c>
      <c r="AA137" s="431">
        <v>220601</v>
      </c>
      <c r="AB137" s="431">
        <v>0</v>
      </c>
      <c r="AC137" s="431">
        <v>1223277</v>
      </c>
      <c r="AD137" s="431">
        <v>0</v>
      </c>
      <c r="AE137" s="431">
        <v>1684037</v>
      </c>
      <c r="AF137" s="431">
        <v>0</v>
      </c>
      <c r="AG137" s="431">
        <v>176018</v>
      </c>
      <c r="AH137" s="431">
        <v>429538</v>
      </c>
      <c r="AI137" s="431">
        <v>793443</v>
      </c>
      <c r="AJ137" s="431">
        <v>0</v>
      </c>
      <c r="AK137" s="431">
        <v>0</v>
      </c>
      <c r="AL137" s="431">
        <v>414921</v>
      </c>
      <c r="AM137" s="440">
        <v>11356</v>
      </c>
      <c r="AN137" s="203"/>
      <c r="AO137" s="203"/>
    </row>
    <row r="138" spans="1:41" s="155" customFormat="1" ht="12" x14ac:dyDescent="0.2">
      <c r="A138" s="205">
        <v>84</v>
      </c>
      <c r="B138" s="578">
        <v>159071</v>
      </c>
      <c r="C138" s="224" t="s">
        <v>798</v>
      </c>
      <c r="D138" s="432">
        <f t="shared" si="12"/>
        <v>4229659</v>
      </c>
      <c r="E138" s="431">
        <v>2162336</v>
      </c>
      <c r="F138" s="431">
        <v>100182</v>
      </c>
      <c r="G138" s="431">
        <v>1245743</v>
      </c>
      <c r="H138" s="431">
        <v>0</v>
      </c>
      <c r="I138" s="431">
        <v>1091453</v>
      </c>
      <c r="J138" s="431">
        <v>120000</v>
      </c>
      <c r="K138" s="431">
        <v>493000</v>
      </c>
      <c r="L138" s="431">
        <v>0</v>
      </c>
      <c r="M138" s="431">
        <v>133767</v>
      </c>
      <c r="N138" s="431">
        <v>229103</v>
      </c>
      <c r="O138" s="431"/>
      <c r="P138" s="432">
        <f t="shared" si="11"/>
        <v>5128259</v>
      </c>
      <c r="Q138" s="431">
        <v>1210788</v>
      </c>
      <c r="R138" s="431">
        <v>1539687</v>
      </c>
      <c r="S138" s="431">
        <v>0</v>
      </c>
      <c r="T138" s="431">
        <v>0</v>
      </c>
      <c r="U138" s="431">
        <v>0</v>
      </c>
      <c r="V138" s="431">
        <v>0</v>
      </c>
      <c r="W138" s="431">
        <v>1851593</v>
      </c>
      <c r="X138" s="431">
        <v>175484</v>
      </c>
      <c r="Y138" s="431">
        <v>0</v>
      </c>
      <c r="Z138" s="431">
        <v>350707</v>
      </c>
      <c r="AA138" s="431">
        <v>0</v>
      </c>
      <c r="AB138" s="431">
        <v>0</v>
      </c>
      <c r="AC138" s="431">
        <v>1029865</v>
      </c>
      <c r="AD138" s="431">
        <v>6915</v>
      </c>
      <c r="AE138" s="431">
        <v>870453</v>
      </c>
      <c r="AF138" s="431">
        <v>0</v>
      </c>
      <c r="AG138" s="431">
        <v>179928</v>
      </c>
      <c r="AH138" s="431">
        <v>251549</v>
      </c>
      <c r="AI138" s="431">
        <v>107736</v>
      </c>
      <c r="AJ138" s="431">
        <v>0</v>
      </c>
      <c r="AK138" s="431">
        <v>0</v>
      </c>
      <c r="AL138" s="431">
        <v>2681813</v>
      </c>
      <c r="AM138" s="440"/>
      <c r="AN138" s="203"/>
      <c r="AO138" s="203"/>
    </row>
    <row r="139" spans="1:41" s="155" customFormat="1" ht="12" x14ac:dyDescent="0.2">
      <c r="A139" s="205">
        <v>85</v>
      </c>
      <c r="B139" s="578">
        <v>159142</v>
      </c>
      <c r="C139" s="224" t="s">
        <v>799</v>
      </c>
      <c r="D139" s="432">
        <f t="shared" si="12"/>
        <v>11386328</v>
      </c>
      <c r="E139" s="431">
        <v>2974554</v>
      </c>
      <c r="F139" s="431">
        <v>579758</v>
      </c>
      <c r="G139" s="431">
        <v>1240838</v>
      </c>
      <c r="H139" s="431">
        <v>0</v>
      </c>
      <c r="I139" s="431">
        <v>1324116</v>
      </c>
      <c r="J139" s="431">
        <v>80000</v>
      </c>
      <c r="K139" s="431">
        <v>805000</v>
      </c>
      <c r="L139" s="431">
        <v>0</v>
      </c>
      <c r="M139" s="431">
        <v>1842131</v>
      </c>
      <c r="N139" s="431">
        <v>4360527</v>
      </c>
      <c r="O139" s="431"/>
      <c r="P139" s="432">
        <f t="shared" si="11"/>
        <v>11804624</v>
      </c>
      <c r="Q139" s="431">
        <v>1680089</v>
      </c>
      <c r="R139" s="431">
        <v>1112504</v>
      </c>
      <c r="S139" s="431">
        <v>0</v>
      </c>
      <c r="T139" s="431">
        <v>0</v>
      </c>
      <c r="U139" s="431">
        <v>0</v>
      </c>
      <c r="V139" s="431">
        <v>0</v>
      </c>
      <c r="W139" s="431">
        <v>6913750</v>
      </c>
      <c r="X139" s="431">
        <v>146722</v>
      </c>
      <c r="Y139" s="431">
        <v>37695</v>
      </c>
      <c r="Z139" s="431">
        <v>1913864</v>
      </c>
      <c r="AA139" s="431">
        <v>0</v>
      </c>
      <c r="AB139" s="431">
        <v>0</v>
      </c>
      <c r="AC139" s="431">
        <v>703646</v>
      </c>
      <c r="AD139" s="431">
        <v>5067</v>
      </c>
      <c r="AE139" s="431">
        <v>1532866</v>
      </c>
      <c r="AF139" s="431">
        <v>0</v>
      </c>
      <c r="AG139" s="431">
        <v>293292</v>
      </c>
      <c r="AH139" s="431">
        <v>1029895</v>
      </c>
      <c r="AI139" s="431">
        <v>298744</v>
      </c>
      <c r="AJ139" s="431">
        <v>224096</v>
      </c>
      <c r="AK139" s="431">
        <v>0</v>
      </c>
      <c r="AL139" s="431">
        <v>7646773</v>
      </c>
      <c r="AM139" s="440">
        <v>70245</v>
      </c>
      <c r="AN139" s="203"/>
      <c r="AO139" s="203"/>
    </row>
    <row r="140" spans="1:41" s="155" customFormat="1" ht="12" x14ac:dyDescent="0.2">
      <c r="A140" s="205">
        <v>86</v>
      </c>
      <c r="B140" s="578">
        <v>159259</v>
      </c>
      <c r="C140" s="224" t="s">
        <v>800</v>
      </c>
      <c r="D140" s="432">
        <f t="shared" si="12"/>
        <v>8182900</v>
      </c>
      <c r="E140" s="431">
        <v>2398086</v>
      </c>
      <c r="F140" s="431">
        <v>555283</v>
      </c>
      <c r="G140" s="431">
        <v>1099589</v>
      </c>
      <c r="H140" s="431">
        <v>0</v>
      </c>
      <c r="I140" s="431">
        <v>1424141</v>
      </c>
      <c r="J140" s="431">
        <v>200000</v>
      </c>
      <c r="K140" s="431">
        <v>839000</v>
      </c>
      <c r="L140" s="431">
        <v>0</v>
      </c>
      <c r="M140" s="431">
        <v>3315373</v>
      </c>
      <c r="N140" s="431">
        <v>6300</v>
      </c>
      <c r="O140" s="431"/>
      <c r="P140" s="432">
        <f t="shared" si="11"/>
        <v>7566371</v>
      </c>
      <c r="Q140" s="431">
        <v>1529284</v>
      </c>
      <c r="R140" s="431">
        <v>1162903</v>
      </c>
      <c r="S140" s="431">
        <v>0</v>
      </c>
      <c r="T140" s="431">
        <v>0</v>
      </c>
      <c r="U140" s="431">
        <v>0</v>
      </c>
      <c r="V140" s="431">
        <v>0</v>
      </c>
      <c r="W140" s="431">
        <v>0</v>
      </c>
      <c r="X140" s="431">
        <v>227035</v>
      </c>
      <c r="Y140" s="431">
        <v>5292</v>
      </c>
      <c r="Z140" s="431">
        <v>4653031</v>
      </c>
      <c r="AA140" s="431">
        <v>0</v>
      </c>
      <c r="AB140" s="431">
        <v>-11174</v>
      </c>
      <c r="AC140" s="431">
        <v>1116236</v>
      </c>
      <c r="AD140" s="431">
        <v>0</v>
      </c>
      <c r="AE140" s="431">
        <v>1136148</v>
      </c>
      <c r="AF140" s="431">
        <v>0</v>
      </c>
      <c r="AG140" s="431">
        <v>301308</v>
      </c>
      <c r="AH140" s="431">
        <v>314134</v>
      </c>
      <c r="AI140" s="431">
        <v>122591</v>
      </c>
      <c r="AJ140" s="431">
        <v>3660137</v>
      </c>
      <c r="AK140" s="431">
        <v>0</v>
      </c>
      <c r="AL140" s="431">
        <v>907049</v>
      </c>
      <c r="AM140" s="440">
        <v>8768</v>
      </c>
      <c r="AN140" s="203"/>
      <c r="AO140" s="203"/>
    </row>
    <row r="141" spans="1:41" s="155" customFormat="1" ht="12" x14ac:dyDescent="0.2">
      <c r="A141" s="205">
        <v>87</v>
      </c>
      <c r="B141" s="578">
        <v>159482</v>
      </c>
      <c r="C141" s="224" t="s">
        <v>801</v>
      </c>
      <c r="D141" s="432">
        <f t="shared" si="12"/>
        <v>3116800</v>
      </c>
      <c r="E141" s="431">
        <v>2021704</v>
      </c>
      <c r="F141" s="431">
        <v>98986</v>
      </c>
      <c r="G141" s="431">
        <v>1332062</v>
      </c>
      <c r="H141" s="431">
        <v>0</v>
      </c>
      <c r="I141" s="431">
        <v>794284</v>
      </c>
      <c r="J141" s="431">
        <v>120000</v>
      </c>
      <c r="K141" s="431">
        <v>179000</v>
      </c>
      <c r="L141" s="431">
        <v>0</v>
      </c>
      <c r="M141" s="431">
        <v>1812</v>
      </c>
      <c r="N141" s="431">
        <v>0</v>
      </c>
      <c r="O141" s="431"/>
      <c r="P141" s="432">
        <f t="shared" si="11"/>
        <v>3067161</v>
      </c>
      <c r="Q141" s="431">
        <v>965616</v>
      </c>
      <c r="R141" s="431">
        <v>839451</v>
      </c>
      <c r="S141" s="431">
        <v>0</v>
      </c>
      <c r="T141" s="431">
        <v>0</v>
      </c>
      <c r="U141" s="431">
        <v>0</v>
      </c>
      <c r="V141" s="431">
        <v>0</v>
      </c>
      <c r="W141" s="431">
        <v>0</v>
      </c>
      <c r="X141" s="431">
        <v>123724</v>
      </c>
      <c r="Y141" s="431">
        <v>2174</v>
      </c>
      <c r="Z141" s="431">
        <v>1137739</v>
      </c>
      <c r="AA141" s="431">
        <v>0</v>
      </c>
      <c r="AB141" s="431">
        <v>-1543</v>
      </c>
      <c r="AC141" s="431">
        <v>695466</v>
      </c>
      <c r="AD141" s="431">
        <v>19619</v>
      </c>
      <c r="AE141" s="431">
        <v>821714</v>
      </c>
      <c r="AF141" s="431">
        <v>0</v>
      </c>
      <c r="AG141" s="431">
        <v>602988</v>
      </c>
      <c r="AH141" s="431">
        <v>123724</v>
      </c>
      <c r="AI141" s="431">
        <v>613967</v>
      </c>
      <c r="AJ141" s="431">
        <v>0</v>
      </c>
      <c r="AK141" s="431">
        <v>0</v>
      </c>
      <c r="AL141" s="431">
        <v>189683</v>
      </c>
      <c r="AM141" s="440"/>
      <c r="AN141" s="203"/>
      <c r="AO141" s="203"/>
    </row>
    <row r="142" spans="1:41" s="155" customFormat="1" ht="12" x14ac:dyDescent="0.2">
      <c r="A142" s="205">
        <v>88</v>
      </c>
      <c r="B142" s="578">
        <v>159213</v>
      </c>
      <c r="C142" s="224" t="s">
        <v>802</v>
      </c>
      <c r="D142" s="432">
        <f t="shared" si="12"/>
        <v>13667056</v>
      </c>
      <c r="E142" s="431">
        <v>3411025</v>
      </c>
      <c r="F142" s="431">
        <v>606221</v>
      </c>
      <c r="G142" s="431">
        <v>1505682</v>
      </c>
      <c r="H142" s="431">
        <v>0</v>
      </c>
      <c r="I142" s="431">
        <v>3208398</v>
      </c>
      <c r="J142" s="431">
        <v>200000</v>
      </c>
      <c r="K142" s="431">
        <v>1423000</v>
      </c>
      <c r="L142" s="431">
        <v>0</v>
      </c>
      <c r="M142" s="431">
        <v>3141107</v>
      </c>
      <c r="N142" s="431">
        <v>2283526</v>
      </c>
      <c r="O142" s="431"/>
      <c r="P142" s="432">
        <f t="shared" si="11"/>
        <v>10549866</v>
      </c>
      <c r="Q142" s="431">
        <v>3745648</v>
      </c>
      <c r="R142" s="431">
        <v>3029475</v>
      </c>
      <c r="S142" s="431">
        <v>87407</v>
      </c>
      <c r="T142" s="431">
        <v>0</v>
      </c>
      <c r="U142" s="431">
        <v>0</v>
      </c>
      <c r="V142" s="431">
        <v>0</v>
      </c>
      <c r="W142" s="431">
        <v>0</v>
      </c>
      <c r="X142" s="431">
        <v>179877</v>
      </c>
      <c r="Y142" s="431">
        <v>0</v>
      </c>
      <c r="Z142" s="431">
        <v>3375504</v>
      </c>
      <c r="AA142" s="431">
        <v>131955</v>
      </c>
      <c r="AB142" s="431">
        <v>0</v>
      </c>
      <c r="AC142" s="431">
        <v>2135919</v>
      </c>
      <c r="AD142" s="431">
        <v>179946</v>
      </c>
      <c r="AE142" s="431">
        <v>2822672</v>
      </c>
      <c r="AF142" s="431">
        <v>0</v>
      </c>
      <c r="AG142" s="431">
        <v>361063</v>
      </c>
      <c r="AH142" s="431">
        <v>787816</v>
      </c>
      <c r="AI142" s="431">
        <v>411245</v>
      </c>
      <c r="AJ142" s="431">
        <v>604562</v>
      </c>
      <c r="AK142" s="431">
        <v>0</v>
      </c>
      <c r="AL142" s="431">
        <v>3246643</v>
      </c>
      <c r="AM142" s="440"/>
      <c r="AN142" s="203"/>
      <c r="AO142" s="203"/>
    </row>
    <row r="143" spans="1:41" s="155" customFormat="1" ht="12" x14ac:dyDescent="0.2">
      <c r="A143" s="205">
        <v>89</v>
      </c>
      <c r="B143" s="578">
        <v>159339</v>
      </c>
      <c r="C143" s="224" t="s">
        <v>803</v>
      </c>
      <c r="D143" s="432">
        <f t="shared" si="12"/>
        <v>7267050</v>
      </c>
      <c r="E143" s="431">
        <v>2964888</v>
      </c>
      <c r="F143" s="431">
        <v>543423</v>
      </c>
      <c r="G143" s="431">
        <v>971091</v>
      </c>
      <c r="H143" s="431">
        <v>0</v>
      </c>
      <c r="I143" s="431">
        <v>1116906</v>
      </c>
      <c r="J143" s="431">
        <v>60000</v>
      </c>
      <c r="K143" s="431">
        <v>595000</v>
      </c>
      <c r="L143" s="431">
        <v>0</v>
      </c>
      <c r="M143" s="431">
        <v>2392321</v>
      </c>
      <c r="N143" s="431">
        <v>137935</v>
      </c>
      <c r="O143" s="431"/>
      <c r="P143" s="432">
        <f>IF(SUM(Q143:AB143)=SUM(AC143:AM143),SUM(Q143:AB143),"  EROARE ART/CAP")</f>
        <v>6667705</v>
      </c>
      <c r="Q143" s="431">
        <v>1342770</v>
      </c>
      <c r="R143" s="431">
        <v>1796209</v>
      </c>
      <c r="S143" s="431">
        <v>0</v>
      </c>
      <c r="T143" s="431">
        <v>0</v>
      </c>
      <c r="U143" s="431">
        <v>24000</v>
      </c>
      <c r="V143" s="431">
        <v>0</v>
      </c>
      <c r="W143" s="431">
        <v>24000</v>
      </c>
      <c r="X143" s="431">
        <v>57830</v>
      </c>
      <c r="Y143" s="431">
        <v>6570</v>
      </c>
      <c r="Z143" s="431">
        <v>3420270</v>
      </c>
      <c r="AA143" s="431">
        <v>0</v>
      </c>
      <c r="AB143" s="431">
        <v>-3944</v>
      </c>
      <c r="AC143" s="431">
        <v>755940</v>
      </c>
      <c r="AD143" s="431">
        <v>742</v>
      </c>
      <c r="AE143" s="431">
        <v>1034524</v>
      </c>
      <c r="AF143" s="431">
        <v>24000</v>
      </c>
      <c r="AG143" s="431">
        <v>204062</v>
      </c>
      <c r="AH143" s="431">
        <v>190248</v>
      </c>
      <c r="AI143" s="431">
        <v>425274</v>
      </c>
      <c r="AJ143" s="431">
        <v>2503679</v>
      </c>
      <c r="AK143" s="431">
        <v>0</v>
      </c>
      <c r="AL143" s="431">
        <v>1422202</v>
      </c>
      <c r="AM143" s="440">
        <v>107034</v>
      </c>
      <c r="AN143" s="203"/>
      <c r="AO143" s="203"/>
    </row>
    <row r="144" spans="1:41" s="155" customFormat="1" ht="11.25" x14ac:dyDescent="0.2">
      <c r="A144" s="203"/>
      <c r="B144" s="203"/>
      <c r="C144" s="203"/>
      <c r="D144" s="203"/>
      <c r="E144" s="203"/>
      <c r="F144" s="203"/>
      <c r="G144" s="203"/>
      <c r="H144" s="203"/>
      <c r="I144" s="203"/>
      <c r="J144" s="203"/>
      <c r="K144" s="203"/>
      <c r="L144" s="203"/>
      <c r="M144" s="203"/>
      <c r="N144" s="203"/>
      <c r="O144" s="203"/>
      <c r="P144" s="203"/>
      <c r="Q144" s="203"/>
      <c r="R144" s="203"/>
      <c r="S144" s="203"/>
      <c r="T144" s="203"/>
      <c r="U144" s="203"/>
      <c r="V144" s="203"/>
      <c r="W144" s="203"/>
      <c r="X144" s="203"/>
      <c r="Y144" s="203"/>
      <c r="Z144" s="203"/>
      <c r="AA144" s="203"/>
      <c r="AB144" s="203"/>
      <c r="AC144" s="203"/>
      <c r="AD144" s="203"/>
      <c r="AE144" s="203"/>
      <c r="AF144" s="203"/>
      <c r="AG144" s="203"/>
      <c r="AH144" s="203"/>
      <c r="AI144" s="203"/>
      <c r="AJ144" s="203"/>
      <c r="AK144" s="203"/>
      <c r="AL144" s="203"/>
      <c r="AM144" s="203"/>
      <c r="AN144" s="203"/>
      <c r="AO144" s="203"/>
    </row>
    <row r="145" spans="1:41" s="155" customFormat="1" ht="11.25" x14ac:dyDescent="0.2">
      <c r="A145" s="203"/>
      <c r="B145" s="203"/>
      <c r="C145" s="203"/>
      <c r="D145" s="203"/>
      <c r="E145" s="203"/>
      <c r="F145" s="203"/>
      <c r="G145" s="203"/>
      <c r="H145" s="203"/>
      <c r="I145" s="203"/>
      <c r="J145" s="203"/>
      <c r="K145" s="203"/>
      <c r="L145" s="203"/>
      <c r="M145" s="203"/>
      <c r="N145" s="203"/>
      <c r="O145" s="203"/>
      <c r="P145" s="203"/>
      <c r="Q145" s="203"/>
      <c r="R145" s="203"/>
      <c r="S145" s="203"/>
      <c r="T145" s="203"/>
      <c r="U145" s="203"/>
      <c r="V145" s="203"/>
      <c r="W145" s="203"/>
      <c r="X145" s="203"/>
      <c r="Y145" s="203"/>
      <c r="Z145" s="203"/>
      <c r="AA145" s="203"/>
      <c r="AB145" s="203"/>
      <c r="AC145" s="203"/>
      <c r="AD145" s="203"/>
      <c r="AE145" s="203"/>
      <c r="AF145" s="203"/>
      <c r="AG145" s="203"/>
      <c r="AH145" s="203"/>
      <c r="AI145" s="203"/>
      <c r="AJ145" s="203"/>
      <c r="AK145" s="203"/>
      <c r="AL145" s="203"/>
      <c r="AM145" s="203"/>
      <c r="AN145" s="203"/>
      <c r="AO145" s="203"/>
    </row>
    <row r="146" spans="1:41" s="155" customFormat="1" ht="11.25" x14ac:dyDescent="0.2">
      <c r="A146" s="203"/>
      <c r="B146" s="203"/>
      <c r="C146" s="203"/>
      <c r="D146" s="203"/>
      <c r="E146" s="203"/>
      <c r="F146" s="203"/>
      <c r="G146" s="203"/>
      <c r="H146" s="203"/>
      <c r="I146" s="203"/>
      <c r="J146" s="203"/>
      <c r="K146" s="203"/>
      <c r="L146" s="203"/>
      <c r="M146" s="203"/>
      <c r="N146" s="203"/>
      <c r="O146" s="203"/>
      <c r="P146" s="203"/>
      <c r="Q146" s="203"/>
      <c r="R146" s="203"/>
      <c r="S146" s="203"/>
      <c r="T146" s="203"/>
      <c r="U146" s="203"/>
      <c r="V146" s="203"/>
      <c r="W146" s="203"/>
      <c r="X146" s="203"/>
      <c r="Y146" s="203"/>
      <c r="Z146" s="203"/>
      <c r="AA146" s="203"/>
      <c r="AB146" s="203"/>
      <c r="AC146" s="203"/>
      <c r="AD146" s="203"/>
      <c r="AE146" s="203"/>
      <c r="AF146" s="203"/>
      <c r="AG146" s="203"/>
      <c r="AH146" s="203"/>
      <c r="AI146" s="203"/>
      <c r="AJ146" s="203"/>
      <c r="AK146" s="203"/>
      <c r="AL146" s="203"/>
      <c r="AM146" s="203"/>
      <c r="AN146" s="203"/>
      <c r="AO146" s="203"/>
    </row>
    <row r="147" spans="1:41" s="155" customFormat="1" ht="11.25" x14ac:dyDescent="0.2">
      <c r="D147" s="203"/>
      <c r="E147" s="203"/>
      <c r="F147" s="203"/>
      <c r="G147" s="203"/>
      <c r="H147" s="203"/>
      <c r="I147" s="203"/>
      <c r="J147" s="203"/>
      <c r="K147" s="203"/>
      <c r="L147" s="203"/>
      <c r="M147" s="203"/>
      <c r="N147" s="203"/>
      <c r="O147" s="203"/>
      <c r="P147" s="203"/>
      <c r="Q147" s="203"/>
      <c r="R147" s="203"/>
      <c r="S147" s="203"/>
      <c r="T147" s="203"/>
      <c r="U147" s="203"/>
      <c r="V147" s="203"/>
      <c r="W147" s="203"/>
      <c r="X147" s="203"/>
      <c r="Y147" s="203"/>
      <c r="Z147" s="203"/>
      <c r="AA147" s="203"/>
      <c r="AB147" s="203"/>
      <c r="AC147" s="203"/>
      <c r="AD147" s="203"/>
      <c r="AE147" s="203"/>
      <c r="AF147" s="203"/>
      <c r="AG147" s="203"/>
      <c r="AH147" s="203"/>
      <c r="AI147" s="203"/>
      <c r="AJ147" s="203"/>
      <c r="AK147" s="203"/>
      <c r="AL147" s="203"/>
      <c r="AM147" s="203"/>
      <c r="AN147" s="203"/>
      <c r="AO147" s="203"/>
    </row>
    <row r="148" spans="1:41" s="155" customFormat="1" ht="11.25" x14ac:dyDescent="0.2">
      <c r="D148" s="203"/>
      <c r="E148" s="203"/>
      <c r="F148" s="203"/>
      <c r="G148" s="203"/>
      <c r="H148" s="203"/>
      <c r="I148" s="203"/>
      <c r="J148" s="203"/>
      <c r="K148" s="203"/>
      <c r="L148" s="203"/>
      <c r="M148" s="203"/>
      <c r="N148" s="203"/>
      <c r="O148" s="203"/>
      <c r="P148" s="203"/>
      <c r="Q148" s="203"/>
      <c r="R148" s="203"/>
      <c r="S148" s="203"/>
      <c r="T148" s="203"/>
      <c r="U148" s="203"/>
      <c r="V148" s="203"/>
      <c r="W148" s="203"/>
      <c r="X148" s="203"/>
      <c r="Y148" s="203"/>
      <c r="Z148" s="203"/>
      <c r="AA148" s="203"/>
      <c r="AB148" s="203"/>
      <c r="AC148" s="203"/>
      <c r="AD148" s="203"/>
      <c r="AE148" s="203"/>
      <c r="AF148" s="203"/>
      <c r="AG148" s="203"/>
      <c r="AH148" s="203"/>
      <c r="AI148" s="203"/>
      <c r="AJ148" s="203"/>
      <c r="AK148" s="203"/>
      <c r="AL148" s="203"/>
      <c r="AM148" s="203"/>
      <c r="AN148" s="203"/>
      <c r="AO148" s="203"/>
    </row>
    <row r="149" spans="1:41" s="155" customFormat="1" ht="11.25" x14ac:dyDescent="0.2">
      <c r="D149" s="203"/>
      <c r="E149" s="203"/>
      <c r="F149" s="203"/>
      <c r="G149" s="203"/>
      <c r="H149" s="203"/>
      <c r="I149" s="203"/>
      <c r="J149" s="203"/>
      <c r="K149" s="203"/>
      <c r="L149" s="203"/>
      <c r="M149" s="203"/>
      <c r="N149" s="203"/>
      <c r="O149" s="203"/>
      <c r="P149" s="203"/>
      <c r="Q149" s="203"/>
      <c r="R149" s="203"/>
      <c r="S149" s="203"/>
      <c r="T149" s="203"/>
      <c r="U149" s="203"/>
      <c r="V149" s="203"/>
      <c r="W149" s="203"/>
      <c r="X149" s="203"/>
      <c r="Y149" s="203"/>
      <c r="Z149" s="203"/>
      <c r="AA149" s="203"/>
      <c r="AB149" s="203"/>
      <c r="AC149" s="203"/>
      <c r="AD149" s="203"/>
      <c r="AE149" s="203"/>
      <c r="AF149" s="203"/>
      <c r="AG149" s="203"/>
      <c r="AH149" s="203"/>
      <c r="AI149" s="203"/>
      <c r="AJ149" s="203"/>
      <c r="AK149" s="203"/>
      <c r="AL149" s="203"/>
      <c r="AM149" s="203"/>
      <c r="AN149" s="203"/>
      <c r="AO149" s="203"/>
    </row>
    <row r="150" spans="1:41" s="155" customFormat="1" ht="11.25" x14ac:dyDescent="0.2">
      <c r="D150" s="203"/>
      <c r="E150" s="203"/>
      <c r="F150" s="203"/>
      <c r="G150" s="203"/>
      <c r="H150" s="203"/>
      <c r="I150" s="203"/>
      <c r="J150" s="203"/>
      <c r="K150" s="203"/>
      <c r="L150" s="203"/>
      <c r="M150" s="203"/>
      <c r="N150" s="203"/>
      <c r="O150" s="203"/>
      <c r="P150" s="203"/>
      <c r="Q150" s="203"/>
      <c r="R150" s="203"/>
      <c r="S150" s="203"/>
      <c r="T150" s="203"/>
      <c r="U150" s="203"/>
      <c r="V150" s="203"/>
      <c r="W150" s="203"/>
      <c r="X150" s="203"/>
      <c r="Y150" s="203"/>
      <c r="Z150" s="203"/>
      <c r="AA150" s="203"/>
      <c r="AB150" s="203"/>
      <c r="AC150" s="203"/>
      <c r="AD150" s="203"/>
      <c r="AE150" s="203"/>
      <c r="AF150" s="203"/>
      <c r="AG150" s="203"/>
      <c r="AH150" s="203"/>
      <c r="AI150" s="203"/>
      <c r="AJ150" s="203"/>
      <c r="AK150" s="203"/>
      <c r="AL150" s="203"/>
      <c r="AM150" s="203"/>
      <c r="AN150" s="203"/>
      <c r="AO150" s="203"/>
    </row>
    <row r="151" spans="1:41" s="155" customFormat="1" ht="11.25" x14ac:dyDescent="0.2"/>
    <row r="152" spans="1:41" s="155" customFormat="1" ht="11.25" x14ac:dyDescent="0.2"/>
    <row r="153" spans="1:41" s="155" customFormat="1" ht="11.25" x14ac:dyDescent="0.2"/>
    <row r="154" spans="1:41" s="155" customFormat="1" ht="11.25" x14ac:dyDescent="0.2"/>
    <row r="155" spans="1:41" s="155" customFormat="1" ht="11.25" x14ac:dyDescent="0.2"/>
    <row r="156" spans="1:41" s="155" customFormat="1" ht="11.25" x14ac:dyDescent="0.2"/>
    <row r="157" spans="1:41" s="155" customFormat="1" ht="11.25" x14ac:dyDescent="0.2"/>
    <row r="158" spans="1:41" s="155" customFormat="1" ht="11.25" x14ac:dyDescent="0.2"/>
    <row r="159" spans="1:41" s="155" customFormat="1" ht="11.25" x14ac:dyDescent="0.2"/>
    <row r="160" spans="1:41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C9:AM10"/>
    <mergeCell ref="F10:G10"/>
    <mergeCell ref="A9:C12"/>
    <mergeCell ref="H9:H11"/>
    <mergeCell ref="I9:I11"/>
    <mergeCell ref="J9:J11"/>
    <mergeCell ref="K9:K11"/>
    <mergeCell ref="L9:L11"/>
    <mergeCell ref="A13:C13"/>
    <mergeCell ref="M9:M11"/>
    <mergeCell ref="N9:N11"/>
    <mergeCell ref="O9:O11"/>
    <mergeCell ref="Q9:Z10"/>
  </mergeCells>
  <printOptions horizontalCentered="1"/>
  <pageMargins left="0" right="0" top="0.39370078740157483" bottom="0.19685039370078741" header="0.51181102362204722" footer="0.51181102362204722"/>
  <pageSetup paperSize="8" scale="49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974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822290193</v>
      </c>
      <c r="E14" s="432">
        <f>SUM(E15,E16,E33,E54)</f>
        <v>293260687</v>
      </c>
      <c r="F14" s="432">
        <f t="shared" ref="F14:O14" si="0">SUM(F15,F16,F33,F54)</f>
        <v>98923595</v>
      </c>
      <c r="G14" s="432">
        <f t="shared" si="0"/>
        <v>34553074</v>
      </c>
      <c r="H14" s="432">
        <f t="shared" si="0"/>
        <v>39229999</v>
      </c>
      <c r="I14" s="432">
        <f t="shared" si="0"/>
        <v>145907506</v>
      </c>
      <c r="J14" s="432">
        <f t="shared" si="0"/>
        <v>17389000</v>
      </c>
      <c r="K14" s="432">
        <f t="shared" si="0"/>
        <v>102505885</v>
      </c>
      <c r="L14" s="432">
        <f t="shared" si="0"/>
        <v>0</v>
      </c>
      <c r="M14" s="432">
        <f t="shared" si="0"/>
        <v>130439538</v>
      </c>
      <c r="N14" s="432">
        <f t="shared" si="0"/>
        <v>88620757</v>
      </c>
      <c r="O14" s="432">
        <f t="shared" si="0"/>
        <v>4936821</v>
      </c>
      <c r="P14" s="432">
        <f>IF(SUM(Q14:AB14)=SUM(AC14:AM14),SUM(Q14:AB14),"  EROARE ART/CAP")</f>
        <v>795341472</v>
      </c>
      <c r="Q14" s="432">
        <f t="shared" ref="Q14:AM14" si="1">Q15+Q16+Q33+Q54</f>
        <v>199329896</v>
      </c>
      <c r="R14" s="432">
        <f t="shared" si="1"/>
        <v>153586316</v>
      </c>
      <c r="S14" s="432">
        <f t="shared" si="1"/>
        <v>1018595</v>
      </c>
      <c r="T14" s="432">
        <f t="shared" si="1"/>
        <v>21099363</v>
      </c>
      <c r="U14" s="432">
        <f t="shared" si="1"/>
        <v>33005525</v>
      </c>
      <c r="V14" s="432">
        <f t="shared" si="1"/>
        <v>12165421</v>
      </c>
      <c r="W14" s="432">
        <f t="shared" si="1"/>
        <v>190578371</v>
      </c>
      <c r="X14" s="432">
        <f t="shared" si="1"/>
        <v>51503427</v>
      </c>
      <c r="Y14" s="432">
        <f t="shared" si="1"/>
        <v>8226108</v>
      </c>
      <c r="Z14" s="432">
        <f t="shared" si="1"/>
        <v>117715059</v>
      </c>
      <c r="AA14" s="432">
        <f t="shared" si="1"/>
        <v>8112484</v>
      </c>
      <c r="AB14" s="432">
        <f t="shared" si="1"/>
        <v>-999093</v>
      </c>
      <c r="AC14" s="432">
        <f t="shared" si="1"/>
        <v>83190341</v>
      </c>
      <c r="AD14" s="432">
        <f t="shared" si="1"/>
        <v>8469172</v>
      </c>
      <c r="AE14" s="432">
        <f t="shared" si="1"/>
        <v>164621180</v>
      </c>
      <c r="AF14" s="432">
        <f t="shared" si="1"/>
        <v>25280634</v>
      </c>
      <c r="AG14" s="432">
        <f t="shared" si="1"/>
        <v>45179071</v>
      </c>
      <c r="AH14" s="432">
        <f t="shared" si="1"/>
        <v>92247720</v>
      </c>
      <c r="AI14" s="432">
        <f t="shared" si="1"/>
        <v>125774240</v>
      </c>
      <c r="AJ14" s="432">
        <f t="shared" si="1"/>
        <v>66168200</v>
      </c>
      <c r="AK14" s="432">
        <f t="shared" si="1"/>
        <v>15693313</v>
      </c>
      <c r="AL14" s="432">
        <f t="shared" si="1"/>
        <v>139026336</v>
      </c>
      <c r="AM14" s="432">
        <f t="shared" si="1"/>
        <v>29691265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250363863</v>
      </c>
      <c r="E15" s="437">
        <v>81681629</v>
      </c>
      <c r="F15" s="437">
        <v>20996137</v>
      </c>
      <c r="G15" s="437">
        <v>20195000</v>
      </c>
      <c r="H15" s="437">
        <v>39229999</v>
      </c>
      <c r="I15" s="437">
        <v>0</v>
      </c>
      <c r="J15" s="437">
        <v>17389000</v>
      </c>
      <c r="K15" s="437">
        <v>46643925</v>
      </c>
      <c r="L15" s="437">
        <v>0</v>
      </c>
      <c r="M15" s="437">
        <v>53527570</v>
      </c>
      <c r="N15" s="437">
        <v>11886740</v>
      </c>
      <c r="O15" s="437">
        <v>5000</v>
      </c>
      <c r="P15" s="438">
        <f>IF(SUM(Q15:AB15)=SUM(AC15:AM15),SUM(Q15:AB15),"EROARE ART/CAP")</f>
        <v>222893396</v>
      </c>
      <c r="Q15" s="437">
        <v>30819974</v>
      </c>
      <c r="R15" s="437">
        <v>39913258</v>
      </c>
      <c r="S15" s="437">
        <v>433973</v>
      </c>
      <c r="T15" s="437">
        <v>0</v>
      </c>
      <c r="U15" s="437">
        <v>30399265</v>
      </c>
      <c r="V15" s="437">
        <v>11914966</v>
      </c>
      <c r="W15" s="437">
        <v>49565010</v>
      </c>
      <c r="X15" s="437">
        <v>36204328</v>
      </c>
      <c r="Y15" s="437">
        <v>4936843</v>
      </c>
      <c r="Z15" s="437">
        <v>13447434</v>
      </c>
      <c r="AA15" s="437">
        <v>5494052</v>
      </c>
      <c r="AB15" s="437">
        <v>-235707</v>
      </c>
      <c r="AC15" s="437">
        <v>16651276</v>
      </c>
      <c r="AD15" s="437">
        <v>472044</v>
      </c>
      <c r="AE15" s="437">
        <v>9661764</v>
      </c>
      <c r="AF15" s="437">
        <v>19789909</v>
      </c>
      <c r="AG15" s="437">
        <v>16614813</v>
      </c>
      <c r="AH15" s="437">
        <v>59449263</v>
      </c>
      <c r="AI15" s="437">
        <v>194979</v>
      </c>
      <c r="AJ15" s="437">
        <v>34277932</v>
      </c>
      <c r="AK15" s="437">
        <v>0</v>
      </c>
      <c r="AL15" s="437">
        <v>48059545</v>
      </c>
      <c r="AM15" s="437">
        <v>17721871</v>
      </c>
    </row>
    <row r="16" spans="1:39" s="155" customFormat="1" ht="12" x14ac:dyDescent="0.2">
      <c r="A16" s="156" t="s">
        <v>72</v>
      </c>
      <c r="B16" s="159"/>
      <c r="C16" s="159"/>
      <c r="D16" s="432">
        <f>E16+SUM(H16:O16)</f>
        <v>232729784</v>
      </c>
      <c r="E16" s="433">
        <f>SUM(E18:E32)</f>
        <v>114386216</v>
      </c>
      <c r="F16" s="433">
        <f t="shared" ref="F16:O16" si="2">SUM(F18:F32)</f>
        <v>53123268</v>
      </c>
      <c r="G16" s="433">
        <f t="shared" si="2"/>
        <v>152656</v>
      </c>
      <c r="H16" s="433">
        <f t="shared" si="2"/>
        <v>0</v>
      </c>
      <c r="I16" s="433">
        <f t="shared" si="2"/>
        <v>63671672</v>
      </c>
      <c r="J16" s="433">
        <f t="shared" si="2"/>
        <v>0</v>
      </c>
      <c r="K16" s="433">
        <f t="shared" si="2"/>
        <v>965310</v>
      </c>
      <c r="L16" s="433">
        <f t="shared" si="2"/>
        <v>0</v>
      </c>
      <c r="M16" s="433">
        <f t="shared" si="2"/>
        <v>20018695</v>
      </c>
      <c r="N16" s="433">
        <f t="shared" si="2"/>
        <v>33687891</v>
      </c>
      <c r="O16" s="433">
        <f t="shared" si="2"/>
        <v>0</v>
      </c>
      <c r="P16" s="432">
        <f t="shared" ref="P16:P54" si="3">IF(SUM(Q16:AB16)=SUM(AC16:AM16),SUM(Q16:AB16),"  EROARE ART/CAP")</f>
        <v>232249935</v>
      </c>
      <c r="Q16" s="432">
        <f>SUM(Q18:Q32)</f>
        <v>66893866</v>
      </c>
      <c r="R16" s="432">
        <f t="shared" ref="R16:AM16" si="4">SUM(R18:R32)</f>
        <v>40419810</v>
      </c>
      <c r="S16" s="432">
        <f t="shared" si="4"/>
        <v>144000</v>
      </c>
      <c r="T16" s="432">
        <f t="shared" si="4"/>
        <v>21099363</v>
      </c>
      <c r="U16" s="432">
        <f t="shared" si="4"/>
        <v>1635700</v>
      </c>
      <c r="V16" s="432">
        <f t="shared" si="4"/>
        <v>0</v>
      </c>
      <c r="W16" s="432">
        <f t="shared" si="4"/>
        <v>72129847</v>
      </c>
      <c r="X16" s="432">
        <f t="shared" si="4"/>
        <v>5486877</v>
      </c>
      <c r="Y16" s="432">
        <f t="shared" si="4"/>
        <v>632992</v>
      </c>
      <c r="Z16" s="432">
        <f t="shared" si="4"/>
        <v>22105645</v>
      </c>
      <c r="AA16" s="432">
        <f t="shared" si="4"/>
        <v>1884476</v>
      </c>
      <c r="AB16" s="432">
        <f t="shared" si="4"/>
        <v>-182641</v>
      </c>
      <c r="AC16" s="432">
        <f t="shared" si="4"/>
        <v>7721146</v>
      </c>
      <c r="AD16" s="432">
        <f t="shared" si="4"/>
        <v>2758006</v>
      </c>
      <c r="AE16" s="432">
        <f t="shared" si="4"/>
        <v>73085109</v>
      </c>
      <c r="AF16" s="432">
        <f t="shared" si="4"/>
        <v>1221294</v>
      </c>
      <c r="AG16" s="432">
        <f t="shared" si="4"/>
        <v>11350440</v>
      </c>
      <c r="AH16" s="432">
        <f t="shared" si="4"/>
        <v>12069052</v>
      </c>
      <c r="AI16" s="432">
        <f t="shared" si="4"/>
        <v>80429019</v>
      </c>
      <c r="AJ16" s="432">
        <f t="shared" si="4"/>
        <v>10523459</v>
      </c>
      <c r="AK16" s="432">
        <f t="shared" si="4"/>
        <v>15693313</v>
      </c>
      <c r="AL16" s="432">
        <f t="shared" si="4"/>
        <v>13185185</v>
      </c>
      <c r="AM16" s="432">
        <f t="shared" si="4"/>
        <v>4213912</v>
      </c>
    </row>
    <row r="17" spans="1:39" s="155" customFormat="1" ht="22.5" x14ac:dyDescent="0.2">
      <c r="A17" s="277" t="s">
        <v>2306</v>
      </c>
      <c r="B17" s="281" t="s">
        <v>74</v>
      </c>
      <c r="C17" s="260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146">
        <v>1</v>
      </c>
      <c r="B18" s="144">
        <v>159614</v>
      </c>
      <c r="C18" s="247" t="s">
        <v>1987</v>
      </c>
      <c r="D18" s="438">
        <f>E18+SUM(H18:O18)</f>
        <v>232729784</v>
      </c>
      <c r="E18" s="437">
        <v>114386216</v>
      </c>
      <c r="F18" s="437">
        <v>53123268</v>
      </c>
      <c r="G18" s="437">
        <v>152656</v>
      </c>
      <c r="H18" s="437">
        <v>0</v>
      </c>
      <c r="I18" s="437">
        <v>63671672</v>
      </c>
      <c r="J18" s="437">
        <v>0</v>
      </c>
      <c r="K18" s="437">
        <v>965310</v>
      </c>
      <c r="L18" s="437">
        <v>0</v>
      </c>
      <c r="M18" s="437">
        <v>20018695</v>
      </c>
      <c r="N18" s="437">
        <v>33687891</v>
      </c>
      <c r="O18" s="437">
        <v>0</v>
      </c>
      <c r="P18" s="438">
        <f>IF(SUM(Q18:AB18)=SUM(AC18:AM18),SUM(Q18:AB18),"EROARE ART/CAP")</f>
        <v>232249935</v>
      </c>
      <c r="Q18" s="439">
        <v>66893866</v>
      </c>
      <c r="R18" s="439">
        <v>40419810</v>
      </c>
      <c r="S18" s="439">
        <v>144000</v>
      </c>
      <c r="T18" s="439">
        <v>21099363</v>
      </c>
      <c r="U18" s="439">
        <v>1635700</v>
      </c>
      <c r="V18" s="439">
        <v>0</v>
      </c>
      <c r="W18" s="439">
        <v>72129847</v>
      </c>
      <c r="X18" s="439">
        <v>5486877</v>
      </c>
      <c r="Y18" s="439">
        <v>632992</v>
      </c>
      <c r="Z18" s="439">
        <v>22105645</v>
      </c>
      <c r="AA18" s="439">
        <v>1884476</v>
      </c>
      <c r="AB18" s="439">
        <v>-182641</v>
      </c>
      <c r="AC18" s="439">
        <v>7721146</v>
      </c>
      <c r="AD18" s="439">
        <v>2758006</v>
      </c>
      <c r="AE18" s="439">
        <v>73085109</v>
      </c>
      <c r="AF18" s="439">
        <v>1221294</v>
      </c>
      <c r="AG18" s="439">
        <v>11350440</v>
      </c>
      <c r="AH18" s="439">
        <v>12069052</v>
      </c>
      <c r="AI18" s="439">
        <v>80429019</v>
      </c>
      <c r="AJ18" s="439">
        <v>10523459</v>
      </c>
      <c r="AK18" s="439">
        <v>15693313</v>
      </c>
      <c r="AL18" s="439">
        <v>13185185</v>
      </c>
      <c r="AM18" s="439">
        <v>4213912</v>
      </c>
    </row>
    <row r="19" spans="1:39" s="155" customFormat="1" ht="12" hidden="1" x14ac:dyDescent="0.2">
      <c r="A19" s="146">
        <v>2</v>
      </c>
      <c r="B19" s="146"/>
      <c r="C19" s="244"/>
      <c r="D19" s="432">
        <f t="shared" ref="D19:D41" si="5">E19+SUM(H19:O19)</f>
        <v>0</v>
      </c>
      <c r="E19" s="434"/>
      <c r="F19" s="434"/>
      <c r="G19" s="434"/>
      <c r="H19" s="434"/>
      <c r="I19" s="434"/>
      <c r="J19" s="434"/>
      <c r="K19" s="434"/>
      <c r="L19" s="434"/>
      <c r="M19" s="434"/>
      <c r="N19" s="434"/>
      <c r="O19" s="434"/>
      <c r="P19" s="432">
        <f t="shared" si="3"/>
        <v>0</v>
      </c>
      <c r="Q19" s="435"/>
      <c r="R19" s="435"/>
      <c r="S19" s="435"/>
      <c r="T19" s="435"/>
      <c r="U19" s="435"/>
      <c r="V19" s="431"/>
      <c r="W19" s="431"/>
      <c r="X19" s="431"/>
      <c r="Y19" s="431"/>
      <c r="Z19" s="431"/>
      <c r="AA19" s="431"/>
      <c r="AB19" s="431"/>
      <c r="AC19" s="434"/>
      <c r="AD19" s="434"/>
      <c r="AE19" s="434"/>
      <c r="AF19" s="434"/>
      <c r="AG19" s="434"/>
      <c r="AH19" s="434"/>
      <c r="AI19" s="434"/>
      <c r="AJ19" s="434"/>
      <c r="AK19" s="434"/>
      <c r="AL19" s="434"/>
      <c r="AM19" s="434"/>
    </row>
    <row r="20" spans="1:39" s="155" customFormat="1" ht="12" hidden="1" x14ac:dyDescent="0.2">
      <c r="A20" s="146">
        <v>3</v>
      </c>
      <c r="B20" s="146"/>
      <c r="C20" s="206"/>
      <c r="D20" s="432">
        <f t="shared" si="5"/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2">
        <f t="shared" si="3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</row>
    <row r="21" spans="1:39" s="155" customFormat="1" ht="12" hidden="1" x14ac:dyDescent="0.2">
      <c r="A21" s="146">
        <v>4</v>
      </c>
      <c r="B21" s="146"/>
      <c r="C21" s="206"/>
      <c r="D21" s="432">
        <f t="shared" si="5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3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146">
        <v>5</v>
      </c>
      <c r="B22" s="146"/>
      <c r="C22" s="206"/>
      <c r="D22" s="432">
        <f t="shared" si="5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3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146"/>
      <c r="C23" s="206"/>
      <c r="D23" s="432">
        <f t="shared" si="5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3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46"/>
      <c r="C24" s="206"/>
      <c r="D24" s="432">
        <f t="shared" si="5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3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46"/>
      <c r="C25" s="206"/>
      <c r="D25" s="432">
        <f t="shared" si="5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3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46"/>
      <c r="C26" s="206"/>
      <c r="D26" s="432">
        <f t="shared" si="5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3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46"/>
      <c r="C27" s="206"/>
      <c r="D27" s="432">
        <f t="shared" si="5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3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46"/>
      <c r="C28" s="206"/>
      <c r="D28" s="432">
        <f t="shared" si="5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3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46"/>
      <c r="C29" s="206"/>
      <c r="D29" s="432">
        <f t="shared" si="5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3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46"/>
      <c r="C30" s="206"/>
      <c r="D30" s="432">
        <f t="shared" si="5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3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46"/>
      <c r="C31" s="206"/>
      <c r="D31" s="432">
        <f t="shared" si="5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3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46"/>
      <c r="C32" s="207"/>
      <c r="D32" s="432">
        <f t="shared" si="5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3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4"/>
      <c r="C33" s="208"/>
      <c r="D33" s="432">
        <f t="shared" si="5"/>
        <v>71953618</v>
      </c>
      <c r="E33" s="432">
        <f>SUM(E34:E53)</f>
        <v>24888917</v>
      </c>
      <c r="F33" s="432">
        <f t="shared" ref="F33:O33" si="6">SUM(F34:F53)</f>
        <v>9284686</v>
      </c>
      <c r="G33" s="432">
        <f t="shared" si="6"/>
        <v>1795867</v>
      </c>
      <c r="H33" s="432">
        <f t="shared" si="6"/>
        <v>0</v>
      </c>
      <c r="I33" s="432">
        <f t="shared" si="6"/>
        <v>21118559</v>
      </c>
      <c r="J33" s="432">
        <f t="shared" si="6"/>
        <v>0</v>
      </c>
      <c r="K33" s="432">
        <f t="shared" si="6"/>
        <v>7575000</v>
      </c>
      <c r="L33" s="432">
        <f t="shared" si="6"/>
        <v>0</v>
      </c>
      <c r="M33" s="432">
        <f t="shared" si="6"/>
        <v>11243248</v>
      </c>
      <c r="N33" s="432">
        <f t="shared" si="6"/>
        <v>4612242</v>
      </c>
      <c r="O33" s="432">
        <f t="shared" si="6"/>
        <v>2515652</v>
      </c>
      <c r="P33" s="432">
        <f t="shared" si="3"/>
        <v>74087721</v>
      </c>
      <c r="Q33" s="432">
        <f>SUM(Q34:Q53)</f>
        <v>24914644</v>
      </c>
      <c r="R33" s="432">
        <f t="shared" ref="R33:AM33" si="7">SUM(R34:R53)</f>
        <v>17244723</v>
      </c>
      <c r="S33" s="432">
        <f t="shared" si="7"/>
        <v>337797</v>
      </c>
      <c r="T33" s="432">
        <f t="shared" si="7"/>
        <v>0</v>
      </c>
      <c r="U33" s="432">
        <f t="shared" si="7"/>
        <v>879410</v>
      </c>
      <c r="V33" s="432">
        <f t="shared" si="7"/>
        <v>120000</v>
      </c>
      <c r="W33" s="432">
        <f t="shared" si="7"/>
        <v>11129859</v>
      </c>
      <c r="X33" s="432">
        <f t="shared" si="7"/>
        <v>1491130</v>
      </c>
      <c r="Y33" s="432">
        <f t="shared" si="7"/>
        <v>913020</v>
      </c>
      <c r="Z33" s="432">
        <f t="shared" si="7"/>
        <v>16713771</v>
      </c>
      <c r="AA33" s="432">
        <f t="shared" si="7"/>
        <v>521455</v>
      </c>
      <c r="AB33" s="432">
        <f t="shared" si="7"/>
        <v>-178088</v>
      </c>
      <c r="AC33" s="432">
        <f t="shared" si="7"/>
        <v>8678751</v>
      </c>
      <c r="AD33" s="432">
        <f t="shared" si="7"/>
        <v>2669864</v>
      </c>
      <c r="AE33" s="432">
        <f t="shared" si="7"/>
        <v>21709139</v>
      </c>
      <c r="AF33" s="432">
        <f t="shared" si="7"/>
        <v>1319862</v>
      </c>
      <c r="AG33" s="432">
        <f t="shared" si="7"/>
        <v>3490534</v>
      </c>
      <c r="AH33" s="432">
        <f t="shared" si="7"/>
        <v>3472042</v>
      </c>
      <c r="AI33" s="432">
        <f t="shared" si="7"/>
        <v>10831010</v>
      </c>
      <c r="AJ33" s="432">
        <f t="shared" si="7"/>
        <v>5462261</v>
      </c>
      <c r="AK33" s="432">
        <f t="shared" si="7"/>
        <v>0</v>
      </c>
      <c r="AL33" s="432">
        <f t="shared" si="7"/>
        <v>15586121</v>
      </c>
      <c r="AM33" s="432">
        <f t="shared" si="7"/>
        <v>868137</v>
      </c>
    </row>
    <row r="34" spans="1:39" s="155" customFormat="1" ht="12" x14ac:dyDescent="0.2">
      <c r="A34" s="146">
        <v>1</v>
      </c>
      <c r="B34" s="144">
        <v>159650</v>
      </c>
      <c r="C34" s="290" t="s">
        <v>1988</v>
      </c>
      <c r="D34" s="438">
        <f>E34+SUM(H34:O34)</f>
        <v>22263384</v>
      </c>
      <c r="E34" s="439">
        <v>7434547</v>
      </c>
      <c r="F34" s="439">
        <v>2680227</v>
      </c>
      <c r="G34" s="439">
        <v>291729</v>
      </c>
      <c r="H34" s="439">
        <v>0</v>
      </c>
      <c r="I34" s="439">
        <v>6292771</v>
      </c>
      <c r="J34" s="439">
        <v>0</v>
      </c>
      <c r="K34" s="439">
        <v>1819770</v>
      </c>
      <c r="L34" s="439">
        <v>0</v>
      </c>
      <c r="M34" s="439">
        <v>4096063</v>
      </c>
      <c r="N34" s="439">
        <v>367233</v>
      </c>
      <c r="O34" s="439">
        <v>2253000</v>
      </c>
      <c r="P34" s="438">
        <f>IF(SUM(Q34:AB34)=SUM(AC34:AM34),SUM(Q34:AB34),"EROARE ART/CAP")</f>
        <v>22024246</v>
      </c>
      <c r="Q34" s="439">
        <v>6847891</v>
      </c>
      <c r="R34" s="439">
        <v>6364060</v>
      </c>
      <c r="S34" s="439">
        <v>0</v>
      </c>
      <c r="T34" s="439">
        <v>0</v>
      </c>
      <c r="U34" s="439">
        <v>191500</v>
      </c>
      <c r="V34" s="439">
        <v>0</v>
      </c>
      <c r="W34" s="439">
        <v>474842</v>
      </c>
      <c r="X34" s="439">
        <v>680119</v>
      </c>
      <c r="Y34" s="439">
        <v>185543</v>
      </c>
      <c r="Z34" s="439">
        <v>7355779</v>
      </c>
      <c r="AA34" s="439">
        <v>0</v>
      </c>
      <c r="AB34" s="439">
        <v>-75488</v>
      </c>
      <c r="AC34" s="439">
        <v>2220094</v>
      </c>
      <c r="AD34" s="439">
        <v>742720</v>
      </c>
      <c r="AE34" s="439">
        <v>5583613</v>
      </c>
      <c r="AF34" s="439">
        <v>249553</v>
      </c>
      <c r="AG34" s="439">
        <v>442869</v>
      </c>
      <c r="AH34" s="439">
        <v>805469</v>
      </c>
      <c r="AI34" s="439">
        <v>3747214</v>
      </c>
      <c r="AJ34" s="439">
        <v>3342822</v>
      </c>
      <c r="AK34" s="439">
        <v>0</v>
      </c>
      <c r="AL34" s="439">
        <v>4889892</v>
      </c>
      <c r="AM34" s="439">
        <v>0</v>
      </c>
    </row>
    <row r="35" spans="1:39" s="155" customFormat="1" ht="12" x14ac:dyDescent="0.2">
      <c r="A35" s="146">
        <v>2</v>
      </c>
      <c r="B35" s="144">
        <v>159687</v>
      </c>
      <c r="C35" s="290" t="s">
        <v>1989</v>
      </c>
      <c r="D35" s="438">
        <f>E35+SUM(H35:O35)</f>
        <v>16694130</v>
      </c>
      <c r="E35" s="439">
        <v>4958159</v>
      </c>
      <c r="F35" s="439">
        <v>1387064</v>
      </c>
      <c r="G35" s="439">
        <v>629719</v>
      </c>
      <c r="H35" s="439">
        <v>0</v>
      </c>
      <c r="I35" s="439">
        <v>3482170</v>
      </c>
      <c r="J35" s="439">
        <v>0</v>
      </c>
      <c r="K35" s="439">
        <v>2703390</v>
      </c>
      <c r="L35" s="439">
        <v>0</v>
      </c>
      <c r="M35" s="439">
        <v>3639103</v>
      </c>
      <c r="N35" s="439">
        <v>1655301</v>
      </c>
      <c r="O35" s="439">
        <v>256007</v>
      </c>
      <c r="P35" s="438">
        <f>IF(SUM(Q35:AB35)=SUM(AC35:AM35),SUM(Q35:AB35),"EROARE ART/CAP")</f>
        <v>18829465</v>
      </c>
      <c r="Q35" s="439">
        <v>4459868</v>
      </c>
      <c r="R35" s="439">
        <v>4050716</v>
      </c>
      <c r="S35" s="439">
        <v>91547</v>
      </c>
      <c r="T35" s="439">
        <v>0</v>
      </c>
      <c r="U35" s="439">
        <v>75060</v>
      </c>
      <c r="V35" s="439">
        <v>120000</v>
      </c>
      <c r="W35" s="439">
        <v>3816769</v>
      </c>
      <c r="X35" s="439">
        <v>190104</v>
      </c>
      <c r="Y35" s="439">
        <v>658386</v>
      </c>
      <c r="Z35" s="439">
        <v>5180561</v>
      </c>
      <c r="AA35" s="439">
        <v>197683</v>
      </c>
      <c r="AB35" s="439">
        <v>-11229</v>
      </c>
      <c r="AC35" s="439">
        <v>2317132</v>
      </c>
      <c r="AD35" s="439">
        <v>410539</v>
      </c>
      <c r="AE35" s="439">
        <v>3147694</v>
      </c>
      <c r="AF35" s="439">
        <v>103378</v>
      </c>
      <c r="AG35" s="439">
        <v>1637541</v>
      </c>
      <c r="AH35" s="439">
        <v>892819</v>
      </c>
      <c r="AI35" s="439">
        <v>4363006</v>
      </c>
      <c r="AJ35" s="439">
        <v>498000</v>
      </c>
      <c r="AK35" s="439">
        <v>0</v>
      </c>
      <c r="AL35" s="439">
        <v>5459356</v>
      </c>
      <c r="AM35" s="439">
        <v>0</v>
      </c>
    </row>
    <row r="36" spans="1:39" s="155" customFormat="1" ht="12" x14ac:dyDescent="0.2">
      <c r="A36" s="146">
        <v>3</v>
      </c>
      <c r="B36" s="144">
        <v>159730</v>
      </c>
      <c r="C36" s="290" t="s">
        <v>1990</v>
      </c>
      <c r="D36" s="438">
        <f>E36+SUM(H36:O36)</f>
        <v>18458890</v>
      </c>
      <c r="E36" s="439">
        <v>8652922</v>
      </c>
      <c r="F36" s="439">
        <v>3704732</v>
      </c>
      <c r="G36" s="439">
        <v>176189</v>
      </c>
      <c r="H36" s="439">
        <v>0</v>
      </c>
      <c r="I36" s="439">
        <v>8505865</v>
      </c>
      <c r="J36" s="439">
        <v>0</v>
      </c>
      <c r="K36" s="439">
        <v>813790</v>
      </c>
      <c r="L36" s="439">
        <v>0</v>
      </c>
      <c r="M36" s="439">
        <v>471495</v>
      </c>
      <c r="N36" s="439">
        <v>14818</v>
      </c>
      <c r="O36" s="439">
        <v>0</v>
      </c>
      <c r="P36" s="438">
        <f>IF(SUM(Q36:AB36)=SUM(AC36:AM36),SUM(Q36:AB36),"EROARE ART/CAP")</f>
        <v>18402362</v>
      </c>
      <c r="Q36" s="439">
        <v>9465601</v>
      </c>
      <c r="R36" s="439">
        <v>5199475</v>
      </c>
      <c r="S36" s="439">
        <v>176250</v>
      </c>
      <c r="T36" s="439">
        <v>0</v>
      </c>
      <c r="U36" s="439">
        <v>297900</v>
      </c>
      <c r="V36" s="439">
        <v>0</v>
      </c>
      <c r="W36" s="439">
        <v>1886516</v>
      </c>
      <c r="X36" s="439">
        <v>491596</v>
      </c>
      <c r="Y36" s="439">
        <v>26409</v>
      </c>
      <c r="Z36" s="439">
        <v>753743</v>
      </c>
      <c r="AA36" s="439">
        <v>122772</v>
      </c>
      <c r="AB36" s="439">
        <v>-17900</v>
      </c>
      <c r="AC36" s="439">
        <v>2127106</v>
      </c>
      <c r="AD36" s="439">
        <v>1354869</v>
      </c>
      <c r="AE36" s="439">
        <v>7688268</v>
      </c>
      <c r="AF36" s="439">
        <v>756075</v>
      </c>
      <c r="AG36" s="439">
        <v>893138</v>
      </c>
      <c r="AH36" s="439">
        <v>1349294</v>
      </c>
      <c r="AI36" s="439">
        <v>1475471</v>
      </c>
      <c r="AJ36" s="439">
        <v>764437</v>
      </c>
      <c r="AK36" s="439">
        <v>0</v>
      </c>
      <c r="AL36" s="439">
        <v>1125567</v>
      </c>
      <c r="AM36" s="439">
        <v>868137</v>
      </c>
    </row>
    <row r="37" spans="1:39" s="155" customFormat="1" ht="12" x14ac:dyDescent="0.2">
      <c r="A37" s="146">
        <v>4</v>
      </c>
      <c r="B37" s="144">
        <v>159767</v>
      </c>
      <c r="C37" s="290" t="s">
        <v>1991</v>
      </c>
      <c r="D37" s="438">
        <f>E37+SUM(H37:O37)</f>
        <v>14537214</v>
      </c>
      <c r="E37" s="439">
        <v>3843289</v>
      </c>
      <c r="F37" s="439">
        <v>1512663</v>
      </c>
      <c r="G37" s="439">
        <v>698230</v>
      </c>
      <c r="H37" s="439">
        <v>0</v>
      </c>
      <c r="I37" s="439">
        <v>2837753</v>
      </c>
      <c r="J37" s="439">
        <v>0</v>
      </c>
      <c r="K37" s="439">
        <v>2238050</v>
      </c>
      <c r="L37" s="439">
        <v>0</v>
      </c>
      <c r="M37" s="439">
        <v>3036587</v>
      </c>
      <c r="N37" s="439">
        <v>2574890</v>
      </c>
      <c r="O37" s="439">
        <v>6645</v>
      </c>
      <c r="P37" s="438">
        <f>IF(SUM(Q37:AB37)=SUM(AC37:AM37),SUM(Q37:AB37),"EROARE ART/CAP")</f>
        <v>14831648</v>
      </c>
      <c r="Q37" s="439">
        <v>4141284</v>
      </c>
      <c r="R37" s="439">
        <v>1630472</v>
      </c>
      <c r="S37" s="439">
        <v>70000</v>
      </c>
      <c r="T37" s="439">
        <v>0</v>
      </c>
      <c r="U37" s="439">
        <v>314950</v>
      </c>
      <c r="V37" s="439">
        <v>0</v>
      </c>
      <c r="W37" s="439">
        <v>4951732</v>
      </c>
      <c r="X37" s="439">
        <v>129311</v>
      </c>
      <c r="Y37" s="439">
        <v>42682</v>
      </c>
      <c r="Z37" s="439">
        <v>3423688</v>
      </c>
      <c r="AA37" s="439">
        <v>201000</v>
      </c>
      <c r="AB37" s="439">
        <v>-73471</v>
      </c>
      <c r="AC37" s="439">
        <v>2014419</v>
      </c>
      <c r="AD37" s="439">
        <v>161736</v>
      </c>
      <c r="AE37" s="439">
        <v>5289564</v>
      </c>
      <c r="AF37" s="439">
        <v>210856</v>
      </c>
      <c r="AG37" s="439">
        <v>516986</v>
      </c>
      <c r="AH37" s="439">
        <v>424460</v>
      </c>
      <c r="AI37" s="439">
        <v>1245319</v>
      </c>
      <c r="AJ37" s="439">
        <v>857002</v>
      </c>
      <c r="AK37" s="439">
        <v>0</v>
      </c>
      <c r="AL37" s="439">
        <v>4111306</v>
      </c>
      <c r="AM37" s="439">
        <v>0</v>
      </c>
    </row>
    <row r="38" spans="1:39" s="155" customFormat="1" ht="12" hidden="1" x14ac:dyDescent="0.2">
      <c r="A38" s="146">
        <v>5</v>
      </c>
      <c r="B38" s="146"/>
      <c r="C38" s="293"/>
      <c r="D38" s="432">
        <f t="shared" si="5"/>
        <v>0</v>
      </c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2">
        <f t="shared" si="3"/>
        <v>0</v>
      </c>
      <c r="Q38" s="435"/>
      <c r="R38" s="435"/>
      <c r="S38" s="435"/>
      <c r="T38" s="435"/>
      <c r="U38" s="435"/>
      <c r="V38" s="431"/>
      <c r="W38" s="431"/>
      <c r="X38" s="431"/>
      <c r="Y38" s="431"/>
      <c r="Z38" s="435"/>
      <c r="AA38" s="431"/>
      <c r="AB38" s="431"/>
      <c r="AC38" s="445"/>
      <c r="AD38" s="435"/>
      <c r="AE38" s="435"/>
      <c r="AF38" s="435"/>
      <c r="AG38" s="435"/>
      <c r="AH38" s="435"/>
      <c r="AI38" s="435"/>
      <c r="AJ38" s="435"/>
      <c r="AK38" s="435"/>
      <c r="AL38" s="435"/>
      <c r="AM38" s="435"/>
    </row>
    <row r="39" spans="1:39" s="155" customFormat="1" ht="12" hidden="1" x14ac:dyDescent="0.2">
      <c r="A39" s="146">
        <v>6</v>
      </c>
      <c r="B39" s="146"/>
      <c r="C39" s="172"/>
      <c r="D39" s="432">
        <f t="shared" si="5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3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</row>
    <row r="40" spans="1:39" s="155" customFormat="1" ht="12" hidden="1" x14ac:dyDescent="0.2">
      <c r="A40" s="146">
        <v>7</v>
      </c>
      <c r="B40" s="146"/>
      <c r="C40" s="182"/>
      <c r="D40" s="432">
        <f t="shared" si="5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3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155" customFormat="1" ht="12" hidden="1" x14ac:dyDescent="0.2">
      <c r="A41" s="146">
        <v>8</v>
      </c>
      <c r="B41" s="146"/>
      <c r="C41" s="173"/>
      <c r="D41" s="432">
        <f t="shared" si="5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3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146">
        <v>9</v>
      </c>
      <c r="B42" s="146"/>
      <c r="C42" s="206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3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146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3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46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3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46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3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46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3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46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3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46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3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46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3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46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3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46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3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46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3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46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3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4"/>
      <c r="C54" s="208"/>
      <c r="D54" s="432">
        <f t="shared" ref="D54:D117" si="8">E54+SUM(H54:O54)</f>
        <v>267242928</v>
      </c>
      <c r="E54" s="432">
        <f>SUM(E55:E143)</f>
        <v>72303925</v>
      </c>
      <c r="F54" s="432">
        <f t="shared" ref="F54:O54" si="9">SUM(F55:F143)</f>
        <v>15519504</v>
      </c>
      <c r="G54" s="432">
        <f t="shared" si="9"/>
        <v>12409551</v>
      </c>
      <c r="H54" s="432">
        <f t="shared" si="9"/>
        <v>0</v>
      </c>
      <c r="I54" s="432">
        <f t="shared" si="9"/>
        <v>61117275</v>
      </c>
      <c r="J54" s="432">
        <f t="shared" si="9"/>
        <v>0</v>
      </c>
      <c r="K54" s="432">
        <f t="shared" si="9"/>
        <v>47321650</v>
      </c>
      <c r="L54" s="432">
        <f t="shared" si="9"/>
        <v>0</v>
      </c>
      <c r="M54" s="432">
        <f t="shared" si="9"/>
        <v>45650025</v>
      </c>
      <c r="N54" s="432">
        <f t="shared" si="9"/>
        <v>38433884</v>
      </c>
      <c r="O54" s="432">
        <f t="shared" si="9"/>
        <v>2416169</v>
      </c>
      <c r="P54" s="432">
        <f t="shared" si="3"/>
        <v>266110420</v>
      </c>
      <c r="Q54" s="432">
        <f>SUM(Q55:Q143)</f>
        <v>76701412</v>
      </c>
      <c r="R54" s="432">
        <f t="shared" ref="R54:AM54" si="10">SUM(R55:R143)</f>
        <v>56008525</v>
      </c>
      <c r="S54" s="432">
        <f t="shared" si="10"/>
        <v>102825</v>
      </c>
      <c r="T54" s="432">
        <f t="shared" si="10"/>
        <v>0</v>
      </c>
      <c r="U54" s="432">
        <f t="shared" si="10"/>
        <v>91150</v>
      </c>
      <c r="V54" s="432">
        <f t="shared" si="10"/>
        <v>130455</v>
      </c>
      <c r="W54" s="432">
        <f t="shared" si="10"/>
        <v>57753655</v>
      </c>
      <c r="X54" s="432">
        <f t="shared" si="10"/>
        <v>8321092</v>
      </c>
      <c r="Y54" s="432">
        <f t="shared" si="10"/>
        <v>1743253</v>
      </c>
      <c r="Z54" s="432">
        <f t="shared" si="10"/>
        <v>65448209</v>
      </c>
      <c r="AA54" s="432">
        <f t="shared" si="10"/>
        <v>212501</v>
      </c>
      <c r="AB54" s="432">
        <f t="shared" si="10"/>
        <v>-402657</v>
      </c>
      <c r="AC54" s="432">
        <f t="shared" si="10"/>
        <v>50139168</v>
      </c>
      <c r="AD54" s="432">
        <f t="shared" si="10"/>
        <v>2569258</v>
      </c>
      <c r="AE54" s="432">
        <f t="shared" si="10"/>
        <v>60165168</v>
      </c>
      <c r="AF54" s="432">
        <f t="shared" si="10"/>
        <v>2949569</v>
      </c>
      <c r="AG54" s="432">
        <f t="shared" si="10"/>
        <v>13723284</v>
      </c>
      <c r="AH54" s="432">
        <f t="shared" si="10"/>
        <v>17257363</v>
      </c>
      <c r="AI54" s="432">
        <f t="shared" si="10"/>
        <v>34319232</v>
      </c>
      <c r="AJ54" s="432">
        <f t="shared" si="10"/>
        <v>15904548</v>
      </c>
      <c r="AK54" s="432">
        <f t="shared" si="10"/>
        <v>0</v>
      </c>
      <c r="AL54" s="432">
        <f>SUM(AL55:AL143)</f>
        <v>62195485</v>
      </c>
      <c r="AM54" s="432">
        <f t="shared" si="10"/>
        <v>6887345</v>
      </c>
    </row>
    <row r="55" spans="1:39" s="155" customFormat="1" ht="12" x14ac:dyDescent="0.2">
      <c r="A55" s="168">
        <v>1</v>
      </c>
      <c r="B55" s="143">
        <v>159785</v>
      </c>
      <c r="C55" s="248" t="s">
        <v>1992</v>
      </c>
      <c r="D55" s="438">
        <f t="shared" ref="D55:D100" si="11">E55+SUM(H55:O55)</f>
        <v>7892295</v>
      </c>
      <c r="E55" s="437">
        <v>3015438</v>
      </c>
      <c r="F55" s="437">
        <v>965633</v>
      </c>
      <c r="G55" s="437">
        <v>189070</v>
      </c>
      <c r="H55" s="437">
        <v>0</v>
      </c>
      <c r="I55" s="437">
        <v>2047655</v>
      </c>
      <c r="J55" s="437">
        <v>0</v>
      </c>
      <c r="K55" s="437">
        <v>881140</v>
      </c>
      <c r="L55" s="437">
        <v>0</v>
      </c>
      <c r="M55" s="437">
        <v>1948062</v>
      </c>
      <c r="N55" s="437">
        <v>0</v>
      </c>
      <c r="O55" s="437">
        <v>0</v>
      </c>
      <c r="P55" s="438">
        <f t="shared" ref="P55:P100" si="12">IF(SUM(Q55:AB55)=SUM(AC55:AM55),SUM(Q55:AB55),"EROARE ART/CAP")</f>
        <v>7891828</v>
      </c>
      <c r="Q55" s="437">
        <v>2646288</v>
      </c>
      <c r="R55" s="437">
        <v>1896522</v>
      </c>
      <c r="S55" s="437">
        <v>0</v>
      </c>
      <c r="T55" s="437">
        <v>0</v>
      </c>
      <c r="U55" s="437">
        <v>0</v>
      </c>
      <c r="V55" s="437">
        <v>0</v>
      </c>
      <c r="W55" s="437">
        <v>0</v>
      </c>
      <c r="X55" s="437">
        <v>388457</v>
      </c>
      <c r="Y55" s="437">
        <v>43984</v>
      </c>
      <c r="Z55" s="437">
        <v>2916577</v>
      </c>
      <c r="AA55" s="437">
        <v>0</v>
      </c>
      <c r="AB55" s="437">
        <v>0</v>
      </c>
      <c r="AC55" s="437">
        <v>1385262</v>
      </c>
      <c r="AD55" s="437">
        <v>205555</v>
      </c>
      <c r="AE55" s="437">
        <v>1916389</v>
      </c>
      <c r="AF55" s="437">
        <v>18575</v>
      </c>
      <c r="AG55" s="437">
        <v>404106</v>
      </c>
      <c r="AH55" s="437">
        <v>667809</v>
      </c>
      <c r="AI55" s="437">
        <v>437756</v>
      </c>
      <c r="AJ55" s="437">
        <v>236509</v>
      </c>
      <c r="AK55" s="437">
        <v>0</v>
      </c>
      <c r="AL55" s="437">
        <v>2600279</v>
      </c>
      <c r="AM55" s="437">
        <v>19588</v>
      </c>
    </row>
    <row r="56" spans="1:39" s="155" customFormat="1" ht="12" x14ac:dyDescent="0.2">
      <c r="A56" s="168">
        <v>2</v>
      </c>
      <c r="B56" s="143">
        <v>159847</v>
      </c>
      <c r="C56" s="248" t="s">
        <v>1993</v>
      </c>
      <c r="D56" s="438">
        <f t="shared" si="11"/>
        <v>4672903</v>
      </c>
      <c r="E56" s="437">
        <v>1460559</v>
      </c>
      <c r="F56" s="437">
        <v>170171</v>
      </c>
      <c r="G56" s="437">
        <v>172170</v>
      </c>
      <c r="H56" s="437">
        <v>0</v>
      </c>
      <c r="I56" s="437">
        <v>1313000</v>
      </c>
      <c r="J56" s="437">
        <v>0</v>
      </c>
      <c r="K56" s="437">
        <v>694840</v>
      </c>
      <c r="L56" s="437">
        <v>0</v>
      </c>
      <c r="M56" s="437">
        <v>1132537</v>
      </c>
      <c r="N56" s="437">
        <v>0</v>
      </c>
      <c r="O56" s="437">
        <v>71967</v>
      </c>
      <c r="P56" s="438">
        <f t="shared" si="12"/>
        <v>3925003</v>
      </c>
      <c r="Q56" s="437">
        <v>1460130</v>
      </c>
      <c r="R56" s="437">
        <v>952252</v>
      </c>
      <c r="S56" s="437">
        <v>0</v>
      </c>
      <c r="T56" s="437">
        <v>0</v>
      </c>
      <c r="U56" s="437">
        <v>0</v>
      </c>
      <c r="V56" s="437">
        <v>0</v>
      </c>
      <c r="W56" s="437">
        <v>0</v>
      </c>
      <c r="X56" s="437">
        <v>113382</v>
      </c>
      <c r="Y56" s="437">
        <v>1530</v>
      </c>
      <c r="Z56" s="437">
        <v>1397709</v>
      </c>
      <c r="AA56" s="437">
        <v>0</v>
      </c>
      <c r="AB56" s="437">
        <v>0</v>
      </c>
      <c r="AC56" s="437">
        <v>463304</v>
      </c>
      <c r="AD56" s="437">
        <v>0</v>
      </c>
      <c r="AE56" s="437">
        <v>1283888</v>
      </c>
      <c r="AF56" s="437">
        <v>0</v>
      </c>
      <c r="AG56" s="437">
        <v>142577</v>
      </c>
      <c r="AH56" s="437">
        <v>113382</v>
      </c>
      <c r="AI56" s="437">
        <v>243774</v>
      </c>
      <c r="AJ56" s="437">
        <v>194447</v>
      </c>
      <c r="AK56" s="437">
        <v>0</v>
      </c>
      <c r="AL56" s="437">
        <v>1381158</v>
      </c>
      <c r="AM56" s="437">
        <v>102473</v>
      </c>
    </row>
    <row r="57" spans="1:39" s="155" customFormat="1" ht="12" x14ac:dyDescent="0.2">
      <c r="A57" s="168">
        <v>3</v>
      </c>
      <c r="B57" s="143">
        <v>161552</v>
      </c>
      <c r="C57" s="248" t="s">
        <v>1994</v>
      </c>
      <c r="D57" s="438">
        <f t="shared" si="11"/>
        <v>4386443</v>
      </c>
      <c r="E57" s="437">
        <v>1053827</v>
      </c>
      <c r="F57" s="437">
        <v>193198</v>
      </c>
      <c r="G57" s="437">
        <v>243199</v>
      </c>
      <c r="H57" s="437">
        <v>0</v>
      </c>
      <c r="I57" s="437">
        <v>727397</v>
      </c>
      <c r="J57" s="437">
        <v>0</v>
      </c>
      <c r="K57" s="437">
        <v>899190</v>
      </c>
      <c r="L57" s="437">
        <v>0</v>
      </c>
      <c r="M57" s="437">
        <v>251305</v>
      </c>
      <c r="N57" s="437">
        <v>1454724</v>
      </c>
      <c r="O57" s="437">
        <v>0</v>
      </c>
      <c r="P57" s="438">
        <f t="shared" si="12"/>
        <v>4183243</v>
      </c>
      <c r="Q57" s="437">
        <v>1006712</v>
      </c>
      <c r="R57" s="437">
        <v>682087</v>
      </c>
      <c r="S57" s="437">
        <v>0</v>
      </c>
      <c r="T57" s="437">
        <v>0</v>
      </c>
      <c r="U57" s="437">
        <v>0</v>
      </c>
      <c r="V57" s="437">
        <v>0</v>
      </c>
      <c r="W57" s="437">
        <v>2095069</v>
      </c>
      <c r="X57" s="437">
        <v>161147</v>
      </c>
      <c r="Y57" s="437">
        <v>29799</v>
      </c>
      <c r="Z57" s="437">
        <v>208429</v>
      </c>
      <c r="AA57" s="437">
        <v>0</v>
      </c>
      <c r="AB57" s="437">
        <v>0</v>
      </c>
      <c r="AC57" s="437">
        <v>767045</v>
      </c>
      <c r="AD57" s="437">
        <v>2079</v>
      </c>
      <c r="AE57" s="437">
        <v>576433</v>
      </c>
      <c r="AF57" s="437">
        <v>32904</v>
      </c>
      <c r="AG57" s="437">
        <v>954134</v>
      </c>
      <c r="AH57" s="437">
        <v>219341</v>
      </c>
      <c r="AI57" s="437">
        <v>180879</v>
      </c>
      <c r="AJ57" s="437">
        <v>117474</v>
      </c>
      <c r="AK57" s="437">
        <v>0</v>
      </c>
      <c r="AL57" s="437">
        <v>1270227</v>
      </c>
      <c r="AM57" s="437">
        <v>62727</v>
      </c>
    </row>
    <row r="58" spans="1:39" s="155" customFormat="1" ht="12" x14ac:dyDescent="0.2">
      <c r="A58" s="168">
        <v>4</v>
      </c>
      <c r="B58" s="143">
        <v>159883</v>
      </c>
      <c r="C58" s="248" t="s">
        <v>1995</v>
      </c>
      <c r="D58" s="438">
        <f t="shared" si="11"/>
        <v>3566740</v>
      </c>
      <c r="E58" s="437">
        <v>868459</v>
      </c>
      <c r="F58" s="437">
        <v>175204</v>
      </c>
      <c r="G58" s="437">
        <v>336189</v>
      </c>
      <c r="H58" s="437">
        <v>0</v>
      </c>
      <c r="I58" s="437">
        <v>665810</v>
      </c>
      <c r="J58" s="437">
        <v>0</v>
      </c>
      <c r="K58" s="437">
        <v>1140160</v>
      </c>
      <c r="L58" s="437">
        <v>0</v>
      </c>
      <c r="M58" s="437">
        <v>18243</v>
      </c>
      <c r="N58" s="437">
        <v>869568</v>
      </c>
      <c r="O58" s="437">
        <v>4500</v>
      </c>
      <c r="P58" s="438">
        <f t="shared" si="12"/>
        <v>3171754</v>
      </c>
      <c r="Q58" s="437">
        <v>986659</v>
      </c>
      <c r="R58" s="437">
        <v>400755</v>
      </c>
      <c r="S58" s="437">
        <v>0</v>
      </c>
      <c r="T58" s="437">
        <v>0</v>
      </c>
      <c r="U58" s="437">
        <v>0</v>
      </c>
      <c r="V58" s="437">
        <v>0</v>
      </c>
      <c r="W58" s="437">
        <v>1654881</v>
      </c>
      <c r="X58" s="437">
        <v>48176</v>
      </c>
      <c r="Y58" s="437">
        <v>0</v>
      </c>
      <c r="Z58" s="437">
        <v>94484</v>
      </c>
      <c r="AA58" s="437">
        <v>0</v>
      </c>
      <c r="AB58" s="437">
        <v>-13201</v>
      </c>
      <c r="AC58" s="437">
        <v>494204</v>
      </c>
      <c r="AD58" s="437">
        <v>31021</v>
      </c>
      <c r="AE58" s="437">
        <v>642279</v>
      </c>
      <c r="AF58" s="437">
        <v>21067</v>
      </c>
      <c r="AG58" s="437">
        <v>27743</v>
      </c>
      <c r="AH58" s="437">
        <v>62908</v>
      </c>
      <c r="AI58" s="437">
        <v>74838</v>
      </c>
      <c r="AJ58" s="437">
        <v>0</v>
      </c>
      <c r="AK58" s="437">
        <v>0</v>
      </c>
      <c r="AL58" s="437">
        <v>1661019</v>
      </c>
      <c r="AM58" s="437">
        <v>156675</v>
      </c>
    </row>
    <row r="59" spans="1:39" s="155" customFormat="1" ht="12" x14ac:dyDescent="0.2">
      <c r="A59" s="168">
        <v>5</v>
      </c>
      <c r="B59" s="143">
        <v>159945</v>
      </c>
      <c r="C59" s="248" t="s">
        <v>1996</v>
      </c>
      <c r="D59" s="438">
        <f t="shared" si="11"/>
        <v>2738607</v>
      </c>
      <c r="E59" s="437">
        <v>927796</v>
      </c>
      <c r="F59" s="437">
        <v>151192</v>
      </c>
      <c r="G59" s="437">
        <v>329210</v>
      </c>
      <c r="H59" s="437">
        <v>0</v>
      </c>
      <c r="I59" s="437">
        <v>615000</v>
      </c>
      <c r="J59" s="437">
        <v>0</v>
      </c>
      <c r="K59" s="437">
        <v>1146110</v>
      </c>
      <c r="L59" s="437">
        <v>0</v>
      </c>
      <c r="M59" s="437">
        <v>49451</v>
      </c>
      <c r="N59" s="437">
        <v>0</v>
      </c>
      <c r="O59" s="437">
        <v>250</v>
      </c>
      <c r="P59" s="438">
        <f t="shared" si="12"/>
        <v>3113033</v>
      </c>
      <c r="Q59" s="437">
        <v>875863</v>
      </c>
      <c r="R59" s="437">
        <v>826461</v>
      </c>
      <c r="S59" s="437">
        <v>0</v>
      </c>
      <c r="T59" s="437">
        <v>0</v>
      </c>
      <c r="U59" s="437">
        <v>0</v>
      </c>
      <c r="V59" s="437">
        <v>0</v>
      </c>
      <c r="W59" s="437">
        <v>0</v>
      </c>
      <c r="X59" s="437">
        <v>284447</v>
      </c>
      <c r="Y59" s="437">
        <v>0</v>
      </c>
      <c r="Z59" s="437">
        <v>1134136</v>
      </c>
      <c r="AA59" s="437">
        <v>0</v>
      </c>
      <c r="AB59" s="437">
        <v>-7874</v>
      </c>
      <c r="AC59" s="437">
        <v>691321</v>
      </c>
      <c r="AD59" s="437">
        <v>85851</v>
      </c>
      <c r="AE59" s="437">
        <v>281799</v>
      </c>
      <c r="AF59" s="437">
        <v>48860</v>
      </c>
      <c r="AG59" s="437">
        <v>72722</v>
      </c>
      <c r="AH59" s="437">
        <v>432177</v>
      </c>
      <c r="AI59" s="437">
        <v>106340</v>
      </c>
      <c r="AJ59" s="437">
        <v>1198750</v>
      </c>
      <c r="AK59" s="437">
        <v>0</v>
      </c>
      <c r="AL59" s="437">
        <v>186810</v>
      </c>
      <c r="AM59" s="437">
        <v>8403</v>
      </c>
    </row>
    <row r="60" spans="1:39" s="155" customFormat="1" ht="12" x14ac:dyDescent="0.2">
      <c r="A60" s="168">
        <v>6</v>
      </c>
      <c r="B60" s="143">
        <v>159963</v>
      </c>
      <c r="C60" s="248" t="s">
        <v>1997</v>
      </c>
      <c r="D60" s="438">
        <f t="shared" si="11"/>
        <v>8746040</v>
      </c>
      <c r="E60" s="437">
        <v>4293380</v>
      </c>
      <c r="F60" s="437">
        <v>431120</v>
      </c>
      <c r="G60" s="437">
        <v>168890</v>
      </c>
      <c r="H60" s="437">
        <v>0</v>
      </c>
      <c r="I60" s="437">
        <v>1522133</v>
      </c>
      <c r="J60" s="437">
        <v>0</v>
      </c>
      <c r="K60" s="437">
        <v>773310</v>
      </c>
      <c r="L60" s="437">
        <v>0</v>
      </c>
      <c r="M60" s="437">
        <v>1465714</v>
      </c>
      <c r="N60" s="437">
        <v>691503</v>
      </c>
      <c r="O60" s="437">
        <v>0</v>
      </c>
      <c r="P60" s="438">
        <f t="shared" si="12"/>
        <v>8744688</v>
      </c>
      <c r="Q60" s="437">
        <v>2090131</v>
      </c>
      <c r="R60" s="437">
        <v>3309861</v>
      </c>
      <c r="S60" s="437">
        <v>0</v>
      </c>
      <c r="T60" s="437">
        <v>0</v>
      </c>
      <c r="U60" s="437">
        <v>0</v>
      </c>
      <c r="V60" s="437">
        <v>0</v>
      </c>
      <c r="W60" s="437">
        <v>1075371</v>
      </c>
      <c r="X60" s="437">
        <v>157640</v>
      </c>
      <c r="Y60" s="437">
        <v>146000</v>
      </c>
      <c r="Z60" s="437">
        <v>1965685</v>
      </c>
      <c r="AA60" s="437">
        <v>0</v>
      </c>
      <c r="AB60" s="437">
        <v>0</v>
      </c>
      <c r="AC60" s="437">
        <v>2482946</v>
      </c>
      <c r="AD60" s="437">
        <v>27577</v>
      </c>
      <c r="AE60" s="437">
        <v>1543152</v>
      </c>
      <c r="AF60" s="437">
        <v>3292</v>
      </c>
      <c r="AG60" s="437">
        <v>509425</v>
      </c>
      <c r="AH60" s="437">
        <v>439605</v>
      </c>
      <c r="AI60" s="437">
        <v>231580</v>
      </c>
      <c r="AJ60" s="437">
        <v>247534</v>
      </c>
      <c r="AK60" s="437">
        <v>0</v>
      </c>
      <c r="AL60" s="437">
        <v>3259577</v>
      </c>
      <c r="AM60" s="437">
        <v>0</v>
      </c>
    </row>
    <row r="61" spans="1:39" s="155" customFormat="1" ht="12" x14ac:dyDescent="0.2">
      <c r="A61" s="168">
        <v>7</v>
      </c>
      <c r="B61" s="143">
        <v>160092</v>
      </c>
      <c r="C61" s="248" t="s">
        <v>1998</v>
      </c>
      <c r="D61" s="438">
        <f t="shared" si="11"/>
        <v>9677720</v>
      </c>
      <c r="E61" s="437">
        <v>1370236</v>
      </c>
      <c r="F61" s="437">
        <v>372928</v>
      </c>
      <c r="G61" s="437">
        <v>178540</v>
      </c>
      <c r="H61" s="437">
        <v>0</v>
      </c>
      <c r="I61" s="437">
        <v>1244005</v>
      </c>
      <c r="J61" s="437">
        <v>0</v>
      </c>
      <c r="K61" s="437">
        <v>698290</v>
      </c>
      <c r="L61" s="437">
        <v>0</v>
      </c>
      <c r="M61" s="437">
        <v>4544731</v>
      </c>
      <c r="N61" s="437">
        <v>1813958</v>
      </c>
      <c r="O61" s="437">
        <v>6500</v>
      </c>
      <c r="P61" s="438">
        <f t="shared" si="12"/>
        <v>8663047</v>
      </c>
      <c r="Q61" s="437">
        <v>1527415</v>
      </c>
      <c r="R61" s="437">
        <v>867455</v>
      </c>
      <c r="S61" s="437">
        <v>0</v>
      </c>
      <c r="T61" s="437">
        <v>0</v>
      </c>
      <c r="U61" s="437">
        <v>0</v>
      </c>
      <c r="V61" s="437">
        <v>0</v>
      </c>
      <c r="W61" s="437">
        <v>2398600</v>
      </c>
      <c r="X61" s="437">
        <v>175540</v>
      </c>
      <c r="Y61" s="437">
        <v>5917</v>
      </c>
      <c r="Z61" s="437">
        <v>3688120</v>
      </c>
      <c r="AA61" s="437">
        <v>0</v>
      </c>
      <c r="AB61" s="437">
        <v>0</v>
      </c>
      <c r="AC61" s="437">
        <v>663099</v>
      </c>
      <c r="AD61" s="437">
        <v>365989</v>
      </c>
      <c r="AE61" s="437">
        <v>961797</v>
      </c>
      <c r="AF61" s="437">
        <v>17041</v>
      </c>
      <c r="AG61" s="437">
        <v>440748</v>
      </c>
      <c r="AH61" s="437">
        <v>396629</v>
      </c>
      <c r="AI61" s="437">
        <v>266839</v>
      </c>
      <c r="AJ61" s="437">
        <v>101574</v>
      </c>
      <c r="AK61" s="437">
        <v>0</v>
      </c>
      <c r="AL61" s="437">
        <v>5363326</v>
      </c>
      <c r="AM61" s="437">
        <v>86005</v>
      </c>
    </row>
    <row r="62" spans="1:39" s="155" customFormat="1" ht="12" x14ac:dyDescent="0.2">
      <c r="A62" s="168">
        <v>8</v>
      </c>
      <c r="B62" s="143">
        <v>160047</v>
      </c>
      <c r="C62" s="248" t="s">
        <v>1999</v>
      </c>
      <c r="D62" s="438">
        <f t="shared" si="11"/>
        <v>2377752</v>
      </c>
      <c r="E62" s="437">
        <v>727369</v>
      </c>
      <c r="F62" s="437">
        <v>45447</v>
      </c>
      <c r="G62" s="437">
        <v>342582</v>
      </c>
      <c r="H62" s="437">
        <v>0</v>
      </c>
      <c r="I62" s="437">
        <v>369470</v>
      </c>
      <c r="J62" s="437">
        <v>0</v>
      </c>
      <c r="K62" s="437">
        <v>996740</v>
      </c>
      <c r="L62" s="437">
        <v>0</v>
      </c>
      <c r="M62" s="437">
        <v>260173</v>
      </c>
      <c r="N62" s="437">
        <v>0</v>
      </c>
      <c r="O62" s="437">
        <v>24000</v>
      </c>
      <c r="P62" s="438">
        <f t="shared" si="12"/>
        <v>2273607</v>
      </c>
      <c r="Q62" s="437">
        <v>714749</v>
      </c>
      <c r="R62" s="437">
        <v>540849</v>
      </c>
      <c r="S62" s="437">
        <v>0</v>
      </c>
      <c r="T62" s="437">
        <v>0</v>
      </c>
      <c r="U62" s="437">
        <v>0</v>
      </c>
      <c r="V62" s="437">
        <v>0</v>
      </c>
      <c r="W62" s="437">
        <v>0</v>
      </c>
      <c r="X62" s="437">
        <v>33130</v>
      </c>
      <c r="Y62" s="437">
        <v>0</v>
      </c>
      <c r="Z62" s="437">
        <v>984879</v>
      </c>
      <c r="AA62" s="437">
        <v>0</v>
      </c>
      <c r="AB62" s="437">
        <v>0</v>
      </c>
      <c r="AC62" s="437">
        <v>629651</v>
      </c>
      <c r="AD62" s="437">
        <v>35000</v>
      </c>
      <c r="AE62" s="437">
        <v>313453</v>
      </c>
      <c r="AF62" s="437">
        <v>50491</v>
      </c>
      <c r="AG62" s="437">
        <v>28586</v>
      </c>
      <c r="AH62" s="437">
        <v>88468</v>
      </c>
      <c r="AI62" s="437">
        <v>305887</v>
      </c>
      <c r="AJ62" s="437">
        <v>4552</v>
      </c>
      <c r="AK62" s="437">
        <v>0</v>
      </c>
      <c r="AL62" s="437">
        <v>807661</v>
      </c>
      <c r="AM62" s="437">
        <v>9858</v>
      </c>
    </row>
    <row r="63" spans="1:39" s="155" customFormat="1" ht="12" x14ac:dyDescent="0.2">
      <c r="A63" s="168">
        <v>9</v>
      </c>
      <c r="B63" s="143">
        <v>160127</v>
      </c>
      <c r="C63" s="248" t="s">
        <v>2000</v>
      </c>
      <c r="D63" s="438">
        <f t="shared" si="11"/>
        <v>5909300</v>
      </c>
      <c r="E63" s="437">
        <v>2558755</v>
      </c>
      <c r="F63" s="437">
        <v>445536</v>
      </c>
      <c r="G63" s="437">
        <v>294369</v>
      </c>
      <c r="H63" s="437">
        <v>0</v>
      </c>
      <c r="I63" s="437">
        <v>2083239</v>
      </c>
      <c r="J63" s="437">
        <v>0</v>
      </c>
      <c r="K63" s="437">
        <v>1218780</v>
      </c>
      <c r="L63" s="437">
        <v>0</v>
      </c>
      <c r="M63" s="437">
        <v>48526</v>
      </c>
      <c r="N63" s="437">
        <v>0</v>
      </c>
      <c r="O63" s="437">
        <v>0</v>
      </c>
      <c r="P63" s="438">
        <f t="shared" si="12"/>
        <v>5533181</v>
      </c>
      <c r="Q63" s="437">
        <v>2279707</v>
      </c>
      <c r="R63" s="437">
        <v>1236688</v>
      </c>
      <c r="S63" s="437">
        <v>0</v>
      </c>
      <c r="T63" s="437">
        <v>0</v>
      </c>
      <c r="U63" s="437">
        <v>0</v>
      </c>
      <c r="V63" s="437">
        <v>0</v>
      </c>
      <c r="W63" s="437">
        <v>0</v>
      </c>
      <c r="X63" s="437">
        <v>317703</v>
      </c>
      <c r="Y63" s="437">
        <v>125343</v>
      </c>
      <c r="Z63" s="437">
        <v>1573740</v>
      </c>
      <c r="AA63" s="437">
        <v>0</v>
      </c>
      <c r="AB63" s="437">
        <v>0</v>
      </c>
      <c r="AC63" s="437">
        <v>939465</v>
      </c>
      <c r="AD63" s="437">
        <v>0</v>
      </c>
      <c r="AE63" s="437">
        <v>1652914</v>
      </c>
      <c r="AF63" s="437">
        <v>62147</v>
      </c>
      <c r="AG63" s="437">
        <v>232964</v>
      </c>
      <c r="AH63" s="437">
        <v>588899</v>
      </c>
      <c r="AI63" s="437">
        <v>1233178</v>
      </c>
      <c r="AJ63" s="437">
        <v>161159</v>
      </c>
      <c r="AK63" s="437">
        <v>0</v>
      </c>
      <c r="AL63" s="437">
        <v>633129</v>
      </c>
      <c r="AM63" s="437">
        <v>29326</v>
      </c>
    </row>
    <row r="64" spans="1:39" s="155" customFormat="1" ht="12" x14ac:dyDescent="0.2">
      <c r="A64" s="168">
        <v>10</v>
      </c>
      <c r="B64" s="143">
        <v>160172</v>
      </c>
      <c r="C64" s="248" t="s">
        <v>2001</v>
      </c>
      <c r="D64" s="438">
        <f t="shared" si="11"/>
        <v>6739117</v>
      </c>
      <c r="E64" s="437">
        <v>1800920</v>
      </c>
      <c r="F64" s="437">
        <v>666870</v>
      </c>
      <c r="G64" s="437">
        <v>95660</v>
      </c>
      <c r="H64" s="437">
        <v>0</v>
      </c>
      <c r="I64" s="437">
        <v>1294140</v>
      </c>
      <c r="J64" s="437">
        <v>0</v>
      </c>
      <c r="K64" s="437">
        <v>445090</v>
      </c>
      <c r="L64" s="437">
        <v>0</v>
      </c>
      <c r="M64" s="437">
        <v>1010200</v>
      </c>
      <c r="N64" s="437">
        <v>2188767</v>
      </c>
      <c r="O64" s="437">
        <v>0</v>
      </c>
      <c r="P64" s="438">
        <f t="shared" si="12"/>
        <v>6754338</v>
      </c>
      <c r="Q64" s="437">
        <v>1770659</v>
      </c>
      <c r="R64" s="437">
        <v>1028582</v>
      </c>
      <c r="S64" s="437">
        <v>0</v>
      </c>
      <c r="T64" s="437">
        <v>0</v>
      </c>
      <c r="U64" s="437">
        <v>0</v>
      </c>
      <c r="V64" s="437">
        <v>12000</v>
      </c>
      <c r="W64" s="437">
        <v>2112164</v>
      </c>
      <c r="X64" s="437">
        <v>99325</v>
      </c>
      <c r="Y64" s="437">
        <v>23211</v>
      </c>
      <c r="Z64" s="437">
        <v>1708397</v>
      </c>
      <c r="AA64" s="437">
        <v>0</v>
      </c>
      <c r="AB64" s="437">
        <v>0</v>
      </c>
      <c r="AC64" s="437">
        <v>1151491</v>
      </c>
      <c r="AD64" s="437">
        <v>74771</v>
      </c>
      <c r="AE64" s="437">
        <v>1135052</v>
      </c>
      <c r="AF64" s="437">
        <v>25603</v>
      </c>
      <c r="AG64" s="437">
        <v>65111</v>
      </c>
      <c r="AH64" s="437">
        <v>211772</v>
      </c>
      <c r="AI64" s="437">
        <v>1117840</v>
      </c>
      <c r="AJ64" s="437">
        <v>88485</v>
      </c>
      <c r="AK64" s="437">
        <v>0</v>
      </c>
      <c r="AL64" s="437">
        <v>2466363</v>
      </c>
      <c r="AM64" s="437">
        <v>417850</v>
      </c>
    </row>
    <row r="65" spans="1:39" s="155" customFormat="1" ht="12" x14ac:dyDescent="0.2">
      <c r="A65" s="168">
        <v>11</v>
      </c>
      <c r="B65" s="143">
        <v>160225</v>
      </c>
      <c r="C65" s="248" t="s">
        <v>2002</v>
      </c>
      <c r="D65" s="438">
        <f t="shared" si="11"/>
        <v>4057376</v>
      </c>
      <c r="E65" s="437">
        <v>957960</v>
      </c>
      <c r="F65" s="437">
        <v>250513</v>
      </c>
      <c r="G65" s="437">
        <v>254260</v>
      </c>
      <c r="H65" s="437">
        <v>0</v>
      </c>
      <c r="I65" s="437">
        <v>1373490</v>
      </c>
      <c r="J65" s="437">
        <v>0</v>
      </c>
      <c r="K65" s="437">
        <v>965750</v>
      </c>
      <c r="L65" s="437">
        <v>0</v>
      </c>
      <c r="M65" s="437">
        <v>760176</v>
      </c>
      <c r="N65" s="437">
        <v>0</v>
      </c>
      <c r="O65" s="437">
        <v>0</v>
      </c>
      <c r="P65" s="438">
        <f t="shared" si="12"/>
        <v>3730407</v>
      </c>
      <c r="Q65" s="437">
        <v>1754312</v>
      </c>
      <c r="R65" s="437">
        <v>647256</v>
      </c>
      <c r="S65" s="437">
        <v>0</v>
      </c>
      <c r="T65" s="437">
        <v>0</v>
      </c>
      <c r="U65" s="437">
        <v>0</v>
      </c>
      <c r="V65" s="437">
        <v>14966</v>
      </c>
      <c r="W65" s="437">
        <v>0</v>
      </c>
      <c r="X65" s="437">
        <v>210289</v>
      </c>
      <c r="Y65" s="437">
        <v>17397</v>
      </c>
      <c r="Z65" s="437">
        <v>1089287</v>
      </c>
      <c r="AA65" s="437">
        <v>0</v>
      </c>
      <c r="AB65" s="437">
        <v>-3100</v>
      </c>
      <c r="AC65" s="437">
        <v>722553</v>
      </c>
      <c r="AD65" s="437">
        <v>13189</v>
      </c>
      <c r="AE65" s="437">
        <v>1119839</v>
      </c>
      <c r="AF65" s="437">
        <v>59285</v>
      </c>
      <c r="AG65" s="437">
        <v>137294</v>
      </c>
      <c r="AH65" s="437">
        <v>491075</v>
      </c>
      <c r="AI65" s="437">
        <v>772298</v>
      </c>
      <c r="AJ65" s="437">
        <v>74957</v>
      </c>
      <c r="AK65" s="437">
        <v>0</v>
      </c>
      <c r="AL65" s="437">
        <v>339917</v>
      </c>
      <c r="AM65" s="437">
        <v>0</v>
      </c>
    </row>
    <row r="66" spans="1:39" s="155" customFormat="1" ht="12" x14ac:dyDescent="0.2">
      <c r="A66" s="168">
        <v>12</v>
      </c>
      <c r="B66" s="143">
        <v>160261</v>
      </c>
      <c r="C66" s="248" t="s">
        <v>2003</v>
      </c>
      <c r="D66" s="438">
        <f t="shared" si="11"/>
        <v>11885862</v>
      </c>
      <c r="E66" s="437">
        <v>1188715</v>
      </c>
      <c r="F66" s="437">
        <v>173643</v>
      </c>
      <c r="G66" s="437">
        <v>97280</v>
      </c>
      <c r="H66" s="437">
        <v>0</v>
      </c>
      <c r="I66" s="437">
        <v>764000</v>
      </c>
      <c r="J66" s="437">
        <v>0</v>
      </c>
      <c r="K66" s="437">
        <v>491960</v>
      </c>
      <c r="L66" s="437">
        <v>0</v>
      </c>
      <c r="M66" s="437">
        <v>7870047</v>
      </c>
      <c r="N66" s="437">
        <v>1555140</v>
      </c>
      <c r="O66" s="437">
        <v>16000</v>
      </c>
      <c r="P66" s="438">
        <f t="shared" si="12"/>
        <v>12646400</v>
      </c>
      <c r="Q66" s="437">
        <v>1195935</v>
      </c>
      <c r="R66" s="437">
        <v>627068</v>
      </c>
      <c r="S66" s="437">
        <v>0</v>
      </c>
      <c r="T66" s="437">
        <v>0</v>
      </c>
      <c r="U66" s="437">
        <v>0</v>
      </c>
      <c r="V66" s="437">
        <v>0</v>
      </c>
      <c r="W66" s="437">
        <v>2592862</v>
      </c>
      <c r="X66" s="437">
        <v>57872</v>
      </c>
      <c r="Y66" s="437">
        <v>0</v>
      </c>
      <c r="Z66" s="437">
        <v>8172663</v>
      </c>
      <c r="AA66" s="437">
        <v>0</v>
      </c>
      <c r="AB66" s="437">
        <v>0</v>
      </c>
      <c r="AC66" s="437">
        <v>900063</v>
      </c>
      <c r="AD66" s="437">
        <v>6409</v>
      </c>
      <c r="AE66" s="437">
        <v>693967</v>
      </c>
      <c r="AF66" s="437">
        <v>71020</v>
      </c>
      <c r="AG66" s="437">
        <v>86212</v>
      </c>
      <c r="AH66" s="437">
        <v>109644</v>
      </c>
      <c r="AI66" s="437">
        <v>1001325</v>
      </c>
      <c r="AJ66" s="437">
        <v>6234169</v>
      </c>
      <c r="AK66" s="437">
        <v>0</v>
      </c>
      <c r="AL66" s="437">
        <v>3428290</v>
      </c>
      <c r="AM66" s="437">
        <v>115301</v>
      </c>
    </row>
    <row r="67" spans="1:39" s="155" customFormat="1" ht="12" x14ac:dyDescent="0.2">
      <c r="A67" s="168">
        <v>13</v>
      </c>
      <c r="B67" s="143">
        <v>160305</v>
      </c>
      <c r="C67" s="248" t="s">
        <v>2004</v>
      </c>
      <c r="D67" s="438">
        <f t="shared" si="11"/>
        <v>2999433</v>
      </c>
      <c r="E67" s="437">
        <v>896604</v>
      </c>
      <c r="F67" s="437">
        <v>116526</v>
      </c>
      <c r="G67" s="437">
        <v>282570</v>
      </c>
      <c r="H67" s="437">
        <v>0</v>
      </c>
      <c r="I67" s="437">
        <v>888496</v>
      </c>
      <c r="J67" s="437">
        <v>0</v>
      </c>
      <c r="K67" s="437">
        <v>1018760</v>
      </c>
      <c r="L67" s="437">
        <v>0</v>
      </c>
      <c r="M67" s="437">
        <v>195573</v>
      </c>
      <c r="N67" s="437">
        <v>0</v>
      </c>
      <c r="O67" s="437">
        <v>0</v>
      </c>
      <c r="P67" s="438">
        <f t="shared" si="12"/>
        <v>3197461</v>
      </c>
      <c r="Q67" s="437">
        <v>1074499</v>
      </c>
      <c r="R67" s="437">
        <v>1210952</v>
      </c>
      <c r="S67" s="437">
        <v>0</v>
      </c>
      <c r="T67" s="437">
        <v>0</v>
      </c>
      <c r="U67" s="437">
        <v>0</v>
      </c>
      <c r="V67" s="437">
        <v>12000</v>
      </c>
      <c r="W67" s="437">
        <v>0</v>
      </c>
      <c r="X67" s="437">
        <v>116869</v>
      </c>
      <c r="Y67" s="437">
        <v>0</v>
      </c>
      <c r="Z67" s="437">
        <v>796684</v>
      </c>
      <c r="AA67" s="437">
        <v>0</v>
      </c>
      <c r="AB67" s="437">
        <v>-13543</v>
      </c>
      <c r="AC67" s="437">
        <v>1344717</v>
      </c>
      <c r="AD67" s="437">
        <v>148979</v>
      </c>
      <c r="AE67" s="437">
        <v>778421</v>
      </c>
      <c r="AF67" s="437">
        <v>21888</v>
      </c>
      <c r="AG67" s="437">
        <v>95127</v>
      </c>
      <c r="AH67" s="437">
        <v>206768</v>
      </c>
      <c r="AI67" s="437">
        <v>66846</v>
      </c>
      <c r="AJ67" s="437">
        <v>315831</v>
      </c>
      <c r="AK67" s="437">
        <v>0</v>
      </c>
      <c r="AL67" s="437">
        <v>206449</v>
      </c>
      <c r="AM67" s="437">
        <v>12435</v>
      </c>
    </row>
    <row r="68" spans="1:39" s="155" customFormat="1" ht="12" x14ac:dyDescent="0.2">
      <c r="A68" s="168">
        <v>14</v>
      </c>
      <c r="B68" s="143">
        <v>160323</v>
      </c>
      <c r="C68" s="248" t="s">
        <v>2005</v>
      </c>
      <c r="D68" s="438">
        <f t="shared" si="11"/>
        <v>2625156</v>
      </c>
      <c r="E68" s="437">
        <v>945667</v>
      </c>
      <c r="F68" s="437">
        <v>184186</v>
      </c>
      <c r="G68" s="437">
        <v>208300</v>
      </c>
      <c r="H68" s="437">
        <v>0</v>
      </c>
      <c r="I68" s="437">
        <v>835000</v>
      </c>
      <c r="J68" s="437">
        <v>0</v>
      </c>
      <c r="K68" s="437">
        <v>821270</v>
      </c>
      <c r="L68" s="437">
        <v>0</v>
      </c>
      <c r="M68" s="437">
        <v>23219</v>
      </c>
      <c r="N68" s="437">
        <v>0</v>
      </c>
      <c r="O68" s="437">
        <v>0</v>
      </c>
      <c r="P68" s="438">
        <f t="shared" si="12"/>
        <v>2363689</v>
      </c>
      <c r="Q68" s="437">
        <v>1037220</v>
      </c>
      <c r="R68" s="437">
        <v>487176</v>
      </c>
      <c r="S68" s="437">
        <v>0</v>
      </c>
      <c r="T68" s="437">
        <v>0</v>
      </c>
      <c r="U68" s="437">
        <v>0</v>
      </c>
      <c r="V68" s="437">
        <v>24000</v>
      </c>
      <c r="W68" s="437">
        <v>0</v>
      </c>
      <c r="X68" s="437">
        <v>183593</v>
      </c>
      <c r="Y68" s="437">
        <v>8040</v>
      </c>
      <c r="Z68" s="437">
        <v>623660</v>
      </c>
      <c r="AA68" s="437">
        <v>0</v>
      </c>
      <c r="AB68" s="437">
        <v>0</v>
      </c>
      <c r="AC68" s="437">
        <v>638239</v>
      </c>
      <c r="AD68" s="437">
        <v>10455</v>
      </c>
      <c r="AE68" s="437">
        <v>622006</v>
      </c>
      <c r="AF68" s="437">
        <v>21921</v>
      </c>
      <c r="AG68" s="437">
        <v>44492</v>
      </c>
      <c r="AH68" s="437">
        <v>288301</v>
      </c>
      <c r="AI68" s="437">
        <v>666760</v>
      </c>
      <c r="AJ68" s="437">
        <v>47268</v>
      </c>
      <c r="AK68" s="437">
        <v>0</v>
      </c>
      <c r="AL68" s="437">
        <v>24247</v>
      </c>
      <c r="AM68" s="437">
        <v>0</v>
      </c>
    </row>
    <row r="69" spans="1:39" s="155" customFormat="1" ht="12" x14ac:dyDescent="0.2">
      <c r="A69" s="168">
        <v>15</v>
      </c>
      <c r="B69" s="143">
        <v>160387</v>
      </c>
      <c r="C69" s="248" t="s">
        <v>2006</v>
      </c>
      <c r="D69" s="438">
        <f t="shared" si="11"/>
        <v>6006354</v>
      </c>
      <c r="E69" s="437">
        <v>2028346</v>
      </c>
      <c r="F69" s="437">
        <v>753636</v>
      </c>
      <c r="G69" s="437">
        <v>145879</v>
      </c>
      <c r="H69" s="437">
        <v>0</v>
      </c>
      <c r="I69" s="437">
        <v>1556924</v>
      </c>
      <c r="J69" s="437">
        <v>0</v>
      </c>
      <c r="K69" s="437">
        <v>719470</v>
      </c>
      <c r="L69" s="437">
        <v>0</v>
      </c>
      <c r="M69" s="437">
        <v>931652</v>
      </c>
      <c r="N69" s="437">
        <v>769962</v>
      </c>
      <c r="O69" s="437">
        <v>0</v>
      </c>
      <c r="P69" s="438">
        <f t="shared" si="12"/>
        <v>6258317</v>
      </c>
      <c r="Q69" s="437">
        <v>1790322</v>
      </c>
      <c r="R69" s="437">
        <v>1543506</v>
      </c>
      <c r="S69" s="437">
        <v>0</v>
      </c>
      <c r="T69" s="437">
        <v>0</v>
      </c>
      <c r="U69" s="437">
        <v>0</v>
      </c>
      <c r="V69" s="437">
        <v>17139</v>
      </c>
      <c r="W69" s="437">
        <v>367168</v>
      </c>
      <c r="X69" s="437">
        <v>285796</v>
      </c>
      <c r="Y69" s="437">
        <v>0</v>
      </c>
      <c r="Z69" s="437">
        <v>2254386</v>
      </c>
      <c r="AA69" s="437">
        <v>0</v>
      </c>
      <c r="AB69" s="437">
        <v>0</v>
      </c>
      <c r="AC69" s="437">
        <v>1075320</v>
      </c>
      <c r="AD69" s="437">
        <v>60461</v>
      </c>
      <c r="AE69" s="437">
        <v>1115169</v>
      </c>
      <c r="AF69" s="437">
        <v>214581</v>
      </c>
      <c r="AG69" s="437">
        <v>645552</v>
      </c>
      <c r="AH69" s="437">
        <v>549935</v>
      </c>
      <c r="AI69" s="437">
        <v>879159</v>
      </c>
      <c r="AJ69" s="437">
        <v>136755</v>
      </c>
      <c r="AK69" s="437">
        <v>0</v>
      </c>
      <c r="AL69" s="437">
        <v>1537763</v>
      </c>
      <c r="AM69" s="437">
        <v>43622</v>
      </c>
    </row>
    <row r="70" spans="1:39" s="155" customFormat="1" ht="12" x14ac:dyDescent="0.2">
      <c r="A70" s="168">
        <v>16</v>
      </c>
      <c r="B70" s="143">
        <v>160430</v>
      </c>
      <c r="C70" s="248" t="s">
        <v>526</v>
      </c>
      <c r="D70" s="438">
        <f t="shared" si="11"/>
        <v>5357687</v>
      </c>
      <c r="E70" s="437">
        <v>1493308</v>
      </c>
      <c r="F70" s="437">
        <v>279853</v>
      </c>
      <c r="G70" s="437">
        <v>451920</v>
      </c>
      <c r="H70" s="437">
        <v>0</v>
      </c>
      <c r="I70" s="437">
        <v>1818161</v>
      </c>
      <c r="J70" s="437">
        <v>0</v>
      </c>
      <c r="K70" s="437">
        <v>1710420</v>
      </c>
      <c r="L70" s="437">
        <v>0</v>
      </c>
      <c r="M70" s="437">
        <v>333798</v>
      </c>
      <c r="N70" s="437">
        <v>0</v>
      </c>
      <c r="O70" s="437">
        <v>2000</v>
      </c>
      <c r="P70" s="438">
        <f t="shared" si="12"/>
        <v>5064195</v>
      </c>
      <c r="Q70" s="437">
        <v>2272096</v>
      </c>
      <c r="R70" s="437">
        <v>1544535</v>
      </c>
      <c r="S70" s="437">
        <v>0</v>
      </c>
      <c r="T70" s="437">
        <v>0</v>
      </c>
      <c r="U70" s="437">
        <v>0</v>
      </c>
      <c r="V70" s="437">
        <v>0</v>
      </c>
      <c r="W70" s="437">
        <v>0</v>
      </c>
      <c r="X70" s="437">
        <v>254244</v>
      </c>
      <c r="Y70" s="437">
        <v>79300</v>
      </c>
      <c r="Z70" s="437">
        <v>914047</v>
      </c>
      <c r="AA70" s="437">
        <v>0</v>
      </c>
      <c r="AB70" s="437">
        <v>-27</v>
      </c>
      <c r="AC70" s="437">
        <v>882151</v>
      </c>
      <c r="AD70" s="437">
        <v>297303</v>
      </c>
      <c r="AE70" s="437">
        <v>1541213</v>
      </c>
      <c r="AF70" s="437">
        <v>49163</v>
      </c>
      <c r="AG70" s="437">
        <v>135986</v>
      </c>
      <c r="AH70" s="437">
        <v>438986</v>
      </c>
      <c r="AI70" s="437">
        <v>396271</v>
      </c>
      <c r="AJ70" s="437">
        <v>606237</v>
      </c>
      <c r="AK70" s="437">
        <v>0</v>
      </c>
      <c r="AL70" s="437">
        <v>716885</v>
      </c>
      <c r="AM70" s="437">
        <v>0</v>
      </c>
    </row>
    <row r="71" spans="1:39" s="155" customFormat="1" ht="12" x14ac:dyDescent="0.2">
      <c r="A71" s="168">
        <v>17</v>
      </c>
      <c r="B71" s="143">
        <v>160458</v>
      </c>
      <c r="C71" s="248" t="s">
        <v>2007</v>
      </c>
      <c r="D71" s="438">
        <f t="shared" si="11"/>
        <v>3028793</v>
      </c>
      <c r="E71" s="437">
        <v>1073731</v>
      </c>
      <c r="F71" s="437">
        <v>55598</v>
      </c>
      <c r="G71" s="437">
        <v>322270</v>
      </c>
      <c r="H71" s="437">
        <v>0</v>
      </c>
      <c r="I71" s="437">
        <v>787178</v>
      </c>
      <c r="J71" s="437">
        <v>0</v>
      </c>
      <c r="K71" s="437">
        <v>1040330</v>
      </c>
      <c r="L71" s="437">
        <v>0</v>
      </c>
      <c r="M71" s="437">
        <v>26115</v>
      </c>
      <c r="N71" s="437">
        <v>0</v>
      </c>
      <c r="O71" s="437">
        <v>101439</v>
      </c>
      <c r="P71" s="438">
        <f t="shared" si="12"/>
        <v>2593904</v>
      </c>
      <c r="Q71" s="437">
        <v>1149359</v>
      </c>
      <c r="R71" s="437">
        <v>741008</v>
      </c>
      <c r="S71" s="437">
        <v>0</v>
      </c>
      <c r="T71" s="437">
        <v>0</v>
      </c>
      <c r="U71" s="437">
        <v>0</v>
      </c>
      <c r="V71" s="437">
        <v>0</v>
      </c>
      <c r="W71" s="437">
        <v>0</v>
      </c>
      <c r="X71" s="437">
        <v>27866</v>
      </c>
      <c r="Y71" s="437">
        <v>1500</v>
      </c>
      <c r="Z71" s="437">
        <v>674171</v>
      </c>
      <c r="AA71" s="437">
        <v>0</v>
      </c>
      <c r="AB71" s="437">
        <v>0</v>
      </c>
      <c r="AC71" s="437">
        <v>824746</v>
      </c>
      <c r="AD71" s="437">
        <v>0</v>
      </c>
      <c r="AE71" s="437">
        <v>823254</v>
      </c>
      <c r="AF71" s="437">
        <v>24749</v>
      </c>
      <c r="AG71" s="437">
        <v>222293</v>
      </c>
      <c r="AH71" s="437">
        <v>219971</v>
      </c>
      <c r="AI71" s="437">
        <v>24557</v>
      </c>
      <c r="AJ71" s="437">
        <v>201178</v>
      </c>
      <c r="AK71" s="437">
        <v>0</v>
      </c>
      <c r="AL71" s="437">
        <v>68761</v>
      </c>
      <c r="AM71" s="437">
        <v>184395</v>
      </c>
    </row>
    <row r="72" spans="1:39" s="155" customFormat="1" ht="12" x14ac:dyDescent="0.2">
      <c r="A72" s="168">
        <v>18</v>
      </c>
      <c r="B72" s="143">
        <v>160476</v>
      </c>
      <c r="C72" s="248" t="s">
        <v>2008</v>
      </c>
      <c r="D72" s="438">
        <f t="shared" si="11"/>
        <v>3634777</v>
      </c>
      <c r="E72" s="437">
        <v>629273</v>
      </c>
      <c r="F72" s="437">
        <v>73700</v>
      </c>
      <c r="G72" s="437">
        <v>321090</v>
      </c>
      <c r="H72" s="437">
        <v>0</v>
      </c>
      <c r="I72" s="437">
        <v>706000</v>
      </c>
      <c r="J72" s="437">
        <v>0</v>
      </c>
      <c r="K72" s="437">
        <v>1134170</v>
      </c>
      <c r="L72" s="437">
        <v>0</v>
      </c>
      <c r="M72" s="437">
        <v>1165334</v>
      </c>
      <c r="N72" s="437">
        <v>0</v>
      </c>
      <c r="O72" s="437">
        <v>0</v>
      </c>
      <c r="P72" s="438">
        <f t="shared" si="12"/>
        <v>3524859</v>
      </c>
      <c r="Q72" s="437">
        <v>955119</v>
      </c>
      <c r="R72" s="437">
        <v>631277</v>
      </c>
      <c r="S72" s="437">
        <v>0</v>
      </c>
      <c r="T72" s="437">
        <v>0</v>
      </c>
      <c r="U72" s="437">
        <v>0</v>
      </c>
      <c r="V72" s="437">
        <v>0</v>
      </c>
      <c r="W72" s="437">
        <v>0</v>
      </c>
      <c r="X72" s="437">
        <v>103933</v>
      </c>
      <c r="Y72" s="437">
        <v>0</v>
      </c>
      <c r="Z72" s="437">
        <v>1839762</v>
      </c>
      <c r="AA72" s="437">
        <v>0</v>
      </c>
      <c r="AB72" s="437">
        <v>-5232</v>
      </c>
      <c r="AC72" s="437">
        <v>728387</v>
      </c>
      <c r="AD72" s="437">
        <v>16671</v>
      </c>
      <c r="AE72" s="437">
        <v>600599</v>
      </c>
      <c r="AF72" s="437">
        <v>25918</v>
      </c>
      <c r="AG72" s="437">
        <v>187622</v>
      </c>
      <c r="AH72" s="437">
        <v>148499</v>
      </c>
      <c r="AI72" s="437">
        <v>169887</v>
      </c>
      <c r="AJ72" s="437">
        <v>3386</v>
      </c>
      <c r="AK72" s="437">
        <v>0</v>
      </c>
      <c r="AL72" s="437">
        <v>1573005</v>
      </c>
      <c r="AM72" s="437">
        <v>70885</v>
      </c>
    </row>
    <row r="73" spans="1:39" s="155" customFormat="1" ht="12" x14ac:dyDescent="0.2">
      <c r="A73" s="168">
        <v>19</v>
      </c>
      <c r="B73" s="143">
        <v>160528</v>
      </c>
      <c r="C73" s="248" t="s">
        <v>1642</v>
      </c>
      <c r="D73" s="438">
        <f t="shared" si="11"/>
        <v>6417660</v>
      </c>
      <c r="E73" s="437">
        <v>701698</v>
      </c>
      <c r="F73" s="437">
        <v>89566</v>
      </c>
      <c r="G73" s="437">
        <v>280480</v>
      </c>
      <c r="H73" s="437">
        <v>0</v>
      </c>
      <c r="I73" s="437">
        <v>892000</v>
      </c>
      <c r="J73" s="437">
        <v>0</v>
      </c>
      <c r="K73" s="437">
        <v>997590</v>
      </c>
      <c r="L73" s="437">
        <v>0</v>
      </c>
      <c r="M73" s="437">
        <v>3826372</v>
      </c>
      <c r="N73" s="437">
        <v>0</v>
      </c>
      <c r="O73" s="437">
        <v>0</v>
      </c>
      <c r="P73" s="438">
        <f t="shared" si="12"/>
        <v>6417334</v>
      </c>
      <c r="Q73" s="437">
        <v>1401387</v>
      </c>
      <c r="R73" s="437">
        <v>777248</v>
      </c>
      <c r="S73" s="437">
        <v>0</v>
      </c>
      <c r="T73" s="437">
        <v>0</v>
      </c>
      <c r="U73" s="437">
        <v>0</v>
      </c>
      <c r="V73" s="437">
        <v>0</v>
      </c>
      <c r="W73" s="437">
        <v>0</v>
      </c>
      <c r="X73" s="437">
        <v>110938</v>
      </c>
      <c r="Y73" s="437">
        <v>47076</v>
      </c>
      <c r="Z73" s="437">
        <v>4083476</v>
      </c>
      <c r="AA73" s="437">
        <v>0</v>
      </c>
      <c r="AB73" s="437">
        <v>-2791</v>
      </c>
      <c r="AC73" s="437">
        <v>1197786</v>
      </c>
      <c r="AD73" s="437">
        <v>0</v>
      </c>
      <c r="AE73" s="437">
        <v>679000</v>
      </c>
      <c r="AF73" s="437">
        <v>32551</v>
      </c>
      <c r="AG73" s="437">
        <v>98328</v>
      </c>
      <c r="AH73" s="437">
        <v>305827</v>
      </c>
      <c r="AI73" s="437">
        <v>316243</v>
      </c>
      <c r="AJ73" s="437">
        <v>0</v>
      </c>
      <c r="AK73" s="437">
        <v>0</v>
      </c>
      <c r="AL73" s="437">
        <v>3787599</v>
      </c>
      <c r="AM73" s="437">
        <v>0</v>
      </c>
    </row>
    <row r="74" spans="1:39" s="155" customFormat="1" ht="12" x14ac:dyDescent="0.2">
      <c r="A74" s="168">
        <v>20</v>
      </c>
      <c r="B74" s="143">
        <v>160564</v>
      </c>
      <c r="C74" s="248" t="s">
        <v>1963</v>
      </c>
      <c r="D74" s="438">
        <f t="shared" si="11"/>
        <v>3354474</v>
      </c>
      <c r="E74" s="437">
        <v>878093</v>
      </c>
      <c r="F74" s="437">
        <v>144558</v>
      </c>
      <c r="G74" s="437">
        <v>269590</v>
      </c>
      <c r="H74" s="437">
        <v>0</v>
      </c>
      <c r="I74" s="437">
        <v>1080000</v>
      </c>
      <c r="J74" s="437">
        <v>0</v>
      </c>
      <c r="K74" s="437">
        <v>1096330</v>
      </c>
      <c r="L74" s="437">
        <v>0</v>
      </c>
      <c r="M74" s="437">
        <v>300051</v>
      </c>
      <c r="N74" s="437">
        <v>0</v>
      </c>
      <c r="O74" s="437">
        <v>0</v>
      </c>
      <c r="P74" s="438">
        <f t="shared" si="12"/>
        <v>3407170</v>
      </c>
      <c r="Q74" s="437">
        <v>1525506</v>
      </c>
      <c r="R74" s="437">
        <v>958376</v>
      </c>
      <c r="S74" s="437">
        <v>0</v>
      </c>
      <c r="T74" s="437">
        <v>0</v>
      </c>
      <c r="U74" s="437">
        <v>0</v>
      </c>
      <c r="V74" s="437">
        <v>0</v>
      </c>
      <c r="W74" s="437">
        <v>0</v>
      </c>
      <c r="X74" s="437">
        <v>164564</v>
      </c>
      <c r="Y74" s="437">
        <v>12437</v>
      </c>
      <c r="Z74" s="437">
        <v>746287</v>
      </c>
      <c r="AA74" s="437">
        <v>0</v>
      </c>
      <c r="AB74" s="437">
        <v>0</v>
      </c>
      <c r="AC74" s="437">
        <v>1373479</v>
      </c>
      <c r="AD74" s="437">
        <v>0</v>
      </c>
      <c r="AE74" s="437">
        <v>725000</v>
      </c>
      <c r="AF74" s="437">
        <v>2850</v>
      </c>
      <c r="AG74" s="437">
        <v>51579</v>
      </c>
      <c r="AH74" s="437">
        <v>400509</v>
      </c>
      <c r="AI74" s="437">
        <v>58508</v>
      </c>
      <c r="AJ74" s="437">
        <v>59990</v>
      </c>
      <c r="AK74" s="437">
        <v>0</v>
      </c>
      <c r="AL74" s="437">
        <v>735255</v>
      </c>
      <c r="AM74" s="437">
        <v>0</v>
      </c>
    </row>
    <row r="75" spans="1:39" s="155" customFormat="1" ht="12" x14ac:dyDescent="0.2">
      <c r="A75" s="168">
        <v>21</v>
      </c>
      <c r="B75" s="143">
        <v>161525</v>
      </c>
      <c r="C75" s="248" t="s">
        <v>2009</v>
      </c>
      <c r="D75" s="438">
        <f t="shared" si="11"/>
        <v>2395492</v>
      </c>
      <c r="E75" s="437">
        <v>769915</v>
      </c>
      <c r="F75" s="437">
        <v>49073</v>
      </c>
      <c r="G75" s="437">
        <v>280990</v>
      </c>
      <c r="H75" s="437">
        <v>0</v>
      </c>
      <c r="I75" s="437">
        <v>642561</v>
      </c>
      <c r="J75" s="437">
        <v>0</v>
      </c>
      <c r="K75" s="437">
        <v>868420</v>
      </c>
      <c r="L75" s="437">
        <v>0</v>
      </c>
      <c r="M75" s="437">
        <v>10908</v>
      </c>
      <c r="N75" s="437">
        <v>0</v>
      </c>
      <c r="O75" s="437">
        <v>103688</v>
      </c>
      <c r="P75" s="438">
        <f t="shared" si="12"/>
        <v>2051386</v>
      </c>
      <c r="Q75" s="437">
        <v>999002</v>
      </c>
      <c r="R75" s="437">
        <v>660710</v>
      </c>
      <c r="S75" s="437">
        <v>0</v>
      </c>
      <c r="T75" s="437">
        <v>0</v>
      </c>
      <c r="U75" s="437">
        <v>0</v>
      </c>
      <c r="V75" s="437">
        <v>0</v>
      </c>
      <c r="W75" s="437">
        <v>0</v>
      </c>
      <c r="X75" s="437">
        <v>18195</v>
      </c>
      <c r="Y75" s="437">
        <v>0</v>
      </c>
      <c r="Z75" s="437">
        <v>373479</v>
      </c>
      <c r="AA75" s="437">
        <v>0</v>
      </c>
      <c r="AB75" s="437">
        <v>0</v>
      </c>
      <c r="AC75" s="437">
        <v>694439</v>
      </c>
      <c r="AD75" s="437">
        <v>0</v>
      </c>
      <c r="AE75" s="437">
        <v>627369</v>
      </c>
      <c r="AF75" s="437">
        <v>0</v>
      </c>
      <c r="AG75" s="437">
        <v>312864</v>
      </c>
      <c r="AH75" s="437">
        <v>110567</v>
      </c>
      <c r="AI75" s="437">
        <v>117568</v>
      </c>
      <c r="AJ75" s="437">
        <v>175224</v>
      </c>
      <c r="AK75" s="437">
        <v>0</v>
      </c>
      <c r="AL75" s="437">
        <v>0</v>
      </c>
      <c r="AM75" s="437">
        <v>13355</v>
      </c>
    </row>
    <row r="76" spans="1:39" s="155" customFormat="1" ht="12" x14ac:dyDescent="0.2">
      <c r="A76" s="168">
        <v>22</v>
      </c>
      <c r="B76" s="143">
        <v>160617</v>
      </c>
      <c r="C76" s="248" t="s">
        <v>2010</v>
      </c>
      <c r="D76" s="438">
        <f t="shared" si="11"/>
        <v>7246473</v>
      </c>
      <c r="E76" s="437">
        <v>2107917</v>
      </c>
      <c r="F76" s="437">
        <v>473599</v>
      </c>
      <c r="G76" s="437">
        <v>447189</v>
      </c>
      <c r="H76" s="437">
        <v>0</v>
      </c>
      <c r="I76" s="437">
        <v>2720551</v>
      </c>
      <c r="J76" s="437">
        <v>0</v>
      </c>
      <c r="K76" s="437">
        <v>1756680</v>
      </c>
      <c r="L76" s="437">
        <v>0</v>
      </c>
      <c r="M76" s="437">
        <v>506793</v>
      </c>
      <c r="N76" s="437">
        <v>0</v>
      </c>
      <c r="O76" s="437">
        <v>154532</v>
      </c>
      <c r="P76" s="438">
        <f t="shared" si="12"/>
        <v>6822293</v>
      </c>
      <c r="Q76" s="437">
        <v>2875397</v>
      </c>
      <c r="R76" s="437">
        <v>1508235</v>
      </c>
      <c r="S76" s="437">
        <v>0</v>
      </c>
      <c r="T76" s="437">
        <v>0</v>
      </c>
      <c r="U76" s="437">
        <v>0</v>
      </c>
      <c r="V76" s="437">
        <v>0</v>
      </c>
      <c r="W76" s="437">
        <v>534804</v>
      </c>
      <c r="X76" s="437">
        <v>370837</v>
      </c>
      <c r="Y76" s="437">
        <v>9323</v>
      </c>
      <c r="Z76" s="437">
        <v>1566466</v>
      </c>
      <c r="AA76" s="437">
        <v>0</v>
      </c>
      <c r="AB76" s="437">
        <v>-42769</v>
      </c>
      <c r="AC76" s="437">
        <v>2194559</v>
      </c>
      <c r="AD76" s="437">
        <v>0</v>
      </c>
      <c r="AE76" s="437">
        <v>2185887</v>
      </c>
      <c r="AF76" s="437">
        <v>54283</v>
      </c>
      <c r="AG76" s="437">
        <v>168429</v>
      </c>
      <c r="AH76" s="437">
        <v>760427</v>
      </c>
      <c r="AI76" s="437">
        <v>631855</v>
      </c>
      <c r="AJ76" s="437">
        <v>137131</v>
      </c>
      <c r="AK76" s="437">
        <v>0</v>
      </c>
      <c r="AL76" s="437">
        <v>154764</v>
      </c>
      <c r="AM76" s="437">
        <v>534958</v>
      </c>
    </row>
    <row r="77" spans="1:39" s="155" customFormat="1" ht="12" x14ac:dyDescent="0.2">
      <c r="A77" s="168">
        <v>23</v>
      </c>
      <c r="B77" s="143">
        <v>160644</v>
      </c>
      <c r="C77" s="248" t="s">
        <v>2011</v>
      </c>
      <c r="D77" s="438">
        <f t="shared" si="11"/>
        <v>9548222</v>
      </c>
      <c r="E77" s="437">
        <v>2082903</v>
      </c>
      <c r="F77" s="437">
        <v>440917</v>
      </c>
      <c r="G77" s="437">
        <v>423389</v>
      </c>
      <c r="H77" s="437">
        <v>0</v>
      </c>
      <c r="I77" s="437">
        <v>2130176</v>
      </c>
      <c r="J77" s="437">
        <v>0</v>
      </c>
      <c r="K77" s="437">
        <v>1569510</v>
      </c>
      <c r="L77" s="437">
        <v>0</v>
      </c>
      <c r="M77" s="437">
        <v>1416381</v>
      </c>
      <c r="N77" s="437">
        <v>2329252</v>
      </c>
      <c r="O77" s="437">
        <v>20000</v>
      </c>
      <c r="P77" s="438">
        <f t="shared" si="12"/>
        <v>9573350</v>
      </c>
      <c r="Q77" s="437">
        <v>2525482</v>
      </c>
      <c r="R77" s="437">
        <v>2447117</v>
      </c>
      <c r="S77" s="437">
        <v>11185</v>
      </c>
      <c r="T77" s="437">
        <v>0</v>
      </c>
      <c r="U77" s="437">
        <v>0</v>
      </c>
      <c r="V77" s="437">
        <v>0</v>
      </c>
      <c r="W77" s="437">
        <v>1776086</v>
      </c>
      <c r="X77" s="437">
        <v>414922</v>
      </c>
      <c r="Y77" s="437">
        <v>8600</v>
      </c>
      <c r="Z77" s="437">
        <v>2392170</v>
      </c>
      <c r="AA77" s="437">
        <v>48631</v>
      </c>
      <c r="AB77" s="437">
        <v>-50843</v>
      </c>
      <c r="AC77" s="437">
        <v>1251715</v>
      </c>
      <c r="AD77" s="437">
        <v>0</v>
      </c>
      <c r="AE77" s="437">
        <v>1686448</v>
      </c>
      <c r="AF77" s="437">
        <v>0</v>
      </c>
      <c r="AG77" s="437">
        <v>503858</v>
      </c>
      <c r="AH77" s="437">
        <v>611952</v>
      </c>
      <c r="AI77" s="437">
        <v>2880928</v>
      </c>
      <c r="AJ77" s="437">
        <v>439571</v>
      </c>
      <c r="AK77" s="437">
        <v>0</v>
      </c>
      <c r="AL77" s="437">
        <v>2198878</v>
      </c>
      <c r="AM77" s="437">
        <v>0</v>
      </c>
    </row>
    <row r="78" spans="1:39" s="155" customFormat="1" ht="12" x14ac:dyDescent="0.2">
      <c r="A78" s="168">
        <v>24</v>
      </c>
      <c r="B78" s="143">
        <v>160680</v>
      </c>
      <c r="C78" s="248" t="s">
        <v>611</v>
      </c>
      <c r="D78" s="438">
        <f t="shared" si="11"/>
        <v>11739622</v>
      </c>
      <c r="E78" s="437">
        <v>2287726</v>
      </c>
      <c r="F78" s="437">
        <v>338186</v>
      </c>
      <c r="G78" s="437">
        <v>538139</v>
      </c>
      <c r="H78" s="437">
        <v>0</v>
      </c>
      <c r="I78" s="437">
        <v>2386852</v>
      </c>
      <c r="J78" s="437">
        <v>0</v>
      </c>
      <c r="K78" s="437">
        <v>2042650</v>
      </c>
      <c r="L78" s="437">
        <v>0</v>
      </c>
      <c r="M78" s="437">
        <v>535383</v>
      </c>
      <c r="N78" s="437">
        <v>2664032</v>
      </c>
      <c r="O78" s="437">
        <v>1822979</v>
      </c>
      <c r="P78" s="438">
        <f t="shared" si="12"/>
        <v>11148749</v>
      </c>
      <c r="Q78" s="437">
        <v>2795714</v>
      </c>
      <c r="R78" s="437">
        <v>2143952</v>
      </c>
      <c r="S78" s="437">
        <v>0</v>
      </c>
      <c r="T78" s="437">
        <v>0</v>
      </c>
      <c r="U78" s="437">
        <v>0</v>
      </c>
      <c r="V78" s="437">
        <v>0</v>
      </c>
      <c r="W78" s="437">
        <v>3169591</v>
      </c>
      <c r="X78" s="437">
        <v>222926</v>
      </c>
      <c r="Y78" s="437">
        <v>5765</v>
      </c>
      <c r="Z78" s="437">
        <v>2883301</v>
      </c>
      <c r="AA78" s="437">
        <v>0</v>
      </c>
      <c r="AB78" s="437">
        <v>-72500</v>
      </c>
      <c r="AC78" s="437">
        <v>1968745</v>
      </c>
      <c r="AD78" s="437">
        <v>0</v>
      </c>
      <c r="AE78" s="437">
        <v>1921970</v>
      </c>
      <c r="AF78" s="437">
        <v>96176</v>
      </c>
      <c r="AG78" s="437">
        <v>232109</v>
      </c>
      <c r="AH78" s="437">
        <v>597518</v>
      </c>
      <c r="AI78" s="437">
        <v>180298</v>
      </c>
      <c r="AJ78" s="437">
        <v>2379205</v>
      </c>
      <c r="AK78" s="437">
        <v>0</v>
      </c>
      <c r="AL78" s="437">
        <v>2999483</v>
      </c>
      <c r="AM78" s="437">
        <v>773245</v>
      </c>
    </row>
    <row r="79" spans="1:39" s="155" customFormat="1" ht="12" x14ac:dyDescent="0.2">
      <c r="A79" s="168">
        <v>25</v>
      </c>
      <c r="B79" s="143">
        <v>160724</v>
      </c>
      <c r="C79" s="248" t="s">
        <v>2012</v>
      </c>
      <c r="D79" s="438">
        <f t="shared" si="11"/>
        <v>11209050</v>
      </c>
      <c r="E79" s="437">
        <v>2058628</v>
      </c>
      <c r="F79" s="437">
        <v>545732</v>
      </c>
      <c r="G79" s="437">
        <v>142520</v>
      </c>
      <c r="H79" s="437">
        <v>0</v>
      </c>
      <c r="I79" s="437">
        <v>1338066</v>
      </c>
      <c r="J79" s="437">
        <v>0</v>
      </c>
      <c r="K79" s="437">
        <v>586230</v>
      </c>
      <c r="L79" s="437">
        <v>0</v>
      </c>
      <c r="M79" s="437">
        <v>2484503</v>
      </c>
      <c r="N79" s="437">
        <v>4741623</v>
      </c>
      <c r="O79" s="437">
        <v>0</v>
      </c>
      <c r="P79" s="438">
        <f t="shared" si="12"/>
        <v>11251297</v>
      </c>
      <c r="Q79" s="437">
        <v>1692469</v>
      </c>
      <c r="R79" s="437">
        <v>1713648</v>
      </c>
      <c r="S79" s="437">
        <v>8840</v>
      </c>
      <c r="T79" s="437">
        <v>0</v>
      </c>
      <c r="U79" s="437">
        <v>78150</v>
      </c>
      <c r="V79" s="437">
        <v>0</v>
      </c>
      <c r="W79" s="437">
        <v>7124958</v>
      </c>
      <c r="X79" s="437">
        <v>117395</v>
      </c>
      <c r="Y79" s="437">
        <v>12598</v>
      </c>
      <c r="Z79" s="437">
        <v>469526</v>
      </c>
      <c r="AA79" s="437">
        <v>38870</v>
      </c>
      <c r="AB79" s="437">
        <v>-5157</v>
      </c>
      <c r="AC79" s="437">
        <v>1012841</v>
      </c>
      <c r="AD79" s="437">
        <v>173686</v>
      </c>
      <c r="AE79" s="437">
        <v>1112137</v>
      </c>
      <c r="AF79" s="437">
        <v>56423</v>
      </c>
      <c r="AG79" s="437">
        <v>281611</v>
      </c>
      <c r="AH79" s="437">
        <v>314459</v>
      </c>
      <c r="AI79" s="437">
        <v>7496256</v>
      </c>
      <c r="AJ79" s="437">
        <v>0</v>
      </c>
      <c r="AK79" s="437">
        <v>0</v>
      </c>
      <c r="AL79" s="437">
        <v>803884</v>
      </c>
      <c r="AM79" s="437">
        <v>0</v>
      </c>
    </row>
    <row r="80" spans="1:39" s="155" customFormat="1" ht="12" x14ac:dyDescent="0.2">
      <c r="A80" s="168">
        <v>26</v>
      </c>
      <c r="B80" s="143">
        <v>160779</v>
      </c>
      <c r="C80" s="248" t="s">
        <v>2013</v>
      </c>
      <c r="D80" s="438">
        <f t="shared" si="11"/>
        <v>3256073</v>
      </c>
      <c r="E80" s="437">
        <v>1128164</v>
      </c>
      <c r="F80" s="437">
        <v>125795</v>
      </c>
      <c r="G80" s="437">
        <v>251280</v>
      </c>
      <c r="H80" s="437">
        <v>0</v>
      </c>
      <c r="I80" s="437">
        <v>576292</v>
      </c>
      <c r="J80" s="437">
        <v>0</v>
      </c>
      <c r="K80" s="437">
        <v>886430</v>
      </c>
      <c r="L80" s="437">
        <v>0</v>
      </c>
      <c r="M80" s="437">
        <v>151293</v>
      </c>
      <c r="N80" s="437">
        <v>513894</v>
      </c>
      <c r="O80" s="437">
        <v>0</v>
      </c>
      <c r="P80" s="438">
        <f t="shared" si="12"/>
        <v>4765468</v>
      </c>
      <c r="Q80" s="437">
        <v>930283</v>
      </c>
      <c r="R80" s="437">
        <v>1034979</v>
      </c>
      <c r="S80" s="437">
        <v>0</v>
      </c>
      <c r="T80" s="437">
        <v>0</v>
      </c>
      <c r="U80" s="437">
        <v>0</v>
      </c>
      <c r="V80" s="437">
        <v>0</v>
      </c>
      <c r="W80" s="437">
        <v>1403552</v>
      </c>
      <c r="X80" s="437">
        <v>51259</v>
      </c>
      <c r="Y80" s="437">
        <v>5997</v>
      </c>
      <c r="Z80" s="437">
        <v>1354397</v>
      </c>
      <c r="AA80" s="437">
        <v>0</v>
      </c>
      <c r="AB80" s="437">
        <v>-14999</v>
      </c>
      <c r="AC80" s="437">
        <v>727865</v>
      </c>
      <c r="AD80" s="437">
        <v>0</v>
      </c>
      <c r="AE80" s="437">
        <v>546583</v>
      </c>
      <c r="AF80" s="437">
        <v>38677</v>
      </c>
      <c r="AG80" s="437">
        <v>36110</v>
      </c>
      <c r="AH80" s="437">
        <v>114756</v>
      </c>
      <c r="AI80" s="437">
        <v>587483</v>
      </c>
      <c r="AJ80" s="437">
        <v>0</v>
      </c>
      <c r="AK80" s="437">
        <v>0</v>
      </c>
      <c r="AL80" s="437">
        <v>2380681</v>
      </c>
      <c r="AM80" s="437">
        <v>333313</v>
      </c>
    </row>
    <row r="81" spans="1:39" s="155" customFormat="1" ht="12" x14ac:dyDescent="0.2">
      <c r="A81" s="168">
        <v>27</v>
      </c>
      <c r="B81" s="143">
        <v>160831</v>
      </c>
      <c r="C81" s="248" t="s">
        <v>2014</v>
      </c>
      <c r="D81" s="438">
        <f t="shared" si="11"/>
        <v>3791439</v>
      </c>
      <c r="E81" s="437">
        <v>1032554</v>
      </c>
      <c r="F81" s="437">
        <v>329194</v>
      </c>
      <c r="G81" s="437">
        <v>261620</v>
      </c>
      <c r="H81" s="437">
        <v>0</v>
      </c>
      <c r="I81" s="437">
        <v>1230431</v>
      </c>
      <c r="J81" s="437">
        <v>0</v>
      </c>
      <c r="K81" s="437">
        <v>1011820</v>
      </c>
      <c r="L81" s="437">
        <v>0</v>
      </c>
      <c r="M81" s="437">
        <v>205874</v>
      </c>
      <c r="N81" s="437">
        <v>310760</v>
      </c>
      <c r="O81" s="437">
        <v>0</v>
      </c>
      <c r="P81" s="438">
        <f t="shared" si="12"/>
        <v>3390381</v>
      </c>
      <c r="Q81" s="437">
        <v>1586799</v>
      </c>
      <c r="R81" s="437">
        <v>1189989</v>
      </c>
      <c r="S81" s="437">
        <v>0</v>
      </c>
      <c r="T81" s="437">
        <v>0</v>
      </c>
      <c r="U81" s="437">
        <v>0</v>
      </c>
      <c r="V81" s="437">
        <v>0</v>
      </c>
      <c r="W81" s="437">
        <v>290635</v>
      </c>
      <c r="X81" s="437">
        <v>149946</v>
      </c>
      <c r="Y81" s="437">
        <v>16000</v>
      </c>
      <c r="Z81" s="437">
        <v>171528</v>
      </c>
      <c r="AA81" s="437">
        <v>0</v>
      </c>
      <c r="AB81" s="437">
        <v>-14516</v>
      </c>
      <c r="AC81" s="437">
        <v>1079271</v>
      </c>
      <c r="AD81" s="437">
        <v>806</v>
      </c>
      <c r="AE81" s="437">
        <v>1037183</v>
      </c>
      <c r="AF81" s="437">
        <v>31</v>
      </c>
      <c r="AG81" s="437">
        <v>31755</v>
      </c>
      <c r="AH81" s="437">
        <v>280122</v>
      </c>
      <c r="AI81" s="437">
        <v>491838</v>
      </c>
      <c r="AJ81" s="437">
        <v>48446</v>
      </c>
      <c r="AK81" s="437">
        <v>0</v>
      </c>
      <c r="AL81" s="437">
        <v>420929</v>
      </c>
      <c r="AM81" s="437">
        <v>0</v>
      </c>
    </row>
    <row r="82" spans="1:39" s="155" customFormat="1" ht="12" x14ac:dyDescent="0.2">
      <c r="A82" s="168">
        <v>28</v>
      </c>
      <c r="B82" s="143">
        <v>160877</v>
      </c>
      <c r="C82" s="248" t="s">
        <v>2015</v>
      </c>
      <c r="D82" s="438">
        <f t="shared" si="11"/>
        <v>9549538</v>
      </c>
      <c r="E82" s="437">
        <v>3030684</v>
      </c>
      <c r="F82" s="437">
        <v>1356982</v>
      </c>
      <c r="G82" s="437">
        <v>243980</v>
      </c>
      <c r="H82" s="437">
        <v>0</v>
      </c>
      <c r="I82" s="437">
        <v>1357993</v>
      </c>
      <c r="J82" s="437">
        <v>0</v>
      </c>
      <c r="K82" s="437">
        <v>934850</v>
      </c>
      <c r="L82" s="437">
        <v>0</v>
      </c>
      <c r="M82" s="437">
        <v>1646308</v>
      </c>
      <c r="N82" s="437">
        <v>2574703</v>
      </c>
      <c r="O82" s="437">
        <v>5000</v>
      </c>
      <c r="P82" s="438">
        <f t="shared" si="12"/>
        <v>7783986</v>
      </c>
      <c r="Q82" s="437">
        <v>1801885</v>
      </c>
      <c r="R82" s="437">
        <v>2902238</v>
      </c>
      <c r="S82" s="437">
        <v>0</v>
      </c>
      <c r="T82" s="437">
        <v>0</v>
      </c>
      <c r="U82" s="437">
        <v>0</v>
      </c>
      <c r="V82" s="437">
        <v>0</v>
      </c>
      <c r="W82" s="437">
        <v>1301253</v>
      </c>
      <c r="X82" s="437">
        <v>211486</v>
      </c>
      <c r="Y82" s="437">
        <v>22865</v>
      </c>
      <c r="Z82" s="437">
        <v>1544259</v>
      </c>
      <c r="AA82" s="437">
        <v>0</v>
      </c>
      <c r="AB82" s="437">
        <v>0</v>
      </c>
      <c r="AC82" s="437">
        <v>2253452</v>
      </c>
      <c r="AD82" s="437">
        <v>4850</v>
      </c>
      <c r="AE82" s="437">
        <v>1160386</v>
      </c>
      <c r="AF82" s="437">
        <v>61169</v>
      </c>
      <c r="AG82" s="437">
        <v>1066344</v>
      </c>
      <c r="AH82" s="437">
        <v>395484</v>
      </c>
      <c r="AI82" s="437">
        <v>389064</v>
      </c>
      <c r="AJ82" s="437">
        <v>219821</v>
      </c>
      <c r="AK82" s="437">
        <v>0</v>
      </c>
      <c r="AL82" s="437">
        <v>2233416</v>
      </c>
      <c r="AM82" s="437">
        <v>0</v>
      </c>
    </row>
    <row r="83" spans="1:39" s="155" customFormat="1" ht="12" x14ac:dyDescent="0.2">
      <c r="A83" s="168">
        <v>29</v>
      </c>
      <c r="B83" s="143">
        <v>160911</v>
      </c>
      <c r="C83" s="248" t="s">
        <v>2016</v>
      </c>
      <c r="D83" s="438">
        <f t="shared" si="11"/>
        <v>7389986</v>
      </c>
      <c r="E83" s="437">
        <v>3202797</v>
      </c>
      <c r="F83" s="437">
        <v>457007</v>
      </c>
      <c r="G83" s="437">
        <v>164420</v>
      </c>
      <c r="H83" s="437">
        <v>0</v>
      </c>
      <c r="I83" s="437">
        <v>1556233</v>
      </c>
      <c r="J83" s="437">
        <v>0</v>
      </c>
      <c r="K83" s="437">
        <v>726440</v>
      </c>
      <c r="L83" s="437">
        <v>0</v>
      </c>
      <c r="M83" s="437">
        <v>128840</v>
      </c>
      <c r="N83" s="437">
        <v>1775676</v>
      </c>
      <c r="O83" s="437">
        <v>0</v>
      </c>
      <c r="P83" s="438">
        <f t="shared" si="12"/>
        <v>7965334</v>
      </c>
      <c r="Q83" s="437">
        <v>1743695</v>
      </c>
      <c r="R83" s="437">
        <v>1897814</v>
      </c>
      <c r="S83" s="437">
        <v>0</v>
      </c>
      <c r="T83" s="437">
        <v>0</v>
      </c>
      <c r="U83" s="437">
        <v>0</v>
      </c>
      <c r="V83" s="437">
        <v>0</v>
      </c>
      <c r="W83" s="437">
        <v>3087396</v>
      </c>
      <c r="X83" s="437">
        <v>175882</v>
      </c>
      <c r="Y83" s="437">
        <v>671266</v>
      </c>
      <c r="Z83" s="437">
        <v>417247</v>
      </c>
      <c r="AA83" s="437">
        <v>0</v>
      </c>
      <c r="AB83" s="437">
        <v>-27966</v>
      </c>
      <c r="AC83" s="437">
        <v>982333</v>
      </c>
      <c r="AD83" s="437">
        <v>0</v>
      </c>
      <c r="AE83" s="437">
        <v>1422776</v>
      </c>
      <c r="AF83" s="437">
        <v>4440</v>
      </c>
      <c r="AG83" s="437">
        <v>1231038</v>
      </c>
      <c r="AH83" s="437">
        <v>322155</v>
      </c>
      <c r="AI83" s="437">
        <v>3074248</v>
      </c>
      <c r="AJ83" s="437">
        <v>265916</v>
      </c>
      <c r="AK83" s="437">
        <v>0</v>
      </c>
      <c r="AL83" s="437">
        <v>662428</v>
      </c>
      <c r="AM83" s="437">
        <v>0</v>
      </c>
    </row>
    <row r="84" spans="1:39" s="155" customFormat="1" ht="12" x14ac:dyDescent="0.2">
      <c r="A84" s="168">
        <v>30</v>
      </c>
      <c r="B84" s="143">
        <v>160993</v>
      </c>
      <c r="C84" s="248" t="s">
        <v>2017</v>
      </c>
      <c r="D84" s="438">
        <f t="shared" si="11"/>
        <v>3746154</v>
      </c>
      <c r="E84" s="437">
        <v>1500984</v>
      </c>
      <c r="F84" s="437">
        <v>288126</v>
      </c>
      <c r="G84" s="437">
        <v>166730</v>
      </c>
      <c r="H84" s="437">
        <v>0</v>
      </c>
      <c r="I84" s="437">
        <v>1483000</v>
      </c>
      <c r="J84" s="437">
        <v>0</v>
      </c>
      <c r="K84" s="437">
        <v>759240</v>
      </c>
      <c r="L84" s="437">
        <v>0</v>
      </c>
      <c r="M84" s="437">
        <v>2930</v>
      </c>
      <c r="N84" s="437">
        <v>0</v>
      </c>
      <c r="O84" s="437">
        <v>0</v>
      </c>
      <c r="P84" s="438">
        <f t="shared" si="12"/>
        <v>3868472</v>
      </c>
      <c r="Q84" s="437">
        <v>1752597</v>
      </c>
      <c r="R84" s="437">
        <v>1231661</v>
      </c>
      <c r="S84" s="437">
        <v>0</v>
      </c>
      <c r="T84" s="437">
        <v>0</v>
      </c>
      <c r="U84" s="437">
        <v>0</v>
      </c>
      <c r="V84" s="437">
        <v>0</v>
      </c>
      <c r="W84" s="437">
        <v>0</v>
      </c>
      <c r="X84" s="437">
        <v>150210</v>
      </c>
      <c r="Y84" s="437">
        <v>80000</v>
      </c>
      <c r="Z84" s="437">
        <v>654004</v>
      </c>
      <c r="AA84" s="437">
        <v>0</v>
      </c>
      <c r="AB84" s="437">
        <v>0</v>
      </c>
      <c r="AC84" s="437">
        <v>1408870</v>
      </c>
      <c r="AD84" s="437">
        <v>13000</v>
      </c>
      <c r="AE84" s="437">
        <v>1128000</v>
      </c>
      <c r="AF84" s="437">
        <v>0</v>
      </c>
      <c r="AG84" s="437">
        <v>262540</v>
      </c>
      <c r="AH84" s="437">
        <v>458210</v>
      </c>
      <c r="AI84" s="437">
        <v>329091</v>
      </c>
      <c r="AJ84" s="437">
        <v>79999</v>
      </c>
      <c r="AK84" s="437">
        <v>0</v>
      </c>
      <c r="AL84" s="437">
        <v>159461</v>
      </c>
      <c r="AM84" s="437">
        <v>29301</v>
      </c>
    </row>
    <row r="85" spans="1:39" s="155" customFormat="1" ht="12" x14ac:dyDescent="0.2">
      <c r="A85" s="168">
        <v>31</v>
      </c>
      <c r="B85" s="143">
        <v>161035</v>
      </c>
      <c r="C85" s="248" t="s">
        <v>2018</v>
      </c>
      <c r="D85" s="438">
        <f t="shared" si="11"/>
        <v>5622793</v>
      </c>
      <c r="E85" s="437">
        <v>1903003</v>
      </c>
      <c r="F85" s="437">
        <v>529308</v>
      </c>
      <c r="G85" s="437">
        <v>355120</v>
      </c>
      <c r="H85" s="437">
        <v>0</v>
      </c>
      <c r="I85" s="437">
        <v>1970950</v>
      </c>
      <c r="J85" s="437">
        <v>0</v>
      </c>
      <c r="K85" s="437">
        <v>1434870</v>
      </c>
      <c r="L85" s="437">
        <v>0</v>
      </c>
      <c r="M85" s="437">
        <v>278970</v>
      </c>
      <c r="N85" s="437">
        <v>0</v>
      </c>
      <c r="O85" s="437">
        <v>35000</v>
      </c>
      <c r="P85" s="438">
        <f t="shared" si="12"/>
        <v>4060343</v>
      </c>
      <c r="Q85" s="437">
        <v>2301451</v>
      </c>
      <c r="R85" s="437">
        <v>1060671</v>
      </c>
      <c r="S85" s="437">
        <v>0</v>
      </c>
      <c r="T85" s="437">
        <v>0</v>
      </c>
      <c r="U85" s="437">
        <v>0</v>
      </c>
      <c r="V85" s="437">
        <v>38350</v>
      </c>
      <c r="W85" s="437">
        <v>0</v>
      </c>
      <c r="X85" s="437">
        <v>308485</v>
      </c>
      <c r="Y85" s="437">
        <v>49600</v>
      </c>
      <c r="Z85" s="437">
        <v>301786</v>
      </c>
      <c r="AA85" s="437">
        <v>0</v>
      </c>
      <c r="AB85" s="437">
        <v>0</v>
      </c>
      <c r="AC85" s="437">
        <v>848500</v>
      </c>
      <c r="AD85" s="437">
        <v>77253</v>
      </c>
      <c r="AE85" s="437">
        <v>1514550</v>
      </c>
      <c r="AF85" s="437">
        <v>38685</v>
      </c>
      <c r="AG85" s="437">
        <v>143793</v>
      </c>
      <c r="AH85" s="437">
        <v>688771</v>
      </c>
      <c r="AI85" s="437">
        <v>347863</v>
      </c>
      <c r="AJ85" s="437">
        <v>214215</v>
      </c>
      <c r="AK85" s="437">
        <v>0</v>
      </c>
      <c r="AL85" s="437">
        <v>148363</v>
      </c>
      <c r="AM85" s="437">
        <v>38350</v>
      </c>
    </row>
    <row r="86" spans="1:39" s="155" customFormat="1" ht="12" x14ac:dyDescent="0.2">
      <c r="A86" s="168">
        <v>32</v>
      </c>
      <c r="B86" s="143">
        <v>161053</v>
      </c>
      <c r="C86" s="248" t="s">
        <v>2019</v>
      </c>
      <c r="D86" s="438">
        <f t="shared" si="11"/>
        <v>6609982</v>
      </c>
      <c r="E86" s="437">
        <v>1411920</v>
      </c>
      <c r="F86" s="437">
        <v>292693</v>
      </c>
      <c r="G86" s="437">
        <v>206780</v>
      </c>
      <c r="H86" s="437">
        <v>0</v>
      </c>
      <c r="I86" s="437">
        <v>1167568</v>
      </c>
      <c r="J86" s="437">
        <v>0</v>
      </c>
      <c r="K86" s="437">
        <v>881000</v>
      </c>
      <c r="L86" s="437">
        <v>0</v>
      </c>
      <c r="M86" s="437">
        <v>1852959</v>
      </c>
      <c r="N86" s="437">
        <v>1287335</v>
      </c>
      <c r="O86" s="437">
        <v>9200</v>
      </c>
      <c r="P86" s="438">
        <f t="shared" si="12"/>
        <v>6841583</v>
      </c>
      <c r="Q86" s="437">
        <v>1513458</v>
      </c>
      <c r="R86" s="437">
        <v>874982</v>
      </c>
      <c r="S86" s="437">
        <v>0</v>
      </c>
      <c r="T86" s="437">
        <v>0</v>
      </c>
      <c r="U86" s="437">
        <v>0</v>
      </c>
      <c r="V86" s="437">
        <v>0</v>
      </c>
      <c r="W86" s="437">
        <v>1999208</v>
      </c>
      <c r="X86" s="437">
        <v>190743</v>
      </c>
      <c r="Y86" s="437">
        <v>5185</v>
      </c>
      <c r="Z86" s="437">
        <v>2271067</v>
      </c>
      <c r="AA86" s="437">
        <v>0</v>
      </c>
      <c r="AB86" s="437">
        <v>-13060</v>
      </c>
      <c r="AC86" s="437">
        <v>949570</v>
      </c>
      <c r="AD86" s="437">
        <v>15327</v>
      </c>
      <c r="AE86" s="437">
        <v>1024217</v>
      </c>
      <c r="AF86" s="437">
        <v>4057</v>
      </c>
      <c r="AG86" s="437">
        <v>90372</v>
      </c>
      <c r="AH86" s="437">
        <v>343309</v>
      </c>
      <c r="AI86" s="437">
        <v>372449</v>
      </c>
      <c r="AJ86" s="437">
        <v>165472</v>
      </c>
      <c r="AK86" s="437">
        <v>0</v>
      </c>
      <c r="AL86" s="437">
        <v>3408004</v>
      </c>
      <c r="AM86" s="437">
        <v>468806</v>
      </c>
    </row>
    <row r="87" spans="1:39" s="155" customFormat="1" ht="12" x14ac:dyDescent="0.2">
      <c r="A87" s="168">
        <v>33</v>
      </c>
      <c r="B87" s="143">
        <v>161106</v>
      </c>
      <c r="C87" s="248" t="s">
        <v>2020</v>
      </c>
      <c r="D87" s="438">
        <f t="shared" si="11"/>
        <v>4134767</v>
      </c>
      <c r="E87" s="437">
        <v>767915</v>
      </c>
      <c r="F87" s="437">
        <v>94087</v>
      </c>
      <c r="G87" s="437">
        <v>272310</v>
      </c>
      <c r="H87" s="437">
        <v>0</v>
      </c>
      <c r="I87" s="437">
        <v>1331168</v>
      </c>
      <c r="J87" s="437">
        <v>0</v>
      </c>
      <c r="K87" s="437">
        <v>969640</v>
      </c>
      <c r="L87" s="437">
        <v>0</v>
      </c>
      <c r="M87" s="437">
        <v>1066044</v>
      </c>
      <c r="N87" s="437">
        <v>0</v>
      </c>
      <c r="O87" s="437">
        <v>0</v>
      </c>
      <c r="P87" s="438">
        <f t="shared" si="12"/>
        <v>3790770</v>
      </c>
      <c r="Q87" s="437">
        <v>1594765</v>
      </c>
      <c r="R87" s="437">
        <v>645047</v>
      </c>
      <c r="S87" s="437">
        <v>0</v>
      </c>
      <c r="T87" s="437">
        <v>0</v>
      </c>
      <c r="U87" s="437">
        <v>13000</v>
      </c>
      <c r="V87" s="437">
        <v>12000</v>
      </c>
      <c r="W87" s="437">
        <v>770602</v>
      </c>
      <c r="X87" s="437">
        <v>224742</v>
      </c>
      <c r="Y87" s="437">
        <v>17355</v>
      </c>
      <c r="Z87" s="437">
        <v>514241</v>
      </c>
      <c r="AA87" s="437">
        <v>0</v>
      </c>
      <c r="AB87" s="437">
        <v>-982</v>
      </c>
      <c r="AC87" s="437">
        <v>1847429</v>
      </c>
      <c r="AD87" s="437">
        <v>139128</v>
      </c>
      <c r="AE87" s="437">
        <v>968451</v>
      </c>
      <c r="AF87" s="437">
        <v>0</v>
      </c>
      <c r="AG87" s="437">
        <v>35900</v>
      </c>
      <c r="AH87" s="437">
        <v>514636</v>
      </c>
      <c r="AI87" s="437">
        <v>236529</v>
      </c>
      <c r="AJ87" s="437">
        <v>41200</v>
      </c>
      <c r="AK87" s="437">
        <v>0</v>
      </c>
      <c r="AL87" s="437">
        <v>0</v>
      </c>
      <c r="AM87" s="437">
        <v>7497</v>
      </c>
    </row>
    <row r="88" spans="1:39" s="155" customFormat="1" ht="12" x14ac:dyDescent="0.2">
      <c r="A88" s="168">
        <v>34</v>
      </c>
      <c r="B88" s="143">
        <v>161133</v>
      </c>
      <c r="C88" s="248" t="s">
        <v>2021</v>
      </c>
      <c r="D88" s="438">
        <f t="shared" si="11"/>
        <v>1779811</v>
      </c>
      <c r="E88" s="437">
        <v>984488</v>
      </c>
      <c r="F88" s="437">
        <v>335029</v>
      </c>
      <c r="G88" s="437">
        <v>138790</v>
      </c>
      <c r="H88" s="437">
        <v>0</v>
      </c>
      <c r="I88" s="437">
        <v>277014</v>
      </c>
      <c r="J88" s="437">
        <v>0</v>
      </c>
      <c r="K88" s="437">
        <v>491310</v>
      </c>
      <c r="L88" s="437">
        <v>0</v>
      </c>
      <c r="M88" s="437">
        <v>26999</v>
      </c>
      <c r="N88" s="437">
        <v>0</v>
      </c>
      <c r="O88" s="437">
        <v>0</v>
      </c>
      <c r="P88" s="438">
        <f t="shared" si="12"/>
        <v>1641561</v>
      </c>
      <c r="Q88" s="437">
        <v>608360</v>
      </c>
      <c r="R88" s="437">
        <v>815041</v>
      </c>
      <c r="S88" s="437">
        <v>0</v>
      </c>
      <c r="T88" s="437">
        <v>0</v>
      </c>
      <c r="U88" s="437">
        <v>0</v>
      </c>
      <c r="V88" s="437">
        <v>0</v>
      </c>
      <c r="W88" s="437">
        <v>0</v>
      </c>
      <c r="X88" s="437">
        <v>14769</v>
      </c>
      <c r="Y88" s="437">
        <v>950</v>
      </c>
      <c r="Z88" s="437">
        <v>202486</v>
      </c>
      <c r="AA88" s="437">
        <v>0</v>
      </c>
      <c r="AB88" s="437">
        <v>-45</v>
      </c>
      <c r="AC88" s="437">
        <v>624027</v>
      </c>
      <c r="AD88" s="437">
        <v>54949</v>
      </c>
      <c r="AE88" s="437">
        <v>237625</v>
      </c>
      <c r="AF88" s="437">
        <v>31590</v>
      </c>
      <c r="AG88" s="437">
        <v>55583</v>
      </c>
      <c r="AH88" s="437">
        <v>62730</v>
      </c>
      <c r="AI88" s="437">
        <v>213207</v>
      </c>
      <c r="AJ88" s="437">
        <v>27072</v>
      </c>
      <c r="AK88" s="437">
        <v>0</v>
      </c>
      <c r="AL88" s="437">
        <v>0</v>
      </c>
      <c r="AM88" s="437">
        <v>334778</v>
      </c>
    </row>
    <row r="89" spans="1:39" s="155" customFormat="1" ht="12" x14ac:dyDescent="0.2">
      <c r="A89" s="168">
        <v>35</v>
      </c>
      <c r="B89" s="143">
        <v>161151</v>
      </c>
      <c r="C89" s="248" t="s">
        <v>2022</v>
      </c>
      <c r="D89" s="438">
        <f t="shared" si="11"/>
        <v>3051488</v>
      </c>
      <c r="E89" s="437">
        <v>882821</v>
      </c>
      <c r="F89" s="437">
        <v>147409</v>
      </c>
      <c r="G89" s="437">
        <v>282820</v>
      </c>
      <c r="H89" s="437">
        <v>0</v>
      </c>
      <c r="I89" s="437">
        <v>763000</v>
      </c>
      <c r="J89" s="437">
        <v>0</v>
      </c>
      <c r="K89" s="437">
        <v>1007090</v>
      </c>
      <c r="L89" s="437">
        <v>0</v>
      </c>
      <c r="M89" s="437">
        <v>385577</v>
      </c>
      <c r="N89" s="437">
        <v>0</v>
      </c>
      <c r="O89" s="437">
        <v>13000</v>
      </c>
      <c r="P89" s="438">
        <f t="shared" si="12"/>
        <v>2463742</v>
      </c>
      <c r="Q89" s="437">
        <v>978628</v>
      </c>
      <c r="R89" s="437">
        <v>679030</v>
      </c>
      <c r="S89" s="437">
        <v>0</v>
      </c>
      <c r="T89" s="437">
        <v>0</v>
      </c>
      <c r="U89" s="437">
        <v>0</v>
      </c>
      <c r="V89" s="437">
        <v>0</v>
      </c>
      <c r="W89" s="437">
        <v>0</v>
      </c>
      <c r="X89" s="437">
        <v>191685</v>
      </c>
      <c r="Y89" s="437">
        <v>4890</v>
      </c>
      <c r="Z89" s="437">
        <v>610109</v>
      </c>
      <c r="AA89" s="437">
        <v>0</v>
      </c>
      <c r="AB89" s="437">
        <v>-600</v>
      </c>
      <c r="AC89" s="437">
        <v>668303</v>
      </c>
      <c r="AD89" s="437">
        <v>38431</v>
      </c>
      <c r="AE89" s="437">
        <v>658825</v>
      </c>
      <c r="AF89" s="437">
        <v>23435</v>
      </c>
      <c r="AG89" s="437">
        <v>101538</v>
      </c>
      <c r="AH89" s="437">
        <v>233391</v>
      </c>
      <c r="AI89" s="437">
        <v>133775</v>
      </c>
      <c r="AJ89" s="437">
        <v>65929</v>
      </c>
      <c r="AK89" s="437">
        <v>0</v>
      </c>
      <c r="AL89" s="437">
        <v>524377</v>
      </c>
      <c r="AM89" s="437">
        <v>15738</v>
      </c>
    </row>
    <row r="90" spans="1:39" s="155" customFormat="1" ht="12" x14ac:dyDescent="0.2">
      <c r="A90" s="168">
        <v>36</v>
      </c>
      <c r="B90" s="143">
        <v>161179</v>
      </c>
      <c r="C90" s="248" t="s">
        <v>2023</v>
      </c>
      <c r="D90" s="438">
        <f t="shared" si="11"/>
        <v>11060549</v>
      </c>
      <c r="E90" s="437">
        <v>3570370</v>
      </c>
      <c r="F90" s="437">
        <v>1038707</v>
      </c>
      <c r="G90" s="437">
        <v>468079</v>
      </c>
      <c r="H90" s="437">
        <v>0</v>
      </c>
      <c r="I90" s="437">
        <v>2673928</v>
      </c>
      <c r="J90" s="437">
        <v>0</v>
      </c>
      <c r="K90" s="437">
        <v>1938080</v>
      </c>
      <c r="L90" s="437">
        <v>0</v>
      </c>
      <c r="M90" s="437">
        <v>1451998</v>
      </c>
      <c r="N90" s="437">
        <v>1426173</v>
      </c>
      <c r="O90" s="437">
        <v>0</v>
      </c>
      <c r="P90" s="438">
        <f t="shared" si="12"/>
        <v>11139577</v>
      </c>
      <c r="Q90" s="437">
        <v>2979038</v>
      </c>
      <c r="R90" s="437">
        <v>2129131</v>
      </c>
      <c r="S90" s="437">
        <v>0</v>
      </c>
      <c r="T90" s="437">
        <v>0</v>
      </c>
      <c r="U90" s="437">
        <v>0</v>
      </c>
      <c r="V90" s="437">
        <v>0</v>
      </c>
      <c r="W90" s="437">
        <v>1993096</v>
      </c>
      <c r="X90" s="437">
        <v>363889</v>
      </c>
      <c r="Y90" s="437">
        <v>100513</v>
      </c>
      <c r="Z90" s="437">
        <v>3588566</v>
      </c>
      <c r="AA90" s="437">
        <v>0</v>
      </c>
      <c r="AB90" s="437">
        <v>-14656</v>
      </c>
      <c r="AC90" s="437">
        <v>1730209</v>
      </c>
      <c r="AD90" s="437">
        <v>197976</v>
      </c>
      <c r="AE90" s="437">
        <v>2235047</v>
      </c>
      <c r="AF90" s="437">
        <v>-1212</v>
      </c>
      <c r="AG90" s="437">
        <v>401625</v>
      </c>
      <c r="AH90" s="437">
        <v>792550</v>
      </c>
      <c r="AI90" s="437">
        <v>1967769</v>
      </c>
      <c r="AJ90" s="437">
        <v>229755</v>
      </c>
      <c r="AK90" s="437">
        <v>0</v>
      </c>
      <c r="AL90" s="437">
        <v>3340254</v>
      </c>
      <c r="AM90" s="437">
        <v>245604</v>
      </c>
    </row>
    <row r="91" spans="1:39" s="155" customFormat="1" ht="12" x14ac:dyDescent="0.2">
      <c r="A91" s="168">
        <v>37</v>
      </c>
      <c r="B91" s="143">
        <v>161231</v>
      </c>
      <c r="C91" s="248" t="s">
        <v>1306</v>
      </c>
      <c r="D91" s="438">
        <f t="shared" si="11"/>
        <v>2644343</v>
      </c>
      <c r="E91" s="437">
        <v>936894</v>
      </c>
      <c r="F91" s="437">
        <v>166115</v>
      </c>
      <c r="G91" s="437">
        <v>245280</v>
      </c>
      <c r="H91" s="437">
        <v>0</v>
      </c>
      <c r="I91" s="437">
        <v>404123</v>
      </c>
      <c r="J91" s="437">
        <v>0</v>
      </c>
      <c r="K91" s="437">
        <v>681600</v>
      </c>
      <c r="L91" s="437">
        <v>0</v>
      </c>
      <c r="M91" s="437">
        <v>621726</v>
      </c>
      <c r="N91" s="437">
        <v>0</v>
      </c>
      <c r="O91" s="437">
        <v>0</v>
      </c>
      <c r="P91" s="438">
        <f t="shared" si="12"/>
        <v>6508412</v>
      </c>
      <c r="Q91" s="437">
        <v>815362</v>
      </c>
      <c r="R91" s="437">
        <v>642286</v>
      </c>
      <c r="S91" s="437">
        <v>82800</v>
      </c>
      <c r="T91" s="437">
        <v>0</v>
      </c>
      <c r="U91" s="437">
        <v>0</v>
      </c>
      <c r="V91" s="437">
        <v>0</v>
      </c>
      <c r="W91" s="437">
        <v>4609613</v>
      </c>
      <c r="X91" s="437">
        <v>40143</v>
      </c>
      <c r="Y91" s="437">
        <v>0</v>
      </c>
      <c r="Z91" s="437">
        <v>193208</v>
      </c>
      <c r="AA91" s="437">
        <v>125000</v>
      </c>
      <c r="AB91" s="437">
        <v>0</v>
      </c>
      <c r="AC91" s="437">
        <v>738315</v>
      </c>
      <c r="AD91" s="437">
        <v>45695</v>
      </c>
      <c r="AE91" s="437">
        <v>335463</v>
      </c>
      <c r="AF91" s="437">
        <v>1430584</v>
      </c>
      <c r="AG91" s="437">
        <v>127697</v>
      </c>
      <c r="AH91" s="437">
        <v>132926</v>
      </c>
      <c r="AI91" s="437">
        <v>156278</v>
      </c>
      <c r="AJ91" s="437">
        <v>0</v>
      </c>
      <c r="AK91" s="437">
        <v>0</v>
      </c>
      <c r="AL91" s="437">
        <v>1049095</v>
      </c>
      <c r="AM91" s="437">
        <v>2492359</v>
      </c>
    </row>
    <row r="92" spans="1:39" s="155" customFormat="1" ht="12" x14ac:dyDescent="0.2">
      <c r="A92" s="168">
        <v>38</v>
      </c>
      <c r="B92" s="143">
        <v>161259</v>
      </c>
      <c r="C92" s="248" t="s">
        <v>2024</v>
      </c>
      <c r="D92" s="438">
        <f t="shared" si="11"/>
        <v>4343160</v>
      </c>
      <c r="E92" s="437">
        <v>826103</v>
      </c>
      <c r="F92" s="437">
        <v>119823</v>
      </c>
      <c r="G92" s="437">
        <v>326340</v>
      </c>
      <c r="H92" s="437">
        <v>0</v>
      </c>
      <c r="I92" s="437">
        <v>619000</v>
      </c>
      <c r="J92" s="437">
        <v>0</v>
      </c>
      <c r="K92" s="437">
        <v>1179310</v>
      </c>
      <c r="L92" s="437">
        <v>0</v>
      </c>
      <c r="M92" s="437">
        <v>1718747</v>
      </c>
      <c r="N92" s="437">
        <v>0</v>
      </c>
      <c r="O92" s="437">
        <v>0</v>
      </c>
      <c r="P92" s="438">
        <f t="shared" si="12"/>
        <v>4805619</v>
      </c>
      <c r="Q92" s="437">
        <v>972982</v>
      </c>
      <c r="R92" s="437">
        <v>1100083</v>
      </c>
      <c r="S92" s="437">
        <v>0</v>
      </c>
      <c r="T92" s="437">
        <v>0</v>
      </c>
      <c r="U92" s="437">
        <v>0</v>
      </c>
      <c r="V92" s="437">
        <v>0</v>
      </c>
      <c r="W92" s="437">
        <v>2325268</v>
      </c>
      <c r="X92" s="437">
        <v>155644</v>
      </c>
      <c r="Y92" s="437">
        <v>3630</v>
      </c>
      <c r="Z92" s="437">
        <v>248012</v>
      </c>
      <c r="AA92" s="437">
        <v>0</v>
      </c>
      <c r="AB92" s="437">
        <v>0</v>
      </c>
      <c r="AC92" s="437">
        <v>872960</v>
      </c>
      <c r="AD92" s="437">
        <v>6551</v>
      </c>
      <c r="AE92" s="437">
        <v>531566</v>
      </c>
      <c r="AF92" s="437">
        <v>18158</v>
      </c>
      <c r="AG92" s="437">
        <v>178873</v>
      </c>
      <c r="AH92" s="437">
        <v>218014</v>
      </c>
      <c r="AI92" s="437">
        <v>2581896</v>
      </c>
      <c r="AJ92" s="437">
        <v>51660</v>
      </c>
      <c r="AK92" s="437">
        <v>0</v>
      </c>
      <c r="AL92" s="437">
        <v>345941</v>
      </c>
      <c r="AM92" s="437">
        <v>0</v>
      </c>
    </row>
    <row r="93" spans="1:39" s="155" customFormat="1" ht="12" x14ac:dyDescent="0.2">
      <c r="A93" s="168">
        <v>39</v>
      </c>
      <c r="B93" s="143">
        <v>161286</v>
      </c>
      <c r="C93" s="248" t="s">
        <v>2025</v>
      </c>
      <c r="D93" s="438">
        <f t="shared" si="11"/>
        <v>2119174</v>
      </c>
      <c r="E93" s="437">
        <v>938035</v>
      </c>
      <c r="F93" s="437">
        <v>188380</v>
      </c>
      <c r="G93" s="437">
        <v>137730</v>
      </c>
      <c r="H93" s="437">
        <v>0</v>
      </c>
      <c r="I93" s="437">
        <v>529583</v>
      </c>
      <c r="J93" s="437">
        <v>0</v>
      </c>
      <c r="K93" s="437">
        <v>508520</v>
      </c>
      <c r="L93" s="437">
        <v>0</v>
      </c>
      <c r="M93" s="437">
        <v>143036</v>
      </c>
      <c r="N93" s="437">
        <v>0</v>
      </c>
      <c r="O93" s="437">
        <v>0</v>
      </c>
      <c r="P93" s="438">
        <f t="shared" si="12"/>
        <v>2012443</v>
      </c>
      <c r="Q93" s="437">
        <v>894623</v>
      </c>
      <c r="R93" s="437">
        <v>733194</v>
      </c>
      <c r="S93" s="437">
        <v>0</v>
      </c>
      <c r="T93" s="437">
        <v>0</v>
      </c>
      <c r="U93" s="437">
        <v>0</v>
      </c>
      <c r="V93" s="437">
        <v>0</v>
      </c>
      <c r="W93" s="437">
        <v>0</v>
      </c>
      <c r="X93" s="437">
        <v>45377</v>
      </c>
      <c r="Y93" s="437">
        <v>330</v>
      </c>
      <c r="Z93" s="437">
        <v>392979</v>
      </c>
      <c r="AA93" s="437">
        <v>0</v>
      </c>
      <c r="AB93" s="437">
        <v>-54060</v>
      </c>
      <c r="AC93" s="437">
        <v>656820</v>
      </c>
      <c r="AD93" s="437">
        <v>0</v>
      </c>
      <c r="AE93" s="437">
        <v>412315</v>
      </c>
      <c r="AF93" s="437">
        <v>24599</v>
      </c>
      <c r="AG93" s="437">
        <v>179685</v>
      </c>
      <c r="AH93" s="437">
        <v>210565</v>
      </c>
      <c r="AI93" s="437">
        <v>336907</v>
      </c>
      <c r="AJ93" s="437">
        <v>81186</v>
      </c>
      <c r="AK93" s="437">
        <v>0</v>
      </c>
      <c r="AL93" s="437">
        <v>92693</v>
      </c>
      <c r="AM93" s="437">
        <v>17673</v>
      </c>
    </row>
    <row r="94" spans="1:39" s="155" customFormat="1" ht="12" x14ac:dyDescent="0.2">
      <c r="A94" s="168">
        <v>40</v>
      </c>
      <c r="B94" s="143">
        <v>161302</v>
      </c>
      <c r="C94" s="248" t="s">
        <v>2026</v>
      </c>
      <c r="D94" s="438">
        <f t="shared" si="11"/>
        <v>7642181</v>
      </c>
      <c r="E94" s="437">
        <v>1895023</v>
      </c>
      <c r="F94" s="437">
        <v>463302</v>
      </c>
      <c r="G94" s="437">
        <v>230069</v>
      </c>
      <c r="H94" s="437">
        <v>0</v>
      </c>
      <c r="I94" s="437">
        <v>2121813</v>
      </c>
      <c r="J94" s="437">
        <v>0</v>
      </c>
      <c r="K94" s="437">
        <v>1116750</v>
      </c>
      <c r="L94" s="437">
        <v>0</v>
      </c>
      <c r="M94" s="437">
        <v>449057</v>
      </c>
      <c r="N94" s="437">
        <v>2059538</v>
      </c>
      <c r="O94" s="437">
        <v>0</v>
      </c>
      <c r="P94" s="438">
        <f t="shared" si="12"/>
        <v>7681983</v>
      </c>
      <c r="Q94" s="437">
        <v>2357617</v>
      </c>
      <c r="R94" s="437">
        <v>2038593</v>
      </c>
      <c r="S94" s="437">
        <v>0</v>
      </c>
      <c r="T94" s="437">
        <v>0</v>
      </c>
      <c r="U94" s="437">
        <v>0</v>
      </c>
      <c r="V94" s="437">
        <v>0</v>
      </c>
      <c r="W94" s="437">
        <v>2609404</v>
      </c>
      <c r="X94" s="437">
        <v>319590</v>
      </c>
      <c r="Y94" s="437">
        <v>16000</v>
      </c>
      <c r="Z94" s="437">
        <v>340779</v>
      </c>
      <c r="AA94" s="437">
        <v>0</v>
      </c>
      <c r="AB94" s="437">
        <v>0</v>
      </c>
      <c r="AC94" s="437">
        <v>1172660</v>
      </c>
      <c r="AD94" s="437">
        <v>89621</v>
      </c>
      <c r="AE94" s="437">
        <v>1583803</v>
      </c>
      <c r="AF94" s="437">
        <v>9672</v>
      </c>
      <c r="AG94" s="437">
        <v>1516085</v>
      </c>
      <c r="AH94" s="437">
        <v>618400</v>
      </c>
      <c r="AI94" s="437">
        <v>1060777</v>
      </c>
      <c r="AJ94" s="437">
        <v>6227</v>
      </c>
      <c r="AK94" s="437">
        <v>0</v>
      </c>
      <c r="AL94" s="437">
        <v>1601738</v>
      </c>
      <c r="AM94" s="437">
        <v>23000</v>
      </c>
    </row>
    <row r="95" spans="1:39" s="155" customFormat="1" ht="12" x14ac:dyDescent="0.2">
      <c r="A95" s="168">
        <v>41</v>
      </c>
      <c r="B95" s="143">
        <v>161348</v>
      </c>
      <c r="C95" s="224" t="s">
        <v>1951</v>
      </c>
      <c r="D95" s="438">
        <f t="shared" si="11"/>
        <v>3721042</v>
      </c>
      <c r="E95" s="431">
        <v>1483441</v>
      </c>
      <c r="F95" s="431">
        <v>435630</v>
      </c>
      <c r="G95" s="431">
        <v>210590</v>
      </c>
      <c r="H95" s="431">
        <v>0</v>
      </c>
      <c r="I95" s="431">
        <v>1382712</v>
      </c>
      <c r="J95" s="431">
        <v>0</v>
      </c>
      <c r="K95" s="431">
        <v>760710</v>
      </c>
      <c r="L95" s="431">
        <v>0</v>
      </c>
      <c r="M95" s="431">
        <v>94179</v>
      </c>
      <c r="N95" s="431">
        <v>0</v>
      </c>
      <c r="O95" s="431">
        <v>0</v>
      </c>
      <c r="P95" s="438">
        <f t="shared" si="12"/>
        <v>3521381</v>
      </c>
      <c r="Q95" s="431">
        <v>1762424</v>
      </c>
      <c r="R95" s="431">
        <v>1298862</v>
      </c>
      <c r="S95" s="431">
        <v>0</v>
      </c>
      <c r="T95" s="431">
        <v>0</v>
      </c>
      <c r="U95" s="431">
        <v>0</v>
      </c>
      <c r="V95" s="431">
        <v>0</v>
      </c>
      <c r="W95" s="431">
        <v>79080</v>
      </c>
      <c r="X95" s="431">
        <v>96380</v>
      </c>
      <c r="Y95" s="431">
        <v>9900</v>
      </c>
      <c r="Z95" s="431">
        <v>274735</v>
      </c>
      <c r="AA95" s="431">
        <v>0</v>
      </c>
      <c r="AB95" s="431">
        <v>0</v>
      </c>
      <c r="AC95" s="431">
        <v>889073</v>
      </c>
      <c r="AD95" s="431">
        <v>0</v>
      </c>
      <c r="AE95" s="431">
        <v>1061078</v>
      </c>
      <c r="AF95" s="431">
        <v>25733</v>
      </c>
      <c r="AG95" s="431">
        <v>76173</v>
      </c>
      <c r="AH95" s="431">
        <v>521023</v>
      </c>
      <c r="AI95" s="431">
        <v>284498</v>
      </c>
      <c r="AJ95" s="431">
        <v>171299</v>
      </c>
      <c r="AK95" s="431">
        <v>0</v>
      </c>
      <c r="AL95" s="431">
        <v>325085</v>
      </c>
      <c r="AM95" s="431">
        <v>167419</v>
      </c>
    </row>
    <row r="96" spans="1:39" s="155" customFormat="1" ht="12" x14ac:dyDescent="0.2">
      <c r="A96" s="168">
        <v>42</v>
      </c>
      <c r="B96" s="143">
        <v>161384</v>
      </c>
      <c r="C96" s="224" t="s">
        <v>2027</v>
      </c>
      <c r="D96" s="438">
        <f t="shared" si="11"/>
        <v>17299779</v>
      </c>
      <c r="E96" s="431">
        <v>2573204</v>
      </c>
      <c r="F96" s="431">
        <v>486783</v>
      </c>
      <c r="G96" s="431">
        <v>423339</v>
      </c>
      <c r="H96" s="431">
        <v>0</v>
      </c>
      <c r="I96" s="431">
        <v>4230857</v>
      </c>
      <c r="J96" s="431">
        <v>0</v>
      </c>
      <c r="K96" s="431">
        <v>1788060</v>
      </c>
      <c r="L96" s="431">
        <v>0</v>
      </c>
      <c r="M96" s="431">
        <v>1241004</v>
      </c>
      <c r="N96" s="431">
        <v>7466654</v>
      </c>
      <c r="O96" s="431">
        <v>0</v>
      </c>
      <c r="P96" s="438">
        <f t="shared" si="12"/>
        <v>17676068</v>
      </c>
      <c r="Q96" s="431">
        <v>4902173</v>
      </c>
      <c r="R96" s="431">
        <v>1982916</v>
      </c>
      <c r="S96" s="431">
        <v>0</v>
      </c>
      <c r="T96" s="431">
        <v>0</v>
      </c>
      <c r="U96" s="431">
        <v>0</v>
      </c>
      <c r="V96" s="431">
        <v>0</v>
      </c>
      <c r="W96" s="431">
        <v>9439674</v>
      </c>
      <c r="X96" s="431">
        <v>322315</v>
      </c>
      <c r="Y96" s="431">
        <v>88650</v>
      </c>
      <c r="Z96" s="431">
        <v>940340</v>
      </c>
      <c r="AA96" s="431">
        <v>0</v>
      </c>
      <c r="AB96" s="431">
        <v>0</v>
      </c>
      <c r="AC96" s="431">
        <v>1765690</v>
      </c>
      <c r="AD96" s="431">
        <v>196977</v>
      </c>
      <c r="AE96" s="431">
        <v>13410355</v>
      </c>
      <c r="AF96" s="431">
        <v>61582</v>
      </c>
      <c r="AG96" s="431">
        <v>564113</v>
      </c>
      <c r="AH96" s="431">
        <v>745478</v>
      </c>
      <c r="AI96" s="431">
        <v>314939</v>
      </c>
      <c r="AJ96" s="431">
        <v>326875</v>
      </c>
      <c r="AK96" s="431">
        <v>0</v>
      </c>
      <c r="AL96" s="431">
        <v>217653</v>
      </c>
      <c r="AM96" s="431">
        <v>72406</v>
      </c>
    </row>
    <row r="97" spans="1:39" s="155" customFormat="1" ht="12" x14ac:dyDescent="0.2">
      <c r="A97" s="168">
        <v>43</v>
      </c>
      <c r="B97" s="143">
        <v>161464</v>
      </c>
      <c r="C97" s="224" t="s">
        <v>2028</v>
      </c>
      <c r="D97" s="438">
        <f t="shared" si="11"/>
        <v>7376503</v>
      </c>
      <c r="E97" s="431">
        <v>1621990</v>
      </c>
      <c r="F97" s="431">
        <v>357515</v>
      </c>
      <c r="G97" s="431">
        <v>324799</v>
      </c>
      <c r="H97" s="431">
        <v>0</v>
      </c>
      <c r="I97" s="431">
        <v>1670805</v>
      </c>
      <c r="J97" s="431">
        <v>0</v>
      </c>
      <c r="K97" s="431">
        <v>1245380</v>
      </c>
      <c r="L97" s="431">
        <v>0</v>
      </c>
      <c r="M97" s="431">
        <v>2838328</v>
      </c>
      <c r="N97" s="431">
        <v>0</v>
      </c>
      <c r="O97" s="431">
        <v>0</v>
      </c>
      <c r="P97" s="438">
        <f t="shared" si="12"/>
        <v>7436912</v>
      </c>
      <c r="Q97" s="431">
        <v>1963205</v>
      </c>
      <c r="R97" s="431">
        <v>1007820</v>
      </c>
      <c r="S97" s="431">
        <v>0</v>
      </c>
      <c r="T97" s="431">
        <v>0</v>
      </c>
      <c r="U97" s="431">
        <v>0</v>
      </c>
      <c r="V97" s="431">
        <v>0</v>
      </c>
      <c r="W97" s="431">
        <v>0</v>
      </c>
      <c r="X97" s="431">
        <v>361679</v>
      </c>
      <c r="Y97" s="431">
        <v>24931</v>
      </c>
      <c r="Z97" s="431">
        <v>4108126</v>
      </c>
      <c r="AA97" s="431">
        <v>0</v>
      </c>
      <c r="AB97" s="431">
        <v>-28849</v>
      </c>
      <c r="AC97" s="431">
        <v>1072524</v>
      </c>
      <c r="AD97" s="431">
        <v>128233</v>
      </c>
      <c r="AE97" s="431">
        <v>1430888</v>
      </c>
      <c r="AF97" s="431">
        <v>69443</v>
      </c>
      <c r="AG97" s="431">
        <v>13897</v>
      </c>
      <c r="AH97" s="431">
        <v>497144</v>
      </c>
      <c r="AI97" s="431">
        <v>226732</v>
      </c>
      <c r="AJ97" s="431">
        <v>548347</v>
      </c>
      <c r="AK97" s="431">
        <v>0</v>
      </c>
      <c r="AL97" s="431">
        <v>3449704</v>
      </c>
      <c r="AM97" s="431">
        <v>0</v>
      </c>
    </row>
    <row r="98" spans="1:39" s="155" customFormat="1" ht="12" x14ac:dyDescent="0.2">
      <c r="A98" s="168">
        <v>44</v>
      </c>
      <c r="B98" s="143">
        <v>161482</v>
      </c>
      <c r="C98" s="224" t="s">
        <v>2029</v>
      </c>
      <c r="D98" s="438">
        <f t="shared" si="11"/>
        <v>7868681</v>
      </c>
      <c r="E98" s="431">
        <v>2771581</v>
      </c>
      <c r="F98" s="431">
        <v>447504</v>
      </c>
      <c r="G98" s="431">
        <v>319510</v>
      </c>
      <c r="H98" s="431">
        <v>0</v>
      </c>
      <c r="I98" s="431">
        <v>1719773</v>
      </c>
      <c r="J98" s="431">
        <v>0</v>
      </c>
      <c r="K98" s="431">
        <v>1287960</v>
      </c>
      <c r="L98" s="431">
        <v>0</v>
      </c>
      <c r="M98" s="431">
        <v>122631</v>
      </c>
      <c r="N98" s="431">
        <v>1940622</v>
      </c>
      <c r="O98" s="431">
        <v>26114</v>
      </c>
      <c r="P98" s="438">
        <f t="shared" si="12"/>
        <v>8407912</v>
      </c>
      <c r="Q98" s="431">
        <v>1938513</v>
      </c>
      <c r="R98" s="431">
        <v>1237932</v>
      </c>
      <c r="S98" s="431">
        <v>0</v>
      </c>
      <c r="T98" s="431">
        <v>0</v>
      </c>
      <c r="U98" s="431">
        <v>0</v>
      </c>
      <c r="V98" s="431">
        <v>0</v>
      </c>
      <c r="W98" s="431">
        <v>2943320</v>
      </c>
      <c r="X98" s="431">
        <v>264795</v>
      </c>
      <c r="Y98" s="431">
        <v>44400</v>
      </c>
      <c r="Z98" s="431">
        <v>1980494</v>
      </c>
      <c r="AA98" s="431">
        <v>0</v>
      </c>
      <c r="AB98" s="431">
        <v>-1542</v>
      </c>
      <c r="AC98" s="431">
        <v>828561</v>
      </c>
      <c r="AD98" s="431">
        <v>5465</v>
      </c>
      <c r="AE98" s="431">
        <v>1129298</v>
      </c>
      <c r="AF98" s="431">
        <v>26886</v>
      </c>
      <c r="AG98" s="431">
        <v>1271992</v>
      </c>
      <c r="AH98" s="431">
        <v>701334</v>
      </c>
      <c r="AI98" s="431">
        <v>861751</v>
      </c>
      <c r="AJ98" s="431">
        <v>90109</v>
      </c>
      <c r="AK98" s="431">
        <v>0</v>
      </c>
      <c r="AL98" s="431">
        <v>3492516</v>
      </c>
      <c r="AM98" s="431">
        <v>0</v>
      </c>
    </row>
    <row r="99" spans="1:39" s="155" customFormat="1" ht="12" x14ac:dyDescent="0.2">
      <c r="A99" s="168">
        <v>45</v>
      </c>
      <c r="B99" s="143">
        <v>161561</v>
      </c>
      <c r="C99" s="224" t="s">
        <v>2030</v>
      </c>
      <c r="D99" s="438">
        <f t="shared" si="11"/>
        <v>2882744</v>
      </c>
      <c r="E99" s="431">
        <v>659258</v>
      </c>
      <c r="F99" s="431">
        <v>81886</v>
      </c>
      <c r="G99" s="431">
        <v>345280</v>
      </c>
      <c r="H99" s="431">
        <v>0</v>
      </c>
      <c r="I99" s="431">
        <v>955000</v>
      </c>
      <c r="J99" s="431">
        <v>0</v>
      </c>
      <c r="K99" s="431">
        <v>1188400</v>
      </c>
      <c r="L99" s="431">
        <v>0</v>
      </c>
      <c r="M99" s="431">
        <v>80086</v>
      </c>
      <c r="N99" s="431">
        <v>0</v>
      </c>
      <c r="O99" s="431">
        <v>0</v>
      </c>
      <c r="P99" s="438">
        <f t="shared" si="12"/>
        <v>2909561</v>
      </c>
      <c r="Q99" s="431">
        <v>1347438</v>
      </c>
      <c r="R99" s="431">
        <v>879663</v>
      </c>
      <c r="S99" s="431">
        <v>0</v>
      </c>
      <c r="T99" s="431">
        <v>0</v>
      </c>
      <c r="U99" s="431">
        <v>0</v>
      </c>
      <c r="V99" s="431">
        <v>0</v>
      </c>
      <c r="W99" s="431">
        <v>0</v>
      </c>
      <c r="X99" s="431">
        <v>161433</v>
      </c>
      <c r="Y99" s="431">
        <v>1000</v>
      </c>
      <c r="Z99" s="431">
        <v>520027</v>
      </c>
      <c r="AA99" s="431">
        <v>0</v>
      </c>
      <c r="AB99" s="431">
        <v>0</v>
      </c>
      <c r="AC99" s="431">
        <v>1627530</v>
      </c>
      <c r="AD99" s="431">
        <v>0</v>
      </c>
      <c r="AE99" s="431">
        <v>685000</v>
      </c>
      <c r="AF99" s="431">
        <v>45064</v>
      </c>
      <c r="AG99" s="431">
        <v>913</v>
      </c>
      <c r="AH99" s="431">
        <v>318400</v>
      </c>
      <c r="AI99" s="431">
        <v>208054</v>
      </c>
      <c r="AJ99" s="431">
        <v>0</v>
      </c>
      <c r="AK99" s="431">
        <v>0</v>
      </c>
      <c r="AL99" s="431">
        <v>24600</v>
      </c>
      <c r="AM99" s="431">
        <v>0</v>
      </c>
    </row>
    <row r="100" spans="1:39" s="155" customFormat="1" ht="12" x14ac:dyDescent="0.2">
      <c r="A100" s="168">
        <v>46</v>
      </c>
      <c r="B100" s="143">
        <v>161543</v>
      </c>
      <c r="C100" s="224" t="s">
        <v>2031</v>
      </c>
      <c r="D100" s="438">
        <f t="shared" si="11"/>
        <v>3139393</v>
      </c>
      <c r="E100" s="431">
        <v>1005473</v>
      </c>
      <c r="F100" s="431">
        <v>191644</v>
      </c>
      <c r="G100" s="431">
        <v>218940</v>
      </c>
      <c r="H100" s="431">
        <v>0</v>
      </c>
      <c r="I100" s="431">
        <v>1294728</v>
      </c>
      <c r="J100" s="431">
        <v>0</v>
      </c>
      <c r="K100" s="431">
        <v>811000</v>
      </c>
      <c r="L100" s="431">
        <v>0</v>
      </c>
      <c r="M100" s="431">
        <v>28192</v>
      </c>
      <c r="N100" s="431">
        <v>0</v>
      </c>
      <c r="O100" s="431">
        <v>0</v>
      </c>
      <c r="P100" s="438">
        <f t="shared" si="12"/>
        <v>3134379</v>
      </c>
      <c r="Q100" s="431">
        <v>1553984</v>
      </c>
      <c r="R100" s="431">
        <v>1243017</v>
      </c>
      <c r="S100" s="431">
        <v>0</v>
      </c>
      <c r="T100" s="431">
        <v>0</v>
      </c>
      <c r="U100" s="431">
        <v>0</v>
      </c>
      <c r="V100" s="431">
        <v>0</v>
      </c>
      <c r="W100" s="431">
        <v>0</v>
      </c>
      <c r="X100" s="431">
        <v>81454</v>
      </c>
      <c r="Y100" s="431">
        <v>1971</v>
      </c>
      <c r="Z100" s="431">
        <v>268298</v>
      </c>
      <c r="AA100" s="431">
        <v>0</v>
      </c>
      <c r="AB100" s="431">
        <v>-14345</v>
      </c>
      <c r="AC100" s="431">
        <v>917678</v>
      </c>
      <c r="AD100" s="431">
        <v>0</v>
      </c>
      <c r="AE100" s="431">
        <v>1112324</v>
      </c>
      <c r="AF100" s="431">
        <v>26188</v>
      </c>
      <c r="AG100" s="431">
        <v>255786</v>
      </c>
      <c r="AH100" s="431">
        <v>312537</v>
      </c>
      <c r="AI100" s="431">
        <v>286414</v>
      </c>
      <c r="AJ100" s="431">
        <v>109634</v>
      </c>
      <c r="AK100" s="431">
        <v>0</v>
      </c>
      <c r="AL100" s="431">
        <v>113818</v>
      </c>
      <c r="AM100" s="431">
        <v>0</v>
      </c>
    </row>
    <row r="101" spans="1:39" s="155" customFormat="1" ht="12" hidden="1" x14ac:dyDescent="0.2">
      <c r="A101" s="168">
        <v>47</v>
      </c>
      <c r="B101" s="168"/>
      <c r="C101" s="172"/>
      <c r="D101" s="432">
        <f t="shared" si="8"/>
        <v>0</v>
      </c>
      <c r="E101" s="431"/>
      <c r="F101" s="431"/>
      <c r="G101" s="431"/>
      <c r="H101" s="431"/>
      <c r="I101" s="431"/>
      <c r="J101" s="431"/>
      <c r="K101" s="431"/>
      <c r="L101" s="431"/>
      <c r="M101" s="431"/>
      <c r="N101" s="431"/>
      <c r="O101" s="431"/>
      <c r="P101" s="432">
        <f t="shared" ref="P101:P142" si="13">IF(SUM(Q101:AB101)=SUM(AC101:AM101),SUM(Q101:AB101),"  EROARE ART/CAP")</f>
        <v>0</v>
      </c>
      <c r="Q101" s="431"/>
      <c r="R101" s="468"/>
      <c r="S101" s="431"/>
      <c r="T101" s="431"/>
      <c r="U101" s="431"/>
      <c r="V101" s="431"/>
      <c r="W101" s="431"/>
      <c r="X101" s="431"/>
      <c r="Y101" s="431"/>
      <c r="Z101" s="468"/>
      <c r="AA101" s="431"/>
      <c r="AB101" s="431"/>
      <c r="AC101" s="468"/>
      <c r="AD101" s="431"/>
      <c r="AE101" s="431"/>
      <c r="AF101" s="431"/>
      <c r="AG101" s="431"/>
      <c r="AH101" s="431"/>
      <c r="AI101" s="468"/>
      <c r="AJ101" s="468"/>
      <c r="AK101" s="431"/>
      <c r="AL101" s="431"/>
      <c r="AM101" s="431"/>
    </row>
    <row r="102" spans="1:39" s="155" customFormat="1" ht="12" hidden="1" x14ac:dyDescent="0.2">
      <c r="A102" s="168">
        <v>48</v>
      </c>
      <c r="B102" s="168"/>
      <c r="C102" s="172"/>
      <c r="D102" s="432">
        <f t="shared" si="8"/>
        <v>0</v>
      </c>
      <c r="E102" s="431"/>
      <c r="F102" s="431"/>
      <c r="G102" s="431"/>
      <c r="H102" s="431"/>
      <c r="I102" s="431"/>
      <c r="J102" s="431"/>
      <c r="K102" s="468"/>
      <c r="L102" s="431"/>
      <c r="M102" s="431"/>
      <c r="N102" s="431"/>
      <c r="O102" s="431"/>
      <c r="P102" s="432">
        <f t="shared" si="13"/>
        <v>0</v>
      </c>
      <c r="Q102" s="431"/>
      <c r="R102" s="431"/>
      <c r="S102" s="431"/>
      <c r="T102" s="431"/>
      <c r="U102" s="431"/>
      <c r="V102" s="431"/>
      <c r="W102" s="431"/>
      <c r="X102" s="431"/>
      <c r="Y102" s="431"/>
      <c r="Z102" s="468"/>
      <c r="AA102" s="431"/>
      <c r="AB102" s="431"/>
      <c r="AC102" s="468"/>
      <c r="AD102" s="431"/>
      <c r="AE102" s="431"/>
      <c r="AF102" s="431"/>
      <c r="AG102" s="431"/>
      <c r="AH102" s="431"/>
      <c r="AI102" s="468"/>
      <c r="AJ102" s="468"/>
      <c r="AK102" s="431"/>
      <c r="AL102" s="431"/>
      <c r="AM102" s="431"/>
    </row>
    <row r="103" spans="1:39" s="155" customFormat="1" ht="12" hidden="1" x14ac:dyDescent="0.2">
      <c r="A103" s="168">
        <v>49</v>
      </c>
      <c r="B103" s="168"/>
      <c r="C103" s="172"/>
      <c r="D103" s="432">
        <f t="shared" si="8"/>
        <v>0</v>
      </c>
      <c r="E103" s="431"/>
      <c r="F103" s="431"/>
      <c r="G103" s="431"/>
      <c r="H103" s="431"/>
      <c r="I103" s="431"/>
      <c r="J103" s="431"/>
      <c r="K103" s="431"/>
      <c r="L103" s="431"/>
      <c r="M103" s="431"/>
      <c r="N103" s="431"/>
      <c r="O103" s="431"/>
      <c r="P103" s="432">
        <f t="shared" si="13"/>
        <v>0</v>
      </c>
      <c r="Q103" s="431"/>
      <c r="R103" s="431"/>
      <c r="S103" s="431"/>
      <c r="T103" s="431"/>
      <c r="U103" s="431"/>
      <c r="V103" s="431"/>
      <c r="W103" s="431"/>
      <c r="X103" s="431"/>
      <c r="Y103" s="431"/>
      <c r="Z103" s="468"/>
      <c r="AA103" s="431"/>
      <c r="AB103" s="431"/>
      <c r="AC103" s="468"/>
      <c r="AD103" s="431"/>
      <c r="AE103" s="431"/>
      <c r="AF103" s="431"/>
      <c r="AG103" s="431"/>
      <c r="AH103" s="431"/>
      <c r="AI103" s="468"/>
      <c r="AJ103" s="468"/>
      <c r="AK103" s="431"/>
      <c r="AL103" s="431"/>
      <c r="AM103" s="431"/>
    </row>
    <row r="104" spans="1:39" s="155" customFormat="1" ht="12" hidden="1" x14ac:dyDescent="0.2">
      <c r="A104" s="168">
        <v>50</v>
      </c>
      <c r="B104" s="168"/>
      <c r="C104" s="172"/>
      <c r="D104" s="432">
        <f t="shared" si="8"/>
        <v>0</v>
      </c>
      <c r="E104" s="431"/>
      <c r="F104" s="431"/>
      <c r="G104" s="431"/>
      <c r="H104" s="431"/>
      <c r="I104" s="431"/>
      <c r="J104" s="431"/>
      <c r="K104" s="431"/>
      <c r="L104" s="431"/>
      <c r="M104" s="431"/>
      <c r="N104" s="431"/>
      <c r="O104" s="431"/>
      <c r="P104" s="432">
        <f t="shared" si="13"/>
        <v>0</v>
      </c>
      <c r="Q104" s="431"/>
      <c r="R104" s="431"/>
      <c r="S104" s="431"/>
      <c r="T104" s="431"/>
      <c r="U104" s="431"/>
      <c r="V104" s="431"/>
      <c r="W104" s="431"/>
      <c r="X104" s="431"/>
      <c r="Y104" s="431"/>
      <c r="Z104" s="468"/>
      <c r="AA104" s="431"/>
      <c r="AB104" s="431"/>
      <c r="AC104" s="468"/>
      <c r="AD104" s="431"/>
      <c r="AE104" s="431"/>
      <c r="AF104" s="431"/>
      <c r="AG104" s="431"/>
      <c r="AH104" s="431"/>
      <c r="AI104" s="468"/>
      <c r="AJ104" s="468"/>
      <c r="AK104" s="431"/>
      <c r="AL104" s="431"/>
      <c r="AM104" s="431"/>
    </row>
    <row r="105" spans="1:39" s="155" customFormat="1" ht="12" hidden="1" x14ac:dyDescent="0.2">
      <c r="A105" s="168">
        <v>51</v>
      </c>
      <c r="B105" s="168"/>
      <c r="C105" s="172"/>
      <c r="D105" s="432">
        <f t="shared" si="8"/>
        <v>0</v>
      </c>
      <c r="E105" s="431"/>
      <c r="F105" s="431"/>
      <c r="G105" s="431"/>
      <c r="H105" s="431"/>
      <c r="I105" s="431"/>
      <c r="J105" s="431"/>
      <c r="K105" s="431"/>
      <c r="L105" s="431"/>
      <c r="M105" s="431"/>
      <c r="N105" s="431"/>
      <c r="O105" s="431"/>
      <c r="P105" s="432">
        <f t="shared" si="13"/>
        <v>0</v>
      </c>
      <c r="Q105" s="431"/>
      <c r="R105" s="431"/>
      <c r="S105" s="431"/>
      <c r="T105" s="431"/>
      <c r="U105" s="431"/>
      <c r="V105" s="431"/>
      <c r="W105" s="431"/>
      <c r="X105" s="431"/>
      <c r="Y105" s="431"/>
      <c r="Z105" s="468"/>
      <c r="AA105" s="431"/>
      <c r="AB105" s="431"/>
      <c r="AC105" s="468"/>
      <c r="AD105" s="431"/>
      <c r="AE105" s="431"/>
      <c r="AF105" s="431"/>
      <c r="AG105" s="431"/>
      <c r="AH105" s="431"/>
      <c r="AI105" s="468"/>
      <c r="AJ105" s="468"/>
      <c r="AK105" s="431"/>
      <c r="AL105" s="431"/>
      <c r="AM105" s="431"/>
    </row>
    <row r="106" spans="1:39" s="155" customFormat="1" ht="12" hidden="1" x14ac:dyDescent="0.2">
      <c r="A106" s="168">
        <v>52</v>
      </c>
      <c r="B106" s="168"/>
      <c r="C106" s="172"/>
      <c r="D106" s="432">
        <f t="shared" si="8"/>
        <v>0</v>
      </c>
      <c r="E106" s="431"/>
      <c r="F106" s="431"/>
      <c r="G106" s="431"/>
      <c r="H106" s="431"/>
      <c r="I106" s="431"/>
      <c r="J106" s="431"/>
      <c r="K106" s="431"/>
      <c r="L106" s="431"/>
      <c r="M106" s="431"/>
      <c r="N106" s="431"/>
      <c r="O106" s="431"/>
      <c r="P106" s="432">
        <f t="shared" si="13"/>
        <v>0</v>
      </c>
      <c r="Q106" s="431"/>
      <c r="R106" s="431"/>
      <c r="S106" s="431"/>
      <c r="T106" s="431"/>
      <c r="U106" s="431"/>
      <c r="V106" s="431"/>
      <c r="W106" s="431"/>
      <c r="X106" s="431"/>
      <c r="Y106" s="431"/>
      <c r="Z106" s="468"/>
      <c r="AA106" s="431"/>
      <c r="AB106" s="431"/>
      <c r="AC106" s="468"/>
      <c r="AD106" s="431"/>
      <c r="AE106" s="431"/>
      <c r="AF106" s="431"/>
      <c r="AG106" s="431"/>
      <c r="AH106" s="431"/>
      <c r="AI106" s="468"/>
      <c r="AJ106" s="468"/>
      <c r="AK106" s="431"/>
      <c r="AL106" s="431"/>
      <c r="AM106" s="431"/>
    </row>
    <row r="107" spans="1:39" s="155" customFormat="1" ht="12" hidden="1" x14ac:dyDescent="0.2">
      <c r="A107" s="168">
        <v>53</v>
      </c>
      <c r="B107" s="168"/>
      <c r="C107" s="172"/>
      <c r="D107" s="432">
        <f t="shared" si="8"/>
        <v>0</v>
      </c>
      <c r="E107" s="431"/>
      <c r="F107" s="431"/>
      <c r="G107" s="431"/>
      <c r="H107" s="431"/>
      <c r="I107" s="431"/>
      <c r="J107" s="431"/>
      <c r="K107" s="431"/>
      <c r="L107" s="431"/>
      <c r="M107" s="431"/>
      <c r="N107" s="431"/>
      <c r="O107" s="431"/>
      <c r="P107" s="432">
        <f t="shared" si="13"/>
        <v>0</v>
      </c>
      <c r="Q107" s="431"/>
      <c r="R107" s="431"/>
      <c r="S107" s="431"/>
      <c r="T107" s="431"/>
      <c r="U107" s="431"/>
      <c r="V107" s="431"/>
      <c r="W107" s="431"/>
      <c r="X107" s="431"/>
      <c r="Y107" s="431"/>
      <c r="Z107" s="468"/>
      <c r="AA107" s="431"/>
      <c r="AB107" s="431"/>
      <c r="AC107" s="468"/>
      <c r="AD107" s="431"/>
      <c r="AE107" s="431"/>
      <c r="AF107" s="431"/>
      <c r="AG107" s="431"/>
      <c r="AH107" s="431"/>
      <c r="AI107" s="468"/>
      <c r="AJ107" s="468"/>
      <c r="AK107" s="431"/>
      <c r="AL107" s="431"/>
      <c r="AM107" s="431"/>
    </row>
    <row r="108" spans="1:39" s="155" customFormat="1" ht="12" hidden="1" x14ac:dyDescent="0.2">
      <c r="A108" s="168">
        <v>54</v>
      </c>
      <c r="B108" s="168"/>
      <c r="C108" s="182"/>
      <c r="D108" s="432">
        <f t="shared" si="8"/>
        <v>0</v>
      </c>
      <c r="E108" s="431"/>
      <c r="F108" s="431"/>
      <c r="G108" s="431"/>
      <c r="H108" s="431"/>
      <c r="I108" s="431"/>
      <c r="J108" s="431"/>
      <c r="K108" s="431"/>
      <c r="L108" s="431"/>
      <c r="M108" s="431"/>
      <c r="N108" s="431"/>
      <c r="O108" s="431"/>
      <c r="P108" s="432">
        <f t="shared" si="13"/>
        <v>0</v>
      </c>
      <c r="Q108" s="431"/>
      <c r="R108" s="431"/>
      <c r="S108" s="431"/>
      <c r="T108" s="431"/>
      <c r="U108" s="431"/>
      <c r="V108" s="431"/>
      <c r="W108" s="431"/>
      <c r="X108" s="431"/>
      <c r="Y108" s="431"/>
      <c r="Z108" s="468"/>
      <c r="AA108" s="431"/>
      <c r="AB108" s="431"/>
      <c r="AC108" s="468"/>
      <c r="AD108" s="431"/>
      <c r="AE108" s="431"/>
      <c r="AF108" s="431"/>
      <c r="AG108" s="431"/>
      <c r="AH108" s="431"/>
      <c r="AI108" s="468"/>
      <c r="AJ108" s="468"/>
      <c r="AK108" s="431"/>
      <c r="AL108" s="431"/>
      <c r="AM108" s="431"/>
    </row>
    <row r="109" spans="1:39" s="155" customFormat="1" ht="12" hidden="1" x14ac:dyDescent="0.2">
      <c r="A109" s="168">
        <v>55</v>
      </c>
      <c r="B109" s="168"/>
      <c r="C109" s="172"/>
      <c r="D109" s="432">
        <f t="shared" si="8"/>
        <v>0</v>
      </c>
      <c r="E109" s="431"/>
      <c r="F109" s="431"/>
      <c r="G109" s="431"/>
      <c r="H109" s="431"/>
      <c r="I109" s="431"/>
      <c r="J109" s="431"/>
      <c r="K109" s="431"/>
      <c r="L109" s="431"/>
      <c r="M109" s="431"/>
      <c r="N109" s="431"/>
      <c r="O109" s="431"/>
      <c r="P109" s="432">
        <f t="shared" si="13"/>
        <v>0</v>
      </c>
      <c r="Q109" s="431"/>
      <c r="R109" s="431"/>
      <c r="S109" s="431"/>
      <c r="T109" s="431"/>
      <c r="U109" s="431"/>
      <c r="V109" s="431"/>
      <c r="W109" s="431"/>
      <c r="X109" s="431"/>
      <c r="Y109" s="431"/>
      <c r="Z109" s="468"/>
      <c r="AA109" s="431"/>
      <c r="AB109" s="431"/>
      <c r="AC109" s="468"/>
      <c r="AD109" s="431"/>
      <c r="AE109" s="431"/>
      <c r="AF109" s="431"/>
      <c r="AG109" s="431"/>
      <c r="AH109" s="431"/>
      <c r="AI109" s="468"/>
      <c r="AJ109" s="468"/>
      <c r="AK109" s="431"/>
      <c r="AL109" s="431"/>
      <c r="AM109" s="431"/>
    </row>
    <row r="110" spans="1:39" s="155" customFormat="1" ht="12" hidden="1" x14ac:dyDescent="0.2">
      <c r="A110" s="168">
        <v>56</v>
      </c>
      <c r="B110" s="168"/>
      <c r="C110" s="172"/>
      <c r="D110" s="432">
        <f t="shared" si="8"/>
        <v>0</v>
      </c>
      <c r="E110" s="431"/>
      <c r="F110" s="431"/>
      <c r="G110" s="431"/>
      <c r="H110" s="431"/>
      <c r="I110" s="431"/>
      <c r="J110" s="431"/>
      <c r="K110" s="431"/>
      <c r="L110" s="431"/>
      <c r="M110" s="431"/>
      <c r="N110" s="431"/>
      <c r="O110" s="431"/>
      <c r="P110" s="432">
        <f t="shared" si="13"/>
        <v>0</v>
      </c>
      <c r="Q110" s="431"/>
      <c r="R110" s="431"/>
      <c r="S110" s="431"/>
      <c r="T110" s="431"/>
      <c r="U110" s="431"/>
      <c r="V110" s="431"/>
      <c r="W110" s="431"/>
      <c r="X110" s="431"/>
      <c r="Y110" s="431"/>
      <c r="Z110" s="468"/>
      <c r="AA110" s="431"/>
      <c r="AB110" s="431"/>
      <c r="AC110" s="468"/>
      <c r="AD110" s="431"/>
      <c r="AE110" s="431"/>
      <c r="AF110" s="431"/>
      <c r="AG110" s="431"/>
      <c r="AH110" s="431"/>
      <c r="AI110" s="468"/>
      <c r="AJ110" s="468"/>
      <c r="AK110" s="431"/>
      <c r="AL110" s="431"/>
      <c r="AM110" s="431"/>
    </row>
    <row r="111" spans="1:39" s="155" customFormat="1" ht="12" hidden="1" x14ac:dyDescent="0.2">
      <c r="A111" s="168">
        <v>57</v>
      </c>
      <c r="B111" s="168"/>
      <c r="C111" s="172"/>
      <c r="D111" s="432">
        <f t="shared" si="8"/>
        <v>0</v>
      </c>
      <c r="E111" s="431"/>
      <c r="F111" s="431"/>
      <c r="G111" s="431"/>
      <c r="H111" s="431"/>
      <c r="I111" s="431"/>
      <c r="J111" s="431"/>
      <c r="K111" s="431"/>
      <c r="L111" s="431"/>
      <c r="M111" s="431"/>
      <c r="N111" s="431"/>
      <c r="O111" s="431"/>
      <c r="P111" s="432">
        <f t="shared" si="13"/>
        <v>0</v>
      </c>
      <c r="Q111" s="431"/>
      <c r="R111" s="431"/>
      <c r="S111" s="431"/>
      <c r="T111" s="431"/>
      <c r="U111" s="431"/>
      <c r="V111" s="431"/>
      <c r="W111" s="431"/>
      <c r="X111" s="431"/>
      <c r="Y111" s="431"/>
      <c r="Z111" s="468"/>
      <c r="AA111" s="431"/>
      <c r="AB111" s="431"/>
      <c r="AC111" s="468"/>
      <c r="AD111" s="431"/>
      <c r="AE111" s="431"/>
      <c r="AF111" s="431"/>
      <c r="AG111" s="431"/>
      <c r="AH111" s="431"/>
      <c r="AI111" s="468"/>
      <c r="AJ111" s="468"/>
      <c r="AK111" s="431"/>
      <c r="AL111" s="431"/>
      <c r="AM111" s="431"/>
    </row>
    <row r="112" spans="1:39" s="155" customFormat="1" ht="12" hidden="1" x14ac:dyDescent="0.2">
      <c r="A112" s="168">
        <v>58</v>
      </c>
      <c r="B112" s="168"/>
      <c r="C112" s="172"/>
      <c r="D112" s="432">
        <f t="shared" si="8"/>
        <v>0</v>
      </c>
      <c r="E112" s="431"/>
      <c r="F112" s="431"/>
      <c r="G112" s="431"/>
      <c r="H112" s="431"/>
      <c r="I112" s="431"/>
      <c r="J112" s="431"/>
      <c r="K112" s="431"/>
      <c r="L112" s="431"/>
      <c r="M112" s="431"/>
      <c r="N112" s="431"/>
      <c r="O112" s="431"/>
      <c r="P112" s="432">
        <f t="shared" si="13"/>
        <v>0</v>
      </c>
      <c r="Q112" s="431"/>
      <c r="R112" s="468"/>
      <c r="S112" s="431"/>
      <c r="T112" s="431"/>
      <c r="U112" s="431"/>
      <c r="V112" s="431"/>
      <c r="W112" s="431"/>
      <c r="X112" s="431"/>
      <c r="Y112" s="431"/>
      <c r="Z112" s="468"/>
      <c r="AA112" s="431"/>
      <c r="AB112" s="431"/>
      <c r="AC112" s="468"/>
      <c r="AD112" s="431"/>
      <c r="AE112" s="431"/>
      <c r="AF112" s="431"/>
      <c r="AG112" s="431"/>
      <c r="AH112" s="431"/>
      <c r="AI112" s="468"/>
      <c r="AJ112" s="468"/>
      <c r="AK112" s="431"/>
      <c r="AL112" s="431"/>
      <c r="AM112" s="431"/>
    </row>
    <row r="113" spans="1:39" s="155" customFormat="1" ht="12" hidden="1" x14ac:dyDescent="0.2">
      <c r="A113" s="168">
        <v>59</v>
      </c>
      <c r="B113" s="168"/>
      <c r="C113" s="172"/>
      <c r="D113" s="432">
        <f t="shared" si="8"/>
        <v>0</v>
      </c>
      <c r="E113" s="431"/>
      <c r="F113" s="431"/>
      <c r="G113" s="431"/>
      <c r="H113" s="431"/>
      <c r="I113" s="431"/>
      <c r="J113" s="431"/>
      <c r="K113" s="431"/>
      <c r="L113" s="431"/>
      <c r="M113" s="431"/>
      <c r="N113" s="431"/>
      <c r="O113" s="431"/>
      <c r="P113" s="432">
        <f t="shared" si="13"/>
        <v>0</v>
      </c>
      <c r="Q113" s="431"/>
      <c r="R113" s="431"/>
      <c r="S113" s="431"/>
      <c r="T113" s="431"/>
      <c r="U113" s="431"/>
      <c r="V113" s="431"/>
      <c r="W113" s="431"/>
      <c r="X113" s="431"/>
      <c r="Y113" s="431"/>
      <c r="Z113" s="468"/>
      <c r="AA113" s="431"/>
      <c r="AB113" s="431"/>
      <c r="AC113" s="468"/>
      <c r="AD113" s="431"/>
      <c r="AE113" s="431"/>
      <c r="AF113" s="431"/>
      <c r="AG113" s="431"/>
      <c r="AH113" s="431"/>
      <c r="AI113" s="468"/>
      <c r="AJ113" s="468"/>
      <c r="AK113" s="431"/>
      <c r="AL113" s="431"/>
      <c r="AM113" s="431"/>
    </row>
    <row r="114" spans="1:39" s="155" customFormat="1" ht="12" hidden="1" x14ac:dyDescent="0.2">
      <c r="A114" s="168">
        <v>60</v>
      </c>
      <c r="B114" s="168"/>
      <c r="C114" s="182"/>
      <c r="D114" s="432">
        <f t="shared" si="8"/>
        <v>0</v>
      </c>
      <c r="E114" s="431"/>
      <c r="F114" s="431"/>
      <c r="G114" s="431"/>
      <c r="H114" s="431"/>
      <c r="I114" s="431"/>
      <c r="J114" s="431"/>
      <c r="K114" s="431"/>
      <c r="L114" s="431"/>
      <c r="M114" s="431"/>
      <c r="N114" s="431"/>
      <c r="O114" s="431"/>
      <c r="P114" s="432">
        <f t="shared" si="13"/>
        <v>0</v>
      </c>
      <c r="Q114" s="431"/>
      <c r="R114" s="431"/>
      <c r="S114" s="431"/>
      <c r="T114" s="431"/>
      <c r="U114" s="431"/>
      <c r="V114" s="431"/>
      <c r="W114" s="431"/>
      <c r="X114" s="431"/>
      <c r="Y114" s="431"/>
      <c r="Z114" s="468"/>
      <c r="AA114" s="431"/>
      <c r="AB114" s="431"/>
      <c r="AC114" s="468"/>
      <c r="AD114" s="431"/>
      <c r="AE114" s="431"/>
      <c r="AF114" s="431"/>
      <c r="AG114" s="431"/>
      <c r="AH114" s="431"/>
      <c r="AI114" s="468"/>
      <c r="AJ114" s="468"/>
      <c r="AK114" s="431"/>
      <c r="AL114" s="431"/>
      <c r="AM114" s="431"/>
    </row>
    <row r="115" spans="1:39" s="155" customFormat="1" ht="12" hidden="1" x14ac:dyDescent="0.2">
      <c r="A115" s="168">
        <v>61</v>
      </c>
      <c r="B115" s="168"/>
      <c r="C115" s="172"/>
      <c r="D115" s="432">
        <f t="shared" si="8"/>
        <v>0</v>
      </c>
      <c r="E115" s="431"/>
      <c r="F115" s="431"/>
      <c r="G115" s="431"/>
      <c r="H115" s="431"/>
      <c r="I115" s="431"/>
      <c r="J115" s="431"/>
      <c r="K115" s="431"/>
      <c r="L115" s="431"/>
      <c r="M115" s="431"/>
      <c r="N115" s="431"/>
      <c r="O115" s="431"/>
      <c r="P115" s="432">
        <f t="shared" si="13"/>
        <v>0</v>
      </c>
      <c r="Q115" s="431"/>
      <c r="R115" s="431"/>
      <c r="S115" s="431"/>
      <c r="T115" s="431"/>
      <c r="U115" s="431"/>
      <c r="V115" s="431"/>
      <c r="W115" s="431"/>
      <c r="X115" s="431"/>
      <c r="Y115" s="431"/>
      <c r="Z115" s="468"/>
      <c r="AA115" s="431"/>
      <c r="AB115" s="431"/>
      <c r="AC115" s="468"/>
      <c r="AD115" s="431"/>
      <c r="AE115" s="431"/>
      <c r="AF115" s="431"/>
      <c r="AG115" s="431"/>
      <c r="AH115" s="431"/>
      <c r="AI115" s="468"/>
      <c r="AJ115" s="468"/>
      <c r="AK115" s="431"/>
      <c r="AL115" s="431"/>
      <c r="AM115" s="431"/>
    </row>
    <row r="116" spans="1:39" s="155" customFormat="1" ht="12" hidden="1" x14ac:dyDescent="0.2">
      <c r="A116" s="168">
        <v>62</v>
      </c>
      <c r="B116" s="168"/>
      <c r="C116" s="172"/>
      <c r="D116" s="432">
        <f t="shared" si="8"/>
        <v>0</v>
      </c>
      <c r="E116" s="431"/>
      <c r="F116" s="431"/>
      <c r="G116" s="431"/>
      <c r="H116" s="431"/>
      <c r="I116" s="431"/>
      <c r="J116" s="431"/>
      <c r="K116" s="431"/>
      <c r="L116" s="431"/>
      <c r="M116" s="431"/>
      <c r="N116" s="431"/>
      <c r="O116" s="431"/>
      <c r="P116" s="432">
        <f t="shared" si="13"/>
        <v>0</v>
      </c>
      <c r="Q116" s="431"/>
      <c r="R116" s="431"/>
      <c r="S116" s="431"/>
      <c r="T116" s="431"/>
      <c r="U116" s="431"/>
      <c r="V116" s="431"/>
      <c r="W116" s="431"/>
      <c r="X116" s="431"/>
      <c r="Y116" s="431"/>
      <c r="Z116" s="468"/>
      <c r="AA116" s="431"/>
      <c r="AB116" s="431"/>
      <c r="AC116" s="468"/>
      <c r="AD116" s="431"/>
      <c r="AE116" s="431"/>
      <c r="AF116" s="431"/>
      <c r="AG116" s="431"/>
      <c r="AH116" s="431"/>
      <c r="AI116" s="468"/>
      <c r="AJ116" s="468"/>
      <c r="AK116" s="431"/>
      <c r="AL116" s="431"/>
      <c r="AM116" s="431"/>
    </row>
    <row r="117" spans="1:39" s="155" customFormat="1" ht="12" hidden="1" x14ac:dyDescent="0.2">
      <c r="A117" s="168">
        <v>63</v>
      </c>
      <c r="B117" s="168"/>
      <c r="C117" s="182"/>
      <c r="D117" s="432">
        <f t="shared" si="8"/>
        <v>0</v>
      </c>
      <c r="E117" s="431"/>
      <c r="F117" s="431"/>
      <c r="G117" s="431"/>
      <c r="H117" s="431"/>
      <c r="I117" s="431"/>
      <c r="J117" s="431"/>
      <c r="K117" s="431"/>
      <c r="L117" s="431"/>
      <c r="M117" s="431"/>
      <c r="N117" s="431"/>
      <c r="O117" s="431"/>
      <c r="P117" s="432">
        <f t="shared" si="13"/>
        <v>0</v>
      </c>
      <c r="Q117" s="431"/>
      <c r="R117" s="431"/>
      <c r="S117" s="431"/>
      <c r="T117" s="431"/>
      <c r="U117" s="431"/>
      <c r="V117" s="431"/>
      <c r="W117" s="431"/>
      <c r="X117" s="431"/>
      <c r="Y117" s="431"/>
      <c r="Z117" s="468"/>
      <c r="AA117" s="431"/>
      <c r="AB117" s="431"/>
      <c r="AC117" s="468"/>
      <c r="AD117" s="431"/>
      <c r="AE117" s="431"/>
      <c r="AF117" s="431"/>
      <c r="AG117" s="431"/>
      <c r="AH117" s="431"/>
      <c r="AI117" s="468"/>
      <c r="AJ117" s="468"/>
      <c r="AK117" s="431"/>
      <c r="AL117" s="431"/>
      <c r="AM117" s="431"/>
    </row>
    <row r="118" spans="1:39" s="155" customFormat="1" ht="12" hidden="1" x14ac:dyDescent="0.2">
      <c r="A118" s="168">
        <v>64</v>
      </c>
      <c r="B118" s="168"/>
      <c r="C118" s="172"/>
      <c r="D118" s="432">
        <f t="shared" ref="D118:D143" si="14">E118+SUM(H118:O118)</f>
        <v>0</v>
      </c>
      <c r="E118" s="431"/>
      <c r="F118" s="431"/>
      <c r="G118" s="431"/>
      <c r="H118" s="431"/>
      <c r="I118" s="431"/>
      <c r="J118" s="431"/>
      <c r="K118" s="431"/>
      <c r="L118" s="431"/>
      <c r="M118" s="431"/>
      <c r="N118" s="431"/>
      <c r="O118" s="431"/>
      <c r="P118" s="432">
        <f t="shared" si="13"/>
        <v>0</v>
      </c>
      <c r="Q118" s="431"/>
      <c r="R118" s="431"/>
      <c r="S118" s="431"/>
      <c r="T118" s="431"/>
      <c r="U118" s="431"/>
      <c r="V118" s="431"/>
      <c r="W118" s="431"/>
      <c r="X118" s="431"/>
      <c r="Y118" s="431"/>
      <c r="Z118" s="468"/>
      <c r="AA118" s="431"/>
      <c r="AB118" s="431"/>
      <c r="AC118" s="468"/>
      <c r="AD118" s="431"/>
      <c r="AE118" s="431"/>
      <c r="AF118" s="431"/>
      <c r="AG118" s="431"/>
      <c r="AH118" s="431"/>
      <c r="AI118" s="468"/>
      <c r="AJ118" s="468"/>
      <c r="AK118" s="431"/>
      <c r="AL118" s="431"/>
      <c r="AM118" s="431"/>
    </row>
    <row r="119" spans="1:39" s="155" customFormat="1" ht="12" hidden="1" x14ac:dyDescent="0.2">
      <c r="A119" s="168">
        <v>65</v>
      </c>
      <c r="B119" s="168"/>
      <c r="C119" s="172"/>
      <c r="D119" s="432">
        <f t="shared" si="14"/>
        <v>0</v>
      </c>
      <c r="E119" s="431"/>
      <c r="F119" s="431"/>
      <c r="G119" s="431"/>
      <c r="H119" s="431"/>
      <c r="I119" s="431"/>
      <c r="J119" s="431"/>
      <c r="K119" s="431"/>
      <c r="L119" s="431"/>
      <c r="M119" s="431"/>
      <c r="N119" s="431"/>
      <c r="O119" s="431"/>
      <c r="P119" s="432">
        <f t="shared" si="13"/>
        <v>0</v>
      </c>
      <c r="Q119" s="431"/>
      <c r="R119" s="431"/>
      <c r="S119" s="431"/>
      <c r="T119" s="431"/>
      <c r="U119" s="431"/>
      <c r="V119" s="431"/>
      <c r="W119" s="431"/>
      <c r="X119" s="431"/>
      <c r="Y119" s="431"/>
      <c r="Z119" s="468"/>
      <c r="AA119" s="431"/>
      <c r="AB119" s="431"/>
      <c r="AC119" s="468"/>
      <c r="AD119" s="431"/>
      <c r="AE119" s="431"/>
      <c r="AF119" s="431"/>
      <c r="AG119" s="431"/>
      <c r="AH119" s="431"/>
      <c r="AI119" s="468"/>
      <c r="AJ119" s="468"/>
      <c r="AK119" s="431"/>
      <c r="AL119" s="431"/>
      <c r="AM119" s="431"/>
    </row>
    <row r="120" spans="1:39" s="155" customFormat="1" ht="12" hidden="1" x14ac:dyDescent="0.2">
      <c r="A120" s="168">
        <v>66</v>
      </c>
      <c r="B120" s="168"/>
      <c r="C120" s="172"/>
      <c r="D120" s="432">
        <f t="shared" si="14"/>
        <v>0</v>
      </c>
      <c r="E120" s="431"/>
      <c r="F120" s="431"/>
      <c r="G120" s="431"/>
      <c r="H120" s="431"/>
      <c r="I120" s="431"/>
      <c r="J120" s="431"/>
      <c r="K120" s="431"/>
      <c r="L120" s="431"/>
      <c r="M120" s="431"/>
      <c r="N120" s="431"/>
      <c r="O120" s="431"/>
      <c r="P120" s="432">
        <f t="shared" si="13"/>
        <v>0</v>
      </c>
      <c r="Q120" s="431"/>
      <c r="R120" s="431"/>
      <c r="S120" s="431"/>
      <c r="T120" s="431"/>
      <c r="U120" s="431"/>
      <c r="V120" s="431"/>
      <c r="W120" s="431"/>
      <c r="X120" s="431"/>
      <c r="Y120" s="431"/>
      <c r="Z120" s="468"/>
      <c r="AA120" s="431"/>
      <c r="AB120" s="431"/>
      <c r="AC120" s="468"/>
      <c r="AD120" s="431"/>
      <c r="AE120" s="431"/>
      <c r="AF120" s="431"/>
      <c r="AG120" s="431"/>
      <c r="AH120" s="431"/>
      <c r="AI120" s="468"/>
      <c r="AJ120" s="468"/>
      <c r="AK120" s="431"/>
      <c r="AL120" s="431"/>
      <c r="AM120" s="431"/>
    </row>
    <row r="121" spans="1:39" s="155" customFormat="1" ht="12" hidden="1" x14ac:dyDescent="0.2">
      <c r="A121" s="168">
        <v>67</v>
      </c>
      <c r="B121" s="168"/>
      <c r="C121" s="172"/>
      <c r="D121" s="432">
        <f t="shared" si="14"/>
        <v>0</v>
      </c>
      <c r="E121" s="431"/>
      <c r="F121" s="431"/>
      <c r="G121" s="431"/>
      <c r="H121" s="431"/>
      <c r="I121" s="431"/>
      <c r="J121" s="431"/>
      <c r="K121" s="431"/>
      <c r="L121" s="431"/>
      <c r="M121" s="431"/>
      <c r="N121" s="431"/>
      <c r="O121" s="431"/>
      <c r="P121" s="432">
        <f t="shared" si="13"/>
        <v>0</v>
      </c>
      <c r="Q121" s="431"/>
      <c r="R121" s="431"/>
      <c r="S121" s="431"/>
      <c r="T121" s="431"/>
      <c r="U121" s="431"/>
      <c r="V121" s="431"/>
      <c r="W121" s="431"/>
      <c r="X121" s="431"/>
      <c r="Y121" s="431"/>
      <c r="Z121" s="468"/>
      <c r="AA121" s="431"/>
      <c r="AB121" s="431"/>
      <c r="AC121" s="468"/>
      <c r="AD121" s="431"/>
      <c r="AE121" s="431"/>
      <c r="AF121" s="431"/>
      <c r="AG121" s="431"/>
      <c r="AH121" s="431"/>
      <c r="AI121" s="468"/>
      <c r="AJ121" s="468"/>
      <c r="AK121" s="431"/>
      <c r="AL121" s="431"/>
      <c r="AM121" s="431"/>
    </row>
    <row r="122" spans="1:39" s="155" customFormat="1" ht="12" hidden="1" x14ac:dyDescent="0.2">
      <c r="A122" s="168">
        <v>68</v>
      </c>
      <c r="B122" s="168"/>
      <c r="C122" s="172"/>
      <c r="D122" s="432">
        <f t="shared" si="14"/>
        <v>0</v>
      </c>
      <c r="E122" s="431"/>
      <c r="F122" s="431"/>
      <c r="G122" s="431"/>
      <c r="H122" s="431"/>
      <c r="I122" s="431"/>
      <c r="J122" s="431"/>
      <c r="K122" s="431"/>
      <c r="L122" s="431"/>
      <c r="M122" s="431"/>
      <c r="N122" s="431"/>
      <c r="O122" s="431"/>
      <c r="P122" s="432">
        <f t="shared" si="13"/>
        <v>0</v>
      </c>
      <c r="Q122" s="431"/>
      <c r="R122" s="431"/>
      <c r="S122" s="431"/>
      <c r="T122" s="431"/>
      <c r="U122" s="431"/>
      <c r="V122" s="431"/>
      <c r="W122" s="431"/>
      <c r="X122" s="431"/>
      <c r="Y122" s="431"/>
      <c r="Z122" s="468"/>
      <c r="AA122" s="431"/>
      <c r="AB122" s="431"/>
      <c r="AC122" s="468"/>
      <c r="AD122" s="431"/>
      <c r="AE122" s="431"/>
      <c r="AF122" s="431"/>
      <c r="AG122" s="431"/>
      <c r="AH122" s="431"/>
      <c r="AI122" s="468"/>
      <c r="AJ122" s="468"/>
      <c r="AK122" s="431"/>
      <c r="AL122" s="431"/>
      <c r="AM122" s="431"/>
    </row>
    <row r="123" spans="1:39" s="155" customFormat="1" ht="12" hidden="1" x14ac:dyDescent="0.2">
      <c r="A123" s="168">
        <v>69</v>
      </c>
      <c r="B123" s="168"/>
      <c r="C123" s="172"/>
      <c r="D123" s="432">
        <f t="shared" si="14"/>
        <v>0</v>
      </c>
      <c r="E123" s="431"/>
      <c r="F123" s="431"/>
      <c r="G123" s="431"/>
      <c r="H123" s="431"/>
      <c r="I123" s="431"/>
      <c r="J123" s="431"/>
      <c r="K123" s="431"/>
      <c r="L123" s="431"/>
      <c r="M123" s="431"/>
      <c r="N123" s="431"/>
      <c r="O123" s="431"/>
      <c r="P123" s="432">
        <f t="shared" si="13"/>
        <v>0</v>
      </c>
      <c r="Q123" s="431"/>
      <c r="R123" s="431"/>
      <c r="S123" s="431"/>
      <c r="T123" s="431"/>
      <c r="U123" s="431"/>
      <c r="V123" s="431"/>
      <c r="W123" s="431"/>
      <c r="X123" s="431"/>
      <c r="Y123" s="431"/>
      <c r="Z123" s="468"/>
      <c r="AA123" s="431"/>
      <c r="AB123" s="431"/>
      <c r="AC123" s="468"/>
      <c r="AD123" s="431"/>
      <c r="AE123" s="431"/>
      <c r="AF123" s="431"/>
      <c r="AG123" s="431"/>
      <c r="AH123" s="431"/>
      <c r="AI123" s="468"/>
      <c r="AJ123" s="468"/>
      <c r="AK123" s="431"/>
      <c r="AL123" s="431"/>
      <c r="AM123" s="431"/>
    </row>
    <row r="124" spans="1:39" s="155" customFormat="1" ht="12" hidden="1" x14ac:dyDescent="0.2">
      <c r="A124" s="168">
        <v>70</v>
      </c>
      <c r="B124" s="168"/>
      <c r="C124" s="172"/>
      <c r="D124" s="432">
        <f t="shared" si="14"/>
        <v>0</v>
      </c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32">
        <f t="shared" si="13"/>
        <v>0</v>
      </c>
      <c r="Q124" s="431"/>
      <c r="R124" s="431"/>
      <c r="S124" s="431"/>
      <c r="T124" s="431"/>
      <c r="U124" s="431"/>
      <c r="V124" s="431"/>
      <c r="W124" s="431"/>
      <c r="X124" s="431"/>
      <c r="Y124" s="431"/>
      <c r="Z124" s="468"/>
      <c r="AA124" s="431"/>
      <c r="AB124" s="431"/>
      <c r="AC124" s="468"/>
      <c r="AD124" s="431"/>
      <c r="AE124" s="431"/>
      <c r="AF124" s="431"/>
      <c r="AG124" s="431"/>
      <c r="AH124" s="431"/>
      <c r="AI124" s="468"/>
      <c r="AJ124" s="468"/>
      <c r="AK124" s="431"/>
      <c r="AL124" s="431"/>
      <c r="AM124" s="431"/>
    </row>
    <row r="125" spans="1:39" s="155" customFormat="1" ht="12" hidden="1" x14ac:dyDescent="0.2">
      <c r="A125" s="168">
        <v>71</v>
      </c>
      <c r="B125" s="168"/>
      <c r="C125" s="172"/>
      <c r="D125" s="432">
        <f t="shared" si="14"/>
        <v>0</v>
      </c>
      <c r="E125" s="431"/>
      <c r="F125" s="431"/>
      <c r="G125" s="431"/>
      <c r="H125" s="431"/>
      <c r="I125" s="431"/>
      <c r="J125" s="431"/>
      <c r="K125" s="431"/>
      <c r="L125" s="431"/>
      <c r="M125" s="431"/>
      <c r="N125" s="431"/>
      <c r="O125" s="431"/>
      <c r="P125" s="432">
        <f t="shared" si="13"/>
        <v>0</v>
      </c>
      <c r="Q125" s="431"/>
      <c r="R125" s="431"/>
      <c r="S125" s="431"/>
      <c r="T125" s="431"/>
      <c r="U125" s="431"/>
      <c r="V125" s="431"/>
      <c r="W125" s="431"/>
      <c r="X125" s="431"/>
      <c r="Y125" s="431"/>
      <c r="Z125" s="468"/>
      <c r="AA125" s="431"/>
      <c r="AB125" s="431"/>
      <c r="AC125" s="468"/>
      <c r="AD125" s="431"/>
      <c r="AE125" s="431"/>
      <c r="AF125" s="431"/>
      <c r="AG125" s="431"/>
      <c r="AH125" s="431"/>
      <c r="AI125" s="468"/>
      <c r="AJ125" s="468"/>
      <c r="AK125" s="431"/>
      <c r="AL125" s="431"/>
      <c r="AM125" s="431"/>
    </row>
    <row r="126" spans="1:39" s="155" customFormat="1" ht="12" hidden="1" x14ac:dyDescent="0.2">
      <c r="A126" s="168">
        <v>72</v>
      </c>
      <c r="B126" s="168"/>
      <c r="C126" s="172"/>
      <c r="D126" s="432">
        <f t="shared" si="14"/>
        <v>0</v>
      </c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32">
        <f t="shared" si="13"/>
        <v>0</v>
      </c>
      <c r="Q126" s="431"/>
      <c r="R126" s="431"/>
      <c r="S126" s="431"/>
      <c r="T126" s="431"/>
      <c r="U126" s="431"/>
      <c r="V126" s="431"/>
      <c r="W126" s="431"/>
      <c r="X126" s="431"/>
      <c r="Y126" s="431"/>
      <c r="Z126" s="468"/>
      <c r="AA126" s="431"/>
      <c r="AB126" s="431"/>
      <c r="AC126" s="468"/>
      <c r="AD126" s="431"/>
      <c r="AE126" s="431"/>
      <c r="AF126" s="431"/>
      <c r="AG126" s="431"/>
      <c r="AH126" s="431"/>
      <c r="AI126" s="468"/>
      <c r="AJ126" s="468"/>
      <c r="AK126" s="431"/>
      <c r="AL126" s="431"/>
      <c r="AM126" s="431"/>
    </row>
    <row r="127" spans="1:39" s="155" customFormat="1" ht="12" hidden="1" x14ac:dyDescent="0.2">
      <c r="A127" s="168">
        <v>73</v>
      </c>
      <c r="B127" s="168"/>
      <c r="C127" s="172"/>
      <c r="D127" s="432">
        <f t="shared" si="14"/>
        <v>0</v>
      </c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32">
        <f t="shared" si="13"/>
        <v>0</v>
      </c>
      <c r="Q127" s="431"/>
      <c r="R127" s="431"/>
      <c r="S127" s="431"/>
      <c r="T127" s="431"/>
      <c r="U127" s="431"/>
      <c r="V127" s="431"/>
      <c r="W127" s="431"/>
      <c r="X127" s="431"/>
      <c r="Y127" s="431"/>
      <c r="Z127" s="468"/>
      <c r="AA127" s="431"/>
      <c r="AB127" s="431"/>
      <c r="AC127" s="468"/>
      <c r="AD127" s="431"/>
      <c r="AE127" s="431"/>
      <c r="AF127" s="431"/>
      <c r="AG127" s="431"/>
      <c r="AH127" s="431"/>
      <c r="AI127" s="468"/>
      <c r="AJ127" s="468"/>
      <c r="AK127" s="431"/>
      <c r="AL127" s="431"/>
      <c r="AM127" s="431"/>
    </row>
    <row r="128" spans="1:39" s="155" customFormat="1" ht="12" hidden="1" x14ac:dyDescent="0.2">
      <c r="A128" s="168">
        <v>74</v>
      </c>
      <c r="B128" s="168"/>
      <c r="C128" s="172"/>
      <c r="D128" s="432">
        <f t="shared" si="14"/>
        <v>0</v>
      </c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32">
        <f t="shared" si="13"/>
        <v>0</v>
      </c>
      <c r="Q128" s="431"/>
      <c r="R128" s="431"/>
      <c r="S128" s="431"/>
      <c r="T128" s="431"/>
      <c r="U128" s="431"/>
      <c r="V128" s="431"/>
      <c r="W128" s="431"/>
      <c r="X128" s="431"/>
      <c r="Y128" s="431"/>
      <c r="Z128" s="468"/>
      <c r="AA128" s="431"/>
      <c r="AB128" s="431"/>
      <c r="AC128" s="468"/>
      <c r="AD128" s="431"/>
      <c r="AE128" s="431"/>
      <c r="AF128" s="431"/>
      <c r="AG128" s="431"/>
      <c r="AH128" s="431"/>
      <c r="AI128" s="468"/>
      <c r="AJ128" s="468"/>
      <c r="AK128" s="431"/>
      <c r="AL128" s="431"/>
      <c r="AM128" s="431"/>
    </row>
    <row r="129" spans="1:39" s="155" customFormat="1" ht="12" hidden="1" x14ac:dyDescent="0.2">
      <c r="A129" s="168">
        <v>75</v>
      </c>
      <c r="B129" s="168"/>
      <c r="C129" s="172"/>
      <c r="D129" s="432">
        <f t="shared" si="14"/>
        <v>0</v>
      </c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32">
        <f t="shared" si="13"/>
        <v>0</v>
      </c>
      <c r="Q129" s="431"/>
      <c r="R129" s="431"/>
      <c r="S129" s="431"/>
      <c r="T129" s="431"/>
      <c r="U129" s="431"/>
      <c r="V129" s="431"/>
      <c r="W129" s="431"/>
      <c r="X129" s="431"/>
      <c r="Y129" s="431"/>
      <c r="Z129" s="468"/>
      <c r="AA129" s="431"/>
      <c r="AB129" s="431"/>
      <c r="AC129" s="468"/>
      <c r="AD129" s="431"/>
      <c r="AE129" s="431"/>
      <c r="AF129" s="431"/>
      <c r="AG129" s="431"/>
      <c r="AH129" s="431"/>
      <c r="AI129" s="468"/>
      <c r="AJ129" s="468"/>
      <c r="AK129" s="431"/>
      <c r="AL129" s="431"/>
      <c r="AM129" s="431"/>
    </row>
    <row r="130" spans="1:39" s="155" customFormat="1" ht="12" hidden="1" x14ac:dyDescent="0.2">
      <c r="A130" s="168">
        <v>76</v>
      </c>
      <c r="B130" s="168"/>
      <c r="C130" s="172"/>
      <c r="D130" s="432">
        <f t="shared" si="14"/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32">
        <f t="shared" si="13"/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</row>
    <row r="131" spans="1:39" s="155" customFormat="1" ht="12" hidden="1" x14ac:dyDescent="0.2">
      <c r="A131" s="168">
        <v>77</v>
      </c>
      <c r="B131" s="168"/>
      <c r="C131" s="172"/>
      <c r="D131" s="432">
        <f t="shared" si="14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2">
        <f t="shared" si="13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</row>
    <row r="132" spans="1:39" s="155" customFormat="1" ht="12" hidden="1" x14ac:dyDescent="0.2">
      <c r="A132" s="168">
        <v>78</v>
      </c>
      <c r="B132" s="168"/>
      <c r="C132" s="172"/>
      <c r="D132" s="432">
        <f t="shared" si="14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2">
        <f t="shared" si="13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</row>
    <row r="133" spans="1:39" s="155" customFormat="1" ht="12" hidden="1" x14ac:dyDescent="0.2">
      <c r="A133" s="168">
        <v>79</v>
      </c>
      <c r="B133" s="168"/>
      <c r="C133" s="172"/>
      <c r="D133" s="432">
        <f t="shared" si="14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si="13"/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155" customFormat="1" ht="12" hidden="1" x14ac:dyDescent="0.2">
      <c r="A134" s="168">
        <v>80</v>
      </c>
      <c r="B134" s="168"/>
      <c r="C134" s="172"/>
      <c r="D134" s="432">
        <f t="shared" si="14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si="13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155" customFormat="1" ht="12" hidden="1" x14ac:dyDescent="0.2">
      <c r="A135" s="168">
        <v>81</v>
      </c>
      <c r="B135" s="168"/>
      <c r="C135" s="172"/>
      <c r="D135" s="432">
        <f t="shared" si="14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13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155" customFormat="1" ht="12" hidden="1" x14ac:dyDescent="0.2">
      <c r="A136" s="168">
        <v>82</v>
      </c>
      <c r="B136" s="168"/>
      <c r="C136" s="172"/>
      <c r="D136" s="432">
        <f t="shared" si="14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13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155" customFormat="1" ht="12" hidden="1" x14ac:dyDescent="0.2">
      <c r="A137" s="168">
        <v>83</v>
      </c>
      <c r="B137" s="168"/>
      <c r="C137" s="172"/>
      <c r="D137" s="432">
        <f t="shared" si="14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13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68"/>
      <c r="C138" s="172"/>
      <c r="D138" s="432">
        <f t="shared" si="14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3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68"/>
      <c r="C139" s="172"/>
      <c r="D139" s="432">
        <f t="shared" si="14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3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68"/>
      <c r="C140" s="172"/>
      <c r="D140" s="432">
        <f t="shared" si="14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3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173"/>
      <c r="D141" s="432">
        <f t="shared" si="14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3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4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3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4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975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1045234170</v>
      </c>
      <c r="E14" s="432">
        <f>SUM(E15,E16,E33,E54)</f>
        <v>235739869</v>
      </c>
      <c r="F14" s="432">
        <f t="shared" ref="F14:O14" si="0">SUM(F15,F16,F33,F54)</f>
        <v>98174856</v>
      </c>
      <c r="G14" s="432">
        <f t="shared" si="0"/>
        <v>34268469</v>
      </c>
      <c r="H14" s="432">
        <f t="shared" si="0"/>
        <v>75151954</v>
      </c>
      <c r="I14" s="432">
        <f t="shared" si="0"/>
        <v>294413899</v>
      </c>
      <c r="J14" s="432">
        <f t="shared" si="0"/>
        <v>22726000</v>
      </c>
      <c r="K14" s="432">
        <f t="shared" si="0"/>
        <v>166712290</v>
      </c>
      <c r="L14" s="432">
        <f t="shared" si="0"/>
        <v>0</v>
      </c>
      <c r="M14" s="432">
        <f t="shared" si="0"/>
        <v>163012449</v>
      </c>
      <c r="N14" s="432">
        <f t="shared" si="0"/>
        <v>75400214</v>
      </c>
      <c r="O14" s="432">
        <f t="shared" si="0"/>
        <v>12077495</v>
      </c>
      <c r="P14" s="432">
        <f>IF(SUM(Q14:AB14)=SUM(AC14:AM14),SUM(Q14:AB14),"  EROARE ART/CAP")</f>
        <v>1007546370</v>
      </c>
      <c r="Q14" s="432">
        <f t="shared" ref="Q14:AM14" si="1">Q15+Q16+Q33+Q54</f>
        <v>372883729</v>
      </c>
      <c r="R14" s="432">
        <f t="shared" si="1"/>
        <v>230633681</v>
      </c>
      <c r="S14" s="432">
        <f t="shared" si="1"/>
        <v>3050572</v>
      </c>
      <c r="T14" s="432">
        <f t="shared" si="1"/>
        <v>2843576</v>
      </c>
      <c r="U14" s="432">
        <f t="shared" si="1"/>
        <v>31662619</v>
      </c>
      <c r="V14" s="432">
        <f t="shared" si="1"/>
        <v>4487290</v>
      </c>
      <c r="W14" s="432">
        <f t="shared" si="1"/>
        <v>104369657</v>
      </c>
      <c r="X14" s="432">
        <f t="shared" si="1"/>
        <v>94944438</v>
      </c>
      <c r="Y14" s="432">
        <f t="shared" si="1"/>
        <v>8935238</v>
      </c>
      <c r="Z14" s="432">
        <f t="shared" si="1"/>
        <v>141908376</v>
      </c>
      <c r="AA14" s="432">
        <f t="shared" si="1"/>
        <v>12802600</v>
      </c>
      <c r="AB14" s="432">
        <f t="shared" si="1"/>
        <v>-975406</v>
      </c>
      <c r="AC14" s="432">
        <f t="shared" si="1"/>
        <v>107298717</v>
      </c>
      <c r="AD14" s="432">
        <f t="shared" si="1"/>
        <v>14682727</v>
      </c>
      <c r="AE14" s="432">
        <f t="shared" si="1"/>
        <v>317742964</v>
      </c>
      <c r="AF14" s="432">
        <f t="shared" si="1"/>
        <v>14977726</v>
      </c>
      <c r="AG14" s="432">
        <f t="shared" si="1"/>
        <v>44897536</v>
      </c>
      <c r="AH14" s="432">
        <f t="shared" si="1"/>
        <v>197349880</v>
      </c>
      <c r="AI14" s="432">
        <f t="shared" si="1"/>
        <v>69363013</v>
      </c>
      <c r="AJ14" s="432">
        <f t="shared" si="1"/>
        <v>50989354</v>
      </c>
      <c r="AK14" s="432">
        <f t="shared" si="1"/>
        <v>1142881</v>
      </c>
      <c r="AL14" s="432">
        <f t="shared" si="1"/>
        <v>164897459</v>
      </c>
      <c r="AM14" s="432">
        <f t="shared" si="1"/>
        <v>24204113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282192236</v>
      </c>
      <c r="E15" s="465">
        <v>40356621</v>
      </c>
      <c r="F15" s="465">
        <v>20838934</v>
      </c>
      <c r="G15" s="465">
        <v>17369745</v>
      </c>
      <c r="H15" s="465">
        <v>75151954</v>
      </c>
      <c r="I15" s="465">
        <v>0</v>
      </c>
      <c r="J15" s="465">
        <v>16235000</v>
      </c>
      <c r="K15" s="465">
        <v>54966260</v>
      </c>
      <c r="L15" s="465">
        <v>0</v>
      </c>
      <c r="M15" s="465">
        <v>77400520</v>
      </c>
      <c r="N15" s="465">
        <v>17709435</v>
      </c>
      <c r="O15" s="431">
        <v>372446</v>
      </c>
      <c r="P15" s="432">
        <f>IF(SUM(Q15:AB15)=SUM(AC15:AM15),SUM(Q15:AB15),"  EROARE ART/CAP")</f>
        <v>266005530</v>
      </c>
      <c r="Q15" s="465">
        <v>61511810</v>
      </c>
      <c r="R15" s="465">
        <v>64625509</v>
      </c>
      <c r="S15" s="465">
        <v>1064274</v>
      </c>
      <c r="T15" s="465">
        <v>0</v>
      </c>
      <c r="U15" s="465">
        <v>18894756</v>
      </c>
      <c r="V15" s="465">
        <v>1176222</v>
      </c>
      <c r="W15" s="465">
        <v>31740566</v>
      </c>
      <c r="X15" s="465">
        <v>64217789</v>
      </c>
      <c r="Y15" s="465">
        <v>4278088</v>
      </c>
      <c r="Z15" s="465">
        <v>14782303</v>
      </c>
      <c r="AA15" s="465">
        <v>3949832</v>
      </c>
      <c r="AB15" s="465">
        <v>-235619</v>
      </c>
      <c r="AC15" s="431">
        <v>16786370</v>
      </c>
      <c r="AD15" s="431">
        <v>773487</v>
      </c>
      <c r="AE15" s="431">
        <v>30432046</v>
      </c>
      <c r="AF15" s="431">
        <v>9718468</v>
      </c>
      <c r="AG15" s="431">
        <v>13165543</v>
      </c>
      <c r="AH15" s="431">
        <v>133575242</v>
      </c>
      <c r="AI15" s="431">
        <v>157254</v>
      </c>
      <c r="AJ15" s="431">
        <v>19169244</v>
      </c>
      <c r="AK15" s="431">
        <v>0</v>
      </c>
      <c r="AL15" s="431">
        <v>40871284</v>
      </c>
      <c r="AM15" s="431">
        <v>1356592</v>
      </c>
    </row>
    <row r="16" spans="1:39" s="155" customFormat="1" ht="12" x14ac:dyDescent="0.2">
      <c r="A16" s="156" t="s">
        <v>72</v>
      </c>
      <c r="B16" s="157"/>
      <c r="C16" s="159"/>
      <c r="D16" s="432">
        <f>E16+SUM(H16:O16)</f>
        <v>299090500</v>
      </c>
      <c r="E16" s="433">
        <f>SUM(E18:E32)</f>
        <v>124473254</v>
      </c>
      <c r="F16" s="433">
        <f t="shared" ref="F16:O16" si="2">SUM(F18:F32)</f>
        <v>59673773</v>
      </c>
      <c r="G16" s="433">
        <f t="shared" si="2"/>
        <v>1261434</v>
      </c>
      <c r="H16" s="433">
        <f t="shared" si="2"/>
        <v>0</v>
      </c>
      <c r="I16" s="433">
        <f t="shared" si="2"/>
        <v>136905429</v>
      </c>
      <c r="J16" s="433">
        <f t="shared" si="2"/>
        <v>73000</v>
      </c>
      <c r="K16" s="433">
        <f t="shared" si="2"/>
        <v>6441430</v>
      </c>
      <c r="L16" s="433">
        <f t="shared" si="2"/>
        <v>0</v>
      </c>
      <c r="M16" s="433">
        <f t="shared" si="2"/>
        <v>9448963</v>
      </c>
      <c r="N16" s="433">
        <f t="shared" si="2"/>
        <v>21147714</v>
      </c>
      <c r="O16" s="433">
        <f t="shared" si="2"/>
        <v>600710</v>
      </c>
      <c r="P16" s="432">
        <f t="shared" ref="P16:P54" si="3">IF(SUM(Q16:AB16)=SUM(AC16:AM16),SUM(Q16:AB16),"  EROARE ART/CAP")</f>
        <v>305591732</v>
      </c>
      <c r="Q16" s="432">
        <f>SUM(Q18:Q32)</f>
        <v>137754431</v>
      </c>
      <c r="R16" s="432">
        <f t="shared" ref="R16:AM16" si="4">SUM(R18:R32)</f>
        <v>70924995</v>
      </c>
      <c r="S16" s="432">
        <f t="shared" si="4"/>
        <v>1571402</v>
      </c>
      <c r="T16" s="432">
        <f t="shared" si="4"/>
        <v>2843576</v>
      </c>
      <c r="U16" s="432">
        <f t="shared" si="4"/>
        <v>12224031</v>
      </c>
      <c r="V16" s="432">
        <f t="shared" si="4"/>
        <v>1710246</v>
      </c>
      <c r="W16" s="432">
        <f t="shared" si="4"/>
        <v>51949758</v>
      </c>
      <c r="X16" s="432">
        <f t="shared" si="4"/>
        <v>7575398</v>
      </c>
      <c r="Y16" s="432">
        <f t="shared" si="4"/>
        <v>3037608</v>
      </c>
      <c r="Z16" s="432">
        <f t="shared" si="4"/>
        <v>14066895</v>
      </c>
      <c r="AA16" s="432">
        <f t="shared" si="4"/>
        <v>2281081</v>
      </c>
      <c r="AB16" s="432">
        <f t="shared" si="4"/>
        <v>-347689</v>
      </c>
      <c r="AC16" s="432">
        <f t="shared" si="4"/>
        <v>17922863</v>
      </c>
      <c r="AD16" s="432">
        <f t="shared" si="4"/>
        <v>7636019</v>
      </c>
      <c r="AE16" s="432">
        <f t="shared" si="4"/>
        <v>140464659</v>
      </c>
      <c r="AF16" s="432">
        <f t="shared" si="4"/>
        <v>3104993</v>
      </c>
      <c r="AG16" s="432">
        <f t="shared" si="4"/>
        <v>15393255</v>
      </c>
      <c r="AH16" s="432">
        <f t="shared" si="4"/>
        <v>26015475</v>
      </c>
      <c r="AI16" s="432">
        <f t="shared" si="4"/>
        <v>26504660</v>
      </c>
      <c r="AJ16" s="432">
        <f t="shared" si="4"/>
        <v>20467259</v>
      </c>
      <c r="AK16" s="432">
        <f t="shared" si="4"/>
        <v>1142881</v>
      </c>
      <c r="AL16" s="432">
        <f t="shared" si="4"/>
        <v>26991707</v>
      </c>
      <c r="AM16" s="432">
        <f t="shared" si="4"/>
        <v>19947961</v>
      </c>
    </row>
    <row r="17" spans="1:39" s="155" customFormat="1" ht="22.5" x14ac:dyDescent="0.2">
      <c r="A17" s="277" t="s">
        <v>2306</v>
      </c>
      <c r="B17" s="279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146">
        <v>1</v>
      </c>
      <c r="B18" s="405">
        <v>161794</v>
      </c>
      <c r="C18" s="411" t="s">
        <v>3042</v>
      </c>
      <c r="D18" s="432">
        <f>E18+SUM(H18:O18)</f>
        <v>105234856</v>
      </c>
      <c r="E18" s="465">
        <v>49627877</v>
      </c>
      <c r="F18" s="465">
        <v>19303605</v>
      </c>
      <c r="G18" s="465">
        <v>303011</v>
      </c>
      <c r="H18" s="465">
        <v>0</v>
      </c>
      <c r="I18" s="465">
        <v>52505376</v>
      </c>
      <c r="J18" s="465">
        <v>7000</v>
      </c>
      <c r="K18" s="465">
        <v>1527430</v>
      </c>
      <c r="L18" s="465">
        <v>0</v>
      </c>
      <c r="M18" s="465">
        <v>1197552</v>
      </c>
      <c r="N18" s="465">
        <v>369621</v>
      </c>
      <c r="O18" s="431">
        <v>0</v>
      </c>
      <c r="P18" s="432">
        <f>IF(SUM(Q18:AB18)=SUM(AC18:AM18),SUM(Q18:AB18),"  EROARE ART/CAP")</f>
        <v>109113457</v>
      </c>
      <c r="Q18" s="465">
        <v>52104911</v>
      </c>
      <c r="R18" s="465">
        <v>24358547</v>
      </c>
      <c r="S18" s="465">
        <v>317041</v>
      </c>
      <c r="T18" s="465">
        <v>204070</v>
      </c>
      <c r="U18" s="465">
        <v>6811917</v>
      </c>
      <c r="V18" s="465">
        <v>790839</v>
      </c>
      <c r="W18" s="465">
        <v>15696226</v>
      </c>
      <c r="X18" s="465">
        <v>3682021</v>
      </c>
      <c r="Y18" s="465">
        <v>121254</v>
      </c>
      <c r="Z18" s="465">
        <v>4489056</v>
      </c>
      <c r="AA18" s="465">
        <v>759450</v>
      </c>
      <c r="AB18" s="465">
        <v>-221875</v>
      </c>
      <c r="AC18" s="465">
        <v>5764910</v>
      </c>
      <c r="AD18" s="465">
        <v>3166350</v>
      </c>
      <c r="AE18" s="465">
        <v>55637097</v>
      </c>
      <c r="AF18" s="465">
        <v>2716861</v>
      </c>
      <c r="AG18" s="465">
        <v>4140180</v>
      </c>
      <c r="AH18" s="465">
        <v>8944959</v>
      </c>
      <c r="AI18" s="465">
        <v>5881261</v>
      </c>
      <c r="AJ18" s="465">
        <v>6634354</v>
      </c>
      <c r="AK18" s="465">
        <v>184499</v>
      </c>
      <c r="AL18" s="465">
        <v>15345631</v>
      </c>
      <c r="AM18" s="431">
        <v>697355</v>
      </c>
    </row>
    <row r="19" spans="1:39" s="155" customFormat="1" ht="12" x14ac:dyDescent="0.2">
      <c r="A19" s="146">
        <v>2</v>
      </c>
      <c r="B19" s="405">
        <v>161829</v>
      </c>
      <c r="C19" s="411" t="s">
        <v>3043</v>
      </c>
      <c r="D19" s="432">
        <f>E19+SUM(H19:O19)</f>
        <v>65396496</v>
      </c>
      <c r="E19" s="465">
        <v>19305957</v>
      </c>
      <c r="F19" s="465">
        <v>9553513</v>
      </c>
      <c r="G19" s="465">
        <v>692425</v>
      </c>
      <c r="H19" s="465">
        <v>0</v>
      </c>
      <c r="I19" s="465">
        <v>24176249</v>
      </c>
      <c r="J19" s="465">
        <v>0</v>
      </c>
      <c r="K19" s="465">
        <v>4001000</v>
      </c>
      <c r="L19" s="465">
        <v>0</v>
      </c>
      <c r="M19" s="465">
        <v>4539838</v>
      </c>
      <c r="N19" s="465">
        <v>12923452</v>
      </c>
      <c r="O19" s="431">
        <v>450000</v>
      </c>
      <c r="P19" s="432">
        <f>IF(SUM(Q19:AB19)=SUM(AC19:AM19),SUM(Q19:AB19),"  EROARE ART/CAP")</f>
        <v>65341025</v>
      </c>
      <c r="Q19" s="465">
        <v>25106330</v>
      </c>
      <c r="R19" s="465">
        <v>16106743</v>
      </c>
      <c r="S19" s="465">
        <v>875361</v>
      </c>
      <c r="T19" s="465">
        <v>67239</v>
      </c>
      <c r="U19" s="465">
        <v>1874873</v>
      </c>
      <c r="V19" s="465">
        <v>0</v>
      </c>
      <c r="W19" s="465">
        <v>18561707</v>
      </c>
      <c r="X19" s="465">
        <v>144909</v>
      </c>
      <c r="Y19" s="465">
        <v>97712</v>
      </c>
      <c r="Z19" s="465">
        <v>2253841</v>
      </c>
      <c r="AA19" s="465">
        <v>335963</v>
      </c>
      <c r="AB19" s="465">
        <v>-83653</v>
      </c>
      <c r="AC19" s="465">
        <v>3906703</v>
      </c>
      <c r="AD19" s="465">
        <v>607264</v>
      </c>
      <c r="AE19" s="465">
        <v>21497983</v>
      </c>
      <c r="AF19" s="465">
        <v>388132</v>
      </c>
      <c r="AG19" s="465">
        <v>1904381</v>
      </c>
      <c r="AH19" s="465">
        <v>4178428</v>
      </c>
      <c r="AI19" s="465">
        <v>2738317</v>
      </c>
      <c r="AJ19" s="465">
        <v>6821765</v>
      </c>
      <c r="AK19" s="465">
        <v>0</v>
      </c>
      <c r="AL19" s="465">
        <v>4047446</v>
      </c>
      <c r="AM19" s="431">
        <v>19250606</v>
      </c>
    </row>
    <row r="20" spans="1:39" s="155" customFormat="1" ht="12" x14ac:dyDescent="0.2">
      <c r="A20" s="146">
        <v>3</v>
      </c>
      <c r="B20" s="405">
        <v>161945</v>
      </c>
      <c r="C20" s="411" t="s">
        <v>3044</v>
      </c>
      <c r="D20" s="432">
        <f>E20+SUM(H20:O20)</f>
        <v>128459148</v>
      </c>
      <c r="E20" s="465">
        <v>55539420</v>
      </c>
      <c r="F20" s="465">
        <v>30816655</v>
      </c>
      <c r="G20" s="465">
        <v>265998</v>
      </c>
      <c r="H20" s="465">
        <v>0</v>
      </c>
      <c r="I20" s="465">
        <v>60223804</v>
      </c>
      <c r="J20" s="465">
        <v>66000</v>
      </c>
      <c r="K20" s="465">
        <v>913000</v>
      </c>
      <c r="L20" s="465">
        <v>0</v>
      </c>
      <c r="M20" s="465">
        <v>3711573</v>
      </c>
      <c r="N20" s="465">
        <v>7854641</v>
      </c>
      <c r="O20" s="431">
        <v>150710</v>
      </c>
      <c r="P20" s="432">
        <f>IF(SUM(Q20:AB20)=SUM(AC20:AM20),SUM(Q20:AB20),"  EROARE ART/CAP")</f>
        <v>131137250</v>
      </c>
      <c r="Q20" s="465">
        <v>60543190</v>
      </c>
      <c r="R20" s="465">
        <v>30459705</v>
      </c>
      <c r="S20" s="465">
        <v>379000</v>
      </c>
      <c r="T20" s="465">
        <v>2572267</v>
      </c>
      <c r="U20" s="465">
        <v>3537241</v>
      </c>
      <c r="V20" s="465">
        <v>919407</v>
      </c>
      <c r="W20" s="465">
        <v>17691825</v>
      </c>
      <c r="X20" s="465">
        <v>3748468</v>
      </c>
      <c r="Y20" s="465">
        <v>2818642</v>
      </c>
      <c r="Z20" s="465">
        <v>7323998</v>
      </c>
      <c r="AA20" s="465">
        <v>1185668</v>
      </c>
      <c r="AB20" s="465">
        <v>-42161</v>
      </c>
      <c r="AC20" s="465">
        <v>8251250</v>
      </c>
      <c r="AD20" s="465">
        <v>3862405</v>
      </c>
      <c r="AE20" s="465">
        <v>63329579</v>
      </c>
      <c r="AF20" s="465">
        <v>0</v>
      </c>
      <c r="AG20" s="465">
        <v>9348694</v>
      </c>
      <c r="AH20" s="465">
        <v>12892088</v>
      </c>
      <c r="AI20" s="465">
        <v>17885082</v>
      </c>
      <c r="AJ20" s="465">
        <v>7011140</v>
      </c>
      <c r="AK20" s="465">
        <v>958382</v>
      </c>
      <c r="AL20" s="465">
        <v>7598630</v>
      </c>
      <c r="AM20" s="431">
        <v>0</v>
      </c>
    </row>
    <row r="21" spans="1:39" s="155" customFormat="1" ht="12" hidden="1" x14ac:dyDescent="0.2">
      <c r="A21" s="146">
        <v>4</v>
      </c>
      <c r="B21" s="146"/>
      <c r="C21" s="206"/>
      <c r="D21" s="432">
        <f t="shared" ref="D21:D41" si="5">E21+SUM(H21:O21)</f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3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146">
        <v>5</v>
      </c>
      <c r="B22" s="146"/>
      <c r="C22" s="206"/>
      <c r="D22" s="432">
        <f t="shared" si="5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3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146"/>
      <c r="C23" s="206"/>
      <c r="D23" s="432">
        <f t="shared" si="5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3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46"/>
      <c r="C24" s="206"/>
      <c r="D24" s="432">
        <f t="shared" si="5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3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46"/>
      <c r="C25" s="206"/>
      <c r="D25" s="432">
        <f t="shared" si="5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3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46"/>
      <c r="C26" s="206"/>
      <c r="D26" s="432">
        <f t="shared" si="5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3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46"/>
      <c r="C27" s="206"/>
      <c r="D27" s="432">
        <f t="shared" si="5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3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46"/>
      <c r="C28" s="206"/>
      <c r="D28" s="432">
        <f t="shared" si="5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3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46"/>
      <c r="C29" s="206"/>
      <c r="D29" s="432">
        <f t="shared" si="5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3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46"/>
      <c r="C30" s="206"/>
      <c r="D30" s="432">
        <f t="shared" si="5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3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46"/>
      <c r="C31" s="206"/>
      <c r="D31" s="432">
        <f t="shared" si="5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3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46"/>
      <c r="C32" s="207"/>
      <c r="D32" s="432">
        <f t="shared" si="5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3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4"/>
      <c r="C33" s="208"/>
      <c r="D33" s="432">
        <f t="shared" si="5"/>
        <v>35646422</v>
      </c>
      <c r="E33" s="432">
        <f>SUM(E34:E53)</f>
        <v>6364886</v>
      </c>
      <c r="F33" s="432">
        <f t="shared" ref="F33:O33" si="6">SUM(F34:F53)</f>
        <v>2360738</v>
      </c>
      <c r="G33" s="432">
        <f t="shared" si="6"/>
        <v>1310470</v>
      </c>
      <c r="H33" s="432">
        <f t="shared" si="6"/>
        <v>0</v>
      </c>
      <c r="I33" s="432">
        <f t="shared" si="6"/>
        <v>16531385</v>
      </c>
      <c r="J33" s="432">
        <f t="shared" si="6"/>
        <v>221000</v>
      </c>
      <c r="K33" s="432">
        <f t="shared" si="6"/>
        <v>7837000</v>
      </c>
      <c r="L33" s="432">
        <f t="shared" si="6"/>
        <v>0</v>
      </c>
      <c r="M33" s="432">
        <f t="shared" si="6"/>
        <v>3300688</v>
      </c>
      <c r="N33" s="432">
        <f t="shared" si="6"/>
        <v>1184359</v>
      </c>
      <c r="O33" s="432">
        <f t="shared" si="6"/>
        <v>207104</v>
      </c>
      <c r="P33" s="432">
        <f t="shared" si="3"/>
        <v>34466921</v>
      </c>
      <c r="Q33" s="432">
        <f>SUM(Q34:Q53)</f>
        <v>17828880</v>
      </c>
      <c r="R33" s="432">
        <f t="shared" ref="R33:AM33" si="7">SUM(R34:R53)</f>
        <v>8682403</v>
      </c>
      <c r="S33" s="432">
        <f t="shared" si="7"/>
        <v>3829</v>
      </c>
      <c r="T33" s="432">
        <f t="shared" si="7"/>
        <v>0</v>
      </c>
      <c r="U33" s="432">
        <f t="shared" si="7"/>
        <v>304869</v>
      </c>
      <c r="V33" s="432">
        <f t="shared" si="7"/>
        <v>1212</v>
      </c>
      <c r="W33" s="432">
        <f t="shared" si="7"/>
        <v>107443</v>
      </c>
      <c r="X33" s="432">
        <f t="shared" si="7"/>
        <v>1268449</v>
      </c>
      <c r="Y33" s="432">
        <f t="shared" si="7"/>
        <v>435874</v>
      </c>
      <c r="Z33" s="432">
        <f t="shared" si="7"/>
        <v>5869689</v>
      </c>
      <c r="AA33" s="432">
        <f t="shared" si="7"/>
        <v>0</v>
      </c>
      <c r="AB33" s="432">
        <f t="shared" si="7"/>
        <v>-35727</v>
      </c>
      <c r="AC33" s="432">
        <f t="shared" si="7"/>
        <v>5075997</v>
      </c>
      <c r="AD33" s="432">
        <f t="shared" si="7"/>
        <v>678115</v>
      </c>
      <c r="AE33" s="432">
        <f t="shared" si="7"/>
        <v>15202017</v>
      </c>
      <c r="AF33" s="432">
        <f t="shared" si="7"/>
        <v>255905</v>
      </c>
      <c r="AG33" s="432">
        <f t="shared" si="7"/>
        <v>874378</v>
      </c>
      <c r="AH33" s="432">
        <f t="shared" si="7"/>
        <v>2947595</v>
      </c>
      <c r="AI33" s="432">
        <f t="shared" si="7"/>
        <v>3515048</v>
      </c>
      <c r="AJ33" s="432">
        <f t="shared" si="7"/>
        <v>1002065</v>
      </c>
      <c r="AK33" s="432">
        <f t="shared" si="7"/>
        <v>0</v>
      </c>
      <c r="AL33" s="432">
        <f t="shared" si="7"/>
        <v>4793265</v>
      </c>
      <c r="AM33" s="432">
        <f t="shared" si="7"/>
        <v>122536</v>
      </c>
    </row>
    <row r="34" spans="1:39" s="155" customFormat="1" ht="12" x14ac:dyDescent="0.2">
      <c r="A34" s="146">
        <v>1</v>
      </c>
      <c r="B34" s="405">
        <v>164981</v>
      </c>
      <c r="C34" s="411" t="s">
        <v>3045</v>
      </c>
      <c r="D34" s="432">
        <f>E34+SUM(H34:O34)</f>
        <v>12574692</v>
      </c>
      <c r="E34" s="465">
        <v>2532119</v>
      </c>
      <c r="F34" s="465">
        <v>732015</v>
      </c>
      <c r="G34" s="465">
        <v>782125</v>
      </c>
      <c r="H34" s="465">
        <v>0</v>
      </c>
      <c r="I34" s="465">
        <v>4841454</v>
      </c>
      <c r="J34" s="465">
        <v>140000</v>
      </c>
      <c r="K34" s="465">
        <v>4552000</v>
      </c>
      <c r="L34" s="465">
        <v>0</v>
      </c>
      <c r="M34" s="465">
        <v>445844</v>
      </c>
      <c r="N34" s="465">
        <v>63275</v>
      </c>
      <c r="O34" s="431">
        <v>0</v>
      </c>
      <c r="P34" s="432">
        <f>IF(SUM(Q34:AB34)=SUM(AC34:AM34),SUM(Q34:AB34),"  EROARE ART/CAP")</f>
        <v>11034781</v>
      </c>
      <c r="Q34" s="465">
        <v>4907770</v>
      </c>
      <c r="R34" s="465">
        <v>4063496</v>
      </c>
      <c r="S34" s="465">
        <v>3829</v>
      </c>
      <c r="T34" s="465">
        <v>0</v>
      </c>
      <c r="U34" s="465">
        <v>238948</v>
      </c>
      <c r="V34" s="465">
        <v>0</v>
      </c>
      <c r="W34" s="465">
        <v>7443</v>
      </c>
      <c r="X34" s="465">
        <v>671264</v>
      </c>
      <c r="Y34" s="465">
        <v>0</v>
      </c>
      <c r="Z34" s="465">
        <v>1167754</v>
      </c>
      <c r="AA34" s="465">
        <v>0</v>
      </c>
      <c r="AB34" s="465">
        <v>-25723</v>
      </c>
      <c r="AC34" s="431">
        <v>2388222</v>
      </c>
      <c r="AD34" s="431">
        <v>357861</v>
      </c>
      <c r="AE34" s="431">
        <v>4069130</v>
      </c>
      <c r="AF34" s="431">
        <v>255905</v>
      </c>
      <c r="AG34" s="431">
        <v>190400</v>
      </c>
      <c r="AH34" s="431">
        <v>963565</v>
      </c>
      <c r="AI34" s="431">
        <v>963479</v>
      </c>
      <c r="AJ34" s="431">
        <v>250244</v>
      </c>
      <c r="AK34" s="431">
        <v>0</v>
      </c>
      <c r="AL34" s="431">
        <v>1513251</v>
      </c>
      <c r="AM34" s="431">
        <v>82724</v>
      </c>
    </row>
    <row r="35" spans="1:39" s="155" customFormat="1" ht="12" x14ac:dyDescent="0.2">
      <c r="A35" s="146">
        <v>2</v>
      </c>
      <c r="B35" s="405">
        <v>161856</v>
      </c>
      <c r="C35" s="411" t="s">
        <v>86</v>
      </c>
      <c r="D35" s="432">
        <f>E35+SUM(H35:O35)</f>
        <v>23071730</v>
      </c>
      <c r="E35" s="465">
        <v>3832767</v>
      </c>
      <c r="F35" s="465">
        <v>1628723</v>
      </c>
      <c r="G35" s="465">
        <v>528345</v>
      </c>
      <c r="H35" s="465">
        <v>0</v>
      </c>
      <c r="I35" s="465">
        <v>11689931</v>
      </c>
      <c r="J35" s="465">
        <v>81000</v>
      </c>
      <c r="K35" s="465">
        <v>3285000</v>
      </c>
      <c r="L35" s="465">
        <v>0</v>
      </c>
      <c r="M35" s="465">
        <v>2854844</v>
      </c>
      <c r="N35" s="465">
        <v>1121084</v>
      </c>
      <c r="O35" s="431">
        <v>207104</v>
      </c>
      <c r="P35" s="432">
        <f>IF(SUM(Q35:AB35)=SUM(AC35:AM35),SUM(Q35:AB35),"  EROARE ART/CAP")</f>
        <v>23432140</v>
      </c>
      <c r="Q35" s="465">
        <v>12921110</v>
      </c>
      <c r="R35" s="465">
        <v>4618907</v>
      </c>
      <c r="S35" s="465">
        <v>0</v>
      </c>
      <c r="T35" s="465">
        <v>0</v>
      </c>
      <c r="U35" s="465">
        <v>65921</v>
      </c>
      <c r="V35" s="465">
        <v>1212</v>
      </c>
      <c r="W35" s="465">
        <v>100000</v>
      </c>
      <c r="X35" s="465">
        <v>597185</v>
      </c>
      <c r="Y35" s="465">
        <v>435874</v>
      </c>
      <c r="Z35" s="465">
        <v>4701935</v>
      </c>
      <c r="AA35" s="465">
        <v>0</v>
      </c>
      <c r="AB35" s="465">
        <v>-10004</v>
      </c>
      <c r="AC35" s="431">
        <v>2687775</v>
      </c>
      <c r="AD35" s="431">
        <v>320254</v>
      </c>
      <c r="AE35" s="431">
        <v>11132887</v>
      </c>
      <c r="AF35" s="431">
        <v>0</v>
      </c>
      <c r="AG35" s="431">
        <v>683978</v>
      </c>
      <c r="AH35" s="431">
        <v>1984030</v>
      </c>
      <c r="AI35" s="431">
        <v>2551569</v>
      </c>
      <c r="AJ35" s="431">
        <v>751821</v>
      </c>
      <c r="AK35" s="431">
        <v>0</v>
      </c>
      <c r="AL35" s="431">
        <v>3280014</v>
      </c>
      <c r="AM35" s="431">
        <v>39812</v>
      </c>
    </row>
    <row r="36" spans="1:39" s="155" customFormat="1" ht="12" hidden="1" x14ac:dyDescent="0.2">
      <c r="A36" s="146">
        <v>3</v>
      </c>
      <c r="B36" s="146"/>
      <c r="C36" s="172"/>
      <c r="D36" s="432">
        <f t="shared" si="5"/>
        <v>0</v>
      </c>
      <c r="E36" s="435"/>
      <c r="F36" s="435"/>
      <c r="G36" s="435"/>
      <c r="H36" s="435"/>
      <c r="I36" s="435"/>
      <c r="J36" s="435"/>
      <c r="K36" s="435"/>
      <c r="L36" s="435"/>
      <c r="M36" s="435"/>
      <c r="N36" s="435"/>
      <c r="O36" s="435"/>
      <c r="P36" s="432">
        <f t="shared" si="3"/>
        <v>0</v>
      </c>
      <c r="Q36" s="435"/>
      <c r="R36" s="435"/>
      <c r="S36" s="435"/>
      <c r="T36" s="435"/>
      <c r="U36" s="435"/>
      <c r="V36" s="431"/>
      <c r="W36" s="431"/>
      <c r="X36" s="431"/>
      <c r="Y36" s="431"/>
      <c r="Z36" s="431"/>
      <c r="AA36" s="431"/>
      <c r="AB36" s="431"/>
      <c r="AC36" s="445"/>
      <c r="AD36" s="435"/>
      <c r="AE36" s="435"/>
      <c r="AF36" s="435"/>
      <c r="AG36" s="435"/>
      <c r="AH36" s="435"/>
      <c r="AI36" s="435"/>
      <c r="AJ36" s="435"/>
      <c r="AK36" s="435"/>
      <c r="AL36" s="435"/>
      <c r="AM36" s="435"/>
    </row>
    <row r="37" spans="1:39" s="155" customFormat="1" ht="12" hidden="1" x14ac:dyDescent="0.2">
      <c r="A37" s="146">
        <v>4</v>
      </c>
      <c r="B37" s="146"/>
      <c r="C37" s="172"/>
      <c r="D37" s="432">
        <f t="shared" si="5"/>
        <v>0</v>
      </c>
      <c r="E37" s="435"/>
      <c r="F37" s="435"/>
      <c r="G37" s="435"/>
      <c r="H37" s="435"/>
      <c r="I37" s="435"/>
      <c r="J37" s="435"/>
      <c r="K37" s="435"/>
      <c r="L37" s="435"/>
      <c r="M37" s="435"/>
      <c r="N37" s="435"/>
      <c r="O37" s="435"/>
      <c r="P37" s="432">
        <f t="shared" si="3"/>
        <v>0</v>
      </c>
      <c r="Q37" s="435"/>
      <c r="R37" s="435"/>
      <c r="S37" s="435"/>
      <c r="T37" s="435"/>
      <c r="U37" s="435"/>
      <c r="V37" s="431"/>
      <c r="W37" s="431"/>
      <c r="X37" s="431"/>
      <c r="Y37" s="431"/>
      <c r="Z37" s="431"/>
      <c r="AA37" s="431"/>
      <c r="AB37" s="431"/>
      <c r="AC37" s="445"/>
      <c r="AD37" s="435"/>
      <c r="AE37" s="435"/>
      <c r="AF37" s="435"/>
      <c r="AG37" s="435"/>
      <c r="AH37" s="435"/>
      <c r="AI37" s="435"/>
      <c r="AJ37" s="435"/>
      <c r="AK37" s="435"/>
      <c r="AL37" s="435"/>
      <c r="AM37" s="435"/>
    </row>
    <row r="38" spans="1:39" s="155" customFormat="1" ht="12" hidden="1" x14ac:dyDescent="0.2">
      <c r="A38" s="146">
        <v>5</v>
      </c>
      <c r="B38" s="146"/>
      <c r="C38" s="172"/>
      <c r="D38" s="432">
        <f t="shared" si="5"/>
        <v>0</v>
      </c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2">
        <f t="shared" si="3"/>
        <v>0</v>
      </c>
      <c r="Q38" s="435"/>
      <c r="R38" s="435"/>
      <c r="S38" s="435"/>
      <c r="T38" s="435"/>
      <c r="U38" s="435"/>
      <c r="V38" s="431"/>
      <c r="W38" s="431"/>
      <c r="X38" s="431"/>
      <c r="Y38" s="431"/>
      <c r="Z38" s="435"/>
      <c r="AA38" s="431"/>
      <c r="AB38" s="431"/>
      <c r="AC38" s="445"/>
      <c r="AD38" s="435"/>
      <c r="AE38" s="435"/>
      <c r="AF38" s="435"/>
      <c r="AG38" s="435"/>
      <c r="AH38" s="435"/>
      <c r="AI38" s="435"/>
      <c r="AJ38" s="435"/>
      <c r="AK38" s="435"/>
      <c r="AL38" s="435"/>
      <c r="AM38" s="435"/>
    </row>
    <row r="39" spans="1:39" s="155" customFormat="1" ht="12" hidden="1" x14ac:dyDescent="0.2">
      <c r="A39" s="146">
        <v>6</v>
      </c>
      <c r="B39" s="146"/>
      <c r="C39" s="172"/>
      <c r="D39" s="432">
        <f t="shared" si="5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3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</row>
    <row r="40" spans="1:39" s="155" customFormat="1" ht="12" hidden="1" x14ac:dyDescent="0.2">
      <c r="A40" s="146">
        <v>7</v>
      </c>
      <c r="B40" s="146"/>
      <c r="C40" s="182"/>
      <c r="D40" s="432">
        <f t="shared" si="5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3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155" customFormat="1" ht="12" hidden="1" x14ac:dyDescent="0.2">
      <c r="A41" s="146">
        <v>8</v>
      </c>
      <c r="B41" s="146"/>
      <c r="C41" s="173"/>
      <c r="D41" s="432">
        <f t="shared" si="5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3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146">
        <v>9</v>
      </c>
      <c r="B42" s="146"/>
      <c r="C42" s="206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3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146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3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46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3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46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3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46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3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46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3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46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3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46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3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46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3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46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3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46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3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46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3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4"/>
      <c r="C54" s="208"/>
      <c r="D54" s="432">
        <f t="shared" ref="D54" si="8">E54+SUM(H54:O54)</f>
        <v>428305012</v>
      </c>
      <c r="E54" s="432">
        <f>SUM(E55:E143)</f>
        <v>64545108</v>
      </c>
      <c r="F54" s="432">
        <f t="shared" ref="F54:O54" si="9">SUM(F55:F143)</f>
        <v>15301411</v>
      </c>
      <c r="G54" s="432">
        <f t="shared" si="9"/>
        <v>14326820</v>
      </c>
      <c r="H54" s="432">
        <f t="shared" si="9"/>
        <v>0</v>
      </c>
      <c r="I54" s="432">
        <f t="shared" si="9"/>
        <v>140977085</v>
      </c>
      <c r="J54" s="432">
        <f t="shared" si="9"/>
        <v>6197000</v>
      </c>
      <c r="K54" s="432">
        <f t="shared" si="9"/>
        <v>97467600</v>
      </c>
      <c r="L54" s="432">
        <f t="shared" si="9"/>
        <v>0</v>
      </c>
      <c r="M54" s="432">
        <f t="shared" si="9"/>
        <v>72862278</v>
      </c>
      <c r="N54" s="432">
        <f t="shared" si="9"/>
        <v>35358706</v>
      </c>
      <c r="O54" s="432">
        <f t="shared" si="9"/>
        <v>10897235</v>
      </c>
      <c r="P54" s="432">
        <f t="shared" si="3"/>
        <v>401482187</v>
      </c>
      <c r="Q54" s="432">
        <f>SUM(Q55:Q143)</f>
        <v>155788608</v>
      </c>
      <c r="R54" s="432">
        <f t="shared" ref="R54:AM54" si="10">SUM(R55:R143)</f>
        <v>86400774</v>
      </c>
      <c r="S54" s="432">
        <f t="shared" si="10"/>
        <v>411067</v>
      </c>
      <c r="T54" s="432">
        <f t="shared" si="10"/>
        <v>0</v>
      </c>
      <c r="U54" s="432">
        <f t="shared" si="10"/>
        <v>238963</v>
      </c>
      <c r="V54" s="432">
        <f t="shared" si="10"/>
        <v>1599610</v>
      </c>
      <c r="W54" s="432">
        <f t="shared" si="10"/>
        <v>20571890</v>
      </c>
      <c r="X54" s="432">
        <f t="shared" si="10"/>
        <v>21882802</v>
      </c>
      <c r="Y54" s="432">
        <f t="shared" si="10"/>
        <v>1183668</v>
      </c>
      <c r="Z54" s="432">
        <f t="shared" si="10"/>
        <v>107189489</v>
      </c>
      <c r="AA54" s="432">
        <f t="shared" si="10"/>
        <v>6571687</v>
      </c>
      <c r="AB54" s="432">
        <f t="shared" si="10"/>
        <v>-356371</v>
      </c>
      <c r="AC54" s="432">
        <f t="shared" si="10"/>
        <v>67513487</v>
      </c>
      <c r="AD54" s="432">
        <f t="shared" si="10"/>
        <v>5595106</v>
      </c>
      <c r="AE54" s="432">
        <f t="shared" si="10"/>
        <v>131644242</v>
      </c>
      <c r="AF54" s="432">
        <f t="shared" si="10"/>
        <v>1898360</v>
      </c>
      <c r="AG54" s="432">
        <f t="shared" si="10"/>
        <v>15464360</v>
      </c>
      <c r="AH54" s="432">
        <f t="shared" si="10"/>
        <v>34811568</v>
      </c>
      <c r="AI54" s="432">
        <f t="shared" si="10"/>
        <v>39186051</v>
      </c>
      <c r="AJ54" s="432">
        <f t="shared" si="10"/>
        <v>10350786</v>
      </c>
      <c r="AK54" s="432">
        <f t="shared" si="10"/>
        <v>0</v>
      </c>
      <c r="AL54" s="432">
        <f>SUM(AL55:AL143)</f>
        <v>92241203</v>
      </c>
      <c r="AM54" s="432">
        <f t="shared" si="10"/>
        <v>2777024</v>
      </c>
    </row>
    <row r="55" spans="1:39" s="155" customFormat="1" ht="12" x14ac:dyDescent="0.2">
      <c r="A55" s="168">
        <v>1</v>
      </c>
      <c r="B55" s="405">
        <v>162014</v>
      </c>
      <c r="C55" s="411" t="s">
        <v>2958</v>
      </c>
      <c r="D55" s="432">
        <f t="shared" ref="D55:D86" si="11">E55+SUM(H55:O55)</f>
        <v>5136272</v>
      </c>
      <c r="E55" s="465">
        <v>1011546</v>
      </c>
      <c r="F55" s="465">
        <v>202734</v>
      </c>
      <c r="G55" s="465">
        <v>110483</v>
      </c>
      <c r="H55" s="465">
        <v>0</v>
      </c>
      <c r="I55" s="465">
        <v>1489759</v>
      </c>
      <c r="J55" s="465">
        <v>55000</v>
      </c>
      <c r="K55" s="465">
        <v>891000</v>
      </c>
      <c r="L55" s="465">
        <v>0</v>
      </c>
      <c r="M55" s="465">
        <v>1367836</v>
      </c>
      <c r="N55" s="465">
        <v>284120</v>
      </c>
      <c r="O55" s="431">
        <v>37011</v>
      </c>
      <c r="P55" s="432">
        <f t="shared" ref="P55:P86" si="12">IF(SUM(Q55:AB55)=SUM(AC55:AM55),SUM(Q55:AB55),"  EROARE ART/CAP")</f>
        <v>4884370</v>
      </c>
      <c r="Q55" s="465">
        <v>1685877</v>
      </c>
      <c r="R55" s="465">
        <v>1034482</v>
      </c>
      <c r="S55" s="465">
        <v>2422</v>
      </c>
      <c r="T55" s="465">
        <v>0</v>
      </c>
      <c r="U55" s="465">
        <v>0</v>
      </c>
      <c r="V55" s="465">
        <v>0</v>
      </c>
      <c r="W55" s="465">
        <v>127662</v>
      </c>
      <c r="X55" s="465">
        <v>299983</v>
      </c>
      <c r="Y55" s="465">
        <v>51099</v>
      </c>
      <c r="Z55" s="465">
        <v>1650151</v>
      </c>
      <c r="AA55" s="465">
        <v>54847</v>
      </c>
      <c r="AB55" s="465">
        <v>-22153</v>
      </c>
      <c r="AC55" s="465">
        <v>912776</v>
      </c>
      <c r="AD55" s="465">
        <v>41904</v>
      </c>
      <c r="AE55" s="465">
        <v>1385937</v>
      </c>
      <c r="AF55" s="465">
        <v>0</v>
      </c>
      <c r="AG55" s="465">
        <v>249387</v>
      </c>
      <c r="AH55" s="465">
        <v>299983</v>
      </c>
      <c r="AI55" s="465">
        <v>68720</v>
      </c>
      <c r="AJ55" s="465">
        <v>0</v>
      </c>
      <c r="AK55" s="465">
        <v>0</v>
      </c>
      <c r="AL55" s="465">
        <v>1925663</v>
      </c>
      <c r="AM55" s="431">
        <v>0</v>
      </c>
    </row>
    <row r="56" spans="1:39" s="155" customFormat="1" ht="12" x14ac:dyDescent="0.2">
      <c r="A56" s="168">
        <v>2</v>
      </c>
      <c r="B56" s="405">
        <v>162069</v>
      </c>
      <c r="C56" s="411" t="s">
        <v>3046</v>
      </c>
      <c r="D56" s="432">
        <f t="shared" si="11"/>
        <v>5799362</v>
      </c>
      <c r="E56" s="465">
        <v>475523</v>
      </c>
      <c r="F56" s="465">
        <v>85270</v>
      </c>
      <c r="G56" s="465">
        <v>205650</v>
      </c>
      <c r="H56" s="465">
        <v>0</v>
      </c>
      <c r="I56" s="465">
        <v>1369292</v>
      </c>
      <c r="J56" s="465">
        <v>71000</v>
      </c>
      <c r="K56" s="465">
        <v>1370210</v>
      </c>
      <c r="L56" s="465">
        <v>0</v>
      </c>
      <c r="M56" s="465">
        <v>404675</v>
      </c>
      <c r="N56" s="465">
        <v>379778</v>
      </c>
      <c r="O56" s="431">
        <v>1728884</v>
      </c>
      <c r="P56" s="432">
        <f t="shared" si="12"/>
        <v>4082961</v>
      </c>
      <c r="Q56" s="465">
        <v>1649801</v>
      </c>
      <c r="R56" s="465">
        <v>800518</v>
      </c>
      <c r="S56" s="465">
        <v>1268</v>
      </c>
      <c r="T56" s="465">
        <v>0</v>
      </c>
      <c r="U56" s="465">
        <v>0</v>
      </c>
      <c r="V56" s="465">
        <v>0</v>
      </c>
      <c r="W56" s="465">
        <v>0</v>
      </c>
      <c r="X56" s="465">
        <v>119286</v>
      </c>
      <c r="Y56" s="465">
        <v>0</v>
      </c>
      <c r="Z56" s="465">
        <v>1043779</v>
      </c>
      <c r="AA56" s="465">
        <v>474049</v>
      </c>
      <c r="AB56" s="465">
        <v>-5740</v>
      </c>
      <c r="AC56" s="465">
        <v>755585</v>
      </c>
      <c r="AD56" s="465">
        <v>20036</v>
      </c>
      <c r="AE56" s="465">
        <v>1122704</v>
      </c>
      <c r="AF56" s="465">
        <v>0</v>
      </c>
      <c r="AG56" s="465">
        <v>89823</v>
      </c>
      <c r="AH56" s="465">
        <v>404548</v>
      </c>
      <c r="AI56" s="465">
        <v>953597</v>
      </c>
      <c r="AJ56" s="465">
        <v>0</v>
      </c>
      <c r="AK56" s="465">
        <v>0</v>
      </c>
      <c r="AL56" s="465">
        <v>702000</v>
      </c>
      <c r="AM56" s="431">
        <v>34668</v>
      </c>
    </row>
    <row r="57" spans="1:39" s="155" customFormat="1" ht="12" x14ac:dyDescent="0.2">
      <c r="A57" s="168">
        <v>3</v>
      </c>
      <c r="B57" s="405">
        <v>162149</v>
      </c>
      <c r="C57" s="411" t="s">
        <v>3047</v>
      </c>
      <c r="D57" s="432">
        <f t="shared" si="11"/>
        <v>3208715</v>
      </c>
      <c r="E57" s="465">
        <v>483149</v>
      </c>
      <c r="F57" s="465">
        <v>52580</v>
      </c>
      <c r="G57" s="465">
        <v>207837</v>
      </c>
      <c r="H57" s="465">
        <v>0</v>
      </c>
      <c r="I57" s="465">
        <v>811850</v>
      </c>
      <c r="J57" s="465">
        <v>61000</v>
      </c>
      <c r="K57" s="465">
        <v>1245000</v>
      </c>
      <c r="L57" s="465">
        <v>0</v>
      </c>
      <c r="M57" s="465">
        <v>607716</v>
      </c>
      <c r="N57" s="465">
        <v>0</v>
      </c>
      <c r="O57" s="431">
        <v>0</v>
      </c>
      <c r="P57" s="432">
        <f t="shared" si="12"/>
        <v>2922728</v>
      </c>
      <c r="Q57" s="465">
        <v>1036494</v>
      </c>
      <c r="R57" s="465">
        <v>921380</v>
      </c>
      <c r="S57" s="465">
        <v>0</v>
      </c>
      <c r="T57" s="465">
        <v>0</v>
      </c>
      <c r="U57" s="465">
        <v>0</v>
      </c>
      <c r="V57" s="465">
        <v>0</v>
      </c>
      <c r="W57" s="465">
        <v>0</v>
      </c>
      <c r="X57" s="465">
        <v>152223</v>
      </c>
      <c r="Y57" s="465">
        <v>0</v>
      </c>
      <c r="Z57" s="465">
        <v>812631</v>
      </c>
      <c r="AA57" s="465">
        <v>0</v>
      </c>
      <c r="AB57" s="465">
        <v>0</v>
      </c>
      <c r="AC57" s="465">
        <v>811143</v>
      </c>
      <c r="AD57" s="465">
        <v>0</v>
      </c>
      <c r="AE57" s="465">
        <v>1295925</v>
      </c>
      <c r="AF57" s="465">
        <v>24303</v>
      </c>
      <c r="AG57" s="465">
        <v>171547</v>
      </c>
      <c r="AH57" s="465">
        <v>181627</v>
      </c>
      <c r="AI57" s="465">
        <v>249983</v>
      </c>
      <c r="AJ57" s="465">
        <v>0</v>
      </c>
      <c r="AK57" s="465">
        <v>0</v>
      </c>
      <c r="AL57" s="465">
        <v>188200</v>
      </c>
      <c r="AM57" s="431">
        <v>0</v>
      </c>
    </row>
    <row r="58" spans="1:39" s="155" customFormat="1" ht="12" x14ac:dyDescent="0.2">
      <c r="A58" s="168">
        <v>4</v>
      </c>
      <c r="B58" s="405">
        <v>162194</v>
      </c>
      <c r="C58" s="411" t="s">
        <v>3048</v>
      </c>
      <c r="D58" s="432">
        <f t="shared" si="11"/>
        <v>5973874</v>
      </c>
      <c r="E58" s="465">
        <v>1250905</v>
      </c>
      <c r="F58" s="465">
        <v>404985</v>
      </c>
      <c r="G58" s="465">
        <v>124636</v>
      </c>
      <c r="H58" s="465">
        <v>0</v>
      </c>
      <c r="I58" s="465">
        <v>3105760</v>
      </c>
      <c r="J58" s="465">
        <v>122000</v>
      </c>
      <c r="K58" s="465">
        <v>1090870</v>
      </c>
      <c r="L58" s="465">
        <v>0</v>
      </c>
      <c r="M58" s="465">
        <v>404339</v>
      </c>
      <c r="N58" s="465">
        <v>0</v>
      </c>
      <c r="O58" s="431">
        <v>0</v>
      </c>
      <c r="P58" s="432">
        <f t="shared" si="12"/>
        <v>6039093</v>
      </c>
      <c r="Q58" s="465">
        <v>3068144</v>
      </c>
      <c r="R58" s="465">
        <v>1905426</v>
      </c>
      <c r="S58" s="465">
        <v>0</v>
      </c>
      <c r="T58" s="465">
        <v>0</v>
      </c>
      <c r="U58" s="465">
        <v>0</v>
      </c>
      <c r="V58" s="465">
        <v>30000</v>
      </c>
      <c r="W58" s="465">
        <v>0</v>
      </c>
      <c r="X58" s="465">
        <v>542616</v>
      </c>
      <c r="Y58" s="465">
        <v>1484</v>
      </c>
      <c r="Z58" s="465">
        <v>492535</v>
      </c>
      <c r="AA58" s="465">
        <v>0</v>
      </c>
      <c r="AB58" s="465">
        <v>-1112</v>
      </c>
      <c r="AC58" s="465">
        <v>1190008</v>
      </c>
      <c r="AD58" s="465">
        <v>6612</v>
      </c>
      <c r="AE58" s="465">
        <v>2830090</v>
      </c>
      <c r="AF58" s="465">
        <v>24748</v>
      </c>
      <c r="AG58" s="465">
        <v>122001</v>
      </c>
      <c r="AH58" s="465">
        <v>665455</v>
      </c>
      <c r="AI58" s="465">
        <v>850562</v>
      </c>
      <c r="AJ58" s="465">
        <v>15446</v>
      </c>
      <c r="AK58" s="465">
        <v>0</v>
      </c>
      <c r="AL58" s="465">
        <v>334171</v>
      </c>
      <c r="AM58" s="431">
        <v>0</v>
      </c>
    </row>
    <row r="59" spans="1:39" s="155" customFormat="1" ht="12" x14ac:dyDescent="0.2">
      <c r="A59" s="168">
        <v>5</v>
      </c>
      <c r="B59" s="405">
        <v>162327</v>
      </c>
      <c r="C59" s="411" t="s">
        <v>3049</v>
      </c>
      <c r="D59" s="432">
        <f t="shared" si="11"/>
        <v>3835160</v>
      </c>
      <c r="E59" s="465">
        <v>767798</v>
      </c>
      <c r="F59" s="465">
        <v>121594</v>
      </c>
      <c r="G59" s="465">
        <v>170646</v>
      </c>
      <c r="H59" s="465">
        <v>0</v>
      </c>
      <c r="I59" s="465">
        <v>1756607</v>
      </c>
      <c r="J59" s="465">
        <v>45000</v>
      </c>
      <c r="K59" s="465">
        <v>1116000</v>
      </c>
      <c r="L59" s="465">
        <v>0</v>
      </c>
      <c r="M59" s="465">
        <v>92755</v>
      </c>
      <c r="N59" s="465">
        <v>0</v>
      </c>
      <c r="O59" s="431">
        <v>57000</v>
      </c>
      <c r="P59" s="432">
        <f t="shared" si="12"/>
        <v>3570749</v>
      </c>
      <c r="Q59" s="465">
        <v>1899653</v>
      </c>
      <c r="R59" s="465">
        <v>920076</v>
      </c>
      <c r="S59" s="465">
        <v>0</v>
      </c>
      <c r="T59" s="465">
        <v>0</v>
      </c>
      <c r="U59" s="465">
        <v>0</v>
      </c>
      <c r="V59" s="465">
        <v>180000</v>
      </c>
      <c r="W59" s="465">
        <v>0</v>
      </c>
      <c r="X59" s="465">
        <v>333063</v>
      </c>
      <c r="Y59" s="465">
        <v>2768</v>
      </c>
      <c r="Z59" s="465">
        <v>235189</v>
      </c>
      <c r="AA59" s="465">
        <v>0</v>
      </c>
      <c r="AB59" s="465">
        <v>0</v>
      </c>
      <c r="AC59" s="465">
        <v>750403</v>
      </c>
      <c r="AD59" s="465">
        <v>20427</v>
      </c>
      <c r="AE59" s="465">
        <v>1635008</v>
      </c>
      <c r="AF59" s="465">
        <v>28926</v>
      </c>
      <c r="AG59" s="465">
        <v>392662</v>
      </c>
      <c r="AH59" s="465">
        <v>333063</v>
      </c>
      <c r="AI59" s="465">
        <v>133552</v>
      </c>
      <c r="AJ59" s="465">
        <v>0</v>
      </c>
      <c r="AK59" s="465">
        <v>0</v>
      </c>
      <c r="AL59" s="465">
        <v>276708</v>
      </c>
      <c r="AM59" s="431">
        <v>0</v>
      </c>
    </row>
    <row r="60" spans="1:39" s="155" customFormat="1" ht="12" x14ac:dyDescent="0.2">
      <c r="A60" s="168">
        <v>6</v>
      </c>
      <c r="B60" s="405">
        <v>162381</v>
      </c>
      <c r="C60" s="411" t="s">
        <v>3050</v>
      </c>
      <c r="D60" s="432">
        <f t="shared" si="11"/>
        <v>6120216</v>
      </c>
      <c r="E60" s="465">
        <v>700354</v>
      </c>
      <c r="F60" s="465">
        <v>324348</v>
      </c>
      <c r="G60" s="465">
        <v>177210</v>
      </c>
      <c r="H60" s="465">
        <v>0</v>
      </c>
      <c r="I60" s="465">
        <v>2677387</v>
      </c>
      <c r="J60" s="465">
        <v>102000</v>
      </c>
      <c r="K60" s="465">
        <v>1409530</v>
      </c>
      <c r="L60" s="465">
        <v>0</v>
      </c>
      <c r="M60" s="465">
        <v>492988</v>
      </c>
      <c r="N60" s="465">
        <v>602952</v>
      </c>
      <c r="O60" s="431">
        <v>135005</v>
      </c>
      <c r="P60" s="432">
        <f t="shared" si="12"/>
        <v>6288879</v>
      </c>
      <c r="Q60" s="465">
        <v>2672708</v>
      </c>
      <c r="R60" s="465">
        <v>1296181</v>
      </c>
      <c r="S60" s="465">
        <v>21187</v>
      </c>
      <c r="T60" s="465">
        <v>0</v>
      </c>
      <c r="U60" s="465">
        <v>132704</v>
      </c>
      <c r="V60" s="465">
        <v>0</v>
      </c>
      <c r="W60" s="465">
        <v>149260</v>
      </c>
      <c r="X60" s="465">
        <v>585770</v>
      </c>
      <c r="Y60" s="465">
        <v>4600</v>
      </c>
      <c r="Z60" s="465">
        <v>638072</v>
      </c>
      <c r="AA60" s="465">
        <v>789195</v>
      </c>
      <c r="AB60" s="465">
        <v>-798</v>
      </c>
      <c r="AC60" s="465">
        <v>819488</v>
      </c>
      <c r="AD60" s="465">
        <v>72099</v>
      </c>
      <c r="AE60" s="465">
        <v>2643566</v>
      </c>
      <c r="AF60" s="465">
        <v>34380</v>
      </c>
      <c r="AG60" s="465">
        <v>84874</v>
      </c>
      <c r="AH60" s="465">
        <v>585481</v>
      </c>
      <c r="AI60" s="465">
        <v>669120</v>
      </c>
      <c r="AJ60" s="465">
        <v>33757</v>
      </c>
      <c r="AK60" s="465">
        <v>0</v>
      </c>
      <c r="AL60" s="465">
        <v>1289914</v>
      </c>
      <c r="AM60" s="431">
        <v>56200</v>
      </c>
    </row>
    <row r="61" spans="1:39" s="155" customFormat="1" ht="12" x14ac:dyDescent="0.2">
      <c r="A61" s="168">
        <v>7</v>
      </c>
      <c r="B61" s="405">
        <v>162452</v>
      </c>
      <c r="C61" s="411" t="s">
        <v>3051</v>
      </c>
      <c r="D61" s="432">
        <f t="shared" si="11"/>
        <v>4292309</v>
      </c>
      <c r="E61" s="465">
        <v>649037</v>
      </c>
      <c r="F61" s="465">
        <v>180429</v>
      </c>
      <c r="G61" s="465">
        <v>183772</v>
      </c>
      <c r="H61" s="465">
        <v>0</v>
      </c>
      <c r="I61" s="465">
        <v>833868</v>
      </c>
      <c r="J61" s="465">
        <v>58000</v>
      </c>
      <c r="K61" s="465">
        <v>1128000</v>
      </c>
      <c r="L61" s="465">
        <v>0</v>
      </c>
      <c r="M61" s="465">
        <v>1571603</v>
      </c>
      <c r="N61" s="465">
        <v>1</v>
      </c>
      <c r="O61" s="431">
        <v>51800</v>
      </c>
      <c r="P61" s="432">
        <f t="shared" si="12"/>
        <v>4182340</v>
      </c>
      <c r="Q61" s="465">
        <v>1047570</v>
      </c>
      <c r="R61" s="465">
        <v>700466</v>
      </c>
      <c r="S61" s="465">
        <v>0</v>
      </c>
      <c r="T61" s="465">
        <v>0</v>
      </c>
      <c r="U61" s="465">
        <v>0</v>
      </c>
      <c r="V61" s="465">
        <v>0</v>
      </c>
      <c r="W61" s="465">
        <v>0</v>
      </c>
      <c r="X61" s="465">
        <v>203190</v>
      </c>
      <c r="Y61" s="465">
        <v>87446</v>
      </c>
      <c r="Z61" s="465">
        <v>2152795</v>
      </c>
      <c r="AA61" s="465">
        <v>0</v>
      </c>
      <c r="AB61" s="465">
        <v>-9127</v>
      </c>
      <c r="AC61" s="465">
        <v>606600</v>
      </c>
      <c r="AD61" s="465">
        <v>54401</v>
      </c>
      <c r="AE61" s="465">
        <v>702786</v>
      </c>
      <c r="AF61" s="465">
        <v>0</v>
      </c>
      <c r="AG61" s="465">
        <v>504785</v>
      </c>
      <c r="AH61" s="465">
        <v>220440</v>
      </c>
      <c r="AI61" s="465">
        <v>256550</v>
      </c>
      <c r="AJ61" s="465">
        <v>4558</v>
      </c>
      <c r="AK61" s="465">
        <v>0</v>
      </c>
      <c r="AL61" s="465">
        <v>1832220</v>
      </c>
      <c r="AM61" s="431">
        <v>0</v>
      </c>
    </row>
    <row r="62" spans="1:39" s="155" customFormat="1" ht="12" x14ac:dyDescent="0.2">
      <c r="A62" s="168">
        <v>8</v>
      </c>
      <c r="B62" s="405">
        <v>162498</v>
      </c>
      <c r="C62" s="411" t="s">
        <v>3052</v>
      </c>
      <c r="D62" s="432">
        <f t="shared" si="11"/>
        <v>5754749</v>
      </c>
      <c r="E62" s="465">
        <v>1523791</v>
      </c>
      <c r="F62" s="465">
        <v>695673</v>
      </c>
      <c r="G62" s="465">
        <v>109426</v>
      </c>
      <c r="H62" s="465">
        <v>0</v>
      </c>
      <c r="I62" s="465">
        <v>2371535</v>
      </c>
      <c r="J62" s="465">
        <v>55000</v>
      </c>
      <c r="K62" s="465">
        <v>359000</v>
      </c>
      <c r="L62" s="465">
        <v>0</v>
      </c>
      <c r="M62" s="465">
        <v>281051</v>
      </c>
      <c r="N62" s="465">
        <v>591869</v>
      </c>
      <c r="O62" s="431">
        <v>572503</v>
      </c>
      <c r="P62" s="432">
        <f t="shared" si="12"/>
        <v>6912808</v>
      </c>
      <c r="Q62" s="465">
        <v>2546793</v>
      </c>
      <c r="R62" s="465">
        <v>769746</v>
      </c>
      <c r="S62" s="465">
        <v>0</v>
      </c>
      <c r="T62" s="465">
        <v>0</v>
      </c>
      <c r="U62" s="465">
        <v>0</v>
      </c>
      <c r="V62" s="465">
        <v>0</v>
      </c>
      <c r="W62" s="465">
        <v>713213</v>
      </c>
      <c r="X62" s="465">
        <v>240559</v>
      </c>
      <c r="Y62" s="465">
        <v>4883</v>
      </c>
      <c r="Z62" s="465">
        <v>2638495</v>
      </c>
      <c r="AA62" s="465">
        <v>0</v>
      </c>
      <c r="AB62" s="465">
        <v>-881</v>
      </c>
      <c r="AC62" s="465">
        <v>676435</v>
      </c>
      <c r="AD62" s="465">
        <v>492330</v>
      </c>
      <c r="AE62" s="465">
        <v>2084528</v>
      </c>
      <c r="AF62" s="465">
        <v>25208</v>
      </c>
      <c r="AG62" s="465">
        <v>63126</v>
      </c>
      <c r="AH62" s="465">
        <v>554771</v>
      </c>
      <c r="AI62" s="465">
        <v>277432</v>
      </c>
      <c r="AJ62" s="465">
        <v>2026356</v>
      </c>
      <c r="AK62" s="465">
        <v>0</v>
      </c>
      <c r="AL62" s="465">
        <v>349591</v>
      </c>
      <c r="AM62" s="431">
        <v>363031</v>
      </c>
    </row>
    <row r="63" spans="1:39" s="155" customFormat="1" ht="12" x14ac:dyDescent="0.2">
      <c r="A63" s="168">
        <v>9</v>
      </c>
      <c r="B63" s="405">
        <v>162559</v>
      </c>
      <c r="C63" s="411" t="s">
        <v>3053</v>
      </c>
      <c r="D63" s="432">
        <f t="shared" si="11"/>
        <v>2394793</v>
      </c>
      <c r="E63" s="465">
        <v>480810</v>
      </c>
      <c r="F63" s="465">
        <v>56279</v>
      </c>
      <c r="G63" s="465">
        <v>200180</v>
      </c>
      <c r="H63" s="465">
        <v>0</v>
      </c>
      <c r="I63" s="465">
        <v>601761</v>
      </c>
      <c r="J63" s="465">
        <v>50000</v>
      </c>
      <c r="K63" s="465">
        <v>1255000</v>
      </c>
      <c r="L63" s="465">
        <v>0</v>
      </c>
      <c r="M63" s="465">
        <v>7222</v>
      </c>
      <c r="N63" s="465">
        <v>0</v>
      </c>
      <c r="O63" s="431">
        <v>0</v>
      </c>
      <c r="P63" s="432">
        <f t="shared" si="12"/>
        <v>1753352</v>
      </c>
      <c r="Q63" s="465">
        <v>852552</v>
      </c>
      <c r="R63" s="465">
        <v>776525</v>
      </c>
      <c r="S63" s="465">
        <v>0</v>
      </c>
      <c r="T63" s="465">
        <v>0</v>
      </c>
      <c r="U63" s="465">
        <v>0</v>
      </c>
      <c r="V63" s="465">
        <v>0</v>
      </c>
      <c r="W63" s="465">
        <v>0</v>
      </c>
      <c r="X63" s="465">
        <v>59747</v>
      </c>
      <c r="Y63" s="465">
        <v>7333</v>
      </c>
      <c r="Z63" s="465">
        <v>57362</v>
      </c>
      <c r="AA63" s="465">
        <v>0</v>
      </c>
      <c r="AB63" s="465">
        <v>-167</v>
      </c>
      <c r="AC63" s="465">
        <v>479465</v>
      </c>
      <c r="AD63" s="465">
        <v>78329</v>
      </c>
      <c r="AE63" s="465">
        <v>564174</v>
      </c>
      <c r="AF63" s="465">
        <v>25336</v>
      </c>
      <c r="AG63" s="465">
        <v>29953</v>
      </c>
      <c r="AH63" s="465">
        <v>89265</v>
      </c>
      <c r="AI63" s="465">
        <v>91697</v>
      </c>
      <c r="AJ63" s="465">
        <v>6743</v>
      </c>
      <c r="AK63" s="465">
        <v>0</v>
      </c>
      <c r="AL63" s="465">
        <v>388390</v>
      </c>
      <c r="AM63" s="431">
        <v>0</v>
      </c>
    </row>
    <row r="64" spans="1:39" s="155" customFormat="1" ht="12" x14ac:dyDescent="0.2">
      <c r="A64" s="168">
        <v>10</v>
      </c>
      <c r="B64" s="405">
        <v>162595</v>
      </c>
      <c r="C64" s="411" t="s">
        <v>1904</v>
      </c>
      <c r="D64" s="432">
        <f t="shared" si="11"/>
        <v>2980070</v>
      </c>
      <c r="E64" s="465">
        <v>441275</v>
      </c>
      <c r="F64" s="465">
        <v>62898</v>
      </c>
      <c r="G64" s="465">
        <v>197992</v>
      </c>
      <c r="H64" s="465">
        <v>0</v>
      </c>
      <c r="I64" s="465">
        <v>955000</v>
      </c>
      <c r="J64" s="465">
        <v>100000</v>
      </c>
      <c r="K64" s="465">
        <v>1192000</v>
      </c>
      <c r="L64" s="465">
        <v>0</v>
      </c>
      <c r="M64" s="465">
        <v>88100</v>
      </c>
      <c r="N64" s="465">
        <v>174000</v>
      </c>
      <c r="O64" s="431">
        <v>29695</v>
      </c>
      <c r="P64" s="432">
        <f t="shared" si="12"/>
        <v>2359886</v>
      </c>
      <c r="Q64" s="465">
        <v>1103220</v>
      </c>
      <c r="R64" s="465">
        <v>466043</v>
      </c>
      <c r="S64" s="465">
        <v>0</v>
      </c>
      <c r="T64" s="465">
        <v>0</v>
      </c>
      <c r="U64" s="465">
        <v>0</v>
      </c>
      <c r="V64" s="465">
        <v>0</v>
      </c>
      <c r="W64" s="465">
        <v>0</v>
      </c>
      <c r="X64" s="465">
        <v>234489</v>
      </c>
      <c r="Y64" s="465">
        <v>11033</v>
      </c>
      <c r="Z64" s="465">
        <v>547006</v>
      </c>
      <c r="AA64" s="465">
        <v>0</v>
      </c>
      <c r="AB64" s="465">
        <v>-1905</v>
      </c>
      <c r="AC64" s="465">
        <v>542238</v>
      </c>
      <c r="AD64" s="465">
        <v>3147</v>
      </c>
      <c r="AE64" s="465">
        <v>990403</v>
      </c>
      <c r="AF64" s="465">
        <v>31426</v>
      </c>
      <c r="AG64" s="465">
        <v>67807</v>
      </c>
      <c r="AH64" s="465">
        <v>230489</v>
      </c>
      <c r="AI64" s="465">
        <v>180400</v>
      </c>
      <c r="AJ64" s="465">
        <v>0</v>
      </c>
      <c r="AK64" s="465">
        <v>0</v>
      </c>
      <c r="AL64" s="465">
        <v>274588</v>
      </c>
      <c r="AM64" s="431">
        <v>39388</v>
      </c>
    </row>
    <row r="65" spans="1:39" s="155" customFormat="1" ht="12" x14ac:dyDescent="0.2">
      <c r="A65" s="168">
        <v>11</v>
      </c>
      <c r="B65" s="405">
        <v>162693</v>
      </c>
      <c r="C65" s="411" t="s">
        <v>3054</v>
      </c>
      <c r="D65" s="432">
        <f t="shared" si="11"/>
        <v>5891576</v>
      </c>
      <c r="E65" s="465">
        <v>766732</v>
      </c>
      <c r="F65" s="465">
        <v>107595</v>
      </c>
      <c r="G65" s="465">
        <v>164081</v>
      </c>
      <c r="H65" s="465">
        <v>0</v>
      </c>
      <c r="I65" s="465">
        <v>1957101</v>
      </c>
      <c r="J65" s="465">
        <v>61000</v>
      </c>
      <c r="K65" s="465">
        <v>1041000</v>
      </c>
      <c r="L65" s="465">
        <v>0</v>
      </c>
      <c r="M65" s="465">
        <v>1623686</v>
      </c>
      <c r="N65" s="465">
        <v>192701</v>
      </c>
      <c r="O65" s="431">
        <v>249356</v>
      </c>
      <c r="P65" s="432">
        <f t="shared" si="12"/>
        <v>6044048</v>
      </c>
      <c r="Q65" s="465">
        <v>1989195</v>
      </c>
      <c r="R65" s="465">
        <v>1296197</v>
      </c>
      <c r="S65" s="465">
        <v>0</v>
      </c>
      <c r="T65" s="465">
        <v>0</v>
      </c>
      <c r="U65" s="465">
        <v>0</v>
      </c>
      <c r="V65" s="465">
        <v>0</v>
      </c>
      <c r="W65" s="465">
        <v>251525</v>
      </c>
      <c r="X65" s="465">
        <v>385686</v>
      </c>
      <c r="Y65" s="465">
        <v>0</v>
      </c>
      <c r="Z65" s="465">
        <v>2157926</v>
      </c>
      <c r="AA65" s="465">
        <v>0</v>
      </c>
      <c r="AB65" s="465">
        <v>-36481</v>
      </c>
      <c r="AC65" s="465">
        <v>848600</v>
      </c>
      <c r="AD65" s="465">
        <v>27529</v>
      </c>
      <c r="AE65" s="465">
        <v>2127611</v>
      </c>
      <c r="AF65" s="465">
        <v>0</v>
      </c>
      <c r="AG65" s="465">
        <v>53488</v>
      </c>
      <c r="AH65" s="465">
        <v>919829</v>
      </c>
      <c r="AI65" s="465">
        <v>334676</v>
      </c>
      <c r="AJ65" s="465">
        <v>0</v>
      </c>
      <c r="AK65" s="465">
        <v>0</v>
      </c>
      <c r="AL65" s="465">
        <v>1732315</v>
      </c>
      <c r="AM65" s="431">
        <v>0</v>
      </c>
    </row>
    <row r="66" spans="1:39" s="155" customFormat="1" ht="12" x14ac:dyDescent="0.2">
      <c r="A66" s="168">
        <v>12</v>
      </c>
      <c r="B66" s="405">
        <v>162791</v>
      </c>
      <c r="C66" s="411" t="s">
        <v>3055</v>
      </c>
      <c r="D66" s="432">
        <f t="shared" si="11"/>
        <v>2710399</v>
      </c>
      <c r="E66" s="465">
        <v>399826</v>
      </c>
      <c r="F66" s="465">
        <v>60815</v>
      </c>
      <c r="G66" s="465">
        <v>210025</v>
      </c>
      <c r="H66" s="465">
        <v>0</v>
      </c>
      <c r="I66" s="465">
        <v>956857</v>
      </c>
      <c r="J66" s="465">
        <v>62000</v>
      </c>
      <c r="K66" s="465">
        <v>1250000</v>
      </c>
      <c r="L66" s="465">
        <v>0</v>
      </c>
      <c r="M66" s="465">
        <v>41716</v>
      </c>
      <c r="N66" s="465">
        <v>0</v>
      </c>
      <c r="O66" s="431">
        <v>0</v>
      </c>
      <c r="P66" s="432">
        <f t="shared" si="12"/>
        <v>2301587</v>
      </c>
      <c r="Q66" s="465">
        <v>1235998</v>
      </c>
      <c r="R66" s="465">
        <v>786622</v>
      </c>
      <c r="S66" s="465">
        <v>0</v>
      </c>
      <c r="T66" s="465">
        <v>0</v>
      </c>
      <c r="U66" s="465">
        <v>0</v>
      </c>
      <c r="V66" s="465">
        <v>0</v>
      </c>
      <c r="W66" s="465">
        <v>0</v>
      </c>
      <c r="X66" s="465">
        <v>53679</v>
      </c>
      <c r="Y66" s="465">
        <v>0</v>
      </c>
      <c r="Z66" s="465">
        <v>225313</v>
      </c>
      <c r="AA66" s="465">
        <v>0</v>
      </c>
      <c r="AB66" s="465">
        <v>-25</v>
      </c>
      <c r="AC66" s="465">
        <v>496171</v>
      </c>
      <c r="AD66" s="465">
        <v>25361</v>
      </c>
      <c r="AE66" s="465">
        <v>797973</v>
      </c>
      <c r="AF66" s="465">
        <v>31176</v>
      </c>
      <c r="AG66" s="465">
        <v>18026</v>
      </c>
      <c r="AH66" s="465">
        <v>237175</v>
      </c>
      <c r="AI66" s="465">
        <v>329023</v>
      </c>
      <c r="AJ66" s="465">
        <v>0</v>
      </c>
      <c r="AK66" s="465">
        <v>0</v>
      </c>
      <c r="AL66" s="465">
        <v>366682</v>
      </c>
      <c r="AM66" s="431">
        <v>0</v>
      </c>
    </row>
    <row r="67" spans="1:39" s="155" customFormat="1" ht="12" x14ac:dyDescent="0.2">
      <c r="A67" s="168">
        <v>13</v>
      </c>
      <c r="B67" s="405">
        <v>162871</v>
      </c>
      <c r="C67" s="411" t="s">
        <v>1620</v>
      </c>
      <c r="D67" s="432">
        <f t="shared" si="11"/>
        <v>3392297</v>
      </c>
      <c r="E67" s="465">
        <v>583998</v>
      </c>
      <c r="F67" s="465">
        <v>68561</v>
      </c>
      <c r="G67" s="465">
        <v>204555</v>
      </c>
      <c r="H67" s="465">
        <v>0</v>
      </c>
      <c r="I67" s="465">
        <v>1092436</v>
      </c>
      <c r="J67" s="465">
        <v>108000</v>
      </c>
      <c r="K67" s="465">
        <v>1271000</v>
      </c>
      <c r="L67" s="465">
        <v>0</v>
      </c>
      <c r="M67" s="465">
        <v>174611</v>
      </c>
      <c r="N67" s="465">
        <v>162252</v>
      </c>
      <c r="O67" s="431">
        <v>0</v>
      </c>
      <c r="P67" s="432">
        <f t="shared" si="12"/>
        <v>3236093</v>
      </c>
      <c r="Q67" s="465">
        <v>1341074</v>
      </c>
      <c r="R67" s="465">
        <v>718821</v>
      </c>
      <c r="S67" s="465">
        <v>70000</v>
      </c>
      <c r="T67" s="465">
        <v>0</v>
      </c>
      <c r="U67" s="465">
        <v>0</v>
      </c>
      <c r="V67" s="465">
        <v>0</v>
      </c>
      <c r="W67" s="465">
        <v>217525</v>
      </c>
      <c r="X67" s="465">
        <v>143284</v>
      </c>
      <c r="Y67" s="465">
        <v>73489</v>
      </c>
      <c r="Z67" s="465">
        <v>577440</v>
      </c>
      <c r="AA67" s="465">
        <v>95000</v>
      </c>
      <c r="AB67" s="465">
        <v>-540</v>
      </c>
      <c r="AC67" s="465">
        <v>1048602</v>
      </c>
      <c r="AD67" s="465">
        <v>0</v>
      </c>
      <c r="AE67" s="465">
        <v>1039491</v>
      </c>
      <c r="AF67" s="465">
        <v>0</v>
      </c>
      <c r="AG67" s="465">
        <v>348878</v>
      </c>
      <c r="AH67" s="465">
        <v>221484</v>
      </c>
      <c r="AI67" s="465">
        <v>226678</v>
      </c>
      <c r="AJ67" s="465">
        <v>37966</v>
      </c>
      <c r="AK67" s="465">
        <v>0</v>
      </c>
      <c r="AL67" s="465">
        <v>306550</v>
      </c>
      <c r="AM67" s="431">
        <v>6444</v>
      </c>
    </row>
    <row r="68" spans="1:39" s="155" customFormat="1" ht="12" x14ac:dyDescent="0.2">
      <c r="A68" s="168">
        <v>14</v>
      </c>
      <c r="B68" s="405">
        <v>162924</v>
      </c>
      <c r="C68" s="411" t="s">
        <v>3056</v>
      </c>
      <c r="D68" s="432">
        <f t="shared" si="11"/>
        <v>3696266</v>
      </c>
      <c r="E68" s="465">
        <v>699628</v>
      </c>
      <c r="F68" s="465">
        <v>254117</v>
      </c>
      <c r="G68" s="465">
        <v>172834</v>
      </c>
      <c r="H68" s="465">
        <v>0</v>
      </c>
      <c r="I68" s="465">
        <v>1584933</v>
      </c>
      <c r="J68" s="465">
        <v>162000</v>
      </c>
      <c r="K68" s="465">
        <v>1164000</v>
      </c>
      <c r="L68" s="465">
        <v>0</v>
      </c>
      <c r="M68" s="465">
        <v>85705</v>
      </c>
      <c r="N68" s="465">
        <v>0</v>
      </c>
      <c r="O68" s="431">
        <v>0</v>
      </c>
      <c r="P68" s="432">
        <f t="shared" si="12"/>
        <v>3723022</v>
      </c>
      <c r="Q68" s="465">
        <v>1725599</v>
      </c>
      <c r="R68" s="465">
        <v>901169</v>
      </c>
      <c r="S68" s="465">
        <v>0</v>
      </c>
      <c r="T68" s="465">
        <v>0</v>
      </c>
      <c r="U68" s="465">
        <v>0</v>
      </c>
      <c r="V68" s="465">
        <v>0</v>
      </c>
      <c r="W68" s="465">
        <v>0</v>
      </c>
      <c r="X68" s="465">
        <v>266996</v>
      </c>
      <c r="Y68" s="465">
        <v>2652</v>
      </c>
      <c r="Z68" s="465">
        <v>826644</v>
      </c>
      <c r="AA68" s="465">
        <v>0</v>
      </c>
      <c r="AB68" s="465">
        <v>-38</v>
      </c>
      <c r="AC68" s="465">
        <v>756303</v>
      </c>
      <c r="AD68" s="465">
        <v>3652</v>
      </c>
      <c r="AE68" s="465">
        <v>1720925</v>
      </c>
      <c r="AF68" s="465">
        <v>23724</v>
      </c>
      <c r="AG68" s="465">
        <v>16924</v>
      </c>
      <c r="AH68" s="465">
        <v>465028</v>
      </c>
      <c r="AI68" s="465">
        <v>54631</v>
      </c>
      <c r="AJ68" s="465">
        <v>0</v>
      </c>
      <c r="AK68" s="465">
        <v>0</v>
      </c>
      <c r="AL68" s="465">
        <v>681835</v>
      </c>
      <c r="AM68" s="431">
        <v>0</v>
      </c>
    </row>
    <row r="69" spans="1:39" s="155" customFormat="1" ht="12" x14ac:dyDescent="0.2">
      <c r="A69" s="168">
        <v>15</v>
      </c>
      <c r="B69" s="405">
        <v>167268</v>
      </c>
      <c r="C69" s="411" t="s">
        <v>3057</v>
      </c>
      <c r="D69" s="432">
        <f t="shared" si="11"/>
        <v>3031142</v>
      </c>
      <c r="E69" s="465">
        <v>482381</v>
      </c>
      <c r="F69" s="465">
        <v>94882</v>
      </c>
      <c r="G69" s="465">
        <v>202366</v>
      </c>
      <c r="H69" s="465">
        <v>0</v>
      </c>
      <c r="I69" s="465">
        <v>1051977</v>
      </c>
      <c r="J69" s="465">
        <v>55000</v>
      </c>
      <c r="K69" s="465">
        <v>1259000</v>
      </c>
      <c r="L69" s="465">
        <v>0</v>
      </c>
      <c r="M69" s="465">
        <v>74375</v>
      </c>
      <c r="N69" s="465">
        <v>82888</v>
      </c>
      <c r="O69" s="431">
        <v>25521</v>
      </c>
      <c r="P69" s="432">
        <f t="shared" si="12"/>
        <v>2446009</v>
      </c>
      <c r="Q69" s="465">
        <v>1380994</v>
      </c>
      <c r="R69" s="465">
        <v>483493</v>
      </c>
      <c r="S69" s="465">
        <v>0</v>
      </c>
      <c r="T69" s="465">
        <v>0</v>
      </c>
      <c r="U69" s="465">
        <v>0</v>
      </c>
      <c r="V69" s="465">
        <v>168491</v>
      </c>
      <c r="W69" s="465">
        <v>108214</v>
      </c>
      <c r="X69" s="465">
        <v>92521</v>
      </c>
      <c r="Y69" s="465">
        <v>3472</v>
      </c>
      <c r="Z69" s="465">
        <v>208824</v>
      </c>
      <c r="AA69" s="465">
        <v>0</v>
      </c>
      <c r="AB69" s="465">
        <v>0</v>
      </c>
      <c r="AC69" s="465">
        <v>587054</v>
      </c>
      <c r="AD69" s="465">
        <v>26314</v>
      </c>
      <c r="AE69" s="465">
        <v>955446</v>
      </c>
      <c r="AF69" s="465">
        <v>36613</v>
      </c>
      <c r="AG69" s="465">
        <v>125101</v>
      </c>
      <c r="AH69" s="465">
        <v>248090</v>
      </c>
      <c r="AI69" s="465">
        <v>59674</v>
      </c>
      <c r="AJ69" s="465">
        <v>3300</v>
      </c>
      <c r="AK69" s="465">
        <v>0</v>
      </c>
      <c r="AL69" s="465">
        <v>404417</v>
      </c>
      <c r="AM69" s="431">
        <v>0</v>
      </c>
    </row>
    <row r="70" spans="1:39" s="155" customFormat="1" ht="12" x14ac:dyDescent="0.2">
      <c r="A70" s="168">
        <v>16</v>
      </c>
      <c r="B70" s="405">
        <v>163002</v>
      </c>
      <c r="C70" s="411" t="s">
        <v>3058</v>
      </c>
      <c r="D70" s="432">
        <f t="shared" si="11"/>
        <v>7799355</v>
      </c>
      <c r="E70" s="465">
        <v>1062235</v>
      </c>
      <c r="F70" s="465">
        <v>240769</v>
      </c>
      <c r="G70" s="465">
        <v>157519</v>
      </c>
      <c r="H70" s="465">
        <v>0</v>
      </c>
      <c r="I70" s="465">
        <v>3231789</v>
      </c>
      <c r="J70" s="465">
        <v>69000</v>
      </c>
      <c r="K70" s="465">
        <v>1216000</v>
      </c>
      <c r="L70" s="465">
        <v>0</v>
      </c>
      <c r="M70" s="465">
        <v>1974121</v>
      </c>
      <c r="N70" s="465">
        <v>246210</v>
      </c>
      <c r="O70" s="431">
        <v>0</v>
      </c>
      <c r="P70" s="432">
        <f t="shared" si="12"/>
        <v>7733512</v>
      </c>
      <c r="Q70" s="465">
        <v>3098591</v>
      </c>
      <c r="R70" s="465">
        <v>1714022</v>
      </c>
      <c r="S70" s="465">
        <v>0</v>
      </c>
      <c r="T70" s="465">
        <v>0</v>
      </c>
      <c r="U70" s="465">
        <v>0</v>
      </c>
      <c r="V70" s="465">
        <v>0</v>
      </c>
      <c r="W70" s="465">
        <v>314960</v>
      </c>
      <c r="X70" s="465">
        <v>583559</v>
      </c>
      <c r="Y70" s="465">
        <v>119453</v>
      </c>
      <c r="Z70" s="465">
        <v>1902927</v>
      </c>
      <c r="AA70" s="465">
        <v>0</v>
      </c>
      <c r="AB70" s="465">
        <v>0</v>
      </c>
      <c r="AC70" s="465">
        <v>776712</v>
      </c>
      <c r="AD70" s="465">
        <v>163140</v>
      </c>
      <c r="AE70" s="465">
        <v>2852798</v>
      </c>
      <c r="AF70" s="465">
        <v>28135</v>
      </c>
      <c r="AG70" s="465">
        <v>154442</v>
      </c>
      <c r="AH70" s="465">
        <v>589917</v>
      </c>
      <c r="AI70" s="465">
        <v>1066176</v>
      </c>
      <c r="AJ70" s="465">
        <v>0</v>
      </c>
      <c r="AK70" s="465">
        <v>0</v>
      </c>
      <c r="AL70" s="465">
        <v>1659193</v>
      </c>
      <c r="AM70" s="431">
        <v>442999</v>
      </c>
    </row>
    <row r="71" spans="1:39" s="155" customFormat="1" ht="12" x14ac:dyDescent="0.2">
      <c r="A71" s="168">
        <v>17</v>
      </c>
      <c r="B71" s="405">
        <v>163057</v>
      </c>
      <c r="C71" s="411" t="s">
        <v>3059</v>
      </c>
      <c r="D71" s="432">
        <f t="shared" si="11"/>
        <v>5798174</v>
      </c>
      <c r="E71" s="465">
        <v>457857</v>
      </c>
      <c r="F71" s="465">
        <v>98745</v>
      </c>
      <c r="G71" s="465">
        <v>205650</v>
      </c>
      <c r="H71" s="465">
        <v>0</v>
      </c>
      <c r="I71" s="465">
        <v>1247421</v>
      </c>
      <c r="J71" s="465">
        <v>120000</v>
      </c>
      <c r="K71" s="465">
        <v>1385000</v>
      </c>
      <c r="L71" s="465">
        <v>0</v>
      </c>
      <c r="M71" s="465">
        <v>2132729</v>
      </c>
      <c r="N71" s="465">
        <v>304238</v>
      </c>
      <c r="O71" s="431">
        <v>150929</v>
      </c>
      <c r="P71" s="432">
        <f t="shared" si="12"/>
        <v>5797297</v>
      </c>
      <c r="Q71" s="465">
        <v>1658871</v>
      </c>
      <c r="R71" s="465">
        <v>987314</v>
      </c>
      <c r="S71" s="465">
        <v>66000</v>
      </c>
      <c r="T71" s="465">
        <v>0</v>
      </c>
      <c r="U71" s="465">
        <v>0</v>
      </c>
      <c r="V71" s="465">
        <v>0</v>
      </c>
      <c r="W71" s="465">
        <v>260218</v>
      </c>
      <c r="X71" s="465">
        <v>122291</v>
      </c>
      <c r="Y71" s="465">
        <v>0</v>
      </c>
      <c r="Z71" s="465">
        <v>2674603</v>
      </c>
      <c r="AA71" s="465">
        <v>28000</v>
      </c>
      <c r="AB71" s="465">
        <v>0</v>
      </c>
      <c r="AC71" s="465">
        <v>776282</v>
      </c>
      <c r="AD71" s="465">
        <v>19039</v>
      </c>
      <c r="AE71" s="465">
        <v>1011230</v>
      </c>
      <c r="AF71" s="465">
        <v>14040</v>
      </c>
      <c r="AG71" s="465">
        <v>68125</v>
      </c>
      <c r="AH71" s="465">
        <v>475787</v>
      </c>
      <c r="AI71" s="465">
        <v>1612861</v>
      </c>
      <c r="AJ71" s="465">
        <v>0</v>
      </c>
      <c r="AK71" s="465">
        <v>0</v>
      </c>
      <c r="AL71" s="465">
        <v>1819933</v>
      </c>
      <c r="AM71" s="431">
        <v>0</v>
      </c>
    </row>
    <row r="72" spans="1:39" s="155" customFormat="1" ht="12" x14ac:dyDescent="0.2">
      <c r="A72" s="168">
        <v>18</v>
      </c>
      <c r="B72" s="405">
        <v>163137</v>
      </c>
      <c r="C72" s="411" t="s">
        <v>2690</v>
      </c>
      <c r="D72" s="432">
        <f t="shared" si="11"/>
        <v>4026929</v>
      </c>
      <c r="E72" s="465">
        <v>1008635</v>
      </c>
      <c r="F72" s="465">
        <v>114298</v>
      </c>
      <c r="G72" s="465">
        <v>151219</v>
      </c>
      <c r="H72" s="465">
        <v>0</v>
      </c>
      <c r="I72" s="465">
        <v>1451426</v>
      </c>
      <c r="J72" s="465">
        <v>104000</v>
      </c>
      <c r="K72" s="465">
        <v>897000</v>
      </c>
      <c r="L72" s="465">
        <v>0</v>
      </c>
      <c r="M72" s="465">
        <v>139740</v>
      </c>
      <c r="N72" s="465">
        <v>419628</v>
      </c>
      <c r="O72" s="431">
        <v>6500</v>
      </c>
      <c r="P72" s="432">
        <f t="shared" si="12"/>
        <v>3011580</v>
      </c>
      <c r="Q72" s="465">
        <v>1536523</v>
      </c>
      <c r="R72" s="465">
        <v>720139</v>
      </c>
      <c r="S72" s="465">
        <v>0</v>
      </c>
      <c r="T72" s="465">
        <v>0</v>
      </c>
      <c r="U72" s="465">
        <v>0</v>
      </c>
      <c r="V72" s="465">
        <v>0</v>
      </c>
      <c r="W72" s="465">
        <v>268341</v>
      </c>
      <c r="X72" s="465">
        <v>354363</v>
      </c>
      <c r="Y72" s="465">
        <v>17223</v>
      </c>
      <c r="Z72" s="465">
        <v>114991</v>
      </c>
      <c r="AA72" s="465">
        <v>0</v>
      </c>
      <c r="AB72" s="465">
        <v>0</v>
      </c>
      <c r="AC72" s="465">
        <v>608617</v>
      </c>
      <c r="AD72" s="465">
        <v>37519</v>
      </c>
      <c r="AE72" s="465">
        <v>1224662</v>
      </c>
      <c r="AF72" s="465">
        <v>0</v>
      </c>
      <c r="AG72" s="465">
        <v>112978</v>
      </c>
      <c r="AH72" s="465">
        <v>354363</v>
      </c>
      <c r="AI72" s="465">
        <v>175262</v>
      </c>
      <c r="AJ72" s="465">
        <v>6498</v>
      </c>
      <c r="AK72" s="465">
        <v>0</v>
      </c>
      <c r="AL72" s="465">
        <v>491681</v>
      </c>
      <c r="AM72" s="431">
        <v>0</v>
      </c>
    </row>
    <row r="73" spans="1:39" s="155" customFormat="1" ht="12" x14ac:dyDescent="0.2">
      <c r="A73" s="168">
        <v>19</v>
      </c>
      <c r="B73" s="405">
        <v>167277</v>
      </c>
      <c r="C73" s="411" t="s">
        <v>3060</v>
      </c>
      <c r="D73" s="432">
        <f t="shared" si="11"/>
        <v>5217749</v>
      </c>
      <c r="E73" s="465">
        <v>400914</v>
      </c>
      <c r="F73" s="465">
        <v>75292</v>
      </c>
      <c r="G73" s="465">
        <v>213307</v>
      </c>
      <c r="H73" s="465">
        <v>0</v>
      </c>
      <c r="I73" s="465">
        <v>1217587</v>
      </c>
      <c r="J73" s="465">
        <v>65000</v>
      </c>
      <c r="K73" s="465">
        <v>1551830</v>
      </c>
      <c r="L73" s="465">
        <v>0</v>
      </c>
      <c r="M73" s="465">
        <v>1168142</v>
      </c>
      <c r="N73" s="465">
        <v>814276</v>
      </c>
      <c r="O73" s="431">
        <v>0</v>
      </c>
      <c r="P73" s="432">
        <f t="shared" si="12"/>
        <v>4730687</v>
      </c>
      <c r="Q73" s="465">
        <v>1288162</v>
      </c>
      <c r="R73" s="465">
        <v>1053685</v>
      </c>
      <c r="S73" s="465">
        <v>0</v>
      </c>
      <c r="T73" s="465">
        <v>0</v>
      </c>
      <c r="U73" s="465">
        <v>0</v>
      </c>
      <c r="V73" s="465">
        <v>0</v>
      </c>
      <c r="W73" s="465">
        <v>1062198</v>
      </c>
      <c r="X73" s="465">
        <v>314367</v>
      </c>
      <c r="Y73" s="465">
        <v>23952</v>
      </c>
      <c r="Z73" s="465">
        <v>992874</v>
      </c>
      <c r="AA73" s="465">
        <v>0</v>
      </c>
      <c r="AB73" s="465">
        <v>-4551</v>
      </c>
      <c r="AC73" s="465">
        <v>779007</v>
      </c>
      <c r="AD73" s="465">
        <v>20113</v>
      </c>
      <c r="AE73" s="465">
        <v>1915014</v>
      </c>
      <c r="AF73" s="465">
        <v>15180</v>
      </c>
      <c r="AG73" s="465">
        <v>131771</v>
      </c>
      <c r="AH73" s="465">
        <v>314367</v>
      </c>
      <c r="AI73" s="465">
        <v>74419</v>
      </c>
      <c r="AJ73" s="465">
        <v>0</v>
      </c>
      <c r="AK73" s="465">
        <v>0</v>
      </c>
      <c r="AL73" s="465">
        <v>1480816</v>
      </c>
      <c r="AM73" s="431">
        <v>0</v>
      </c>
    </row>
    <row r="74" spans="1:39" s="155" customFormat="1" ht="12" x14ac:dyDescent="0.2">
      <c r="A74" s="168">
        <v>20</v>
      </c>
      <c r="B74" s="405">
        <v>163208</v>
      </c>
      <c r="C74" s="411" t="s">
        <v>3061</v>
      </c>
      <c r="D74" s="432">
        <f t="shared" si="11"/>
        <v>2934808</v>
      </c>
      <c r="E74" s="465">
        <v>501421</v>
      </c>
      <c r="F74" s="465">
        <v>80263</v>
      </c>
      <c r="G74" s="465">
        <v>195805</v>
      </c>
      <c r="H74" s="465">
        <v>0</v>
      </c>
      <c r="I74" s="465">
        <v>759002</v>
      </c>
      <c r="J74" s="465">
        <v>54000</v>
      </c>
      <c r="K74" s="465">
        <v>1238000</v>
      </c>
      <c r="L74" s="465">
        <v>0</v>
      </c>
      <c r="M74" s="465">
        <v>382385</v>
      </c>
      <c r="N74" s="465">
        <v>0</v>
      </c>
      <c r="O74" s="431">
        <v>0</v>
      </c>
      <c r="P74" s="432">
        <f t="shared" si="12"/>
        <v>2704465</v>
      </c>
      <c r="Q74" s="465">
        <v>1033487</v>
      </c>
      <c r="R74" s="465">
        <v>334449</v>
      </c>
      <c r="S74" s="465">
        <v>0</v>
      </c>
      <c r="T74" s="465">
        <v>0</v>
      </c>
      <c r="U74" s="465">
        <v>0</v>
      </c>
      <c r="V74" s="465">
        <v>0</v>
      </c>
      <c r="W74" s="465">
        <v>0</v>
      </c>
      <c r="X74" s="465">
        <v>244401</v>
      </c>
      <c r="Y74" s="465">
        <v>10000</v>
      </c>
      <c r="Z74" s="465">
        <v>1082686</v>
      </c>
      <c r="AA74" s="465">
        <v>0</v>
      </c>
      <c r="AB74" s="465">
        <v>-558</v>
      </c>
      <c r="AC74" s="465">
        <v>739075</v>
      </c>
      <c r="AD74" s="465">
        <v>29981</v>
      </c>
      <c r="AE74" s="465">
        <v>651502</v>
      </c>
      <c r="AF74" s="465">
        <v>0</v>
      </c>
      <c r="AG74" s="465">
        <v>24869</v>
      </c>
      <c r="AH74" s="465">
        <v>313069</v>
      </c>
      <c r="AI74" s="465">
        <v>422588</v>
      </c>
      <c r="AJ74" s="465">
        <v>9967</v>
      </c>
      <c r="AK74" s="465">
        <v>0</v>
      </c>
      <c r="AL74" s="465">
        <v>480768</v>
      </c>
      <c r="AM74" s="431">
        <v>32646</v>
      </c>
    </row>
    <row r="75" spans="1:39" s="155" customFormat="1" ht="12" x14ac:dyDescent="0.2">
      <c r="A75" s="168">
        <v>21</v>
      </c>
      <c r="B75" s="405">
        <v>163253</v>
      </c>
      <c r="C75" s="411" t="s">
        <v>3062</v>
      </c>
      <c r="D75" s="432">
        <f t="shared" si="11"/>
        <v>4487573</v>
      </c>
      <c r="E75" s="465">
        <v>495893</v>
      </c>
      <c r="F75" s="465">
        <v>85192</v>
      </c>
      <c r="G75" s="465">
        <v>182678</v>
      </c>
      <c r="H75" s="465">
        <v>0</v>
      </c>
      <c r="I75" s="465">
        <v>1327565</v>
      </c>
      <c r="J75" s="465">
        <v>60000</v>
      </c>
      <c r="K75" s="465">
        <v>1224000</v>
      </c>
      <c r="L75" s="465">
        <v>0</v>
      </c>
      <c r="M75" s="465">
        <v>1113489</v>
      </c>
      <c r="N75" s="465">
        <v>266626</v>
      </c>
      <c r="O75" s="431">
        <v>0</v>
      </c>
      <c r="P75" s="432">
        <f t="shared" si="12"/>
        <v>4461082</v>
      </c>
      <c r="Q75" s="465">
        <v>1400426</v>
      </c>
      <c r="R75" s="465">
        <v>1048707</v>
      </c>
      <c r="S75" s="465">
        <v>0</v>
      </c>
      <c r="T75" s="465">
        <v>0</v>
      </c>
      <c r="U75" s="465">
        <v>0</v>
      </c>
      <c r="V75" s="465">
        <v>0</v>
      </c>
      <c r="W75" s="465">
        <v>361121</v>
      </c>
      <c r="X75" s="465">
        <v>187592</v>
      </c>
      <c r="Y75" s="465">
        <v>60266</v>
      </c>
      <c r="Z75" s="465">
        <v>1404854</v>
      </c>
      <c r="AA75" s="465">
        <v>0</v>
      </c>
      <c r="AB75" s="465">
        <v>-1884</v>
      </c>
      <c r="AC75" s="465">
        <v>479749</v>
      </c>
      <c r="AD75" s="465">
        <v>0</v>
      </c>
      <c r="AE75" s="465">
        <v>1212156</v>
      </c>
      <c r="AF75" s="465">
        <v>0</v>
      </c>
      <c r="AG75" s="465">
        <v>95909</v>
      </c>
      <c r="AH75" s="465">
        <v>259803</v>
      </c>
      <c r="AI75" s="465">
        <v>1074269</v>
      </c>
      <c r="AJ75" s="465">
        <v>0</v>
      </c>
      <c r="AK75" s="465">
        <v>0</v>
      </c>
      <c r="AL75" s="465">
        <v>1211777</v>
      </c>
      <c r="AM75" s="431">
        <v>127419</v>
      </c>
    </row>
    <row r="76" spans="1:39" s="155" customFormat="1" ht="12" x14ac:dyDescent="0.2">
      <c r="A76" s="168">
        <v>22</v>
      </c>
      <c r="B76" s="405">
        <v>163324</v>
      </c>
      <c r="C76" s="411" t="s">
        <v>3063</v>
      </c>
      <c r="D76" s="432">
        <f t="shared" si="11"/>
        <v>2925847</v>
      </c>
      <c r="E76" s="465">
        <v>750794</v>
      </c>
      <c r="F76" s="465">
        <v>94086</v>
      </c>
      <c r="G76" s="465">
        <v>191429</v>
      </c>
      <c r="H76" s="465">
        <v>0</v>
      </c>
      <c r="I76" s="465">
        <v>884367</v>
      </c>
      <c r="J76" s="465">
        <v>55000</v>
      </c>
      <c r="K76" s="465">
        <v>1231000</v>
      </c>
      <c r="L76" s="465">
        <v>0</v>
      </c>
      <c r="M76" s="465">
        <v>4686</v>
      </c>
      <c r="N76" s="465">
        <v>0</v>
      </c>
      <c r="O76" s="431">
        <v>0</v>
      </c>
      <c r="P76" s="432">
        <f t="shared" si="12"/>
        <v>2301456</v>
      </c>
      <c r="Q76" s="465">
        <v>1108896</v>
      </c>
      <c r="R76" s="465">
        <v>630705</v>
      </c>
      <c r="S76" s="465">
        <v>0</v>
      </c>
      <c r="T76" s="465">
        <v>0</v>
      </c>
      <c r="U76" s="465">
        <v>0</v>
      </c>
      <c r="V76" s="465">
        <v>0</v>
      </c>
      <c r="W76" s="465">
        <v>0</v>
      </c>
      <c r="X76" s="465">
        <v>227257</v>
      </c>
      <c r="Y76" s="465">
        <v>1638</v>
      </c>
      <c r="Z76" s="465">
        <v>332960</v>
      </c>
      <c r="AA76" s="465">
        <v>0</v>
      </c>
      <c r="AB76" s="465">
        <v>0</v>
      </c>
      <c r="AC76" s="465">
        <v>556412</v>
      </c>
      <c r="AD76" s="465">
        <v>34465</v>
      </c>
      <c r="AE76" s="465">
        <v>798788</v>
      </c>
      <c r="AF76" s="465">
        <v>0</v>
      </c>
      <c r="AG76" s="465">
        <v>104567</v>
      </c>
      <c r="AH76" s="465">
        <v>319961</v>
      </c>
      <c r="AI76" s="465">
        <v>313169</v>
      </c>
      <c r="AJ76" s="465">
        <v>5834</v>
      </c>
      <c r="AK76" s="465">
        <v>0</v>
      </c>
      <c r="AL76" s="465">
        <v>109773</v>
      </c>
      <c r="AM76" s="431">
        <v>58487</v>
      </c>
    </row>
    <row r="77" spans="1:39" s="155" customFormat="1" ht="12" x14ac:dyDescent="0.2">
      <c r="A77" s="168">
        <v>23</v>
      </c>
      <c r="B77" s="405">
        <v>163379</v>
      </c>
      <c r="C77" s="411" t="s">
        <v>3064</v>
      </c>
      <c r="D77" s="432">
        <f t="shared" si="11"/>
        <v>4539777</v>
      </c>
      <c r="E77" s="465">
        <v>507576</v>
      </c>
      <c r="F77" s="465">
        <v>75569</v>
      </c>
      <c r="G77" s="465">
        <v>211120</v>
      </c>
      <c r="H77" s="465">
        <v>0</v>
      </c>
      <c r="I77" s="465">
        <v>1441093</v>
      </c>
      <c r="J77" s="465">
        <v>66000</v>
      </c>
      <c r="K77" s="465">
        <v>1351000</v>
      </c>
      <c r="L77" s="465">
        <v>0</v>
      </c>
      <c r="M77" s="465">
        <v>762964</v>
      </c>
      <c r="N77" s="465">
        <v>411144</v>
      </c>
      <c r="O77" s="431">
        <v>0</v>
      </c>
      <c r="P77" s="432">
        <f t="shared" si="12"/>
        <v>3758082</v>
      </c>
      <c r="Q77" s="465">
        <v>1566706</v>
      </c>
      <c r="R77" s="465">
        <v>938921</v>
      </c>
      <c r="S77" s="465">
        <v>0</v>
      </c>
      <c r="T77" s="465">
        <v>0</v>
      </c>
      <c r="U77" s="465">
        <v>0</v>
      </c>
      <c r="V77" s="465">
        <v>0</v>
      </c>
      <c r="W77" s="465">
        <v>872968</v>
      </c>
      <c r="X77" s="465">
        <v>269056</v>
      </c>
      <c r="Y77" s="465">
        <v>23148</v>
      </c>
      <c r="Z77" s="465">
        <v>95020</v>
      </c>
      <c r="AA77" s="465">
        <v>0</v>
      </c>
      <c r="AB77" s="465">
        <v>-7737</v>
      </c>
      <c r="AC77" s="465">
        <v>705996</v>
      </c>
      <c r="AD77" s="465">
        <v>32685</v>
      </c>
      <c r="AE77" s="465">
        <v>1181815</v>
      </c>
      <c r="AF77" s="465">
        <v>15617</v>
      </c>
      <c r="AG77" s="465">
        <v>46141</v>
      </c>
      <c r="AH77" s="465">
        <v>429026</v>
      </c>
      <c r="AI77" s="465">
        <v>76927</v>
      </c>
      <c r="AJ77" s="465">
        <v>0</v>
      </c>
      <c r="AK77" s="465">
        <v>0</v>
      </c>
      <c r="AL77" s="465">
        <v>1269875</v>
      </c>
      <c r="AM77" s="431">
        <v>0</v>
      </c>
    </row>
    <row r="78" spans="1:39" s="155" customFormat="1" ht="12" x14ac:dyDescent="0.2">
      <c r="A78" s="168">
        <v>24</v>
      </c>
      <c r="B78" s="405">
        <v>164277</v>
      </c>
      <c r="C78" s="411" t="s">
        <v>3065</v>
      </c>
      <c r="D78" s="432">
        <f t="shared" si="11"/>
        <v>5281824</v>
      </c>
      <c r="E78" s="465">
        <v>837691</v>
      </c>
      <c r="F78" s="465">
        <v>131298</v>
      </c>
      <c r="G78" s="465">
        <v>132360</v>
      </c>
      <c r="H78" s="465">
        <v>0</v>
      </c>
      <c r="I78" s="465">
        <v>1419804</v>
      </c>
      <c r="J78" s="465">
        <v>73000</v>
      </c>
      <c r="K78" s="465">
        <v>969560</v>
      </c>
      <c r="L78" s="465">
        <v>0</v>
      </c>
      <c r="M78" s="465">
        <v>1931769</v>
      </c>
      <c r="N78" s="465">
        <v>0</v>
      </c>
      <c r="O78" s="431">
        <v>50000</v>
      </c>
      <c r="P78" s="432">
        <f t="shared" si="12"/>
        <v>6391084</v>
      </c>
      <c r="Q78" s="465">
        <v>1667455</v>
      </c>
      <c r="R78" s="465">
        <v>1140681</v>
      </c>
      <c r="S78" s="465">
        <v>0</v>
      </c>
      <c r="T78" s="465">
        <v>0</v>
      </c>
      <c r="U78" s="465">
        <v>0</v>
      </c>
      <c r="V78" s="465">
        <v>50000</v>
      </c>
      <c r="W78" s="465">
        <v>0</v>
      </c>
      <c r="X78" s="465">
        <v>136009</v>
      </c>
      <c r="Y78" s="465">
        <v>58860</v>
      </c>
      <c r="Z78" s="465">
        <v>3342047</v>
      </c>
      <c r="AA78" s="465">
        <v>0</v>
      </c>
      <c r="AB78" s="465">
        <v>-3968</v>
      </c>
      <c r="AC78" s="465">
        <v>846320</v>
      </c>
      <c r="AD78" s="465">
        <v>35172</v>
      </c>
      <c r="AE78" s="465">
        <v>1261816</v>
      </c>
      <c r="AF78" s="465">
        <v>0</v>
      </c>
      <c r="AG78" s="465">
        <v>223955</v>
      </c>
      <c r="AH78" s="465">
        <v>405767</v>
      </c>
      <c r="AI78" s="465">
        <v>425543</v>
      </c>
      <c r="AJ78" s="465">
        <v>62093</v>
      </c>
      <c r="AK78" s="465">
        <v>0</v>
      </c>
      <c r="AL78" s="465">
        <v>3025810</v>
      </c>
      <c r="AM78" s="431">
        <v>104608</v>
      </c>
    </row>
    <row r="79" spans="1:39" s="155" customFormat="1" ht="12" x14ac:dyDescent="0.2">
      <c r="A79" s="168">
        <v>25</v>
      </c>
      <c r="B79" s="405">
        <v>167286</v>
      </c>
      <c r="C79" s="411" t="s">
        <v>3066</v>
      </c>
      <c r="D79" s="432">
        <f t="shared" si="11"/>
        <v>3286540</v>
      </c>
      <c r="E79" s="465">
        <v>581504</v>
      </c>
      <c r="F79" s="465">
        <v>85360</v>
      </c>
      <c r="G79" s="465">
        <v>187054</v>
      </c>
      <c r="H79" s="465">
        <v>0</v>
      </c>
      <c r="I79" s="465">
        <v>1099000</v>
      </c>
      <c r="J79" s="465">
        <v>63000</v>
      </c>
      <c r="K79" s="465">
        <v>1171000</v>
      </c>
      <c r="L79" s="465">
        <v>0</v>
      </c>
      <c r="M79" s="465">
        <v>263411</v>
      </c>
      <c r="N79" s="465">
        <v>0</v>
      </c>
      <c r="O79" s="431">
        <v>108625</v>
      </c>
      <c r="P79" s="432">
        <f t="shared" si="12"/>
        <v>3018586</v>
      </c>
      <c r="Q79" s="465">
        <v>1442166</v>
      </c>
      <c r="R79" s="465">
        <v>1067465</v>
      </c>
      <c r="S79" s="465">
        <v>0</v>
      </c>
      <c r="T79" s="465">
        <v>0</v>
      </c>
      <c r="U79" s="465">
        <v>0</v>
      </c>
      <c r="V79" s="465">
        <v>0</v>
      </c>
      <c r="W79" s="465">
        <v>0</v>
      </c>
      <c r="X79" s="465">
        <v>123503</v>
      </c>
      <c r="Y79" s="465">
        <v>1881</v>
      </c>
      <c r="Z79" s="465">
        <v>383571</v>
      </c>
      <c r="AA79" s="465">
        <v>0</v>
      </c>
      <c r="AB79" s="465">
        <v>0</v>
      </c>
      <c r="AC79" s="465">
        <v>794099</v>
      </c>
      <c r="AD79" s="465">
        <v>12432</v>
      </c>
      <c r="AE79" s="465">
        <v>1002985</v>
      </c>
      <c r="AF79" s="465">
        <v>31774</v>
      </c>
      <c r="AG79" s="465">
        <v>66300</v>
      </c>
      <c r="AH79" s="465">
        <v>420092</v>
      </c>
      <c r="AI79" s="465">
        <v>201372</v>
      </c>
      <c r="AJ79" s="465">
        <v>0</v>
      </c>
      <c r="AK79" s="465">
        <v>0</v>
      </c>
      <c r="AL79" s="465">
        <v>256533</v>
      </c>
      <c r="AM79" s="431">
        <v>232999</v>
      </c>
    </row>
    <row r="80" spans="1:39" s="155" customFormat="1" ht="12" x14ac:dyDescent="0.2">
      <c r="A80" s="168">
        <v>26</v>
      </c>
      <c r="B80" s="405">
        <v>163486</v>
      </c>
      <c r="C80" s="411" t="s">
        <v>1631</v>
      </c>
      <c r="D80" s="432">
        <f t="shared" si="11"/>
        <v>7148767</v>
      </c>
      <c r="E80" s="465">
        <v>1128561</v>
      </c>
      <c r="F80" s="465">
        <v>205323</v>
      </c>
      <c r="G80" s="465">
        <v>261646</v>
      </c>
      <c r="H80" s="465">
        <v>0</v>
      </c>
      <c r="I80" s="465">
        <v>3958202</v>
      </c>
      <c r="J80" s="465">
        <v>114000</v>
      </c>
      <c r="K80" s="465">
        <v>1085000</v>
      </c>
      <c r="L80" s="465">
        <v>0</v>
      </c>
      <c r="M80" s="465">
        <v>507690</v>
      </c>
      <c r="N80" s="465">
        <v>337714</v>
      </c>
      <c r="O80" s="431">
        <v>17600</v>
      </c>
      <c r="P80" s="432">
        <f t="shared" si="12"/>
        <v>7143257</v>
      </c>
      <c r="Q80" s="465">
        <v>3823755</v>
      </c>
      <c r="R80" s="465">
        <v>1313494</v>
      </c>
      <c r="S80" s="465">
        <v>0</v>
      </c>
      <c r="T80" s="465">
        <v>0</v>
      </c>
      <c r="U80" s="465">
        <v>0</v>
      </c>
      <c r="V80" s="465">
        <v>0</v>
      </c>
      <c r="W80" s="465">
        <v>940285</v>
      </c>
      <c r="X80" s="465">
        <v>488697</v>
      </c>
      <c r="Y80" s="465">
        <v>0</v>
      </c>
      <c r="Z80" s="465">
        <v>578128</v>
      </c>
      <c r="AA80" s="465">
        <v>0</v>
      </c>
      <c r="AB80" s="465">
        <v>-1102</v>
      </c>
      <c r="AC80" s="465">
        <v>1531368</v>
      </c>
      <c r="AD80" s="465">
        <v>39831</v>
      </c>
      <c r="AE80" s="465">
        <v>3724990</v>
      </c>
      <c r="AF80" s="465">
        <v>0</v>
      </c>
      <c r="AG80" s="465">
        <v>261237</v>
      </c>
      <c r="AH80" s="465">
        <v>653266</v>
      </c>
      <c r="AI80" s="465">
        <v>662555</v>
      </c>
      <c r="AJ80" s="465">
        <v>0</v>
      </c>
      <c r="AK80" s="465">
        <v>0</v>
      </c>
      <c r="AL80" s="465">
        <v>200099</v>
      </c>
      <c r="AM80" s="431">
        <v>69911</v>
      </c>
    </row>
    <row r="81" spans="1:39" s="155" customFormat="1" ht="12" x14ac:dyDescent="0.2">
      <c r="A81" s="168">
        <v>27</v>
      </c>
      <c r="B81" s="405">
        <v>163618</v>
      </c>
      <c r="C81" s="411" t="s">
        <v>3067</v>
      </c>
      <c r="D81" s="432">
        <f t="shared" si="11"/>
        <v>5078242</v>
      </c>
      <c r="E81" s="465">
        <v>1703159</v>
      </c>
      <c r="F81" s="465">
        <v>988023</v>
      </c>
      <c r="G81" s="465">
        <v>36690</v>
      </c>
      <c r="H81" s="465">
        <v>0</v>
      </c>
      <c r="I81" s="465">
        <v>1964041</v>
      </c>
      <c r="J81" s="465">
        <v>53000</v>
      </c>
      <c r="K81" s="465">
        <v>277270</v>
      </c>
      <c r="L81" s="465">
        <v>0</v>
      </c>
      <c r="M81" s="465">
        <v>615819</v>
      </c>
      <c r="N81" s="465">
        <v>464953</v>
      </c>
      <c r="O81" s="431">
        <v>0</v>
      </c>
      <c r="P81" s="432">
        <f t="shared" si="12"/>
        <v>5189607</v>
      </c>
      <c r="Q81" s="465">
        <v>1922380</v>
      </c>
      <c r="R81" s="465">
        <v>1486254</v>
      </c>
      <c r="S81" s="465">
        <v>1382</v>
      </c>
      <c r="T81" s="465">
        <v>0</v>
      </c>
      <c r="U81" s="465">
        <v>0</v>
      </c>
      <c r="V81" s="465">
        <v>0</v>
      </c>
      <c r="W81" s="465">
        <v>733191</v>
      </c>
      <c r="X81" s="465">
        <v>432612</v>
      </c>
      <c r="Y81" s="465">
        <v>7967</v>
      </c>
      <c r="Z81" s="465">
        <v>599562</v>
      </c>
      <c r="AA81" s="465">
        <v>6259</v>
      </c>
      <c r="AB81" s="465">
        <v>0</v>
      </c>
      <c r="AC81" s="465">
        <v>891519</v>
      </c>
      <c r="AD81" s="465">
        <v>382343</v>
      </c>
      <c r="AE81" s="465">
        <v>1654696</v>
      </c>
      <c r="AF81" s="465">
        <v>5238</v>
      </c>
      <c r="AG81" s="465">
        <v>264851</v>
      </c>
      <c r="AH81" s="465">
        <v>580102</v>
      </c>
      <c r="AI81" s="465">
        <v>606472</v>
      </c>
      <c r="AJ81" s="465">
        <v>558</v>
      </c>
      <c r="AK81" s="465">
        <v>0</v>
      </c>
      <c r="AL81" s="465">
        <v>803828</v>
      </c>
      <c r="AM81" s="431">
        <v>0</v>
      </c>
    </row>
    <row r="82" spans="1:39" s="155" customFormat="1" ht="12" x14ac:dyDescent="0.2">
      <c r="A82" s="168">
        <v>28</v>
      </c>
      <c r="B82" s="405">
        <v>163681</v>
      </c>
      <c r="C82" s="411" t="s">
        <v>3068</v>
      </c>
      <c r="D82" s="432">
        <f t="shared" si="11"/>
        <v>4417547</v>
      </c>
      <c r="E82" s="465">
        <v>755546</v>
      </c>
      <c r="F82" s="465">
        <v>140561</v>
      </c>
      <c r="G82" s="465">
        <v>137828</v>
      </c>
      <c r="H82" s="465">
        <v>0</v>
      </c>
      <c r="I82" s="465">
        <v>2104355</v>
      </c>
      <c r="J82" s="465">
        <v>47000</v>
      </c>
      <c r="K82" s="465">
        <v>1056000</v>
      </c>
      <c r="L82" s="465">
        <v>0</v>
      </c>
      <c r="M82" s="465">
        <v>143696</v>
      </c>
      <c r="N82" s="465">
        <v>267281</v>
      </c>
      <c r="O82" s="431">
        <v>43669</v>
      </c>
      <c r="P82" s="432">
        <f t="shared" si="12"/>
        <v>4063584</v>
      </c>
      <c r="Q82" s="465">
        <v>2105136</v>
      </c>
      <c r="R82" s="465">
        <v>986842</v>
      </c>
      <c r="S82" s="465">
        <v>0</v>
      </c>
      <c r="T82" s="465">
        <v>0</v>
      </c>
      <c r="U82" s="465">
        <v>0</v>
      </c>
      <c r="V82" s="465">
        <v>0</v>
      </c>
      <c r="W82" s="465">
        <v>350041</v>
      </c>
      <c r="X82" s="465">
        <v>365933</v>
      </c>
      <c r="Y82" s="465">
        <v>9275</v>
      </c>
      <c r="Z82" s="465">
        <v>246357</v>
      </c>
      <c r="AA82" s="465">
        <v>0</v>
      </c>
      <c r="AB82" s="465">
        <v>0</v>
      </c>
      <c r="AC82" s="465">
        <v>648915</v>
      </c>
      <c r="AD82" s="465">
        <v>25333</v>
      </c>
      <c r="AE82" s="465">
        <v>1898970</v>
      </c>
      <c r="AF82" s="465">
        <v>0</v>
      </c>
      <c r="AG82" s="465">
        <v>466121</v>
      </c>
      <c r="AH82" s="465">
        <v>418135</v>
      </c>
      <c r="AI82" s="465">
        <v>243441</v>
      </c>
      <c r="AJ82" s="465">
        <v>1666</v>
      </c>
      <c r="AK82" s="465">
        <v>0</v>
      </c>
      <c r="AL82" s="465">
        <v>361003</v>
      </c>
      <c r="AM82" s="431">
        <v>0</v>
      </c>
    </row>
    <row r="83" spans="1:39" s="155" customFormat="1" ht="12" x14ac:dyDescent="0.2">
      <c r="A83" s="168">
        <v>29</v>
      </c>
      <c r="B83" s="405">
        <v>163734</v>
      </c>
      <c r="C83" s="411" t="s">
        <v>3069</v>
      </c>
      <c r="D83" s="432">
        <f t="shared" si="11"/>
        <v>8238804</v>
      </c>
      <c r="E83" s="465">
        <v>592197</v>
      </c>
      <c r="F83" s="465">
        <v>111881</v>
      </c>
      <c r="G83" s="465">
        <v>199087</v>
      </c>
      <c r="H83" s="465">
        <v>0</v>
      </c>
      <c r="I83" s="465">
        <v>1898303</v>
      </c>
      <c r="J83" s="465">
        <v>82000</v>
      </c>
      <c r="K83" s="465">
        <v>1318000</v>
      </c>
      <c r="L83" s="465">
        <v>0</v>
      </c>
      <c r="M83" s="465">
        <v>293014</v>
      </c>
      <c r="N83" s="465">
        <v>4047874</v>
      </c>
      <c r="O83" s="431">
        <v>7416</v>
      </c>
      <c r="P83" s="432">
        <f t="shared" si="12"/>
        <v>3544215</v>
      </c>
      <c r="Q83" s="465">
        <v>1870918</v>
      </c>
      <c r="R83" s="465">
        <v>884693</v>
      </c>
      <c r="S83" s="465">
        <v>0</v>
      </c>
      <c r="T83" s="465">
        <v>0</v>
      </c>
      <c r="U83" s="465">
        <v>0</v>
      </c>
      <c r="V83" s="465">
        <v>0</v>
      </c>
      <c r="W83" s="465">
        <v>0</v>
      </c>
      <c r="X83" s="465">
        <v>493981</v>
      </c>
      <c r="Y83" s="465">
        <v>0</v>
      </c>
      <c r="Z83" s="465">
        <v>295581</v>
      </c>
      <c r="AA83" s="465">
        <v>0</v>
      </c>
      <c r="AB83" s="465">
        <v>-958</v>
      </c>
      <c r="AC83" s="465">
        <v>667527</v>
      </c>
      <c r="AD83" s="465">
        <v>14216</v>
      </c>
      <c r="AE83" s="465">
        <v>1568248</v>
      </c>
      <c r="AF83" s="465">
        <v>204877</v>
      </c>
      <c r="AG83" s="465">
        <v>180105</v>
      </c>
      <c r="AH83" s="465">
        <v>573455</v>
      </c>
      <c r="AI83" s="465">
        <v>188479</v>
      </c>
      <c r="AJ83" s="465">
        <v>0</v>
      </c>
      <c r="AK83" s="465">
        <v>0</v>
      </c>
      <c r="AL83" s="465">
        <v>147308</v>
      </c>
      <c r="AM83" s="431">
        <v>0</v>
      </c>
    </row>
    <row r="84" spans="1:39" s="155" customFormat="1" ht="12" x14ac:dyDescent="0.2">
      <c r="A84" s="168">
        <v>30</v>
      </c>
      <c r="B84" s="405">
        <v>163789</v>
      </c>
      <c r="C84" s="411" t="s">
        <v>3070</v>
      </c>
      <c r="D84" s="432">
        <f t="shared" si="11"/>
        <v>3987293</v>
      </c>
      <c r="E84" s="465">
        <v>820001</v>
      </c>
      <c r="F84" s="465">
        <v>200271</v>
      </c>
      <c r="G84" s="465">
        <v>178302</v>
      </c>
      <c r="H84" s="465">
        <v>0</v>
      </c>
      <c r="I84" s="465">
        <v>1523969</v>
      </c>
      <c r="J84" s="465">
        <v>51000</v>
      </c>
      <c r="K84" s="465">
        <v>1214000</v>
      </c>
      <c r="L84" s="465">
        <v>0</v>
      </c>
      <c r="M84" s="465">
        <v>346443</v>
      </c>
      <c r="N84" s="465">
        <v>29380</v>
      </c>
      <c r="O84" s="431">
        <v>2500</v>
      </c>
      <c r="P84" s="432">
        <f t="shared" si="12"/>
        <v>4091916</v>
      </c>
      <c r="Q84" s="465">
        <v>1763006</v>
      </c>
      <c r="R84" s="465">
        <v>1178905</v>
      </c>
      <c r="S84" s="465">
        <v>0</v>
      </c>
      <c r="T84" s="465">
        <v>0</v>
      </c>
      <c r="U84" s="465">
        <v>0</v>
      </c>
      <c r="V84" s="465">
        <v>0</v>
      </c>
      <c r="W84" s="465">
        <v>239099</v>
      </c>
      <c r="X84" s="465">
        <v>180370</v>
      </c>
      <c r="Y84" s="465">
        <v>8550</v>
      </c>
      <c r="Z84" s="465">
        <v>721986</v>
      </c>
      <c r="AA84" s="465">
        <v>0</v>
      </c>
      <c r="AB84" s="465">
        <v>0</v>
      </c>
      <c r="AC84" s="465">
        <v>1172552</v>
      </c>
      <c r="AD84" s="465">
        <v>4000</v>
      </c>
      <c r="AE84" s="465">
        <v>1306139</v>
      </c>
      <c r="AF84" s="465">
        <v>0</v>
      </c>
      <c r="AG84" s="465">
        <v>137721</v>
      </c>
      <c r="AH84" s="465">
        <v>330583</v>
      </c>
      <c r="AI84" s="465">
        <v>99216</v>
      </c>
      <c r="AJ84" s="465">
        <v>12048</v>
      </c>
      <c r="AK84" s="465">
        <v>0</v>
      </c>
      <c r="AL84" s="465">
        <v>989763</v>
      </c>
      <c r="AM84" s="431">
        <v>39894</v>
      </c>
    </row>
    <row r="85" spans="1:39" s="155" customFormat="1" ht="12" x14ac:dyDescent="0.2">
      <c r="A85" s="168">
        <v>31</v>
      </c>
      <c r="B85" s="405">
        <v>163832</v>
      </c>
      <c r="C85" s="411" t="s">
        <v>3071</v>
      </c>
      <c r="D85" s="432">
        <f t="shared" si="11"/>
        <v>9369306</v>
      </c>
      <c r="E85" s="465">
        <v>2266008</v>
      </c>
      <c r="F85" s="465">
        <v>941624</v>
      </c>
      <c r="G85" s="465">
        <v>88247</v>
      </c>
      <c r="H85" s="465">
        <v>0</v>
      </c>
      <c r="I85" s="465">
        <v>3117888</v>
      </c>
      <c r="J85" s="465">
        <v>70000</v>
      </c>
      <c r="K85" s="465">
        <v>231000</v>
      </c>
      <c r="L85" s="465">
        <v>0</v>
      </c>
      <c r="M85" s="465">
        <v>2889020</v>
      </c>
      <c r="N85" s="465">
        <v>795390</v>
      </c>
      <c r="O85" s="431">
        <v>0</v>
      </c>
      <c r="P85" s="432">
        <f t="shared" si="12"/>
        <v>9739694</v>
      </c>
      <c r="Q85" s="465">
        <v>3177375</v>
      </c>
      <c r="R85" s="465">
        <v>1889362</v>
      </c>
      <c r="S85" s="465">
        <v>4060</v>
      </c>
      <c r="T85" s="465">
        <v>0</v>
      </c>
      <c r="U85" s="465">
        <v>0</v>
      </c>
      <c r="V85" s="465">
        <v>0</v>
      </c>
      <c r="W85" s="465">
        <v>620333</v>
      </c>
      <c r="X85" s="465">
        <v>401211</v>
      </c>
      <c r="Y85" s="465">
        <v>6750</v>
      </c>
      <c r="Z85" s="465">
        <v>3289020</v>
      </c>
      <c r="AA85" s="465">
        <v>354573</v>
      </c>
      <c r="AB85" s="465">
        <v>-2990</v>
      </c>
      <c r="AC85" s="465">
        <v>1527198</v>
      </c>
      <c r="AD85" s="465">
        <v>771424</v>
      </c>
      <c r="AE85" s="465">
        <v>2721600</v>
      </c>
      <c r="AF85" s="465">
        <v>0</v>
      </c>
      <c r="AG85" s="465">
        <v>449692</v>
      </c>
      <c r="AH85" s="465">
        <v>595985</v>
      </c>
      <c r="AI85" s="465">
        <v>609862</v>
      </c>
      <c r="AJ85" s="465">
        <v>303638</v>
      </c>
      <c r="AK85" s="465">
        <v>0</v>
      </c>
      <c r="AL85" s="465">
        <v>2760295</v>
      </c>
      <c r="AM85" s="431">
        <v>0</v>
      </c>
    </row>
    <row r="86" spans="1:39" s="155" customFormat="1" ht="12" x14ac:dyDescent="0.2">
      <c r="A86" s="168">
        <v>32</v>
      </c>
      <c r="B86" s="405">
        <v>167295</v>
      </c>
      <c r="C86" s="411" t="s">
        <v>3072</v>
      </c>
      <c r="D86" s="432">
        <f t="shared" si="11"/>
        <v>3239855</v>
      </c>
      <c r="E86" s="465">
        <v>526345</v>
      </c>
      <c r="F86" s="465">
        <v>76492</v>
      </c>
      <c r="G86" s="465">
        <v>204555</v>
      </c>
      <c r="H86" s="465">
        <v>0</v>
      </c>
      <c r="I86" s="465">
        <v>1130440</v>
      </c>
      <c r="J86" s="465">
        <v>55000</v>
      </c>
      <c r="K86" s="465">
        <v>1350000</v>
      </c>
      <c r="L86" s="465">
        <v>0</v>
      </c>
      <c r="M86" s="465">
        <v>71011</v>
      </c>
      <c r="N86" s="465">
        <v>107059</v>
      </c>
      <c r="O86" s="431">
        <v>0</v>
      </c>
      <c r="P86" s="432">
        <f t="shared" si="12"/>
        <v>2917263</v>
      </c>
      <c r="Q86" s="465">
        <v>1377555</v>
      </c>
      <c r="R86" s="465">
        <v>652227</v>
      </c>
      <c r="S86" s="465">
        <v>0</v>
      </c>
      <c r="T86" s="465">
        <v>0</v>
      </c>
      <c r="U86" s="465">
        <v>0</v>
      </c>
      <c r="V86" s="465">
        <v>0</v>
      </c>
      <c r="W86" s="465">
        <v>0</v>
      </c>
      <c r="X86" s="465">
        <v>105615</v>
      </c>
      <c r="Y86" s="465">
        <v>0</v>
      </c>
      <c r="Z86" s="465">
        <v>681558</v>
      </c>
      <c r="AA86" s="465">
        <v>107296</v>
      </c>
      <c r="AB86" s="465">
        <v>-6988</v>
      </c>
      <c r="AC86" s="465">
        <v>972965</v>
      </c>
      <c r="AD86" s="465">
        <v>11628</v>
      </c>
      <c r="AE86" s="465">
        <v>887440</v>
      </c>
      <c r="AF86" s="465">
        <v>0</v>
      </c>
      <c r="AG86" s="465">
        <v>105846</v>
      </c>
      <c r="AH86" s="465">
        <v>327224</v>
      </c>
      <c r="AI86" s="465">
        <v>133316</v>
      </c>
      <c r="AJ86" s="465">
        <v>2712</v>
      </c>
      <c r="AK86" s="465">
        <v>0</v>
      </c>
      <c r="AL86" s="465">
        <v>441281</v>
      </c>
      <c r="AM86" s="431">
        <v>34851</v>
      </c>
    </row>
    <row r="87" spans="1:39" s="155" customFormat="1" ht="12" x14ac:dyDescent="0.2">
      <c r="A87" s="168">
        <v>33</v>
      </c>
      <c r="B87" s="405">
        <v>167231</v>
      </c>
      <c r="C87" s="411" t="s">
        <v>3073</v>
      </c>
      <c r="D87" s="432">
        <f t="shared" ref="D87:D118" si="13">E87+SUM(H87:O87)</f>
        <v>3233554</v>
      </c>
      <c r="E87" s="465">
        <v>500210</v>
      </c>
      <c r="F87" s="465">
        <v>78510</v>
      </c>
      <c r="G87" s="465">
        <v>201276</v>
      </c>
      <c r="H87" s="465">
        <v>0</v>
      </c>
      <c r="I87" s="465">
        <v>1407192</v>
      </c>
      <c r="J87" s="465">
        <v>53000</v>
      </c>
      <c r="K87" s="465">
        <v>1212000</v>
      </c>
      <c r="L87" s="465">
        <v>0</v>
      </c>
      <c r="M87" s="465">
        <v>39615</v>
      </c>
      <c r="N87" s="465">
        <v>0</v>
      </c>
      <c r="O87" s="431">
        <v>21537</v>
      </c>
      <c r="P87" s="432">
        <f t="shared" ref="P87:P118" si="14">IF(SUM(Q87:AB87)=SUM(AC87:AM87),SUM(Q87:AB87),"  EROARE ART/CAP")</f>
        <v>2505090</v>
      </c>
      <c r="Q87" s="465">
        <v>1579211</v>
      </c>
      <c r="R87" s="465">
        <v>427394</v>
      </c>
      <c r="S87" s="465">
        <v>0</v>
      </c>
      <c r="T87" s="465">
        <v>0</v>
      </c>
      <c r="U87" s="465">
        <v>0</v>
      </c>
      <c r="V87" s="465">
        <v>0</v>
      </c>
      <c r="W87" s="465">
        <v>0</v>
      </c>
      <c r="X87" s="465">
        <v>117641</v>
      </c>
      <c r="Y87" s="465">
        <v>0</v>
      </c>
      <c r="Z87" s="465">
        <v>70844</v>
      </c>
      <c r="AA87" s="465">
        <v>310000</v>
      </c>
      <c r="AB87" s="465">
        <v>0</v>
      </c>
      <c r="AC87" s="465">
        <v>521274</v>
      </c>
      <c r="AD87" s="465">
        <v>8110</v>
      </c>
      <c r="AE87" s="465">
        <v>1079912</v>
      </c>
      <c r="AF87" s="465">
        <v>0</v>
      </c>
      <c r="AG87" s="465">
        <v>3296</v>
      </c>
      <c r="AH87" s="465">
        <v>392695</v>
      </c>
      <c r="AI87" s="465">
        <v>31878</v>
      </c>
      <c r="AJ87" s="465">
        <v>558</v>
      </c>
      <c r="AK87" s="465">
        <v>0</v>
      </c>
      <c r="AL87" s="465">
        <v>467367</v>
      </c>
      <c r="AM87" s="431">
        <v>0</v>
      </c>
    </row>
    <row r="88" spans="1:39" s="155" customFormat="1" ht="12" x14ac:dyDescent="0.2">
      <c r="A88" s="168">
        <v>34</v>
      </c>
      <c r="B88" s="405">
        <v>163903</v>
      </c>
      <c r="C88" s="411" t="s">
        <v>3074</v>
      </c>
      <c r="D88" s="432">
        <f t="shared" si="13"/>
        <v>3756143</v>
      </c>
      <c r="E88" s="465">
        <v>740933</v>
      </c>
      <c r="F88" s="465">
        <v>130343</v>
      </c>
      <c r="G88" s="465">
        <v>176114</v>
      </c>
      <c r="H88" s="465">
        <v>0</v>
      </c>
      <c r="I88" s="465">
        <v>1763942</v>
      </c>
      <c r="J88" s="465">
        <v>52000</v>
      </c>
      <c r="K88" s="465">
        <v>1067000</v>
      </c>
      <c r="L88" s="465">
        <v>0</v>
      </c>
      <c r="M88" s="465">
        <v>132268</v>
      </c>
      <c r="N88" s="465">
        <v>0</v>
      </c>
      <c r="O88" s="431">
        <v>0</v>
      </c>
      <c r="P88" s="432">
        <f t="shared" si="14"/>
        <v>3495267</v>
      </c>
      <c r="Q88" s="465">
        <v>2140544</v>
      </c>
      <c r="R88" s="465">
        <v>728320</v>
      </c>
      <c r="S88" s="465">
        <v>0</v>
      </c>
      <c r="T88" s="465">
        <v>0</v>
      </c>
      <c r="U88" s="465">
        <v>0</v>
      </c>
      <c r="V88" s="465">
        <v>0</v>
      </c>
      <c r="W88" s="465">
        <v>0</v>
      </c>
      <c r="X88" s="465">
        <v>144466</v>
      </c>
      <c r="Y88" s="465">
        <v>1833</v>
      </c>
      <c r="Z88" s="465">
        <v>480104</v>
      </c>
      <c r="AA88" s="465">
        <v>0</v>
      </c>
      <c r="AB88" s="465">
        <v>0</v>
      </c>
      <c r="AC88" s="465">
        <v>654535</v>
      </c>
      <c r="AD88" s="465">
        <v>21519</v>
      </c>
      <c r="AE88" s="465">
        <v>1287846</v>
      </c>
      <c r="AF88" s="465">
        <v>27556</v>
      </c>
      <c r="AG88" s="465">
        <v>114296</v>
      </c>
      <c r="AH88" s="465">
        <v>835150</v>
      </c>
      <c r="AI88" s="465">
        <v>213964</v>
      </c>
      <c r="AJ88" s="465">
        <v>21089</v>
      </c>
      <c r="AK88" s="465">
        <v>0</v>
      </c>
      <c r="AL88" s="465">
        <v>319312</v>
      </c>
      <c r="AM88" s="431">
        <v>0</v>
      </c>
    </row>
    <row r="89" spans="1:39" s="155" customFormat="1" ht="12" x14ac:dyDescent="0.2">
      <c r="A89" s="168">
        <v>35</v>
      </c>
      <c r="B89" s="405">
        <v>163967</v>
      </c>
      <c r="C89" s="411" t="s">
        <v>3075</v>
      </c>
      <c r="D89" s="432">
        <f t="shared" si="13"/>
        <v>7255690</v>
      </c>
      <c r="E89" s="465">
        <v>445042</v>
      </c>
      <c r="F89" s="465">
        <v>73744</v>
      </c>
      <c r="G89" s="465">
        <v>219869</v>
      </c>
      <c r="H89" s="465">
        <v>0</v>
      </c>
      <c r="I89" s="465">
        <v>1577762</v>
      </c>
      <c r="J89" s="465">
        <v>57000</v>
      </c>
      <c r="K89" s="465">
        <v>1725520</v>
      </c>
      <c r="L89" s="465">
        <v>0</v>
      </c>
      <c r="M89" s="465">
        <v>189495</v>
      </c>
      <c r="N89" s="465">
        <v>3219166</v>
      </c>
      <c r="O89" s="431">
        <v>41705</v>
      </c>
      <c r="P89" s="432">
        <f t="shared" si="14"/>
        <v>3861215</v>
      </c>
      <c r="Q89" s="465">
        <v>1682500</v>
      </c>
      <c r="R89" s="465">
        <v>1565638</v>
      </c>
      <c r="S89" s="465">
        <v>0</v>
      </c>
      <c r="T89" s="465">
        <v>0</v>
      </c>
      <c r="U89" s="465">
        <v>0</v>
      </c>
      <c r="V89" s="465">
        <v>362068</v>
      </c>
      <c r="W89" s="465">
        <v>44729</v>
      </c>
      <c r="X89" s="465">
        <v>102380</v>
      </c>
      <c r="Y89" s="465">
        <v>0</v>
      </c>
      <c r="Z89" s="465">
        <v>105100</v>
      </c>
      <c r="AA89" s="465">
        <v>0</v>
      </c>
      <c r="AB89" s="465">
        <v>-1200</v>
      </c>
      <c r="AC89" s="465">
        <v>647247</v>
      </c>
      <c r="AD89" s="465">
        <v>30414</v>
      </c>
      <c r="AE89" s="465">
        <v>1620774</v>
      </c>
      <c r="AF89" s="465">
        <v>111038</v>
      </c>
      <c r="AG89" s="465">
        <v>138127</v>
      </c>
      <c r="AH89" s="465">
        <v>396118</v>
      </c>
      <c r="AI89" s="465">
        <v>57671</v>
      </c>
      <c r="AJ89" s="465">
        <v>0</v>
      </c>
      <c r="AK89" s="465">
        <v>0</v>
      </c>
      <c r="AL89" s="465">
        <v>859826</v>
      </c>
      <c r="AM89" s="431">
        <v>0</v>
      </c>
    </row>
    <row r="90" spans="1:39" s="155" customFormat="1" ht="12" x14ac:dyDescent="0.2">
      <c r="A90" s="168">
        <v>36</v>
      </c>
      <c r="B90" s="405">
        <v>164062</v>
      </c>
      <c r="C90" s="411" t="s">
        <v>3076</v>
      </c>
      <c r="D90" s="432">
        <f t="shared" si="13"/>
        <v>4723259</v>
      </c>
      <c r="E90" s="465">
        <v>431987</v>
      </c>
      <c r="F90" s="465">
        <v>96341</v>
      </c>
      <c r="G90" s="465">
        <v>213307</v>
      </c>
      <c r="H90" s="465">
        <v>0</v>
      </c>
      <c r="I90" s="465">
        <v>1689266</v>
      </c>
      <c r="J90" s="465">
        <v>72000</v>
      </c>
      <c r="K90" s="465">
        <v>1540000</v>
      </c>
      <c r="L90" s="465">
        <v>0</v>
      </c>
      <c r="M90" s="465">
        <v>469371</v>
      </c>
      <c r="N90" s="465">
        <v>320635</v>
      </c>
      <c r="O90" s="431">
        <v>200000</v>
      </c>
      <c r="P90" s="432">
        <f t="shared" si="14"/>
        <v>4531969</v>
      </c>
      <c r="Q90" s="465">
        <v>1829638</v>
      </c>
      <c r="R90" s="465">
        <v>677001</v>
      </c>
      <c r="S90" s="465">
        <v>0</v>
      </c>
      <c r="T90" s="465">
        <v>0</v>
      </c>
      <c r="U90" s="465">
        <v>0</v>
      </c>
      <c r="V90" s="465">
        <v>5555</v>
      </c>
      <c r="W90" s="465">
        <v>388562</v>
      </c>
      <c r="X90" s="465">
        <v>262632</v>
      </c>
      <c r="Y90" s="465">
        <v>0</v>
      </c>
      <c r="Z90" s="465">
        <v>1373215</v>
      </c>
      <c r="AA90" s="465">
        <v>0</v>
      </c>
      <c r="AB90" s="465">
        <v>-4634</v>
      </c>
      <c r="AC90" s="465">
        <v>807562</v>
      </c>
      <c r="AD90" s="465">
        <v>16651</v>
      </c>
      <c r="AE90" s="465">
        <v>1931078</v>
      </c>
      <c r="AF90" s="465">
        <v>399980</v>
      </c>
      <c r="AG90" s="465">
        <v>294520</v>
      </c>
      <c r="AH90" s="465">
        <v>262632</v>
      </c>
      <c r="AI90" s="465">
        <v>489311</v>
      </c>
      <c r="AJ90" s="465">
        <v>5238</v>
      </c>
      <c r="AK90" s="465">
        <v>0</v>
      </c>
      <c r="AL90" s="465">
        <v>324997</v>
      </c>
      <c r="AM90" s="431">
        <v>0</v>
      </c>
    </row>
    <row r="91" spans="1:39" s="155" customFormat="1" ht="12" x14ac:dyDescent="0.2">
      <c r="A91" s="168">
        <v>37</v>
      </c>
      <c r="B91" s="405">
        <v>164133</v>
      </c>
      <c r="C91" s="411" t="s">
        <v>3077</v>
      </c>
      <c r="D91" s="432">
        <f t="shared" si="13"/>
        <v>4887588</v>
      </c>
      <c r="E91" s="465">
        <v>1127548</v>
      </c>
      <c r="F91" s="465">
        <v>136598</v>
      </c>
      <c r="G91" s="465">
        <v>190229</v>
      </c>
      <c r="H91" s="465">
        <v>0</v>
      </c>
      <c r="I91" s="465">
        <v>1693917</v>
      </c>
      <c r="J91" s="465">
        <v>56000</v>
      </c>
      <c r="K91" s="465">
        <v>928000</v>
      </c>
      <c r="L91" s="465">
        <v>0</v>
      </c>
      <c r="M91" s="465">
        <v>859888</v>
      </c>
      <c r="N91" s="465">
        <v>157345</v>
      </c>
      <c r="O91" s="431">
        <v>64890</v>
      </c>
      <c r="P91" s="432">
        <f t="shared" si="14"/>
        <v>4614154</v>
      </c>
      <c r="Q91" s="465">
        <v>1695721</v>
      </c>
      <c r="R91" s="465">
        <v>1124483</v>
      </c>
      <c r="S91" s="465">
        <v>0</v>
      </c>
      <c r="T91" s="465">
        <v>0</v>
      </c>
      <c r="U91" s="465">
        <v>0</v>
      </c>
      <c r="V91" s="465">
        <v>0</v>
      </c>
      <c r="W91" s="465">
        <v>70351</v>
      </c>
      <c r="X91" s="465">
        <v>476337</v>
      </c>
      <c r="Y91" s="465">
        <v>9424</v>
      </c>
      <c r="Z91" s="465">
        <v>1238848</v>
      </c>
      <c r="AA91" s="465">
        <v>0</v>
      </c>
      <c r="AB91" s="465">
        <v>-1010</v>
      </c>
      <c r="AC91" s="465">
        <v>833882</v>
      </c>
      <c r="AD91" s="465">
        <v>25856</v>
      </c>
      <c r="AE91" s="465">
        <v>1436855</v>
      </c>
      <c r="AF91" s="465">
        <v>26447</v>
      </c>
      <c r="AG91" s="465">
        <v>287641</v>
      </c>
      <c r="AH91" s="465">
        <v>493936</v>
      </c>
      <c r="AI91" s="465">
        <v>321008</v>
      </c>
      <c r="AJ91" s="465">
        <v>68272</v>
      </c>
      <c r="AK91" s="465">
        <v>0</v>
      </c>
      <c r="AL91" s="465">
        <v>1120257</v>
      </c>
      <c r="AM91" s="431">
        <v>0</v>
      </c>
    </row>
    <row r="92" spans="1:39" s="155" customFormat="1" ht="12" x14ac:dyDescent="0.2">
      <c r="A92" s="168">
        <v>38</v>
      </c>
      <c r="B92" s="405">
        <v>164197</v>
      </c>
      <c r="C92" s="411" t="s">
        <v>3078</v>
      </c>
      <c r="D92" s="432">
        <f t="shared" si="13"/>
        <v>14957682</v>
      </c>
      <c r="E92" s="465">
        <v>902685</v>
      </c>
      <c r="F92" s="465">
        <v>157606</v>
      </c>
      <c r="G92" s="465">
        <v>123608</v>
      </c>
      <c r="H92" s="465">
        <v>0</v>
      </c>
      <c r="I92" s="465">
        <v>1605601</v>
      </c>
      <c r="J92" s="465">
        <v>93000</v>
      </c>
      <c r="K92" s="465">
        <v>994000</v>
      </c>
      <c r="L92" s="465">
        <v>0</v>
      </c>
      <c r="M92" s="465">
        <v>8294844</v>
      </c>
      <c r="N92" s="465">
        <v>2980974</v>
      </c>
      <c r="O92" s="431">
        <v>86578</v>
      </c>
      <c r="P92" s="432">
        <f t="shared" si="14"/>
        <v>11590913</v>
      </c>
      <c r="Q92" s="465">
        <v>1611752</v>
      </c>
      <c r="R92" s="465">
        <v>612908</v>
      </c>
      <c r="S92" s="465">
        <v>0</v>
      </c>
      <c r="T92" s="465">
        <v>0</v>
      </c>
      <c r="U92" s="465">
        <v>0</v>
      </c>
      <c r="V92" s="465">
        <v>5000</v>
      </c>
      <c r="W92" s="465">
        <v>149600</v>
      </c>
      <c r="X92" s="465">
        <v>326499</v>
      </c>
      <c r="Y92" s="465">
        <v>0</v>
      </c>
      <c r="Z92" s="465">
        <v>8887080</v>
      </c>
      <c r="AA92" s="465">
        <v>0</v>
      </c>
      <c r="AB92" s="465">
        <v>-1926</v>
      </c>
      <c r="AC92" s="465">
        <v>555718</v>
      </c>
      <c r="AD92" s="465">
        <v>35532</v>
      </c>
      <c r="AE92" s="465">
        <v>1345120</v>
      </c>
      <c r="AF92" s="465">
        <v>39244</v>
      </c>
      <c r="AG92" s="465">
        <v>59906</v>
      </c>
      <c r="AH92" s="465">
        <v>343822</v>
      </c>
      <c r="AI92" s="465">
        <v>890079</v>
      </c>
      <c r="AJ92" s="465">
        <v>0</v>
      </c>
      <c r="AK92" s="465">
        <v>0</v>
      </c>
      <c r="AL92" s="465">
        <v>8321492</v>
      </c>
      <c r="AM92" s="431">
        <v>0</v>
      </c>
    </row>
    <row r="93" spans="1:39" s="155" customFormat="1" ht="12" x14ac:dyDescent="0.2">
      <c r="A93" s="168">
        <v>39</v>
      </c>
      <c r="B93" s="405">
        <v>164339</v>
      </c>
      <c r="C93" s="411" t="s">
        <v>3079</v>
      </c>
      <c r="D93" s="432">
        <f t="shared" si="13"/>
        <v>6192372</v>
      </c>
      <c r="E93" s="465">
        <v>623628</v>
      </c>
      <c r="F93" s="465">
        <v>155820</v>
      </c>
      <c r="G93" s="465">
        <v>184867</v>
      </c>
      <c r="H93" s="465">
        <v>0</v>
      </c>
      <c r="I93" s="465">
        <v>2443366</v>
      </c>
      <c r="J93" s="465">
        <v>55000</v>
      </c>
      <c r="K93" s="465">
        <v>1192000</v>
      </c>
      <c r="L93" s="465">
        <v>0</v>
      </c>
      <c r="M93" s="465">
        <v>1797078</v>
      </c>
      <c r="N93" s="465">
        <v>0</v>
      </c>
      <c r="O93" s="431">
        <v>81300</v>
      </c>
      <c r="P93" s="432">
        <f t="shared" si="14"/>
        <v>6477256</v>
      </c>
      <c r="Q93" s="465">
        <v>2593473</v>
      </c>
      <c r="R93" s="465">
        <v>1330065</v>
      </c>
      <c r="S93" s="465">
        <v>0</v>
      </c>
      <c r="T93" s="465">
        <v>0</v>
      </c>
      <c r="U93" s="465">
        <v>0</v>
      </c>
      <c r="V93" s="465">
        <v>0</v>
      </c>
      <c r="W93" s="465">
        <v>0</v>
      </c>
      <c r="X93" s="465">
        <v>399059</v>
      </c>
      <c r="Y93" s="465">
        <v>4188</v>
      </c>
      <c r="Z93" s="465">
        <v>2150471</v>
      </c>
      <c r="AA93" s="465">
        <v>0</v>
      </c>
      <c r="AB93" s="465">
        <v>0</v>
      </c>
      <c r="AC93" s="465">
        <v>979438</v>
      </c>
      <c r="AD93" s="465">
        <v>16950</v>
      </c>
      <c r="AE93" s="465">
        <v>2486075</v>
      </c>
      <c r="AF93" s="465">
        <v>22832</v>
      </c>
      <c r="AG93" s="465">
        <v>246937</v>
      </c>
      <c r="AH93" s="465">
        <v>688107</v>
      </c>
      <c r="AI93" s="465">
        <v>310708</v>
      </c>
      <c r="AJ93" s="465">
        <v>0</v>
      </c>
      <c r="AK93" s="465">
        <v>0</v>
      </c>
      <c r="AL93" s="465">
        <v>1723930</v>
      </c>
      <c r="AM93" s="431">
        <v>2279</v>
      </c>
    </row>
    <row r="94" spans="1:39" s="155" customFormat="1" ht="12" x14ac:dyDescent="0.2">
      <c r="A94" s="168">
        <v>40</v>
      </c>
      <c r="B94" s="405">
        <v>167222</v>
      </c>
      <c r="C94" s="411" t="s">
        <v>2996</v>
      </c>
      <c r="D94" s="432">
        <f t="shared" si="13"/>
        <v>4186236</v>
      </c>
      <c r="E94" s="465">
        <v>488220</v>
      </c>
      <c r="F94" s="465">
        <v>65578</v>
      </c>
      <c r="G94" s="465">
        <v>205650</v>
      </c>
      <c r="H94" s="465">
        <v>0</v>
      </c>
      <c r="I94" s="465">
        <v>982195</v>
      </c>
      <c r="J94" s="465">
        <v>122000</v>
      </c>
      <c r="K94" s="465">
        <v>1423230</v>
      </c>
      <c r="L94" s="465">
        <v>0</v>
      </c>
      <c r="M94" s="465">
        <v>1170591</v>
      </c>
      <c r="N94" s="465">
        <v>0</v>
      </c>
      <c r="O94" s="431">
        <v>0</v>
      </c>
      <c r="P94" s="432">
        <f t="shared" si="14"/>
        <v>4182579</v>
      </c>
      <c r="Q94" s="465">
        <v>1323178</v>
      </c>
      <c r="R94" s="465">
        <v>1392748</v>
      </c>
      <c r="S94" s="465">
        <v>0</v>
      </c>
      <c r="T94" s="465">
        <v>0</v>
      </c>
      <c r="U94" s="465">
        <v>0</v>
      </c>
      <c r="V94" s="465">
        <v>27092</v>
      </c>
      <c r="W94" s="465">
        <v>0</v>
      </c>
      <c r="X94" s="465">
        <v>153946</v>
      </c>
      <c r="Y94" s="465">
        <v>0</v>
      </c>
      <c r="Z94" s="465">
        <v>1290918</v>
      </c>
      <c r="AA94" s="465">
        <v>0</v>
      </c>
      <c r="AB94" s="465">
        <v>-5303</v>
      </c>
      <c r="AC94" s="465">
        <v>868869</v>
      </c>
      <c r="AD94" s="465">
        <v>79813</v>
      </c>
      <c r="AE94" s="465">
        <v>775672</v>
      </c>
      <c r="AF94" s="465">
        <v>3689</v>
      </c>
      <c r="AG94" s="465">
        <v>172107</v>
      </c>
      <c r="AH94" s="465">
        <v>340313</v>
      </c>
      <c r="AI94" s="465">
        <v>206269</v>
      </c>
      <c r="AJ94" s="465">
        <v>0</v>
      </c>
      <c r="AK94" s="465">
        <v>0</v>
      </c>
      <c r="AL94" s="465">
        <v>1518859</v>
      </c>
      <c r="AM94" s="431">
        <v>216988</v>
      </c>
    </row>
    <row r="95" spans="1:39" s="155" customFormat="1" ht="12" x14ac:dyDescent="0.2">
      <c r="A95" s="168">
        <v>41</v>
      </c>
      <c r="B95" s="405">
        <v>164393</v>
      </c>
      <c r="C95" s="411" t="s">
        <v>3080</v>
      </c>
      <c r="D95" s="432">
        <f t="shared" si="13"/>
        <v>7208226</v>
      </c>
      <c r="E95" s="465">
        <v>735119</v>
      </c>
      <c r="F95" s="465">
        <v>226028</v>
      </c>
      <c r="G95" s="465">
        <v>170209</v>
      </c>
      <c r="H95" s="465">
        <v>0</v>
      </c>
      <c r="I95" s="465">
        <v>2949000</v>
      </c>
      <c r="J95" s="465">
        <v>137000</v>
      </c>
      <c r="K95" s="465">
        <v>1520710</v>
      </c>
      <c r="L95" s="465">
        <v>0</v>
      </c>
      <c r="M95" s="465">
        <v>564675</v>
      </c>
      <c r="N95" s="465">
        <v>1301722</v>
      </c>
      <c r="O95" s="431">
        <v>0</v>
      </c>
      <c r="P95" s="432">
        <f t="shared" si="14"/>
        <v>7208184</v>
      </c>
      <c r="Q95" s="465">
        <v>2993636</v>
      </c>
      <c r="R95" s="465">
        <v>1791510</v>
      </c>
      <c r="S95" s="465">
        <v>8898</v>
      </c>
      <c r="T95" s="465">
        <v>0</v>
      </c>
      <c r="U95" s="465">
        <v>0</v>
      </c>
      <c r="V95" s="465">
        <v>0</v>
      </c>
      <c r="W95" s="465">
        <v>1355030</v>
      </c>
      <c r="X95" s="465">
        <v>324599</v>
      </c>
      <c r="Y95" s="465">
        <v>47682</v>
      </c>
      <c r="Z95" s="465">
        <v>92598</v>
      </c>
      <c r="AA95" s="465">
        <v>594231</v>
      </c>
      <c r="AB95" s="465">
        <v>0</v>
      </c>
      <c r="AC95" s="465">
        <v>2451164</v>
      </c>
      <c r="AD95" s="465">
        <v>24316</v>
      </c>
      <c r="AE95" s="465">
        <v>2369880</v>
      </c>
      <c r="AF95" s="465">
        <v>0</v>
      </c>
      <c r="AG95" s="465">
        <v>282415</v>
      </c>
      <c r="AH95" s="465">
        <v>636777</v>
      </c>
      <c r="AI95" s="465">
        <v>229372</v>
      </c>
      <c r="AJ95" s="465">
        <v>93</v>
      </c>
      <c r="AK95" s="465">
        <v>0</v>
      </c>
      <c r="AL95" s="465">
        <v>1214167</v>
      </c>
      <c r="AM95" s="431">
        <v>0</v>
      </c>
    </row>
    <row r="96" spans="1:39" s="155" customFormat="1" ht="12" x14ac:dyDescent="0.2">
      <c r="A96" s="168">
        <v>42</v>
      </c>
      <c r="B96" s="405">
        <v>164543</v>
      </c>
      <c r="C96" s="411" t="s">
        <v>3081</v>
      </c>
      <c r="D96" s="432">
        <f t="shared" si="13"/>
        <v>4365205</v>
      </c>
      <c r="E96" s="465">
        <v>663067</v>
      </c>
      <c r="F96" s="465">
        <v>117431</v>
      </c>
      <c r="G96" s="465">
        <v>193617</v>
      </c>
      <c r="H96" s="465">
        <v>0</v>
      </c>
      <c r="I96" s="465">
        <v>1366188</v>
      </c>
      <c r="J96" s="465">
        <v>55000</v>
      </c>
      <c r="K96" s="465">
        <v>1267000</v>
      </c>
      <c r="L96" s="465">
        <v>0</v>
      </c>
      <c r="M96" s="465">
        <v>991196</v>
      </c>
      <c r="N96" s="465">
        <v>0</v>
      </c>
      <c r="O96" s="431">
        <v>22754</v>
      </c>
      <c r="P96" s="432">
        <f t="shared" si="14"/>
        <v>4255105</v>
      </c>
      <c r="Q96" s="465">
        <v>1639950</v>
      </c>
      <c r="R96" s="465">
        <v>885715</v>
      </c>
      <c r="S96" s="465">
        <v>0</v>
      </c>
      <c r="T96" s="465">
        <v>0</v>
      </c>
      <c r="U96" s="465">
        <v>0</v>
      </c>
      <c r="V96" s="465">
        <v>235992</v>
      </c>
      <c r="W96" s="465">
        <v>0</v>
      </c>
      <c r="X96" s="465">
        <v>190880</v>
      </c>
      <c r="Y96" s="465">
        <v>0</v>
      </c>
      <c r="Z96" s="465">
        <v>1302568</v>
      </c>
      <c r="AA96" s="465">
        <v>0</v>
      </c>
      <c r="AB96" s="465">
        <v>0</v>
      </c>
      <c r="AC96" s="465">
        <v>655163</v>
      </c>
      <c r="AD96" s="465">
        <v>28313</v>
      </c>
      <c r="AE96" s="465">
        <v>1255073</v>
      </c>
      <c r="AF96" s="465">
        <v>28754</v>
      </c>
      <c r="AG96" s="465">
        <v>175481</v>
      </c>
      <c r="AH96" s="465">
        <v>374485</v>
      </c>
      <c r="AI96" s="465">
        <v>576182</v>
      </c>
      <c r="AJ96" s="465">
        <v>6000</v>
      </c>
      <c r="AK96" s="465">
        <v>0</v>
      </c>
      <c r="AL96" s="465">
        <v>1151655</v>
      </c>
      <c r="AM96" s="431">
        <v>3999</v>
      </c>
    </row>
    <row r="97" spans="1:39" s="155" customFormat="1" ht="12" x14ac:dyDescent="0.2">
      <c r="A97" s="168">
        <v>43</v>
      </c>
      <c r="B97" s="405">
        <v>164598</v>
      </c>
      <c r="C97" s="411" t="s">
        <v>3082</v>
      </c>
      <c r="D97" s="432">
        <f t="shared" si="13"/>
        <v>4783643</v>
      </c>
      <c r="E97" s="465">
        <v>712893</v>
      </c>
      <c r="F97" s="465">
        <v>145480</v>
      </c>
      <c r="G97" s="465">
        <v>172834</v>
      </c>
      <c r="H97" s="465">
        <v>0</v>
      </c>
      <c r="I97" s="465">
        <v>1748608</v>
      </c>
      <c r="J97" s="465">
        <v>63000</v>
      </c>
      <c r="K97" s="465">
        <v>1298000</v>
      </c>
      <c r="L97" s="465">
        <v>0</v>
      </c>
      <c r="M97" s="465">
        <v>735942</v>
      </c>
      <c r="N97" s="465">
        <v>196015</v>
      </c>
      <c r="O97" s="431">
        <v>29185</v>
      </c>
      <c r="P97" s="432">
        <f t="shared" si="14"/>
        <v>4316480</v>
      </c>
      <c r="Q97" s="465">
        <v>2064564</v>
      </c>
      <c r="R97" s="465">
        <v>896913</v>
      </c>
      <c r="S97" s="465">
        <v>0</v>
      </c>
      <c r="T97" s="465">
        <v>0</v>
      </c>
      <c r="U97" s="465">
        <v>0</v>
      </c>
      <c r="V97" s="465">
        <v>0</v>
      </c>
      <c r="W97" s="465">
        <v>0</v>
      </c>
      <c r="X97" s="465">
        <v>138096</v>
      </c>
      <c r="Y97" s="465">
        <v>17854</v>
      </c>
      <c r="Z97" s="465">
        <v>1199053</v>
      </c>
      <c r="AA97" s="465">
        <v>0</v>
      </c>
      <c r="AB97" s="465">
        <v>0</v>
      </c>
      <c r="AC97" s="465">
        <v>486781</v>
      </c>
      <c r="AD97" s="465">
        <v>208110</v>
      </c>
      <c r="AE97" s="465">
        <v>1540741</v>
      </c>
      <c r="AF97" s="465">
        <v>0</v>
      </c>
      <c r="AG97" s="465">
        <v>230232</v>
      </c>
      <c r="AH97" s="465">
        <v>410871</v>
      </c>
      <c r="AI97" s="465">
        <v>846189</v>
      </c>
      <c r="AJ97" s="465">
        <v>0</v>
      </c>
      <c r="AK97" s="465">
        <v>0</v>
      </c>
      <c r="AL97" s="465">
        <v>593556</v>
      </c>
      <c r="AM97" s="431">
        <v>0</v>
      </c>
    </row>
    <row r="98" spans="1:39" s="155" customFormat="1" ht="12" x14ac:dyDescent="0.2">
      <c r="A98" s="168">
        <v>44</v>
      </c>
      <c r="B98" s="405">
        <v>164687</v>
      </c>
      <c r="C98" s="411" t="s">
        <v>3083</v>
      </c>
      <c r="D98" s="432">
        <f t="shared" si="13"/>
        <v>6826478</v>
      </c>
      <c r="E98" s="465">
        <v>961792</v>
      </c>
      <c r="F98" s="465">
        <v>264449</v>
      </c>
      <c r="G98" s="465">
        <v>151470</v>
      </c>
      <c r="H98" s="465">
        <v>0</v>
      </c>
      <c r="I98" s="465">
        <v>2528439</v>
      </c>
      <c r="J98" s="465">
        <v>55000</v>
      </c>
      <c r="K98" s="465">
        <v>1272000</v>
      </c>
      <c r="L98" s="465">
        <v>0</v>
      </c>
      <c r="M98" s="465">
        <v>1450044</v>
      </c>
      <c r="N98" s="465">
        <v>555203</v>
      </c>
      <c r="O98" s="431">
        <v>4000</v>
      </c>
      <c r="P98" s="432">
        <f t="shared" si="14"/>
        <v>7684030</v>
      </c>
      <c r="Q98" s="465">
        <v>2541152</v>
      </c>
      <c r="R98" s="465">
        <v>674346</v>
      </c>
      <c r="S98" s="465">
        <v>0</v>
      </c>
      <c r="T98" s="465">
        <v>0</v>
      </c>
      <c r="U98" s="465">
        <v>0</v>
      </c>
      <c r="V98" s="465">
        <v>0</v>
      </c>
      <c r="W98" s="465">
        <v>691098</v>
      </c>
      <c r="X98" s="465">
        <v>379715</v>
      </c>
      <c r="Y98" s="465">
        <v>2600</v>
      </c>
      <c r="Z98" s="465">
        <v>3401857</v>
      </c>
      <c r="AA98" s="465">
        <v>0</v>
      </c>
      <c r="AB98" s="465">
        <v>-6738</v>
      </c>
      <c r="AC98" s="465">
        <v>648668</v>
      </c>
      <c r="AD98" s="465">
        <v>34072</v>
      </c>
      <c r="AE98" s="465">
        <v>2124903</v>
      </c>
      <c r="AF98" s="465">
        <v>26051</v>
      </c>
      <c r="AG98" s="465">
        <v>489311</v>
      </c>
      <c r="AH98" s="465">
        <v>528777</v>
      </c>
      <c r="AI98" s="465">
        <v>1984682</v>
      </c>
      <c r="AJ98" s="465">
        <v>968916</v>
      </c>
      <c r="AK98" s="465">
        <v>0</v>
      </c>
      <c r="AL98" s="465">
        <v>757838</v>
      </c>
      <c r="AM98" s="431">
        <v>120812</v>
      </c>
    </row>
    <row r="99" spans="1:39" s="155" customFormat="1" ht="12" x14ac:dyDescent="0.2">
      <c r="A99" s="168">
        <v>45</v>
      </c>
      <c r="B99" s="405">
        <v>164749</v>
      </c>
      <c r="C99" s="411" t="s">
        <v>3084</v>
      </c>
      <c r="D99" s="432">
        <f t="shared" si="13"/>
        <v>3672313</v>
      </c>
      <c r="E99" s="465">
        <v>923740</v>
      </c>
      <c r="F99" s="465">
        <v>248153</v>
      </c>
      <c r="G99" s="465">
        <v>130171</v>
      </c>
      <c r="H99" s="465">
        <v>0</v>
      </c>
      <c r="I99" s="465">
        <v>1692392</v>
      </c>
      <c r="J99" s="465">
        <v>65000</v>
      </c>
      <c r="K99" s="465">
        <v>940000</v>
      </c>
      <c r="L99" s="465">
        <v>0</v>
      </c>
      <c r="M99" s="465">
        <v>51181</v>
      </c>
      <c r="N99" s="465">
        <v>0</v>
      </c>
      <c r="O99" s="431">
        <v>0</v>
      </c>
      <c r="P99" s="432">
        <f t="shared" si="14"/>
        <v>3672313</v>
      </c>
      <c r="Q99" s="465">
        <v>2084107</v>
      </c>
      <c r="R99" s="465">
        <v>1132964</v>
      </c>
      <c r="S99" s="465">
        <v>0</v>
      </c>
      <c r="T99" s="465">
        <v>0</v>
      </c>
      <c r="U99" s="465">
        <v>0</v>
      </c>
      <c r="V99" s="465">
        <v>0</v>
      </c>
      <c r="W99" s="465">
        <v>0</v>
      </c>
      <c r="X99" s="465">
        <v>171651</v>
      </c>
      <c r="Y99" s="465">
        <v>107500</v>
      </c>
      <c r="Z99" s="465">
        <v>184641</v>
      </c>
      <c r="AA99" s="465">
        <v>0</v>
      </c>
      <c r="AB99" s="465">
        <v>-8550</v>
      </c>
      <c r="AC99" s="465">
        <v>725036</v>
      </c>
      <c r="AD99" s="465">
        <v>45350</v>
      </c>
      <c r="AE99" s="465">
        <v>1585585</v>
      </c>
      <c r="AF99" s="465">
        <v>24958</v>
      </c>
      <c r="AG99" s="465">
        <v>113157</v>
      </c>
      <c r="AH99" s="465">
        <v>463876</v>
      </c>
      <c r="AI99" s="465">
        <v>341476</v>
      </c>
      <c r="AJ99" s="465">
        <v>41996</v>
      </c>
      <c r="AK99" s="465">
        <v>0</v>
      </c>
      <c r="AL99" s="465">
        <v>330879</v>
      </c>
      <c r="AM99" s="431">
        <v>0</v>
      </c>
    </row>
    <row r="100" spans="1:39" s="155" customFormat="1" ht="12" x14ac:dyDescent="0.2">
      <c r="A100" s="168">
        <v>46</v>
      </c>
      <c r="B100" s="405">
        <v>164829</v>
      </c>
      <c r="C100" s="411" t="s">
        <v>3085</v>
      </c>
      <c r="D100" s="432">
        <f t="shared" si="13"/>
        <v>5573576</v>
      </c>
      <c r="E100" s="465">
        <v>467323</v>
      </c>
      <c r="F100" s="465">
        <v>82362</v>
      </c>
      <c r="G100" s="465">
        <v>213307</v>
      </c>
      <c r="H100" s="465">
        <v>0</v>
      </c>
      <c r="I100" s="465">
        <v>1071282</v>
      </c>
      <c r="J100" s="465">
        <v>56000</v>
      </c>
      <c r="K100" s="465">
        <v>1339000</v>
      </c>
      <c r="L100" s="465">
        <v>0</v>
      </c>
      <c r="M100" s="465">
        <v>2639971</v>
      </c>
      <c r="N100" s="465">
        <v>0</v>
      </c>
      <c r="O100" s="431">
        <v>0</v>
      </c>
      <c r="P100" s="432">
        <f t="shared" si="14"/>
        <v>5267753</v>
      </c>
      <c r="Q100" s="465">
        <v>1404887</v>
      </c>
      <c r="R100" s="465">
        <v>684087</v>
      </c>
      <c r="S100" s="465">
        <v>0</v>
      </c>
      <c r="T100" s="465">
        <v>0</v>
      </c>
      <c r="U100" s="465">
        <v>0</v>
      </c>
      <c r="V100" s="465">
        <v>0</v>
      </c>
      <c r="W100" s="465">
        <v>0</v>
      </c>
      <c r="X100" s="465">
        <v>169610</v>
      </c>
      <c r="Y100" s="465">
        <v>0</v>
      </c>
      <c r="Z100" s="465">
        <v>3009169</v>
      </c>
      <c r="AA100" s="465">
        <v>0</v>
      </c>
      <c r="AB100" s="465">
        <v>0</v>
      </c>
      <c r="AC100" s="465">
        <v>692104</v>
      </c>
      <c r="AD100" s="465">
        <v>902</v>
      </c>
      <c r="AE100" s="465">
        <v>912622</v>
      </c>
      <c r="AF100" s="465">
        <v>24752</v>
      </c>
      <c r="AG100" s="465">
        <v>361790</v>
      </c>
      <c r="AH100" s="465">
        <v>323310</v>
      </c>
      <c r="AI100" s="465">
        <v>1156260</v>
      </c>
      <c r="AJ100" s="465">
        <v>0</v>
      </c>
      <c r="AK100" s="465">
        <v>0</v>
      </c>
      <c r="AL100" s="465">
        <v>1796013</v>
      </c>
      <c r="AM100" s="431">
        <v>0</v>
      </c>
    </row>
    <row r="101" spans="1:39" s="155" customFormat="1" ht="12" x14ac:dyDescent="0.2">
      <c r="A101" s="168">
        <v>47</v>
      </c>
      <c r="B101" s="405">
        <v>164892</v>
      </c>
      <c r="C101" s="411" t="s">
        <v>3086</v>
      </c>
      <c r="D101" s="432">
        <f t="shared" si="13"/>
        <v>4833509</v>
      </c>
      <c r="E101" s="465">
        <v>530155</v>
      </c>
      <c r="F101" s="465">
        <v>92899</v>
      </c>
      <c r="G101" s="465">
        <v>200180</v>
      </c>
      <c r="H101" s="465">
        <v>0</v>
      </c>
      <c r="I101" s="465">
        <v>1466333</v>
      </c>
      <c r="J101" s="465">
        <v>75000</v>
      </c>
      <c r="K101" s="465">
        <v>1346000</v>
      </c>
      <c r="L101" s="465">
        <v>0</v>
      </c>
      <c r="M101" s="465">
        <v>949260</v>
      </c>
      <c r="N101" s="465">
        <v>399750</v>
      </c>
      <c r="O101" s="431">
        <v>67011</v>
      </c>
      <c r="P101" s="432">
        <f t="shared" si="14"/>
        <v>4764596</v>
      </c>
      <c r="Q101" s="465">
        <v>1610854</v>
      </c>
      <c r="R101" s="465">
        <v>1164890</v>
      </c>
      <c r="S101" s="465">
        <v>15121</v>
      </c>
      <c r="T101" s="465">
        <v>0</v>
      </c>
      <c r="U101" s="465">
        <v>0</v>
      </c>
      <c r="V101" s="465">
        <v>0</v>
      </c>
      <c r="W101" s="465">
        <v>420789</v>
      </c>
      <c r="X101" s="465">
        <v>241449</v>
      </c>
      <c r="Y101" s="465">
        <v>30750</v>
      </c>
      <c r="Z101" s="465">
        <v>1280743</v>
      </c>
      <c r="AA101" s="465">
        <v>0</v>
      </c>
      <c r="AB101" s="465">
        <v>0</v>
      </c>
      <c r="AC101" s="465">
        <v>671922</v>
      </c>
      <c r="AD101" s="465">
        <v>283962</v>
      </c>
      <c r="AE101" s="465">
        <v>1330853</v>
      </c>
      <c r="AF101" s="465">
        <v>0</v>
      </c>
      <c r="AG101" s="465">
        <v>86082</v>
      </c>
      <c r="AH101" s="465">
        <v>241449</v>
      </c>
      <c r="AI101" s="465">
        <v>1072514</v>
      </c>
      <c r="AJ101" s="465">
        <v>4550</v>
      </c>
      <c r="AK101" s="465">
        <v>0</v>
      </c>
      <c r="AL101" s="465">
        <v>1073264</v>
      </c>
      <c r="AM101" s="431">
        <v>0</v>
      </c>
    </row>
    <row r="102" spans="1:39" s="155" customFormat="1" ht="12" x14ac:dyDescent="0.2">
      <c r="A102" s="168">
        <v>48</v>
      </c>
      <c r="B102" s="405">
        <v>164936</v>
      </c>
      <c r="C102" s="411" t="s">
        <v>3087</v>
      </c>
      <c r="D102" s="432">
        <f t="shared" si="13"/>
        <v>3418153</v>
      </c>
      <c r="E102" s="465">
        <v>1517307</v>
      </c>
      <c r="F102" s="465">
        <v>808932</v>
      </c>
      <c r="G102" s="465">
        <v>38287</v>
      </c>
      <c r="H102" s="465">
        <v>0</v>
      </c>
      <c r="I102" s="465">
        <v>1439071</v>
      </c>
      <c r="J102" s="465">
        <v>71000</v>
      </c>
      <c r="K102" s="465">
        <v>364000</v>
      </c>
      <c r="L102" s="465">
        <v>0</v>
      </c>
      <c r="M102" s="465">
        <v>26775</v>
      </c>
      <c r="N102" s="465">
        <v>0</v>
      </c>
      <c r="O102" s="431">
        <v>0</v>
      </c>
      <c r="P102" s="432">
        <f t="shared" si="14"/>
        <v>3077527</v>
      </c>
      <c r="Q102" s="465">
        <v>1698942</v>
      </c>
      <c r="R102" s="465">
        <v>715545</v>
      </c>
      <c r="S102" s="465">
        <v>0</v>
      </c>
      <c r="T102" s="465">
        <v>0</v>
      </c>
      <c r="U102" s="465">
        <v>103847</v>
      </c>
      <c r="V102" s="465">
        <v>0</v>
      </c>
      <c r="W102" s="465">
        <v>17360</v>
      </c>
      <c r="X102" s="465">
        <v>403381</v>
      </c>
      <c r="Y102" s="465">
        <v>12286</v>
      </c>
      <c r="Z102" s="465">
        <v>126456</v>
      </c>
      <c r="AA102" s="465">
        <v>0</v>
      </c>
      <c r="AB102" s="465">
        <v>-290</v>
      </c>
      <c r="AC102" s="465">
        <v>731018</v>
      </c>
      <c r="AD102" s="465">
        <v>38646</v>
      </c>
      <c r="AE102" s="465">
        <v>1114778</v>
      </c>
      <c r="AF102" s="465">
        <v>0</v>
      </c>
      <c r="AG102" s="465">
        <v>150155</v>
      </c>
      <c r="AH102" s="465">
        <v>491243</v>
      </c>
      <c r="AI102" s="465">
        <v>140944</v>
      </c>
      <c r="AJ102" s="465">
        <v>1281</v>
      </c>
      <c r="AK102" s="465">
        <v>0</v>
      </c>
      <c r="AL102" s="465">
        <v>371818</v>
      </c>
      <c r="AM102" s="431">
        <v>37644</v>
      </c>
    </row>
    <row r="103" spans="1:39" s="155" customFormat="1" ht="12" x14ac:dyDescent="0.2">
      <c r="A103" s="168">
        <v>49</v>
      </c>
      <c r="B103" s="405">
        <v>167302</v>
      </c>
      <c r="C103" s="411" t="s">
        <v>3088</v>
      </c>
      <c r="D103" s="432">
        <f t="shared" si="13"/>
        <v>4228661</v>
      </c>
      <c r="E103" s="465">
        <v>650291</v>
      </c>
      <c r="F103" s="465">
        <v>143980</v>
      </c>
      <c r="G103" s="465">
        <v>183773</v>
      </c>
      <c r="H103" s="465">
        <v>0</v>
      </c>
      <c r="I103" s="465">
        <v>1349870</v>
      </c>
      <c r="J103" s="465">
        <v>60000</v>
      </c>
      <c r="K103" s="465">
        <v>1309000</v>
      </c>
      <c r="L103" s="465">
        <v>0</v>
      </c>
      <c r="M103" s="465">
        <v>806113</v>
      </c>
      <c r="N103" s="465">
        <v>53387</v>
      </c>
      <c r="O103" s="431">
        <v>0</v>
      </c>
      <c r="P103" s="432">
        <f t="shared" si="14"/>
        <v>3928167</v>
      </c>
      <c r="Q103" s="465">
        <v>1551560</v>
      </c>
      <c r="R103" s="465">
        <v>828448</v>
      </c>
      <c r="S103" s="465">
        <v>0</v>
      </c>
      <c r="T103" s="465">
        <v>0</v>
      </c>
      <c r="U103" s="465">
        <v>0</v>
      </c>
      <c r="V103" s="465">
        <v>0</v>
      </c>
      <c r="W103" s="465">
        <v>0</v>
      </c>
      <c r="X103" s="465">
        <v>207814</v>
      </c>
      <c r="Y103" s="465">
        <v>1522</v>
      </c>
      <c r="Z103" s="465">
        <v>1359944</v>
      </c>
      <c r="AA103" s="465">
        <v>0</v>
      </c>
      <c r="AB103" s="465">
        <v>-21121</v>
      </c>
      <c r="AC103" s="465">
        <v>563759</v>
      </c>
      <c r="AD103" s="465">
        <v>40497</v>
      </c>
      <c r="AE103" s="465">
        <v>1219285</v>
      </c>
      <c r="AF103" s="465">
        <v>0</v>
      </c>
      <c r="AG103" s="465">
        <v>174993</v>
      </c>
      <c r="AH103" s="465">
        <v>331523</v>
      </c>
      <c r="AI103" s="465">
        <v>745077</v>
      </c>
      <c r="AJ103" s="465">
        <v>0</v>
      </c>
      <c r="AK103" s="465">
        <v>0</v>
      </c>
      <c r="AL103" s="465">
        <v>851759</v>
      </c>
      <c r="AM103" s="431">
        <v>1274</v>
      </c>
    </row>
    <row r="104" spans="1:39" s="155" customFormat="1" ht="12" x14ac:dyDescent="0.2">
      <c r="A104" s="168">
        <v>50</v>
      </c>
      <c r="B104" s="405">
        <v>165069</v>
      </c>
      <c r="C104" s="411" t="s">
        <v>3089</v>
      </c>
      <c r="D104" s="432">
        <f t="shared" si="13"/>
        <v>3241075</v>
      </c>
      <c r="E104" s="465">
        <v>578984</v>
      </c>
      <c r="F104" s="465">
        <v>115323</v>
      </c>
      <c r="G104" s="465">
        <v>161894</v>
      </c>
      <c r="H104" s="465">
        <v>0</v>
      </c>
      <c r="I104" s="465">
        <v>1215627</v>
      </c>
      <c r="J104" s="465">
        <v>37000</v>
      </c>
      <c r="K104" s="465">
        <v>1062000</v>
      </c>
      <c r="L104" s="465">
        <v>0</v>
      </c>
      <c r="M104" s="465">
        <v>343964</v>
      </c>
      <c r="N104" s="465">
        <v>0</v>
      </c>
      <c r="O104" s="431">
        <v>3500</v>
      </c>
      <c r="P104" s="432">
        <f t="shared" si="14"/>
        <v>2854743</v>
      </c>
      <c r="Q104" s="465">
        <v>1428331</v>
      </c>
      <c r="R104" s="465">
        <v>526116</v>
      </c>
      <c r="S104" s="465">
        <v>0</v>
      </c>
      <c r="T104" s="465">
        <v>0</v>
      </c>
      <c r="U104" s="465">
        <v>0</v>
      </c>
      <c r="V104" s="465">
        <v>0</v>
      </c>
      <c r="W104" s="465">
        <v>0</v>
      </c>
      <c r="X104" s="465">
        <v>274026</v>
      </c>
      <c r="Y104" s="465">
        <v>4907</v>
      </c>
      <c r="Z104" s="465">
        <v>644067</v>
      </c>
      <c r="AA104" s="465">
        <v>0</v>
      </c>
      <c r="AB104" s="465">
        <v>-22704</v>
      </c>
      <c r="AC104" s="465">
        <v>611354</v>
      </c>
      <c r="AD104" s="465">
        <v>4975</v>
      </c>
      <c r="AE104" s="465">
        <v>1692056</v>
      </c>
      <c r="AF104" s="465">
        <v>0</v>
      </c>
      <c r="AG104" s="465">
        <v>83665</v>
      </c>
      <c r="AH104" s="465">
        <v>270357</v>
      </c>
      <c r="AI104" s="465">
        <v>191718</v>
      </c>
      <c r="AJ104" s="465">
        <v>618</v>
      </c>
      <c r="AK104" s="465">
        <v>0</v>
      </c>
      <c r="AL104" s="465">
        <v>0</v>
      </c>
      <c r="AM104" s="431">
        <v>0</v>
      </c>
    </row>
    <row r="105" spans="1:39" s="155" customFormat="1" ht="12" x14ac:dyDescent="0.2">
      <c r="A105" s="168">
        <v>51</v>
      </c>
      <c r="B105" s="405">
        <v>165130</v>
      </c>
      <c r="C105" s="411" t="s">
        <v>3090</v>
      </c>
      <c r="D105" s="432">
        <f t="shared" si="13"/>
        <v>4368015</v>
      </c>
      <c r="E105" s="465">
        <v>578913</v>
      </c>
      <c r="F105" s="465">
        <v>97457</v>
      </c>
      <c r="G105" s="465">
        <v>194710</v>
      </c>
      <c r="H105" s="465">
        <v>0</v>
      </c>
      <c r="I105" s="465">
        <v>2020127</v>
      </c>
      <c r="J105" s="465">
        <v>49000</v>
      </c>
      <c r="K105" s="465">
        <v>1348000</v>
      </c>
      <c r="L105" s="465">
        <v>0</v>
      </c>
      <c r="M105" s="465">
        <v>100747</v>
      </c>
      <c r="N105" s="465">
        <v>118967</v>
      </c>
      <c r="O105" s="431">
        <v>152261</v>
      </c>
      <c r="P105" s="432">
        <f t="shared" si="14"/>
        <v>4734707</v>
      </c>
      <c r="Q105" s="465">
        <v>2241171</v>
      </c>
      <c r="R105" s="465">
        <v>1004404</v>
      </c>
      <c r="S105" s="465">
        <v>0</v>
      </c>
      <c r="T105" s="465">
        <v>0</v>
      </c>
      <c r="U105" s="465">
        <v>0</v>
      </c>
      <c r="V105" s="465">
        <v>0</v>
      </c>
      <c r="W105" s="465">
        <v>142697</v>
      </c>
      <c r="X105" s="465">
        <v>188320</v>
      </c>
      <c r="Y105" s="465">
        <v>4980</v>
      </c>
      <c r="Z105" s="465">
        <v>1161993</v>
      </c>
      <c r="AA105" s="465">
        <v>0</v>
      </c>
      <c r="AB105" s="465">
        <v>-8858</v>
      </c>
      <c r="AC105" s="465">
        <v>1082026</v>
      </c>
      <c r="AD105" s="465">
        <v>8566</v>
      </c>
      <c r="AE105" s="465">
        <v>2056978</v>
      </c>
      <c r="AF105" s="465">
        <v>47351</v>
      </c>
      <c r="AG105" s="465">
        <v>78713</v>
      </c>
      <c r="AH105" s="465">
        <v>468402</v>
      </c>
      <c r="AI105" s="465">
        <v>156464</v>
      </c>
      <c r="AJ105" s="465">
        <v>480</v>
      </c>
      <c r="AK105" s="465">
        <v>0</v>
      </c>
      <c r="AL105" s="465">
        <v>805993</v>
      </c>
      <c r="AM105" s="431">
        <v>29734</v>
      </c>
    </row>
    <row r="106" spans="1:39" s="155" customFormat="1" ht="12" x14ac:dyDescent="0.2">
      <c r="A106" s="168">
        <v>52</v>
      </c>
      <c r="B106" s="405">
        <v>165185</v>
      </c>
      <c r="C106" s="411" t="s">
        <v>774</v>
      </c>
      <c r="D106" s="432">
        <f t="shared" si="13"/>
        <v>6018336</v>
      </c>
      <c r="E106" s="465">
        <v>1040870</v>
      </c>
      <c r="F106" s="465">
        <v>105824</v>
      </c>
      <c r="G106" s="465">
        <v>258417</v>
      </c>
      <c r="H106" s="465">
        <v>0</v>
      </c>
      <c r="I106" s="465">
        <v>1990690</v>
      </c>
      <c r="J106" s="465">
        <v>118000</v>
      </c>
      <c r="K106" s="465">
        <v>1127000</v>
      </c>
      <c r="L106" s="465">
        <v>0</v>
      </c>
      <c r="M106" s="465">
        <v>1224886</v>
      </c>
      <c r="N106" s="465">
        <v>496890</v>
      </c>
      <c r="O106" s="431">
        <v>20000</v>
      </c>
      <c r="P106" s="432">
        <f t="shared" si="14"/>
        <v>5977629</v>
      </c>
      <c r="Q106" s="465">
        <v>2081126</v>
      </c>
      <c r="R106" s="465">
        <v>1661650</v>
      </c>
      <c r="S106" s="465">
        <v>33000</v>
      </c>
      <c r="T106" s="465">
        <v>0</v>
      </c>
      <c r="U106" s="465">
        <v>0</v>
      </c>
      <c r="V106" s="465">
        <v>0</v>
      </c>
      <c r="W106" s="465">
        <v>552232</v>
      </c>
      <c r="X106" s="465">
        <v>282000</v>
      </c>
      <c r="Y106" s="465">
        <v>20000</v>
      </c>
      <c r="Z106" s="465">
        <v>1288524</v>
      </c>
      <c r="AA106" s="465">
        <v>60000</v>
      </c>
      <c r="AB106" s="465">
        <v>-903</v>
      </c>
      <c r="AC106" s="465">
        <v>735248</v>
      </c>
      <c r="AD106" s="465">
        <v>19072</v>
      </c>
      <c r="AE106" s="465">
        <v>2004797</v>
      </c>
      <c r="AF106" s="465">
        <v>0</v>
      </c>
      <c r="AG106" s="465">
        <v>346538</v>
      </c>
      <c r="AH106" s="465">
        <v>337992</v>
      </c>
      <c r="AI106" s="465">
        <v>2027658</v>
      </c>
      <c r="AJ106" s="465">
        <v>10000</v>
      </c>
      <c r="AK106" s="465">
        <v>0</v>
      </c>
      <c r="AL106" s="465">
        <v>436324</v>
      </c>
      <c r="AM106" s="431">
        <v>60000</v>
      </c>
    </row>
    <row r="107" spans="1:39" s="155" customFormat="1" ht="12" x14ac:dyDescent="0.2">
      <c r="A107" s="168">
        <v>53</v>
      </c>
      <c r="B107" s="405">
        <v>165274</v>
      </c>
      <c r="C107" s="411" t="s">
        <v>3091</v>
      </c>
      <c r="D107" s="432">
        <f t="shared" si="13"/>
        <v>5111175</v>
      </c>
      <c r="E107" s="465">
        <v>1149015</v>
      </c>
      <c r="F107" s="465">
        <v>301063</v>
      </c>
      <c r="G107" s="465">
        <v>94075</v>
      </c>
      <c r="H107" s="465">
        <v>0</v>
      </c>
      <c r="I107" s="465">
        <v>1976455</v>
      </c>
      <c r="J107" s="465">
        <v>55000</v>
      </c>
      <c r="K107" s="465">
        <v>1539440</v>
      </c>
      <c r="L107" s="465">
        <v>0</v>
      </c>
      <c r="M107" s="465">
        <v>304441</v>
      </c>
      <c r="N107" s="465">
        <v>86824</v>
      </c>
      <c r="O107" s="431">
        <v>0</v>
      </c>
      <c r="P107" s="432">
        <f t="shared" si="14"/>
        <v>5124413</v>
      </c>
      <c r="Q107" s="465">
        <v>2264203</v>
      </c>
      <c r="R107" s="465">
        <v>1884050</v>
      </c>
      <c r="S107" s="465">
        <v>59575</v>
      </c>
      <c r="T107" s="465">
        <v>0</v>
      </c>
      <c r="U107" s="465">
        <v>0</v>
      </c>
      <c r="V107" s="465">
        <v>49999</v>
      </c>
      <c r="W107" s="465">
        <v>179819</v>
      </c>
      <c r="X107" s="465">
        <v>255555</v>
      </c>
      <c r="Y107" s="465">
        <v>1020</v>
      </c>
      <c r="Z107" s="465">
        <v>326509</v>
      </c>
      <c r="AA107" s="465">
        <v>103683</v>
      </c>
      <c r="AB107" s="465">
        <v>0</v>
      </c>
      <c r="AC107" s="465">
        <v>1474179</v>
      </c>
      <c r="AD107" s="465">
        <v>70076</v>
      </c>
      <c r="AE107" s="465">
        <v>1687942</v>
      </c>
      <c r="AF107" s="465">
        <v>32166</v>
      </c>
      <c r="AG107" s="465">
        <v>144526</v>
      </c>
      <c r="AH107" s="465">
        <v>484693</v>
      </c>
      <c r="AI107" s="465">
        <v>401167</v>
      </c>
      <c r="AJ107" s="465">
        <v>18471</v>
      </c>
      <c r="AK107" s="465">
        <v>0</v>
      </c>
      <c r="AL107" s="465">
        <v>811193</v>
      </c>
      <c r="AM107" s="431">
        <v>0</v>
      </c>
    </row>
    <row r="108" spans="1:39" s="155" customFormat="1" ht="12" x14ac:dyDescent="0.2">
      <c r="A108" s="168">
        <v>54</v>
      </c>
      <c r="B108" s="405">
        <v>167311</v>
      </c>
      <c r="C108" s="411" t="s">
        <v>3092</v>
      </c>
      <c r="D108" s="432">
        <f t="shared" si="13"/>
        <v>7225989</v>
      </c>
      <c r="E108" s="465">
        <v>655545</v>
      </c>
      <c r="F108" s="465">
        <v>123959</v>
      </c>
      <c r="G108" s="465">
        <v>160801</v>
      </c>
      <c r="H108" s="465">
        <v>0</v>
      </c>
      <c r="I108" s="465">
        <v>887263</v>
      </c>
      <c r="J108" s="465">
        <v>56000</v>
      </c>
      <c r="K108" s="465">
        <v>1070000</v>
      </c>
      <c r="L108" s="465">
        <v>0</v>
      </c>
      <c r="M108" s="465">
        <v>2631083</v>
      </c>
      <c r="N108" s="465">
        <v>1926098</v>
      </c>
      <c r="O108" s="431">
        <v>0</v>
      </c>
      <c r="P108" s="432">
        <f t="shared" si="14"/>
        <v>5309549</v>
      </c>
      <c r="Q108" s="465">
        <v>1089055</v>
      </c>
      <c r="R108" s="465">
        <v>664294</v>
      </c>
      <c r="S108" s="465">
        <v>0</v>
      </c>
      <c r="T108" s="465">
        <v>0</v>
      </c>
      <c r="U108" s="465">
        <v>0</v>
      </c>
      <c r="V108" s="465">
        <v>60000</v>
      </c>
      <c r="W108" s="465">
        <v>185537</v>
      </c>
      <c r="X108" s="465">
        <v>137786</v>
      </c>
      <c r="Y108" s="465">
        <v>5000</v>
      </c>
      <c r="Z108" s="465">
        <v>3167877</v>
      </c>
      <c r="AA108" s="465">
        <v>0</v>
      </c>
      <c r="AB108" s="465">
        <v>0</v>
      </c>
      <c r="AC108" s="465">
        <v>590398</v>
      </c>
      <c r="AD108" s="465">
        <v>9250</v>
      </c>
      <c r="AE108" s="465">
        <v>1163160</v>
      </c>
      <c r="AF108" s="465">
        <v>0</v>
      </c>
      <c r="AG108" s="465">
        <v>347001</v>
      </c>
      <c r="AH108" s="465">
        <v>297915</v>
      </c>
      <c r="AI108" s="465">
        <v>346028</v>
      </c>
      <c r="AJ108" s="465">
        <v>23808</v>
      </c>
      <c r="AK108" s="465">
        <v>0</v>
      </c>
      <c r="AL108" s="465">
        <v>2531989</v>
      </c>
      <c r="AM108" s="431">
        <v>0</v>
      </c>
    </row>
    <row r="109" spans="1:39" s="155" customFormat="1" ht="12" x14ac:dyDescent="0.2">
      <c r="A109" s="168">
        <v>55</v>
      </c>
      <c r="B109" s="405">
        <v>165416</v>
      </c>
      <c r="C109" s="411" t="s">
        <v>3093</v>
      </c>
      <c r="D109" s="432">
        <f t="shared" si="13"/>
        <v>4461167</v>
      </c>
      <c r="E109" s="465">
        <v>719160</v>
      </c>
      <c r="F109" s="465">
        <v>154188</v>
      </c>
      <c r="G109" s="465">
        <v>181584</v>
      </c>
      <c r="H109" s="465">
        <v>0</v>
      </c>
      <c r="I109" s="465">
        <v>1811419</v>
      </c>
      <c r="J109" s="465">
        <v>117000</v>
      </c>
      <c r="K109" s="465">
        <v>1263000</v>
      </c>
      <c r="L109" s="465">
        <v>0</v>
      </c>
      <c r="M109" s="465">
        <v>467890</v>
      </c>
      <c r="N109" s="465">
        <v>82698</v>
      </c>
      <c r="O109" s="431">
        <v>0</v>
      </c>
      <c r="P109" s="432">
        <f t="shared" si="14"/>
        <v>4352042</v>
      </c>
      <c r="Q109" s="465">
        <v>1949336</v>
      </c>
      <c r="R109" s="465">
        <v>1368652</v>
      </c>
      <c r="S109" s="465">
        <v>0</v>
      </c>
      <c r="T109" s="465">
        <v>0</v>
      </c>
      <c r="U109" s="465">
        <v>0</v>
      </c>
      <c r="V109" s="465">
        <v>168491</v>
      </c>
      <c r="W109" s="465">
        <v>107967</v>
      </c>
      <c r="X109" s="465">
        <v>294216</v>
      </c>
      <c r="Y109" s="465">
        <v>2824</v>
      </c>
      <c r="Z109" s="465">
        <v>460556</v>
      </c>
      <c r="AA109" s="465">
        <v>0</v>
      </c>
      <c r="AB109" s="465">
        <v>0</v>
      </c>
      <c r="AC109" s="465">
        <v>555714</v>
      </c>
      <c r="AD109" s="465">
        <v>34305</v>
      </c>
      <c r="AE109" s="465">
        <v>1701685</v>
      </c>
      <c r="AF109" s="465">
        <v>41878</v>
      </c>
      <c r="AG109" s="465">
        <v>209507</v>
      </c>
      <c r="AH109" s="465">
        <v>294216</v>
      </c>
      <c r="AI109" s="465">
        <v>530257</v>
      </c>
      <c r="AJ109" s="465">
        <v>558</v>
      </c>
      <c r="AK109" s="465">
        <v>0</v>
      </c>
      <c r="AL109" s="465">
        <v>983922</v>
      </c>
      <c r="AM109" s="431">
        <v>0</v>
      </c>
    </row>
    <row r="110" spans="1:39" s="155" customFormat="1" ht="12" x14ac:dyDescent="0.2">
      <c r="A110" s="168">
        <v>56</v>
      </c>
      <c r="B110" s="405">
        <v>167259</v>
      </c>
      <c r="C110" s="411" t="s">
        <v>3094</v>
      </c>
      <c r="D110" s="432">
        <f t="shared" si="13"/>
        <v>2791231</v>
      </c>
      <c r="E110" s="465">
        <v>647503</v>
      </c>
      <c r="F110" s="465">
        <v>77422</v>
      </c>
      <c r="G110" s="465">
        <v>189243</v>
      </c>
      <c r="H110" s="465">
        <v>0</v>
      </c>
      <c r="I110" s="465">
        <v>853047</v>
      </c>
      <c r="J110" s="465">
        <v>61000</v>
      </c>
      <c r="K110" s="465">
        <v>1168000</v>
      </c>
      <c r="L110" s="465">
        <v>0</v>
      </c>
      <c r="M110" s="465">
        <v>44836</v>
      </c>
      <c r="N110" s="465">
        <v>0</v>
      </c>
      <c r="O110" s="431">
        <v>16845</v>
      </c>
      <c r="P110" s="432">
        <f t="shared" si="14"/>
        <v>2695805</v>
      </c>
      <c r="Q110" s="465">
        <v>1228104</v>
      </c>
      <c r="R110" s="465">
        <v>599711</v>
      </c>
      <c r="S110" s="465">
        <v>0</v>
      </c>
      <c r="T110" s="465">
        <v>0</v>
      </c>
      <c r="U110" s="465">
        <v>0</v>
      </c>
      <c r="V110" s="465">
        <v>231312</v>
      </c>
      <c r="W110" s="465">
        <v>0</v>
      </c>
      <c r="X110" s="465">
        <v>106245</v>
      </c>
      <c r="Y110" s="465">
        <v>0</v>
      </c>
      <c r="Z110" s="465">
        <v>530433</v>
      </c>
      <c r="AA110" s="465">
        <v>0</v>
      </c>
      <c r="AB110" s="465">
        <v>0</v>
      </c>
      <c r="AC110" s="465">
        <v>543231</v>
      </c>
      <c r="AD110" s="465">
        <v>18191</v>
      </c>
      <c r="AE110" s="465">
        <v>720474</v>
      </c>
      <c r="AF110" s="465">
        <v>30026</v>
      </c>
      <c r="AG110" s="465">
        <v>478731</v>
      </c>
      <c r="AH110" s="465">
        <v>202812</v>
      </c>
      <c r="AI110" s="465">
        <v>496176</v>
      </c>
      <c r="AJ110" s="465">
        <v>12253</v>
      </c>
      <c r="AK110" s="465">
        <v>0</v>
      </c>
      <c r="AL110" s="465">
        <v>193911</v>
      </c>
      <c r="AM110" s="431">
        <v>0</v>
      </c>
    </row>
    <row r="111" spans="1:39" s="155" customFormat="1" ht="12" x14ac:dyDescent="0.2">
      <c r="A111" s="168">
        <v>57</v>
      </c>
      <c r="B111" s="405">
        <v>165336</v>
      </c>
      <c r="C111" s="411" t="s">
        <v>3095</v>
      </c>
      <c r="D111" s="432">
        <f t="shared" si="13"/>
        <v>7683015</v>
      </c>
      <c r="E111" s="465">
        <v>546448</v>
      </c>
      <c r="F111" s="465">
        <v>73553</v>
      </c>
      <c r="G111" s="465">
        <v>185960</v>
      </c>
      <c r="H111" s="465">
        <v>0</v>
      </c>
      <c r="I111" s="465">
        <v>1279312</v>
      </c>
      <c r="J111" s="465">
        <v>47000</v>
      </c>
      <c r="K111" s="465">
        <v>1162000</v>
      </c>
      <c r="L111" s="465">
        <v>0</v>
      </c>
      <c r="M111" s="465">
        <v>414624</v>
      </c>
      <c r="N111" s="465">
        <v>4222341</v>
      </c>
      <c r="O111" s="431">
        <v>11290</v>
      </c>
      <c r="P111" s="432">
        <f t="shared" si="14"/>
        <v>2724175</v>
      </c>
      <c r="Q111" s="465">
        <v>1391428</v>
      </c>
      <c r="R111" s="465">
        <v>772746</v>
      </c>
      <c r="S111" s="465">
        <v>0</v>
      </c>
      <c r="T111" s="465">
        <v>0</v>
      </c>
      <c r="U111" s="465">
        <v>0</v>
      </c>
      <c r="V111" s="465">
        <v>0</v>
      </c>
      <c r="W111" s="465">
        <v>0</v>
      </c>
      <c r="X111" s="465">
        <v>234185</v>
      </c>
      <c r="Y111" s="465">
        <v>17725</v>
      </c>
      <c r="Z111" s="465">
        <v>310141</v>
      </c>
      <c r="AA111" s="465">
        <v>0</v>
      </c>
      <c r="AB111" s="465">
        <v>-2050</v>
      </c>
      <c r="AC111" s="465">
        <v>677616</v>
      </c>
      <c r="AD111" s="465">
        <v>46875</v>
      </c>
      <c r="AE111" s="465">
        <v>1195037</v>
      </c>
      <c r="AF111" s="465">
        <v>31342</v>
      </c>
      <c r="AG111" s="465">
        <v>48124</v>
      </c>
      <c r="AH111" s="465">
        <v>260640</v>
      </c>
      <c r="AI111" s="465">
        <v>244920</v>
      </c>
      <c r="AJ111" s="465">
        <v>917</v>
      </c>
      <c r="AK111" s="465">
        <v>0</v>
      </c>
      <c r="AL111" s="465">
        <v>218704</v>
      </c>
      <c r="AM111" s="431">
        <v>0</v>
      </c>
    </row>
    <row r="112" spans="1:39" s="155" customFormat="1" ht="12" x14ac:dyDescent="0.2">
      <c r="A112" s="168">
        <v>58</v>
      </c>
      <c r="B112" s="405">
        <v>165470</v>
      </c>
      <c r="C112" s="411" t="s">
        <v>2718</v>
      </c>
      <c r="D112" s="432">
        <f t="shared" si="13"/>
        <v>8443633</v>
      </c>
      <c r="E112" s="465">
        <v>855299</v>
      </c>
      <c r="F112" s="465">
        <v>257556</v>
      </c>
      <c r="G112" s="465">
        <v>153908</v>
      </c>
      <c r="H112" s="465">
        <v>0</v>
      </c>
      <c r="I112" s="465">
        <v>4531431</v>
      </c>
      <c r="J112" s="465">
        <v>138000</v>
      </c>
      <c r="K112" s="465">
        <v>2719650</v>
      </c>
      <c r="L112" s="465">
        <v>0</v>
      </c>
      <c r="M112" s="465">
        <v>128447</v>
      </c>
      <c r="N112" s="465">
        <v>0</v>
      </c>
      <c r="O112" s="431">
        <v>70806</v>
      </c>
      <c r="P112" s="432">
        <f t="shared" si="14"/>
        <v>8457620</v>
      </c>
      <c r="Q112" s="465">
        <v>4530453</v>
      </c>
      <c r="R112" s="465">
        <v>3019862</v>
      </c>
      <c r="S112" s="465">
        <v>0</v>
      </c>
      <c r="T112" s="465">
        <v>0</v>
      </c>
      <c r="U112" s="465">
        <v>0</v>
      </c>
      <c r="V112" s="465">
        <v>0</v>
      </c>
      <c r="W112" s="465">
        <v>0</v>
      </c>
      <c r="X112" s="465">
        <v>615712</v>
      </c>
      <c r="Y112" s="465">
        <v>8652</v>
      </c>
      <c r="Z112" s="465">
        <v>284297</v>
      </c>
      <c r="AA112" s="465">
        <v>0</v>
      </c>
      <c r="AB112" s="465">
        <v>-1356</v>
      </c>
      <c r="AC112" s="465">
        <v>1190122</v>
      </c>
      <c r="AD112" s="465">
        <v>146993</v>
      </c>
      <c r="AE112" s="465">
        <v>4064037</v>
      </c>
      <c r="AF112" s="465">
        <v>38257</v>
      </c>
      <c r="AG112" s="465">
        <v>259453</v>
      </c>
      <c r="AH112" s="465">
        <v>723233</v>
      </c>
      <c r="AI112" s="465">
        <v>353266</v>
      </c>
      <c r="AJ112" s="465">
        <v>129616</v>
      </c>
      <c r="AK112" s="465">
        <v>0</v>
      </c>
      <c r="AL112" s="465">
        <v>1552643</v>
      </c>
      <c r="AM112" s="431">
        <v>0</v>
      </c>
    </row>
    <row r="113" spans="1:39" s="155" customFormat="1" ht="12" x14ac:dyDescent="0.2">
      <c r="A113" s="168">
        <v>59</v>
      </c>
      <c r="B113" s="405">
        <v>165611</v>
      </c>
      <c r="C113" s="411" t="s">
        <v>3096</v>
      </c>
      <c r="D113" s="432">
        <f t="shared" si="13"/>
        <v>5738440</v>
      </c>
      <c r="E113" s="465">
        <v>464481</v>
      </c>
      <c r="F113" s="465">
        <v>95262</v>
      </c>
      <c r="G113" s="465">
        <v>208932</v>
      </c>
      <c r="H113" s="465">
        <v>0</v>
      </c>
      <c r="I113" s="465">
        <v>1721194</v>
      </c>
      <c r="J113" s="465">
        <v>120000</v>
      </c>
      <c r="K113" s="465">
        <v>1395000</v>
      </c>
      <c r="L113" s="465">
        <v>0</v>
      </c>
      <c r="M113" s="465">
        <v>1004108</v>
      </c>
      <c r="N113" s="465">
        <v>989172</v>
      </c>
      <c r="O113" s="431">
        <v>44485</v>
      </c>
      <c r="P113" s="432">
        <f t="shared" si="14"/>
        <v>5634641</v>
      </c>
      <c r="Q113" s="465">
        <v>1801460</v>
      </c>
      <c r="R113" s="465">
        <v>1026354</v>
      </c>
      <c r="S113" s="465">
        <v>5021</v>
      </c>
      <c r="T113" s="465">
        <v>0</v>
      </c>
      <c r="U113" s="465">
        <v>0</v>
      </c>
      <c r="V113" s="465">
        <v>0</v>
      </c>
      <c r="W113" s="465">
        <v>434774</v>
      </c>
      <c r="X113" s="465">
        <v>452297</v>
      </c>
      <c r="Y113" s="465">
        <v>2145</v>
      </c>
      <c r="Z113" s="465">
        <v>1079742</v>
      </c>
      <c r="AA113" s="465">
        <v>852266</v>
      </c>
      <c r="AB113" s="465">
        <v>-19418</v>
      </c>
      <c r="AC113" s="465">
        <v>1284602</v>
      </c>
      <c r="AD113" s="465">
        <v>604790</v>
      </c>
      <c r="AE113" s="465">
        <v>1444653</v>
      </c>
      <c r="AF113" s="465">
        <v>19475</v>
      </c>
      <c r="AG113" s="465">
        <v>62567</v>
      </c>
      <c r="AH113" s="465">
        <v>514723</v>
      </c>
      <c r="AI113" s="465">
        <v>738920</v>
      </c>
      <c r="AJ113" s="465">
        <v>545</v>
      </c>
      <c r="AK113" s="465">
        <v>0</v>
      </c>
      <c r="AL113" s="465">
        <v>964366</v>
      </c>
      <c r="AM113" s="431">
        <v>0</v>
      </c>
    </row>
    <row r="114" spans="1:39" s="155" customFormat="1" ht="12" x14ac:dyDescent="0.2">
      <c r="A114" s="168">
        <v>60</v>
      </c>
      <c r="B114" s="405">
        <v>167320</v>
      </c>
      <c r="C114" s="411" t="s">
        <v>3097</v>
      </c>
      <c r="D114" s="432">
        <f t="shared" si="13"/>
        <v>5450869</v>
      </c>
      <c r="E114" s="465">
        <v>640005</v>
      </c>
      <c r="F114" s="465">
        <v>115518</v>
      </c>
      <c r="G114" s="465">
        <v>222294</v>
      </c>
      <c r="H114" s="465">
        <v>0</v>
      </c>
      <c r="I114" s="465">
        <v>1676163</v>
      </c>
      <c r="J114" s="465">
        <v>65000</v>
      </c>
      <c r="K114" s="465">
        <v>1392000</v>
      </c>
      <c r="L114" s="465">
        <v>0</v>
      </c>
      <c r="M114" s="465">
        <v>1027324</v>
      </c>
      <c r="N114" s="465">
        <v>650377</v>
      </c>
      <c r="O114" s="431">
        <v>0</v>
      </c>
      <c r="P114" s="432">
        <f t="shared" si="14"/>
        <v>5191080</v>
      </c>
      <c r="Q114" s="465">
        <v>1954919</v>
      </c>
      <c r="R114" s="465">
        <v>618092</v>
      </c>
      <c r="S114" s="465">
        <v>0</v>
      </c>
      <c r="T114" s="465">
        <v>0</v>
      </c>
      <c r="U114" s="465">
        <v>0</v>
      </c>
      <c r="V114" s="465">
        <v>0</v>
      </c>
      <c r="W114" s="465">
        <v>494095</v>
      </c>
      <c r="X114" s="465">
        <v>260994</v>
      </c>
      <c r="Y114" s="465">
        <v>11000</v>
      </c>
      <c r="Z114" s="465">
        <v>1875290</v>
      </c>
      <c r="AA114" s="465">
        <v>0</v>
      </c>
      <c r="AB114" s="465">
        <v>-23310</v>
      </c>
      <c r="AC114" s="465">
        <v>590669</v>
      </c>
      <c r="AD114" s="465">
        <v>18475</v>
      </c>
      <c r="AE114" s="465">
        <v>1458593</v>
      </c>
      <c r="AF114" s="465">
        <v>47890</v>
      </c>
      <c r="AG114" s="465">
        <v>259202</v>
      </c>
      <c r="AH114" s="465">
        <v>404350</v>
      </c>
      <c r="AI114" s="465">
        <v>90159</v>
      </c>
      <c r="AJ114" s="465">
        <v>788476</v>
      </c>
      <c r="AK114" s="465">
        <v>0</v>
      </c>
      <c r="AL114" s="465">
        <v>1533266</v>
      </c>
      <c r="AM114" s="431">
        <v>0</v>
      </c>
    </row>
    <row r="115" spans="1:39" s="155" customFormat="1" ht="12" x14ac:dyDescent="0.2">
      <c r="A115" s="168">
        <v>61</v>
      </c>
      <c r="B115" s="405">
        <v>167240</v>
      </c>
      <c r="C115" s="411" t="s">
        <v>3098</v>
      </c>
      <c r="D115" s="432">
        <f t="shared" si="13"/>
        <v>4431812</v>
      </c>
      <c r="E115" s="465">
        <v>491221</v>
      </c>
      <c r="F115" s="465">
        <v>79825</v>
      </c>
      <c r="G115" s="465">
        <v>220963</v>
      </c>
      <c r="H115" s="465">
        <v>0</v>
      </c>
      <c r="I115" s="465">
        <v>1382121</v>
      </c>
      <c r="J115" s="465">
        <v>50000</v>
      </c>
      <c r="K115" s="465">
        <v>1471000</v>
      </c>
      <c r="L115" s="465">
        <v>0</v>
      </c>
      <c r="M115" s="465">
        <v>589226</v>
      </c>
      <c r="N115" s="465">
        <v>444254</v>
      </c>
      <c r="O115" s="431">
        <v>3990</v>
      </c>
      <c r="P115" s="432">
        <f t="shared" si="14"/>
        <v>4204200</v>
      </c>
      <c r="Q115" s="465">
        <v>1587806</v>
      </c>
      <c r="R115" s="465">
        <v>1063205</v>
      </c>
      <c r="S115" s="465">
        <v>0</v>
      </c>
      <c r="T115" s="465">
        <v>0</v>
      </c>
      <c r="U115" s="465">
        <v>0</v>
      </c>
      <c r="V115" s="465">
        <v>0</v>
      </c>
      <c r="W115" s="465">
        <v>573677</v>
      </c>
      <c r="X115" s="465">
        <v>270865</v>
      </c>
      <c r="Y115" s="465">
        <v>10960</v>
      </c>
      <c r="Z115" s="465">
        <v>697687</v>
      </c>
      <c r="AA115" s="465">
        <v>0</v>
      </c>
      <c r="AB115" s="465">
        <v>0</v>
      </c>
      <c r="AC115" s="465">
        <v>855027</v>
      </c>
      <c r="AD115" s="465">
        <v>9348</v>
      </c>
      <c r="AE115" s="465">
        <v>1419963</v>
      </c>
      <c r="AF115" s="465">
        <v>29705</v>
      </c>
      <c r="AG115" s="465">
        <v>73118</v>
      </c>
      <c r="AH115" s="465">
        <v>388585</v>
      </c>
      <c r="AI115" s="465">
        <v>463626</v>
      </c>
      <c r="AJ115" s="465">
        <v>0</v>
      </c>
      <c r="AK115" s="465">
        <v>0</v>
      </c>
      <c r="AL115" s="465">
        <v>964828</v>
      </c>
      <c r="AM115" s="431">
        <v>0</v>
      </c>
    </row>
    <row r="116" spans="1:39" s="155" customFormat="1" ht="12" x14ac:dyDescent="0.2">
      <c r="A116" s="168">
        <v>62</v>
      </c>
      <c r="B116" s="405">
        <v>165719</v>
      </c>
      <c r="C116" s="411" t="s">
        <v>3099</v>
      </c>
      <c r="D116" s="432">
        <f t="shared" si="13"/>
        <v>4685649</v>
      </c>
      <c r="E116" s="465">
        <v>796883</v>
      </c>
      <c r="F116" s="465">
        <v>144367</v>
      </c>
      <c r="G116" s="465">
        <v>157519</v>
      </c>
      <c r="H116" s="465">
        <v>0</v>
      </c>
      <c r="I116" s="465">
        <v>2323000</v>
      </c>
      <c r="J116" s="465">
        <v>137000</v>
      </c>
      <c r="K116" s="465">
        <v>1181000</v>
      </c>
      <c r="L116" s="465">
        <v>0</v>
      </c>
      <c r="M116" s="465">
        <v>86905</v>
      </c>
      <c r="N116" s="465">
        <v>145096</v>
      </c>
      <c r="O116" s="431">
        <v>15765</v>
      </c>
      <c r="P116" s="432">
        <f t="shared" si="14"/>
        <v>4582256</v>
      </c>
      <c r="Q116" s="465">
        <v>2433022</v>
      </c>
      <c r="R116" s="465">
        <v>1023526</v>
      </c>
      <c r="S116" s="465">
        <v>0</v>
      </c>
      <c r="T116" s="465">
        <v>0</v>
      </c>
      <c r="U116" s="465">
        <v>0</v>
      </c>
      <c r="V116" s="465">
        <v>0</v>
      </c>
      <c r="W116" s="465">
        <v>175641</v>
      </c>
      <c r="X116" s="465">
        <v>283718</v>
      </c>
      <c r="Y116" s="465">
        <v>76746</v>
      </c>
      <c r="Z116" s="465">
        <v>618555</v>
      </c>
      <c r="AA116" s="465">
        <v>0</v>
      </c>
      <c r="AB116" s="465">
        <v>-28952</v>
      </c>
      <c r="AC116" s="465">
        <v>603526</v>
      </c>
      <c r="AD116" s="465">
        <v>118373</v>
      </c>
      <c r="AE116" s="465">
        <v>2070316</v>
      </c>
      <c r="AF116" s="465">
        <v>0</v>
      </c>
      <c r="AG116" s="465">
        <v>108180</v>
      </c>
      <c r="AH116" s="465">
        <v>596912</v>
      </c>
      <c r="AI116" s="465">
        <v>496786</v>
      </c>
      <c r="AJ116" s="465">
        <v>50784</v>
      </c>
      <c r="AK116" s="465">
        <v>0</v>
      </c>
      <c r="AL116" s="465">
        <v>383413</v>
      </c>
      <c r="AM116" s="431">
        <v>153966</v>
      </c>
    </row>
    <row r="117" spans="1:39" s="155" customFormat="1" ht="12" x14ac:dyDescent="0.2">
      <c r="A117" s="168">
        <v>63</v>
      </c>
      <c r="B117" s="405">
        <v>165817</v>
      </c>
      <c r="C117" s="411" t="s">
        <v>3100</v>
      </c>
      <c r="D117" s="432">
        <f t="shared" si="13"/>
        <v>3773831</v>
      </c>
      <c r="E117" s="465">
        <v>954071</v>
      </c>
      <c r="F117" s="465">
        <v>312361</v>
      </c>
      <c r="G117" s="465">
        <v>154237</v>
      </c>
      <c r="H117" s="465">
        <v>0</v>
      </c>
      <c r="I117" s="465">
        <v>1670951</v>
      </c>
      <c r="J117" s="465">
        <v>70000</v>
      </c>
      <c r="K117" s="465">
        <v>1051000</v>
      </c>
      <c r="L117" s="465">
        <v>0</v>
      </c>
      <c r="M117" s="465">
        <v>27809</v>
      </c>
      <c r="N117" s="465">
        <v>0</v>
      </c>
      <c r="O117" s="431">
        <v>0</v>
      </c>
      <c r="P117" s="432">
        <f t="shared" si="14"/>
        <v>3803289</v>
      </c>
      <c r="Q117" s="465">
        <v>1652830</v>
      </c>
      <c r="R117" s="465">
        <v>792279</v>
      </c>
      <c r="S117" s="465">
        <v>0</v>
      </c>
      <c r="T117" s="465">
        <v>0</v>
      </c>
      <c r="U117" s="465">
        <v>0</v>
      </c>
      <c r="V117" s="465">
        <v>0</v>
      </c>
      <c r="W117" s="465">
        <v>0</v>
      </c>
      <c r="X117" s="465">
        <v>364518</v>
      </c>
      <c r="Y117" s="465">
        <v>4000</v>
      </c>
      <c r="Z117" s="465">
        <v>989662</v>
      </c>
      <c r="AA117" s="465">
        <v>0</v>
      </c>
      <c r="AB117" s="465">
        <v>0</v>
      </c>
      <c r="AC117" s="465">
        <v>695654</v>
      </c>
      <c r="AD117" s="465">
        <v>23040</v>
      </c>
      <c r="AE117" s="465">
        <v>1351940</v>
      </c>
      <c r="AF117" s="465">
        <v>0</v>
      </c>
      <c r="AG117" s="465">
        <v>144696</v>
      </c>
      <c r="AH117" s="465">
        <v>487373</v>
      </c>
      <c r="AI117" s="465">
        <v>506002</v>
      </c>
      <c r="AJ117" s="465">
        <v>0</v>
      </c>
      <c r="AK117" s="465">
        <v>0</v>
      </c>
      <c r="AL117" s="465">
        <v>594584</v>
      </c>
      <c r="AM117" s="431">
        <v>0</v>
      </c>
    </row>
    <row r="118" spans="1:39" s="155" customFormat="1" ht="12" x14ac:dyDescent="0.2">
      <c r="A118" s="168">
        <v>64</v>
      </c>
      <c r="B118" s="405">
        <v>165899</v>
      </c>
      <c r="C118" s="411" t="s">
        <v>3101</v>
      </c>
      <c r="D118" s="432">
        <f t="shared" si="13"/>
        <v>5093406</v>
      </c>
      <c r="E118" s="465">
        <v>579166</v>
      </c>
      <c r="F118" s="465">
        <v>132933</v>
      </c>
      <c r="G118" s="465">
        <v>184867</v>
      </c>
      <c r="H118" s="465">
        <v>0</v>
      </c>
      <c r="I118" s="465">
        <v>1884491</v>
      </c>
      <c r="J118" s="465">
        <v>67000</v>
      </c>
      <c r="K118" s="465">
        <v>1327000</v>
      </c>
      <c r="L118" s="465">
        <v>0</v>
      </c>
      <c r="M118" s="465">
        <v>990694</v>
      </c>
      <c r="N118" s="465">
        <v>245055</v>
      </c>
      <c r="O118" s="431">
        <v>0</v>
      </c>
      <c r="P118" s="432">
        <f t="shared" si="14"/>
        <v>4865595</v>
      </c>
      <c r="Q118" s="465">
        <v>1949540</v>
      </c>
      <c r="R118" s="465">
        <v>1218575</v>
      </c>
      <c r="S118" s="465">
        <v>0</v>
      </c>
      <c r="T118" s="465">
        <v>0</v>
      </c>
      <c r="U118" s="465">
        <v>0</v>
      </c>
      <c r="V118" s="465">
        <v>0</v>
      </c>
      <c r="W118" s="465">
        <v>203785</v>
      </c>
      <c r="X118" s="465">
        <v>249528</v>
      </c>
      <c r="Y118" s="465">
        <v>0</v>
      </c>
      <c r="Z118" s="465">
        <v>1244167</v>
      </c>
      <c r="AA118" s="465">
        <v>0</v>
      </c>
      <c r="AB118" s="465">
        <v>0</v>
      </c>
      <c r="AC118" s="465">
        <v>1308131</v>
      </c>
      <c r="AD118" s="465">
        <v>25801</v>
      </c>
      <c r="AE118" s="465">
        <v>1512034</v>
      </c>
      <c r="AF118" s="465">
        <v>0</v>
      </c>
      <c r="AG118" s="465">
        <v>108455</v>
      </c>
      <c r="AH118" s="465">
        <v>415197</v>
      </c>
      <c r="AI118" s="465">
        <v>96720</v>
      </c>
      <c r="AJ118" s="465">
        <v>0</v>
      </c>
      <c r="AK118" s="465">
        <v>0</v>
      </c>
      <c r="AL118" s="465">
        <v>1399257</v>
      </c>
      <c r="AM118" s="431">
        <v>0</v>
      </c>
    </row>
    <row r="119" spans="1:39" s="155" customFormat="1" ht="12" x14ac:dyDescent="0.2">
      <c r="A119" s="168">
        <v>65</v>
      </c>
      <c r="B119" s="405">
        <v>165979</v>
      </c>
      <c r="C119" s="411" t="s">
        <v>3102</v>
      </c>
      <c r="D119" s="432">
        <f t="shared" ref="D119:D135" si="15">E119+SUM(H119:O119)</f>
        <v>4426624</v>
      </c>
      <c r="E119" s="465">
        <v>1006563</v>
      </c>
      <c r="F119" s="465">
        <v>209212</v>
      </c>
      <c r="G119" s="465">
        <v>198414</v>
      </c>
      <c r="H119" s="465">
        <v>0</v>
      </c>
      <c r="I119" s="465">
        <v>2159917</v>
      </c>
      <c r="J119" s="465">
        <v>140000</v>
      </c>
      <c r="K119" s="465">
        <v>917000</v>
      </c>
      <c r="L119" s="465">
        <v>0</v>
      </c>
      <c r="M119" s="465">
        <v>144634</v>
      </c>
      <c r="N119" s="465">
        <v>0</v>
      </c>
      <c r="O119" s="431">
        <v>58510</v>
      </c>
      <c r="P119" s="432">
        <f t="shared" ref="P119:P135" si="16">IF(SUM(Q119:AB119)=SUM(AC119:AM119),SUM(Q119:AB119),"  EROARE ART/CAP")</f>
        <v>4141331</v>
      </c>
      <c r="Q119" s="465">
        <v>2396307</v>
      </c>
      <c r="R119" s="465">
        <v>1035449</v>
      </c>
      <c r="S119" s="465">
        <v>0</v>
      </c>
      <c r="T119" s="465">
        <v>0</v>
      </c>
      <c r="U119" s="465">
        <v>0</v>
      </c>
      <c r="V119" s="465">
        <v>0</v>
      </c>
      <c r="W119" s="465">
        <v>0</v>
      </c>
      <c r="X119" s="465">
        <v>199718</v>
      </c>
      <c r="Y119" s="465">
        <v>30581</v>
      </c>
      <c r="Z119" s="465">
        <v>481301</v>
      </c>
      <c r="AA119" s="465">
        <v>0</v>
      </c>
      <c r="AB119" s="465">
        <v>-2025</v>
      </c>
      <c r="AC119" s="465">
        <v>658957</v>
      </c>
      <c r="AD119" s="465">
        <v>6202</v>
      </c>
      <c r="AE119" s="465">
        <v>1956596</v>
      </c>
      <c r="AF119" s="465">
        <v>0</v>
      </c>
      <c r="AG119" s="465">
        <v>97446</v>
      </c>
      <c r="AH119" s="465">
        <v>559527</v>
      </c>
      <c r="AI119" s="465">
        <v>431162</v>
      </c>
      <c r="AJ119" s="465">
        <v>5102</v>
      </c>
      <c r="AK119" s="465">
        <v>0</v>
      </c>
      <c r="AL119" s="465">
        <v>426339</v>
      </c>
      <c r="AM119" s="431">
        <v>0</v>
      </c>
    </row>
    <row r="120" spans="1:39" s="155" customFormat="1" ht="12" x14ac:dyDescent="0.2">
      <c r="A120" s="168">
        <v>66</v>
      </c>
      <c r="B120" s="405">
        <v>166057</v>
      </c>
      <c r="C120" s="411" t="s">
        <v>1665</v>
      </c>
      <c r="D120" s="432">
        <f t="shared" si="15"/>
        <v>18036720</v>
      </c>
      <c r="E120" s="465">
        <v>717869</v>
      </c>
      <c r="F120" s="465">
        <v>266976</v>
      </c>
      <c r="G120" s="465">
        <v>184867</v>
      </c>
      <c r="H120" s="465">
        <v>0</v>
      </c>
      <c r="I120" s="465">
        <v>1908100</v>
      </c>
      <c r="J120" s="465">
        <v>56000</v>
      </c>
      <c r="K120" s="465">
        <v>1391000</v>
      </c>
      <c r="L120" s="465">
        <v>0</v>
      </c>
      <c r="M120" s="465">
        <v>8566442</v>
      </c>
      <c r="N120" s="465">
        <v>141199</v>
      </c>
      <c r="O120" s="431">
        <v>5256110</v>
      </c>
      <c r="P120" s="432">
        <f t="shared" si="16"/>
        <v>18036718</v>
      </c>
      <c r="Q120" s="465">
        <v>2100864</v>
      </c>
      <c r="R120" s="465">
        <v>1649257</v>
      </c>
      <c r="S120" s="465">
        <v>17999</v>
      </c>
      <c r="T120" s="465">
        <v>0</v>
      </c>
      <c r="U120" s="465">
        <v>0</v>
      </c>
      <c r="V120" s="465">
        <v>0</v>
      </c>
      <c r="W120" s="465">
        <v>100594</v>
      </c>
      <c r="X120" s="465">
        <v>246721</v>
      </c>
      <c r="Y120" s="465">
        <v>5232</v>
      </c>
      <c r="Z120" s="465">
        <v>13782142</v>
      </c>
      <c r="AA120" s="465">
        <v>133909</v>
      </c>
      <c r="AB120" s="465">
        <v>0</v>
      </c>
      <c r="AC120" s="465">
        <v>876323</v>
      </c>
      <c r="AD120" s="465">
        <v>27761</v>
      </c>
      <c r="AE120" s="465">
        <v>1922820</v>
      </c>
      <c r="AF120" s="465">
        <v>23828</v>
      </c>
      <c r="AG120" s="465">
        <v>182354</v>
      </c>
      <c r="AH120" s="465">
        <v>363553</v>
      </c>
      <c r="AI120" s="465">
        <v>2612050</v>
      </c>
      <c r="AJ120" s="465">
        <v>5439410</v>
      </c>
      <c r="AK120" s="465">
        <v>0</v>
      </c>
      <c r="AL120" s="465">
        <v>6588619</v>
      </c>
      <c r="AM120" s="431">
        <v>0</v>
      </c>
    </row>
    <row r="121" spans="1:39" s="155" customFormat="1" ht="12" x14ac:dyDescent="0.2">
      <c r="A121" s="168">
        <v>67</v>
      </c>
      <c r="B121" s="405">
        <v>166137</v>
      </c>
      <c r="C121" s="411" t="s">
        <v>3103</v>
      </c>
      <c r="D121" s="432">
        <f t="shared" si="15"/>
        <v>3389187</v>
      </c>
      <c r="E121" s="465">
        <v>640508</v>
      </c>
      <c r="F121" s="465">
        <v>120032</v>
      </c>
      <c r="G121" s="465">
        <v>190335</v>
      </c>
      <c r="H121" s="465">
        <v>0</v>
      </c>
      <c r="I121" s="465">
        <v>1383011</v>
      </c>
      <c r="J121" s="465">
        <v>76000</v>
      </c>
      <c r="K121" s="465">
        <v>1199000</v>
      </c>
      <c r="L121" s="465">
        <v>0</v>
      </c>
      <c r="M121" s="465">
        <v>83168</v>
      </c>
      <c r="N121" s="465">
        <v>0</v>
      </c>
      <c r="O121" s="431">
        <v>7500</v>
      </c>
      <c r="P121" s="432">
        <f t="shared" si="16"/>
        <v>3383987</v>
      </c>
      <c r="Q121" s="465">
        <v>1718113</v>
      </c>
      <c r="R121" s="465">
        <v>1104246</v>
      </c>
      <c r="S121" s="465">
        <v>0</v>
      </c>
      <c r="T121" s="465">
        <v>0</v>
      </c>
      <c r="U121" s="465">
        <v>0</v>
      </c>
      <c r="V121" s="465">
        <v>0</v>
      </c>
      <c r="W121" s="465">
        <v>305346</v>
      </c>
      <c r="X121" s="465">
        <v>129366</v>
      </c>
      <c r="Y121" s="465">
        <v>0</v>
      </c>
      <c r="Z121" s="465">
        <v>131464</v>
      </c>
      <c r="AA121" s="465">
        <v>0</v>
      </c>
      <c r="AB121" s="465">
        <v>-4548</v>
      </c>
      <c r="AC121" s="465">
        <v>935177</v>
      </c>
      <c r="AD121" s="465">
        <v>18401</v>
      </c>
      <c r="AE121" s="465">
        <v>1118437</v>
      </c>
      <c r="AF121" s="465">
        <v>42228</v>
      </c>
      <c r="AG121" s="465">
        <v>94595</v>
      </c>
      <c r="AH121" s="465">
        <v>335899</v>
      </c>
      <c r="AI121" s="465">
        <v>292664</v>
      </c>
      <c r="AJ121" s="465">
        <v>18375</v>
      </c>
      <c r="AK121" s="465">
        <v>0</v>
      </c>
      <c r="AL121" s="465">
        <v>528211</v>
      </c>
      <c r="AM121" s="431">
        <v>0</v>
      </c>
    </row>
    <row r="122" spans="1:39" s="155" customFormat="1" ht="12" x14ac:dyDescent="0.2">
      <c r="A122" s="168">
        <v>68</v>
      </c>
      <c r="B122" s="405">
        <v>166182</v>
      </c>
      <c r="C122" s="411" t="s">
        <v>3104</v>
      </c>
      <c r="D122" s="432">
        <f t="shared" si="15"/>
        <v>3149804</v>
      </c>
      <c r="E122" s="465">
        <v>682420</v>
      </c>
      <c r="F122" s="465">
        <v>100119</v>
      </c>
      <c r="G122" s="465">
        <v>187054</v>
      </c>
      <c r="H122" s="465">
        <v>0</v>
      </c>
      <c r="I122" s="465">
        <v>1022820</v>
      </c>
      <c r="J122" s="465">
        <v>57000</v>
      </c>
      <c r="K122" s="465">
        <v>1246000</v>
      </c>
      <c r="L122" s="465">
        <v>0</v>
      </c>
      <c r="M122" s="465">
        <v>49033</v>
      </c>
      <c r="N122" s="465">
        <v>92531</v>
      </c>
      <c r="O122" s="431">
        <v>0</v>
      </c>
      <c r="P122" s="432">
        <f t="shared" si="16"/>
        <v>2859245</v>
      </c>
      <c r="Q122" s="465">
        <v>1328803</v>
      </c>
      <c r="R122" s="465">
        <v>1056087</v>
      </c>
      <c r="S122" s="465">
        <v>0</v>
      </c>
      <c r="T122" s="465">
        <v>0</v>
      </c>
      <c r="U122" s="465">
        <v>0</v>
      </c>
      <c r="V122" s="465">
        <v>0</v>
      </c>
      <c r="W122" s="465">
        <v>292</v>
      </c>
      <c r="X122" s="465">
        <v>134715</v>
      </c>
      <c r="Y122" s="465">
        <v>18340</v>
      </c>
      <c r="Z122" s="465">
        <v>331955</v>
      </c>
      <c r="AA122" s="465">
        <v>0</v>
      </c>
      <c r="AB122" s="465">
        <v>-10947</v>
      </c>
      <c r="AC122" s="465">
        <v>593144</v>
      </c>
      <c r="AD122" s="465">
        <v>34651</v>
      </c>
      <c r="AE122" s="465">
        <v>853271</v>
      </c>
      <c r="AF122" s="465">
        <v>0</v>
      </c>
      <c r="AG122" s="465">
        <v>257970</v>
      </c>
      <c r="AH122" s="465">
        <v>371196</v>
      </c>
      <c r="AI122" s="465">
        <v>155856</v>
      </c>
      <c r="AJ122" s="465">
        <v>558</v>
      </c>
      <c r="AK122" s="465">
        <v>0</v>
      </c>
      <c r="AL122" s="465">
        <v>463378</v>
      </c>
      <c r="AM122" s="431">
        <v>129221</v>
      </c>
    </row>
    <row r="123" spans="1:39" s="155" customFormat="1" ht="12" x14ac:dyDescent="0.2">
      <c r="A123" s="168">
        <v>69</v>
      </c>
      <c r="B123" s="405">
        <v>166235</v>
      </c>
      <c r="C123" s="411" t="s">
        <v>3105</v>
      </c>
      <c r="D123" s="432">
        <f t="shared" si="15"/>
        <v>4533710</v>
      </c>
      <c r="E123" s="465">
        <v>690035</v>
      </c>
      <c r="F123" s="465">
        <v>113805</v>
      </c>
      <c r="G123" s="465">
        <v>183773</v>
      </c>
      <c r="H123" s="465">
        <v>0</v>
      </c>
      <c r="I123" s="465">
        <v>2190000</v>
      </c>
      <c r="J123" s="465">
        <v>115000</v>
      </c>
      <c r="K123" s="465">
        <v>1171000</v>
      </c>
      <c r="L123" s="465">
        <v>0</v>
      </c>
      <c r="M123" s="465">
        <v>101099</v>
      </c>
      <c r="N123" s="465">
        <v>248976</v>
      </c>
      <c r="O123" s="431">
        <v>17600</v>
      </c>
      <c r="P123" s="432">
        <f t="shared" si="16"/>
        <v>3907562</v>
      </c>
      <c r="Q123" s="465">
        <v>2152599</v>
      </c>
      <c r="R123" s="465">
        <v>833736</v>
      </c>
      <c r="S123" s="465">
        <v>0</v>
      </c>
      <c r="T123" s="465">
        <v>0</v>
      </c>
      <c r="U123" s="465">
        <v>0</v>
      </c>
      <c r="V123" s="465">
        <v>0</v>
      </c>
      <c r="W123" s="465">
        <v>375878</v>
      </c>
      <c r="X123" s="465">
        <v>282608</v>
      </c>
      <c r="Y123" s="465">
        <v>0</v>
      </c>
      <c r="Z123" s="465">
        <v>276354</v>
      </c>
      <c r="AA123" s="465">
        <v>0</v>
      </c>
      <c r="AB123" s="465">
        <v>-13613</v>
      </c>
      <c r="AC123" s="465">
        <v>486786</v>
      </c>
      <c r="AD123" s="465">
        <v>550</v>
      </c>
      <c r="AE123" s="465">
        <v>2277709</v>
      </c>
      <c r="AF123" s="465">
        <v>0</v>
      </c>
      <c r="AG123" s="465">
        <v>95243</v>
      </c>
      <c r="AH123" s="465">
        <v>299703</v>
      </c>
      <c r="AI123" s="465">
        <v>132165</v>
      </c>
      <c r="AJ123" s="465">
        <v>0</v>
      </c>
      <c r="AK123" s="465">
        <v>0</v>
      </c>
      <c r="AL123" s="465">
        <v>506880</v>
      </c>
      <c r="AM123" s="431">
        <v>108526</v>
      </c>
    </row>
    <row r="124" spans="1:39" s="155" customFormat="1" ht="12" x14ac:dyDescent="0.2">
      <c r="A124" s="168">
        <v>70</v>
      </c>
      <c r="B124" s="405">
        <v>166315</v>
      </c>
      <c r="C124" s="411" t="s">
        <v>3106</v>
      </c>
      <c r="D124" s="432">
        <f t="shared" si="15"/>
        <v>3608870</v>
      </c>
      <c r="E124" s="465">
        <v>568979</v>
      </c>
      <c r="F124" s="465">
        <v>91927</v>
      </c>
      <c r="G124" s="465">
        <v>188148</v>
      </c>
      <c r="H124" s="465">
        <v>0</v>
      </c>
      <c r="I124" s="465">
        <v>1204089</v>
      </c>
      <c r="J124" s="465">
        <v>60000</v>
      </c>
      <c r="K124" s="465">
        <v>1190000</v>
      </c>
      <c r="L124" s="465">
        <v>0</v>
      </c>
      <c r="M124" s="465">
        <v>580057</v>
      </c>
      <c r="N124" s="465">
        <v>0</v>
      </c>
      <c r="O124" s="431">
        <v>5745</v>
      </c>
      <c r="P124" s="432">
        <f t="shared" si="16"/>
        <v>3921982</v>
      </c>
      <c r="Q124" s="465">
        <v>1401629</v>
      </c>
      <c r="R124" s="465">
        <v>1046306</v>
      </c>
      <c r="S124" s="465">
        <v>0</v>
      </c>
      <c r="T124" s="465">
        <v>0</v>
      </c>
      <c r="U124" s="465">
        <v>0</v>
      </c>
      <c r="V124" s="465">
        <v>0</v>
      </c>
      <c r="W124" s="465">
        <v>0</v>
      </c>
      <c r="X124" s="465">
        <v>100156</v>
      </c>
      <c r="Y124" s="465">
        <v>8358</v>
      </c>
      <c r="Z124" s="465">
        <v>1365533</v>
      </c>
      <c r="AA124" s="465">
        <v>0</v>
      </c>
      <c r="AB124" s="465">
        <v>0</v>
      </c>
      <c r="AC124" s="465">
        <v>810776</v>
      </c>
      <c r="AD124" s="465">
        <v>9815</v>
      </c>
      <c r="AE124" s="465">
        <v>1223018</v>
      </c>
      <c r="AF124" s="465">
        <v>0</v>
      </c>
      <c r="AG124" s="465">
        <v>168408</v>
      </c>
      <c r="AH124" s="465">
        <v>216265</v>
      </c>
      <c r="AI124" s="465">
        <v>342297</v>
      </c>
      <c r="AJ124" s="465">
        <v>1845</v>
      </c>
      <c r="AK124" s="465">
        <v>0</v>
      </c>
      <c r="AL124" s="465">
        <v>1029613</v>
      </c>
      <c r="AM124" s="431">
        <v>119945</v>
      </c>
    </row>
    <row r="125" spans="1:39" s="155" customFormat="1" ht="12" x14ac:dyDescent="0.2">
      <c r="A125" s="168">
        <v>71</v>
      </c>
      <c r="B125" s="405">
        <v>166413</v>
      </c>
      <c r="C125" s="411" t="s">
        <v>3107</v>
      </c>
      <c r="D125" s="432">
        <f t="shared" si="15"/>
        <v>6483105</v>
      </c>
      <c r="E125" s="465">
        <v>535065</v>
      </c>
      <c r="F125" s="465">
        <v>128432</v>
      </c>
      <c r="G125" s="465">
        <v>204552</v>
      </c>
      <c r="H125" s="465">
        <v>0</v>
      </c>
      <c r="I125" s="465">
        <v>1968843</v>
      </c>
      <c r="J125" s="465">
        <v>64000</v>
      </c>
      <c r="K125" s="465">
        <v>1366000</v>
      </c>
      <c r="L125" s="465">
        <v>0</v>
      </c>
      <c r="M125" s="465">
        <v>2407494</v>
      </c>
      <c r="N125" s="465">
        <v>100570</v>
      </c>
      <c r="O125" s="431">
        <v>41133</v>
      </c>
      <c r="P125" s="432">
        <f t="shared" si="16"/>
        <v>7218314</v>
      </c>
      <c r="Q125" s="465">
        <v>2139056</v>
      </c>
      <c r="R125" s="465">
        <v>1126671</v>
      </c>
      <c r="S125" s="465">
        <v>0</v>
      </c>
      <c r="T125" s="465">
        <v>0</v>
      </c>
      <c r="U125" s="465">
        <v>0</v>
      </c>
      <c r="V125" s="465">
        <v>0</v>
      </c>
      <c r="W125" s="465">
        <v>131270</v>
      </c>
      <c r="X125" s="465">
        <v>337147</v>
      </c>
      <c r="Y125" s="465">
        <v>0</v>
      </c>
      <c r="Z125" s="465">
        <v>3494290</v>
      </c>
      <c r="AA125" s="465">
        <v>0</v>
      </c>
      <c r="AB125" s="465">
        <v>-10120</v>
      </c>
      <c r="AC125" s="465">
        <v>1188856</v>
      </c>
      <c r="AD125" s="465">
        <v>67251</v>
      </c>
      <c r="AE125" s="465">
        <v>2318052</v>
      </c>
      <c r="AF125" s="465">
        <v>0</v>
      </c>
      <c r="AG125" s="465">
        <v>263668</v>
      </c>
      <c r="AH125" s="465">
        <v>352205</v>
      </c>
      <c r="AI125" s="465">
        <v>980438</v>
      </c>
      <c r="AJ125" s="465">
        <v>0</v>
      </c>
      <c r="AK125" s="465">
        <v>0</v>
      </c>
      <c r="AL125" s="465">
        <v>2047844</v>
      </c>
      <c r="AM125" s="431">
        <v>0</v>
      </c>
    </row>
    <row r="126" spans="1:39" s="155" customFormat="1" ht="12" x14ac:dyDescent="0.2">
      <c r="A126" s="168">
        <v>72</v>
      </c>
      <c r="B126" s="405">
        <v>166529</v>
      </c>
      <c r="C126" s="411" t="s">
        <v>3108</v>
      </c>
      <c r="D126" s="432">
        <f t="shared" si="15"/>
        <v>6297655</v>
      </c>
      <c r="E126" s="465">
        <v>1182517</v>
      </c>
      <c r="F126" s="465">
        <v>272046</v>
      </c>
      <c r="G126" s="465">
        <v>118942</v>
      </c>
      <c r="H126" s="465">
        <v>0</v>
      </c>
      <c r="I126" s="465">
        <v>1991285</v>
      </c>
      <c r="J126" s="465">
        <v>54000</v>
      </c>
      <c r="K126" s="465">
        <v>1142000</v>
      </c>
      <c r="L126" s="465">
        <v>0</v>
      </c>
      <c r="M126" s="465">
        <v>1260825</v>
      </c>
      <c r="N126" s="465">
        <v>0</v>
      </c>
      <c r="O126" s="431">
        <v>667028</v>
      </c>
      <c r="P126" s="432">
        <f t="shared" si="16"/>
        <v>6191659</v>
      </c>
      <c r="Q126" s="465">
        <v>3061607</v>
      </c>
      <c r="R126" s="465">
        <v>1530807</v>
      </c>
      <c r="S126" s="465">
        <v>0</v>
      </c>
      <c r="T126" s="465">
        <v>0</v>
      </c>
      <c r="U126" s="465">
        <v>0</v>
      </c>
      <c r="V126" s="465">
        <v>0</v>
      </c>
      <c r="W126" s="465">
        <v>0</v>
      </c>
      <c r="X126" s="465">
        <v>232971</v>
      </c>
      <c r="Y126" s="465">
        <v>1560</v>
      </c>
      <c r="Z126" s="465">
        <v>1369459</v>
      </c>
      <c r="AA126" s="465">
        <v>0</v>
      </c>
      <c r="AB126" s="465">
        <v>-4745</v>
      </c>
      <c r="AC126" s="465">
        <v>575748</v>
      </c>
      <c r="AD126" s="465">
        <v>82665</v>
      </c>
      <c r="AE126" s="465">
        <v>1947310</v>
      </c>
      <c r="AF126" s="465">
        <v>45502</v>
      </c>
      <c r="AG126" s="465">
        <v>105543</v>
      </c>
      <c r="AH126" s="465">
        <v>1562375</v>
      </c>
      <c r="AI126" s="465">
        <v>1670311</v>
      </c>
      <c r="AJ126" s="465">
        <v>0</v>
      </c>
      <c r="AK126" s="465">
        <v>0</v>
      </c>
      <c r="AL126" s="465">
        <v>202205</v>
      </c>
      <c r="AM126" s="431">
        <v>0</v>
      </c>
    </row>
    <row r="127" spans="1:39" s="155" customFormat="1" ht="12" x14ac:dyDescent="0.2">
      <c r="A127" s="168">
        <v>73</v>
      </c>
      <c r="B127" s="405">
        <v>166636</v>
      </c>
      <c r="C127" s="411" t="s">
        <v>1681</v>
      </c>
      <c r="D127" s="432">
        <f t="shared" si="15"/>
        <v>4941489</v>
      </c>
      <c r="E127" s="465">
        <v>1049280</v>
      </c>
      <c r="F127" s="465">
        <v>472196</v>
      </c>
      <c r="G127" s="465">
        <v>137828</v>
      </c>
      <c r="H127" s="465">
        <v>0</v>
      </c>
      <c r="I127" s="465">
        <v>2042061</v>
      </c>
      <c r="J127" s="465">
        <v>47000</v>
      </c>
      <c r="K127" s="465">
        <v>1167000</v>
      </c>
      <c r="L127" s="465">
        <v>0</v>
      </c>
      <c r="M127" s="465">
        <v>462310</v>
      </c>
      <c r="N127" s="465">
        <v>149979</v>
      </c>
      <c r="O127" s="431">
        <v>23859</v>
      </c>
      <c r="P127" s="432">
        <f t="shared" si="16"/>
        <v>4747018</v>
      </c>
      <c r="Q127" s="465">
        <v>2248661</v>
      </c>
      <c r="R127" s="465">
        <v>1010662</v>
      </c>
      <c r="S127" s="465">
        <v>0</v>
      </c>
      <c r="T127" s="465">
        <v>0</v>
      </c>
      <c r="U127" s="465">
        <v>0</v>
      </c>
      <c r="V127" s="465">
        <v>0</v>
      </c>
      <c r="W127" s="465">
        <v>0</v>
      </c>
      <c r="X127" s="465">
        <v>289675</v>
      </c>
      <c r="Y127" s="465">
        <v>0</v>
      </c>
      <c r="Z127" s="465">
        <v>1202081</v>
      </c>
      <c r="AA127" s="465">
        <v>0</v>
      </c>
      <c r="AB127" s="465">
        <v>-4061</v>
      </c>
      <c r="AC127" s="465">
        <v>718501</v>
      </c>
      <c r="AD127" s="465">
        <v>19163</v>
      </c>
      <c r="AE127" s="465">
        <v>1723783</v>
      </c>
      <c r="AF127" s="465">
        <v>0</v>
      </c>
      <c r="AG127" s="465">
        <v>97993</v>
      </c>
      <c r="AH127" s="465">
        <v>578292</v>
      </c>
      <c r="AI127" s="465">
        <v>276956</v>
      </c>
      <c r="AJ127" s="465">
        <v>0</v>
      </c>
      <c r="AK127" s="465">
        <v>0</v>
      </c>
      <c r="AL127" s="465">
        <v>1323834</v>
      </c>
      <c r="AM127" s="431">
        <v>8496</v>
      </c>
    </row>
    <row r="128" spans="1:39" s="155" customFormat="1" ht="12" x14ac:dyDescent="0.2">
      <c r="A128" s="168">
        <v>74</v>
      </c>
      <c r="B128" s="405">
        <v>166672</v>
      </c>
      <c r="C128" s="411" t="s">
        <v>3109</v>
      </c>
      <c r="D128" s="432">
        <f t="shared" si="15"/>
        <v>3885076</v>
      </c>
      <c r="E128" s="465">
        <v>1008954</v>
      </c>
      <c r="F128" s="465">
        <v>189426</v>
      </c>
      <c r="G128" s="465">
        <v>134218</v>
      </c>
      <c r="H128" s="465">
        <v>0</v>
      </c>
      <c r="I128" s="465">
        <v>1560923</v>
      </c>
      <c r="J128" s="465">
        <v>59000</v>
      </c>
      <c r="K128" s="465">
        <v>962000</v>
      </c>
      <c r="L128" s="465">
        <v>0</v>
      </c>
      <c r="M128" s="465">
        <v>294199</v>
      </c>
      <c r="N128" s="465">
        <v>0</v>
      </c>
      <c r="O128" s="431">
        <v>0</v>
      </c>
      <c r="P128" s="432">
        <f t="shared" si="16"/>
        <v>3573569</v>
      </c>
      <c r="Q128" s="465">
        <v>1790283</v>
      </c>
      <c r="R128" s="465">
        <v>802053</v>
      </c>
      <c r="S128" s="465">
        <v>0</v>
      </c>
      <c r="T128" s="465">
        <v>0</v>
      </c>
      <c r="U128" s="465">
        <v>0</v>
      </c>
      <c r="V128" s="465">
        <v>0</v>
      </c>
      <c r="W128" s="465">
        <v>0</v>
      </c>
      <c r="X128" s="465">
        <v>216042</v>
      </c>
      <c r="Y128" s="465">
        <v>6825</v>
      </c>
      <c r="Z128" s="465">
        <v>763066</v>
      </c>
      <c r="AA128" s="465">
        <v>0</v>
      </c>
      <c r="AB128" s="465">
        <v>-4700</v>
      </c>
      <c r="AC128" s="465">
        <v>1050141</v>
      </c>
      <c r="AD128" s="465">
        <v>22327</v>
      </c>
      <c r="AE128" s="465">
        <v>1435100</v>
      </c>
      <c r="AF128" s="465">
        <v>24843</v>
      </c>
      <c r="AG128" s="465">
        <v>250520</v>
      </c>
      <c r="AH128" s="465">
        <v>316653</v>
      </c>
      <c r="AI128" s="465">
        <v>211520</v>
      </c>
      <c r="AJ128" s="465">
        <v>4400</v>
      </c>
      <c r="AK128" s="465">
        <v>0</v>
      </c>
      <c r="AL128" s="465">
        <v>258065</v>
      </c>
      <c r="AM128" s="431">
        <v>0</v>
      </c>
    </row>
    <row r="129" spans="1:39" s="155" customFormat="1" ht="12" x14ac:dyDescent="0.2">
      <c r="A129" s="168">
        <v>75</v>
      </c>
      <c r="B129" s="405">
        <v>166707</v>
      </c>
      <c r="C129" s="411" t="s">
        <v>1969</v>
      </c>
      <c r="D129" s="432">
        <f t="shared" si="15"/>
        <v>10323176</v>
      </c>
      <c r="E129" s="465">
        <v>1550525</v>
      </c>
      <c r="F129" s="465">
        <v>80700</v>
      </c>
      <c r="G129" s="465">
        <v>179397</v>
      </c>
      <c r="H129" s="465">
        <v>0</v>
      </c>
      <c r="I129" s="465">
        <v>857763</v>
      </c>
      <c r="J129" s="465">
        <v>56000</v>
      </c>
      <c r="K129" s="465">
        <v>1992970</v>
      </c>
      <c r="L129" s="465">
        <v>0</v>
      </c>
      <c r="M129" s="465">
        <v>2437503</v>
      </c>
      <c r="N129" s="465">
        <v>3398452</v>
      </c>
      <c r="O129" s="431">
        <v>29963</v>
      </c>
      <c r="P129" s="432">
        <f t="shared" si="16"/>
        <v>9895083</v>
      </c>
      <c r="Q129" s="465">
        <v>1320158</v>
      </c>
      <c r="R129" s="465">
        <v>828507</v>
      </c>
      <c r="S129" s="465">
        <v>15000</v>
      </c>
      <c r="T129" s="465">
        <v>0</v>
      </c>
      <c r="U129" s="465">
        <v>0</v>
      </c>
      <c r="V129" s="465">
        <v>0</v>
      </c>
      <c r="W129" s="465">
        <v>5016292</v>
      </c>
      <c r="X129" s="465">
        <v>66742</v>
      </c>
      <c r="Y129" s="465">
        <v>5650</v>
      </c>
      <c r="Z129" s="465">
        <v>2170635</v>
      </c>
      <c r="AA129" s="465">
        <v>472250</v>
      </c>
      <c r="AB129" s="465">
        <v>-151</v>
      </c>
      <c r="AC129" s="465">
        <v>1392403</v>
      </c>
      <c r="AD129" s="465">
        <v>488794</v>
      </c>
      <c r="AE129" s="465">
        <v>1428339</v>
      </c>
      <c r="AF129" s="465">
        <v>30986</v>
      </c>
      <c r="AG129" s="465">
        <v>84487</v>
      </c>
      <c r="AH129" s="465">
        <v>189210</v>
      </c>
      <c r="AI129" s="465">
        <v>60743</v>
      </c>
      <c r="AJ129" s="465">
        <v>0</v>
      </c>
      <c r="AK129" s="465">
        <v>0</v>
      </c>
      <c r="AL129" s="465">
        <v>6220121</v>
      </c>
      <c r="AM129" s="431">
        <v>0</v>
      </c>
    </row>
    <row r="130" spans="1:39" s="155" customFormat="1" ht="12" x14ac:dyDescent="0.2">
      <c r="A130" s="168">
        <v>76</v>
      </c>
      <c r="B130" s="405">
        <v>166770</v>
      </c>
      <c r="C130" s="411" t="s">
        <v>3110</v>
      </c>
      <c r="D130" s="432">
        <f t="shared" si="15"/>
        <v>4327170</v>
      </c>
      <c r="E130" s="465">
        <v>803481</v>
      </c>
      <c r="F130" s="465">
        <v>155254</v>
      </c>
      <c r="G130" s="465">
        <v>141109</v>
      </c>
      <c r="H130" s="465">
        <v>0</v>
      </c>
      <c r="I130" s="465">
        <v>1783726</v>
      </c>
      <c r="J130" s="465">
        <v>60000</v>
      </c>
      <c r="K130" s="465">
        <v>1195000</v>
      </c>
      <c r="L130" s="465">
        <v>0</v>
      </c>
      <c r="M130" s="465">
        <v>159365</v>
      </c>
      <c r="N130" s="465">
        <v>249506</v>
      </c>
      <c r="O130" s="431">
        <v>76092</v>
      </c>
      <c r="P130" s="432">
        <f t="shared" si="16"/>
        <v>4119030</v>
      </c>
      <c r="Q130" s="465">
        <v>1892580</v>
      </c>
      <c r="R130" s="465">
        <v>1097541</v>
      </c>
      <c r="S130" s="465">
        <v>7886</v>
      </c>
      <c r="T130" s="465">
        <v>0</v>
      </c>
      <c r="U130" s="465">
        <v>2412</v>
      </c>
      <c r="V130" s="465">
        <v>0</v>
      </c>
      <c r="W130" s="465">
        <v>0</v>
      </c>
      <c r="X130" s="465">
        <v>336180</v>
      </c>
      <c r="Y130" s="465">
        <v>1501</v>
      </c>
      <c r="Z130" s="465">
        <v>385030</v>
      </c>
      <c r="AA130" s="465">
        <v>395900</v>
      </c>
      <c r="AB130" s="465">
        <v>0</v>
      </c>
      <c r="AC130" s="465">
        <v>745788</v>
      </c>
      <c r="AD130" s="465">
        <v>52758</v>
      </c>
      <c r="AE130" s="465">
        <v>1595108</v>
      </c>
      <c r="AF130" s="465">
        <v>0</v>
      </c>
      <c r="AG130" s="465">
        <v>70670</v>
      </c>
      <c r="AH130" s="465">
        <v>336180</v>
      </c>
      <c r="AI130" s="465">
        <v>446162</v>
      </c>
      <c r="AJ130" s="465">
        <v>4772</v>
      </c>
      <c r="AK130" s="465">
        <v>0</v>
      </c>
      <c r="AL130" s="465">
        <v>857531</v>
      </c>
      <c r="AM130" s="431">
        <v>10061</v>
      </c>
    </row>
    <row r="131" spans="1:39" s="155" customFormat="1" ht="12" x14ac:dyDescent="0.2">
      <c r="A131" s="168">
        <v>77</v>
      </c>
      <c r="B131" s="405">
        <v>166869</v>
      </c>
      <c r="C131" s="411" t="s">
        <v>3111</v>
      </c>
      <c r="D131" s="432">
        <f t="shared" si="15"/>
        <v>6465443</v>
      </c>
      <c r="E131" s="465">
        <v>694914</v>
      </c>
      <c r="F131" s="465">
        <v>130702</v>
      </c>
      <c r="G131" s="465">
        <v>159706</v>
      </c>
      <c r="H131" s="465">
        <v>0</v>
      </c>
      <c r="I131" s="465">
        <v>2414251</v>
      </c>
      <c r="J131" s="465">
        <v>178000</v>
      </c>
      <c r="K131" s="465">
        <v>1283810</v>
      </c>
      <c r="L131" s="465">
        <v>0</v>
      </c>
      <c r="M131" s="465">
        <v>1399687</v>
      </c>
      <c r="N131" s="465">
        <v>312180</v>
      </c>
      <c r="O131" s="431">
        <v>182601</v>
      </c>
      <c r="P131" s="432">
        <f t="shared" si="16"/>
        <v>6485983</v>
      </c>
      <c r="Q131" s="465">
        <v>2502788</v>
      </c>
      <c r="R131" s="465">
        <v>1098536</v>
      </c>
      <c r="S131" s="465">
        <v>82248</v>
      </c>
      <c r="T131" s="465">
        <v>0</v>
      </c>
      <c r="U131" s="465">
        <v>0</v>
      </c>
      <c r="V131" s="465">
        <v>0</v>
      </c>
      <c r="W131" s="465">
        <v>0</v>
      </c>
      <c r="X131" s="465">
        <v>470941</v>
      </c>
      <c r="Y131" s="465">
        <v>0</v>
      </c>
      <c r="Z131" s="465">
        <v>1082411</v>
      </c>
      <c r="AA131" s="465">
        <v>1251099</v>
      </c>
      <c r="AB131" s="465">
        <v>-2040</v>
      </c>
      <c r="AC131" s="465">
        <v>992722</v>
      </c>
      <c r="AD131" s="465">
        <v>32011</v>
      </c>
      <c r="AE131" s="465">
        <v>2075601</v>
      </c>
      <c r="AF131" s="465">
        <v>52521</v>
      </c>
      <c r="AG131" s="465">
        <v>611727</v>
      </c>
      <c r="AH131" s="465">
        <v>558721</v>
      </c>
      <c r="AI131" s="465">
        <v>598701</v>
      </c>
      <c r="AJ131" s="465">
        <v>0</v>
      </c>
      <c r="AK131" s="465">
        <v>0</v>
      </c>
      <c r="AL131" s="465">
        <v>1563979</v>
      </c>
      <c r="AM131" s="431">
        <v>0</v>
      </c>
    </row>
    <row r="132" spans="1:39" s="155" customFormat="1" ht="12" x14ac:dyDescent="0.2">
      <c r="A132" s="168">
        <v>78</v>
      </c>
      <c r="B132" s="405">
        <v>166985</v>
      </c>
      <c r="C132" s="411" t="s">
        <v>3112</v>
      </c>
      <c r="D132" s="432">
        <f t="shared" si="15"/>
        <v>3414985</v>
      </c>
      <c r="E132" s="465">
        <v>462042</v>
      </c>
      <c r="F132" s="465">
        <v>108287</v>
      </c>
      <c r="G132" s="465">
        <v>188148</v>
      </c>
      <c r="H132" s="465">
        <v>0</v>
      </c>
      <c r="I132" s="465">
        <v>1038973</v>
      </c>
      <c r="J132" s="465">
        <v>61000</v>
      </c>
      <c r="K132" s="465">
        <v>1507000</v>
      </c>
      <c r="L132" s="465">
        <v>0</v>
      </c>
      <c r="M132" s="465">
        <v>110361</v>
      </c>
      <c r="N132" s="465">
        <v>95609</v>
      </c>
      <c r="O132" s="431">
        <v>140000</v>
      </c>
      <c r="P132" s="432">
        <f t="shared" si="16"/>
        <v>4004887</v>
      </c>
      <c r="Q132" s="465">
        <v>1575001</v>
      </c>
      <c r="R132" s="465">
        <v>838308</v>
      </c>
      <c r="S132" s="465">
        <v>0</v>
      </c>
      <c r="T132" s="465">
        <v>0</v>
      </c>
      <c r="U132" s="465">
        <v>0</v>
      </c>
      <c r="V132" s="465">
        <v>0</v>
      </c>
      <c r="W132" s="465">
        <v>116009</v>
      </c>
      <c r="X132" s="465">
        <v>152063</v>
      </c>
      <c r="Y132" s="465">
        <v>18410</v>
      </c>
      <c r="Z132" s="465">
        <v>818859</v>
      </c>
      <c r="AA132" s="465">
        <v>489130</v>
      </c>
      <c r="AB132" s="465">
        <v>-2893</v>
      </c>
      <c r="AC132" s="465">
        <v>869973</v>
      </c>
      <c r="AD132" s="465">
        <v>31062</v>
      </c>
      <c r="AE132" s="465">
        <v>1016927</v>
      </c>
      <c r="AF132" s="465">
        <v>316</v>
      </c>
      <c r="AG132" s="465">
        <v>124114</v>
      </c>
      <c r="AH132" s="465">
        <v>457784</v>
      </c>
      <c r="AI132" s="465">
        <v>242306</v>
      </c>
      <c r="AJ132" s="465">
        <v>74402</v>
      </c>
      <c r="AK132" s="465">
        <v>0</v>
      </c>
      <c r="AL132" s="465">
        <v>1167491</v>
      </c>
      <c r="AM132" s="431">
        <v>20512</v>
      </c>
    </row>
    <row r="133" spans="1:39" s="155" customFormat="1" ht="12" x14ac:dyDescent="0.2">
      <c r="A133" s="168">
        <v>79</v>
      </c>
      <c r="B133" s="405">
        <v>167035</v>
      </c>
      <c r="C133" s="411" t="s">
        <v>3113</v>
      </c>
      <c r="D133" s="432">
        <f t="shared" si="15"/>
        <v>3549944</v>
      </c>
      <c r="E133" s="465">
        <v>1124504</v>
      </c>
      <c r="F133" s="465">
        <v>111504</v>
      </c>
      <c r="G133" s="465">
        <v>90800</v>
      </c>
      <c r="H133" s="465">
        <v>0</v>
      </c>
      <c r="I133" s="465">
        <v>867513</v>
      </c>
      <c r="J133" s="465">
        <v>58000</v>
      </c>
      <c r="K133" s="465">
        <v>849000</v>
      </c>
      <c r="L133" s="465">
        <v>0</v>
      </c>
      <c r="M133" s="465">
        <v>280732</v>
      </c>
      <c r="N133" s="465">
        <v>370195</v>
      </c>
      <c r="O133" s="431">
        <v>0</v>
      </c>
      <c r="P133" s="432">
        <f t="shared" si="16"/>
        <v>3548580</v>
      </c>
      <c r="Q133" s="465">
        <v>1059671</v>
      </c>
      <c r="R133" s="465">
        <v>1694729</v>
      </c>
      <c r="S133" s="465">
        <v>0</v>
      </c>
      <c r="T133" s="465">
        <v>0</v>
      </c>
      <c r="U133" s="465">
        <v>0</v>
      </c>
      <c r="V133" s="465">
        <v>0</v>
      </c>
      <c r="W133" s="465">
        <v>0</v>
      </c>
      <c r="X133" s="465">
        <v>184396</v>
      </c>
      <c r="Y133" s="465">
        <v>2500</v>
      </c>
      <c r="Z133" s="465">
        <v>607284</v>
      </c>
      <c r="AA133" s="465">
        <v>0</v>
      </c>
      <c r="AB133" s="465">
        <v>0</v>
      </c>
      <c r="AC133" s="465">
        <v>1143547</v>
      </c>
      <c r="AD133" s="465">
        <v>0</v>
      </c>
      <c r="AE133" s="465">
        <v>694893</v>
      </c>
      <c r="AF133" s="465">
        <v>0</v>
      </c>
      <c r="AG133" s="465">
        <v>490833</v>
      </c>
      <c r="AH133" s="465">
        <v>277359</v>
      </c>
      <c r="AI133" s="465">
        <v>77734</v>
      </c>
      <c r="AJ133" s="465">
        <v>0</v>
      </c>
      <c r="AK133" s="465">
        <v>0</v>
      </c>
      <c r="AL133" s="465">
        <v>816372</v>
      </c>
      <c r="AM133" s="431">
        <v>47842</v>
      </c>
    </row>
    <row r="134" spans="1:39" s="155" customFormat="1" ht="12" x14ac:dyDescent="0.2">
      <c r="A134" s="168">
        <v>80</v>
      </c>
      <c r="B134" s="406">
        <v>167071</v>
      </c>
      <c r="C134" s="412" t="s">
        <v>3114</v>
      </c>
      <c r="D134" s="432">
        <f t="shared" si="15"/>
        <v>4377807</v>
      </c>
      <c r="E134" s="465">
        <v>871658</v>
      </c>
      <c r="F134" s="465">
        <v>155392</v>
      </c>
      <c r="G134" s="465">
        <v>163474</v>
      </c>
      <c r="H134" s="465">
        <v>0</v>
      </c>
      <c r="I134" s="465">
        <v>1627715</v>
      </c>
      <c r="J134" s="465">
        <v>174000</v>
      </c>
      <c r="K134" s="465">
        <v>1252000</v>
      </c>
      <c r="L134" s="465">
        <v>0</v>
      </c>
      <c r="M134" s="465">
        <v>211647</v>
      </c>
      <c r="N134" s="465">
        <v>81609</v>
      </c>
      <c r="O134" s="431">
        <v>159178</v>
      </c>
      <c r="P134" s="432">
        <f t="shared" si="16"/>
        <v>5120300</v>
      </c>
      <c r="Q134" s="465">
        <v>2091894</v>
      </c>
      <c r="R134" s="465">
        <v>1606735</v>
      </c>
      <c r="S134" s="465">
        <v>0</v>
      </c>
      <c r="T134" s="465">
        <v>0</v>
      </c>
      <c r="U134" s="465">
        <v>0</v>
      </c>
      <c r="V134" s="465">
        <v>0</v>
      </c>
      <c r="W134" s="465">
        <v>0</v>
      </c>
      <c r="X134" s="465">
        <v>516899</v>
      </c>
      <c r="Y134" s="465">
        <v>75719</v>
      </c>
      <c r="Z134" s="465">
        <v>829053</v>
      </c>
      <c r="AA134" s="465">
        <v>0</v>
      </c>
      <c r="AB134" s="465">
        <v>0</v>
      </c>
      <c r="AC134" s="465">
        <v>1121881</v>
      </c>
      <c r="AD134" s="465">
        <v>16410</v>
      </c>
      <c r="AE134" s="465">
        <v>1397014</v>
      </c>
      <c r="AF134" s="465">
        <v>0</v>
      </c>
      <c r="AG134" s="465">
        <v>304158</v>
      </c>
      <c r="AH134" s="465">
        <v>516899</v>
      </c>
      <c r="AI134" s="465">
        <v>437516</v>
      </c>
      <c r="AJ134" s="465">
        <v>0</v>
      </c>
      <c r="AK134" s="465">
        <v>0</v>
      </c>
      <c r="AL134" s="465">
        <v>1315357</v>
      </c>
      <c r="AM134" s="431">
        <v>11065</v>
      </c>
    </row>
    <row r="135" spans="1:39" s="155" customFormat="1" ht="12" x14ac:dyDescent="0.2">
      <c r="A135" s="168">
        <v>81</v>
      </c>
      <c r="B135" s="405">
        <v>167179</v>
      </c>
      <c r="C135" s="411" t="s">
        <v>3115</v>
      </c>
      <c r="D135" s="432">
        <f t="shared" si="15"/>
        <v>12478726</v>
      </c>
      <c r="E135" s="465">
        <v>2723200</v>
      </c>
      <c r="F135" s="465">
        <v>866729</v>
      </c>
      <c r="G135" s="465">
        <v>401694</v>
      </c>
      <c r="H135" s="465">
        <v>0</v>
      </c>
      <c r="I135" s="465">
        <v>6566005</v>
      </c>
      <c r="J135" s="465">
        <v>130000</v>
      </c>
      <c r="K135" s="465">
        <v>816000</v>
      </c>
      <c r="L135" s="465">
        <v>0</v>
      </c>
      <c r="M135" s="465">
        <v>1699924</v>
      </c>
      <c r="N135" s="465">
        <v>543597</v>
      </c>
      <c r="O135" s="431">
        <v>0</v>
      </c>
      <c r="P135" s="432">
        <f t="shared" si="16"/>
        <v>13037305</v>
      </c>
      <c r="Q135" s="465">
        <v>6303061</v>
      </c>
      <c r="R135" s="465">
        <v>2359643</v>
      </c>
      <c r="S135" s="465">
        <v>0</v>
      </c>
      <c r="T135" s="465">
        <v>0</v>
      </c>
      <c r="U135" s="465">
        <v>0</v>
      </c>
      <c r="V135" s="465">
        <v>25610</v>
      </c>
      <c r="W135" s="465">
        <v>748312</v>
      </c>
      <c r="X135" s="465">
        <v>762433</v>
      </c>
      <c r="Y135" s="465">
        <v>4172</v>
      </c>
      <c r="Z135" s="465">
        <v>2862576</v>
      </c>
      <c r="AA135" s="465">
        <v>0</v>
      </c>
      <c r="AB135" s="465">
        <v>-28502</v>
      </c>
      <c r="AC135" s="465">
        <v>1305943</v>
      </c>
      <c r="AD135" s="465">
        <v>82680</v>
      </c>
      <c r="AE135" s="465">
        <v>6928131</v>
      </c>
      <c r="AF135" s="465">
        <v>24044</v>
      </c>
      <c r="AG135" s="465">
        <v>798697</v>
      </c>
      <c r="AH135" s="465">
        <v>799633</v>
      </c>
      <c r="AI135" s="465">
        <v>741797</v>
      </c>
      <c r="AJ135" s="465">
        <v>114263</v>
      </c>
      <c r="AK135" s="465">
        <v>0</v>
      </c>
      <c r="AL135" s="465">
        <v>2191002</v>
      </c>
      <c r="AM135" s="431">
        <v>51115</v>
      </c>
    </row>
    <row r="136" spans="1:39" s="155" customFormat="1" ht="12" hidden="1" x14ac:dyDescent="0.2">
      <c r="A136" s="168">
        <v>82</v>
      </c>
      <c r="B136" s="168"/>
      <c r="C136" s="172"/>
      <c r="D136" s="432">
        <f t="shared" ref="D136:D143" si="17">E136+SUM(H136:O136)</f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ref="P136:P142" si="18">IF(SUM(Q136:AB136)=SUM(AC136:AM136),SUM(Q136:AB136),"  EROARE ART/CAP")</f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155" customFormat="1" ht="12" hidden="1" x14ac:dyDescent="0.2">
      <c r="A137" s="168">
        <v>83</v>
      </c>
      <c r="B137" s="168"/>
      <c r="C137" s="172"/>
      <c r="D137" s="432">
        <f t="shared" si="17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18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68"/>
      <c r="C138" s="172"/>
      <c r="D138" s="432">
        <f t="shared" si="17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8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68"/>
      <c r="C139" s="172"/>
      <c r="D139" s="432">
        <f t="shared" si="17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8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68"/>
      <c r="C140" s="172"/>
      <c r="D140" s="432">
        <f t="shared" si="17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8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173"/>
      <c r="D141" s="432">
        <f t="shared" si="17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8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7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8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7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804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1455091401</v>
      </c>
      <c r="E14" s="432">
        <f>SUM(E15,E16,E33,E54)</f>
        <v>319833706</v>
      </c>
      <c r="F14" s="432">
        <f t="shared" ref="F14:O14" si="0">SUM(F15,F16,F33,F54)</f>
        <v>142585193</v>
      </c>
      <c r="G14" s="432">
        <f t="shared" si="0"/>
        <v>49741640</v>
      </c>
      <c r="H14" s="432">
        <f t="shared" si="0"/>
        <v>57322627</v>
      </c>
      <c r="I14" s="432">
        <f t="shared" si="0"/>
        <v>286437978</v>
      </c>
      <c r="J14" s="432">
        <f t="shared" si="0"/>
        <v>19888747</v>
      </c>
      <c r="K14" s="432">
        <f t="shared" si="0"/>
        <v>181563349</v>
      </c>
      <c r="L14" s="432">
        <f t="shared" si="0"/>
        <v>0</v>
      </c>
      <c r="M14" s="432">
        <f t="shared" si="0"/>
        <v>342833230</v>
      </c>
      <c r="N14" s="432">
        <f t="shared" si="0"/>
        <v>234564485</v>
      </c>
      <c r="O14" s="432">
        <f t="shared" si="0"/>
        <v>12647279</v>
      </c>
      <c r="P14" s="432">
        <f>IF(SUM(Q14:AB14)=SUM(AC14:AM14),SUM(Q14:AB14),"  EROARE ART/CAP")</f>
        <v>1453146744</v>
      </c>
      <c r="Q14" s="432">
        <f t="shared" ref="Q14:AM14" si="1">Q15+Q16+Q33+Q54</f>
        <v>361128790</v>
      </c>
      <c r="R14" s="432">
        <f t="shared" si="1"/>
        <v>171105796</v>
      </c>
      <c r="S14" s="432">
        <f t="shared" si="1"/>
        <v>2979906</v>
      </c>
      <c r="T14" s="432">
        <f t="shared" si="1"/>
        <v>12988620</v>
      </c>
      <c r="U14" s="432">
        <f t="shared" si="1"/>
        <v>18346001</v>
      </c>
      <c r="V14" s="432">
        <f t="shared" si="1"/>
        <v>10749864</v>
      </c>
      <c r="W14" s="432">
        <f t="shared" si="1"/>
        <v>428605123</v>
      </c>
      <c r="X14" s="432">
        <f t="shared" si="1"/>
        <v>138092454</v>
      </c>
      <c r="Y14" s="432">
        <f t="shared" si="1"/>
        <v>11755350</v>
      </c>
      <c r="Z14" s="432">
        <f t="shared" si="1"/>
        <v>259525868</v>
      </c>
      <c r="AA14" s="432">
        <f t="shared" si="1"/>
        <v>38989569</v>
      </c>
      <c r="AB14" s="432">
        <f t="shared" si="1"/>
        <v>-1120597</v>
      </c>
      <c r="AC14" s="432">
        <f t="shared" si="1"/>
        <v>126123037</v>
      </c>
      <c r="AD14" s="432">
        <f t="shared" si="1"/>
        <v>9075449</v>
      </c>
      <c r="AE14" s="432">
        <f t="shared" si="1"/>
        <v>285299398</v>
      </c>
      <c r="AF14" s="432">
        <f t="shared" si="1"/>
        <v>43139051</v>
      </c>
      <c r="AG14" s="432">
        <f t="shared" si="1"/>
        <v>98820485</v>
      </c>
      <c r="AH14" s="432">
        <f t="shared" si="1"/>
        <v>207566897</v>
      </c>
      <c r="AI14" s="432">
        <f t="shared" si="1"/>
        <v>88709788</v>
      </c>
      <c r="AJ14" s="432">
        <f t="shared" si="1"/>
        <v>227155792</v>
      </c>
      <c r="AK14" s="432">
        <f t="shared" si="1"/>
        <v>6334033</v>
      </c>
      <c r="AL14" s="432">
        <f t="shared" si="1"/>
        <v>328049386</v>
      </c>
      <c r="AM14" s="432">
        <f t="shared" si="1"/>
        <v>32873428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517632719</v>
      </c>
      <c r="E15" s="431">
        <v>52111464</v>
      </c>
      <c r="F15" s="431">
        <v>30243427</v>
      </c>
      <c r="G15" s="431">
        <v>19349667</v>
      </c>
      <c r="H15" s="431">
        <v>57322627</v>
      </c>
      <c r="I15" s="431">
        <v>0</v>
      </c>
      <c r="J15" s="431">
        <v>14094000</v>
      </c>
      <c r="K15" s="431">
        <v>38106800</v>
      </c>
      <c r="L15" s="431">
        <v>0</v>
      </c>
      <c r="M15" s="431">
        <v>220149566</v>
      </c>
      <c r="N15" s="431">
        <v>135848262</v>
      </c>
      <c r="O15" s="431">
        <v>0</v>
      </c>
      <c r="P15" s="432">
        <f t="shared" ref="P15" si="2">IF(SUM(Q15:AB15)=SUM(AC15:AM15),SUM(Q15:AB15),"  EROARE ART/CAP")</f>
        <v>511297279</v>
      </c>
      <c r="Q15" s="431">
        <v>44309200</v>
      </c>
      <c r="R15" s="431">
        <v>36325905</v>
      </c>
      <c r="S15" s="431">
        <v>1317875</v>
      </c>
      <c r="T15" s="431">
        <v>0</v>
      </c>
      <c r="U15" s="431">
        <v>11659226</v>
      </c>
      <c r="V15" s="431">
        <v>2178781</v>
      </c>
      <c r="W15" s="431">
        <v>288476143</v>
      </c>
      <c r="X15" s="431">
        <v>94110307</v>
      </c>
      <c r="Y15" s="431">
        <v>5306472</v>
      </c>
      <c r="Z15" s="431">
        <v>10656403</v>
      </c>
      <c r="AA15" s="431">
        <v>17226925</v>
      </c>
      <c r="AB15" s="431">
        <v>-269958</v>
      </c>
      <c r="AC15" s="431">
        <v>22067168</v>
      </c>
      <c r="AD15" s="431">
        <v>558378</v>
      </c>
      <c r="AE15" s="431">
        <v>18299866</v>
      </c>
      <c r="AF15" s="431">
        <v>33768063</v>
      </c>
      <c r="AG15" s="431">
        <v>13358695</v>
      </c>
      <c r="AH15" s="431">
        <v>129083437</v>
      </c>
      <c r="AI15" s="431">
        <v>0</v>
      </c>
      <c r="AJ15" s="431">
        <v>201811069</v>
      </c>
      <c r="AK15" s="431">
        <v>2800</v>
      </c>
      <c r="AL15" s="431">
        <v>83486767</v>
      </c>
      <c r="AM15" s="431">
        <v>8861036</v>
      </c>
    </row>
    <row r="16" spans="1:39" s="155" customFormat="1" ht="12" x14ac:dyDescent="0.2">
      <c r="A16" s="156" t="s">
        <v>72</v>
      </c>
      <c r="B16" s="157"/>
      <c r="C16" s="159"/>
      <c r="D16" s="432">
        <f>E16+SUM(H16:O16)</f>
        <v>316040283</v>
      </c>
      <c r="E16" s="433">
        <f>SUM(E18:E32)</f>
        <v>147205822</v>
      </c>
      <c r="F16" s="433">
        <f t="shared" ref="F16:O16" si="3">SUM(F18:F32)</f>
        <v>77744558</v>
      </c>
      <c r="G16" s="433">
        <f t="shared" si="3"/>
        <v>1405261</v>
      </c>
      <c r="H16" s="433">
        <f t="shared" si="3"/>
        <v>0</v>
      </c>
      <c r="I16" s="433">
        <f t="shared" si="3"/>
        <v>128520781</v>
      </c>
      <c r="J16" s="433">
        <f t="shared" si="3"/>
        <v>29000</v>
      </c>
      <c r="K16" s="433">
        <f t="shared" si="3"/>
        <v>6200360</v>
      </c>
      <c r="L16" s="433">
        <f t="shared" si="3"/>
        <v>0</v>
      </c>
      <c r="M16" s="433">
        <f t="shared" si="3"/>
        <v>12265106</v>
      </c>
      <c r="N16" s="433">
        <f t="shared" si="3"/>
        <v>21332784</v>
      </c>
      <c r="O16" s="433">
        <f t="shared" si="3"/>
        <v>486430</v>
      </c>
      <c r="P16" s="432">
        <f t="shared" ref="P16:P54" si="4">IF(SUM(Q16:AB16)=SUM(AC16:AM16),SUM(Q16:AB16),"  EROARE ART/CAP")</f>
        <v>311959549</v>
      </c>
      <c r="Q16" s="432">
        <f>SUM(Q18:Q32)</f>
        <v>133752569</v>
      </c>
      <c r="R16" s="432">
        <f t="shared" ref="R16:AM16" si="5">SUM(R18:R32)</f>
        <v>49784206</v>
      </c>
      <c r="S16" s="432">
        <f t="shared" si="5"/>
        <v>1204321</v>
      </c>
      <c r="T16" s="432">
        <f t="shared" si="5"/>
        <v>12881872</v>
      </c>
      <c r="U16" s="432">
        <f t="shared" si="5"/>
        <v>4631182</v>
      </c>
      <c r="V16" s="432">
        <f t="shared" si="5"/>
        <v>5300332</v>
      </c>
      <c r="W16" s="432">
        <f t="shared" si="5"/>
        <v>51576878</v>
      </c>
      <c r="X16" s="432">
        <f t="shared" si="5"/>
        <v>13434018</v>
      </c>
      <c r="Y16" s="432">
        <f t="shared" si="5"/>
        <v>4908892</v>
      </c>
      <c r="Z16" s="432">
        <f t="shared" si="5"/>
        <v>19060170</v>
      </c>
      <c r="AA16" s="432">
        <f t="shared" si="5"/>
        <v>15656914</v>
      </c>
      <c r="AB16" s="432">
        <f t="shared" si="5"/>
        <v>-231805</v>
      </c>
      <c r="AC16" s="432">
        <f t="shared" si="5"/>
        <v>20494401</v>
      </c>
      <c r="AD16" s="432">
        <f t="shared" si="5"/>
        <v>4489780</v>
      </c>
      <c r="AE16" s="432">
        <f t="shared" si="5"/>
        <v>124889886</v>
      </c>
      <c r="AF16" s="432">
        <f t="shared" si="5"/>
        <v>3339319</v>
      </c>
      <c r="AG16" s="432">
        <f t="shared" si="5"/>
        <v>36371144</v>
      </c>
      <c r="AH16" s="432">
        <f t="shared" si="5"/>
        <v>23197093</v>
      </c>
      <c r="AI16" s="432">
        <f t="shared" si="5"/>
        <v>25907838</v>
      </c>
      <c r="AJ16" s="432">
        <f t="shared" si="5"/>
        <v>7190525</v>
      </c>
      <c r="AK16" s="432">
        <f t="shared" si="5"/>
        <v>6224485</v>
      </c>
      <c r="AL16" s="432">
        <f t="shared" si="5"/>
        <v>59589078</v>
      </c>
      <c r="AM16" s="432">
        <f t="shared" si="5"/>
        <v>266000</v>
      </c>
    </row>
    <row r="17" spans="1:39" s="155" customFormat="1" ht="22.5" x14ac:dyDescent="0.2">
      <c r="A17" s="277" t="s">
        <v>2306</v>
      </c>
      <c r="B17" s="280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146">
        <v>1</v>
      </c>
      <c r="B18" s="199">
        <v>167473</v>
      </c>
      <c r="C18" s="245" t="s">
        <v>805</v>
      </c>
      <c r="D18" s="432">
        <f t="shared" ref="D18:D19" si="6">E18+SUM(H18:O18)</f>
        <v>261538073</v>
      </c>
      <c r="E18" s="431">
        <v>130334968</v>
      </c>
      <c r="F18" s="431">
        <v>70535045</v>
      </c>
      <c r="G18" s="431">
        <v>0</v>
      </c>
      <c r="H18" s="431">
        <v>0</v>
      </c>
      <c r="I18" s="431">
        <v>106131100</v>
      </c>
      <c r="J18" s="431">
        <v>0</v>
      </c>
      <c r="K18" s="431">
        <v>806380</v>
      </c>
      <c r="L18" s="431">
        <v>0</v>
      </c>
      <c r="M18" s="431">
        <v>7345881</v>
      </c>
      <c r="N18" s="431">
        <v>16542554</v>
      </c>
      <c r="O18" s="431">
        <v>377190</v>
      </c>
      <c r="P18" s="432">
        <f t="shared" ref="P18:P19" si="7">IF(SUM(Q18:AB18)=SUM(AC18:AM18),SUM(Q18:AB18),"  EROARE ART/CAP")</f>
        <v>262236480</v>
      </c>
      <c r="Q18" s="431">
        <v>108491113</v>
      </c>
      <c r="R18" s="431">
        <v>44558783</v>
      </c>
      <c r="S18" s="431">
        <v>1125244</v>
      </c>
      <c r="T18" s="431">
        <v>12881872</v>
      </c>
      <c r="U18" s="431">
        <v>4242325</v>
      </c>
      <c r="V18" s="431">
        <v>3932405</v>
      </c>
      <c r="W18" s="431">
        <v>43913096</v>
      </c>
      <c r="X18" s="431">
        <v>11525972</v>
      </c>
      <c r="Y18" s="431">
        <v>4781397</v>
      </c>
      <c r="Z18" s="431">
        <v>11640484</v>
      </c>
      <c r="AA18" s="431">
        <v>15343714</v>
      </c>
      <c r="AB18" s="431">
        <v>-199925</v>
      </c>
      <c r="AC18" s="431">
        <v>16703627</v>
      </c>
      <c r="AD18" s="431">
        <v>3899805</v>
      </c>
      <c r="AE18" s="431">
        <v>103631517</v>
      </c>
      <c r="AF18" s="431">
        <v>2145398</v>
      </c>
      <c r="AG18" s="431">
        <v>28730456</v>
      </c>
      <c r="AH18" s="431">
        <v>17397013</v>
      </c>
      <c r="AI18" s="431">
        <v>24147890</v>
      </c>
      <c r="AJ18" s="431">
        <v>6611039</v>
      </c>
      <c r="AK18" s="431">
        <v>6224485</v>
      </c>
      <c r="AL18" s="431">
        <v>52745250</v>
      </c>
      <c r="AM18" s="431">
        <v>0</v>
      </c>
    </row>
    <row r="19" spans="1:39" s="155" customFormat="1" ht="12" x14ac:dyDescent="0.2">
      <c r="A19" s="146">
        <v>2</v>
      </c>
      <c r="B19" s="199">
        <v>167981</v>
      </c>
      <c r="C19" s="245" t="s">
        <v>806</v>
      </c>
      <c r="D19" s="432">
        <f t="shared" si="6"/>
        <v>54502210</v>
      </c>
      <c r="E19" s="431">
        <v>16870854</v>
      </c>
      <c r="F19" s="431">
        <v>7209513</v>
      </c>
      <c r="G19" s="431">
        <v>1405261</v>
      </c>
      <c r="H19" s="431">
        <v>0</v>
      </c>
      <c r="I19" s="431">
        <v>22389681</v>
      </c>
      <c r="J19" s="431">
        <v>29000</v>
      </c>
      <c r="K19" s="431">
        <v>5393980</v>
      </c>
      <c r="L19" s="431">
        <v>0</v>
      </c>
      <c r="M19" s="431">
        <v>4919225</v>
      </c>
      <c r="N19" s="431">
        <v>4790230</v>
      </c>
      <c r="O19" s="431">
        <v>109240</v>
      </c>
      <c r="P19" s="432">
        <f t="shared" si="7"/>
        <v>49723069</v>
      </c>
      <c r="Q19" s="431">
        <v>25261456</v>
      </c>
      <c r="R19" s="431">
        <v>5225423</v>
      </c>
      <c r="S19" s="431">
        <v>79077</v>
      </c>
      <c r="T19" s="431">
        <v>0</v>
      </c>
      <c r="U19" s="431">
        <v>388857</v>
      </c>
      <c r="V19" s="431">
        <v>1367927</v>
      </c>
      <c r="W19" s="431">
        <v>7663782</v>
      </c>
      <c r="X19" s="431">
        <v>1908046</v>
      </c>
      <c r="Y19" s="431">
        <v>127495</v>
      </c>
      <c r="Z19" s="431">
        <v>7419686</v>
      </c>
      <c r="AA19" s="431">
        <v>313200</v>
      </c>
      <c r="AB19" s="431">
        <v>-31880</v>
      </c>
      <c r="AC19" s="431">
        <v>3790774</v>
      </c>
      <c r="AD19" s="431">
        <v>589975</v>
      </c>
      <c r="AE19" s="431">
        <v>21258369</v>
      </c>
      <c r="AF19" s="431">
        <v>1193921</v>
      </c>
      <c r="AG19" s="431">
        <v>7640688</v>
      </c>
      <c r="AH19" s="431">
        <v>5800080</v>
      </c>
      <c r="AI19" s="431">
        <v>1759948</v>
      </c>
      <c r="AJ19" s="431">
        <v>579486</v>
      </c>
      <c r="AK19" s="431">
        <v>0</v>
      </c>
      <c r="AL19" s="431">
        <v>6843828</v>
      </c>
      <c r="AM19" s="431">
        <v>266000</v>
      </c>
    </row>
    <row r="20" spans="1:39" s="155" customFormat="1" ht="12" hidden="1" x14ac:dyDescent="0.2">
      <c r="A20" s="146">
        <v>3</v>
      </c>
      <c r="B20" s="161"/>
      <c r="C20" s="206"/>
      <c r="D20" s="432">
        <f t="shared" ref="D20:D33" si="8">E20+SUM(H20:O20)</f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2">
        <f t="shared" si="4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</row>
    <row r="21" spans="1:39" s="155" customFormat="1" ht="12" hidden="1" x14ac:dyDescent="0.2">
      <c r="A21" s="146">
        <v>4</v>
      </c>
      <c r="B21" s="161"/>
      <c r="C21" s="206"/>
      <c r="D21" s="432">
        <f t="shared" si="8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4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146">
        <v>5</v>
      </c>
      <c r="B22" s="161"/>
      <c r="C22" s="206"/>
      <c r="D22" s="432">
        <f t="shared" si="8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4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161"/>
      <c r="C23" s="206"/>
      <c r="D23" s="432">
        <f t="shared" si="8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4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61"/>
      <c r="C24" s="206"/>
      <c r="D24" s="432">
        <f t="shared" si="8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4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61"/>
      <c r="C25" s="206"/>
      <c r="D25" s="432">
        <f t="shared" si="8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4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61"/>
      <c r="C26" s="206"/>
      <c r="D26" s="432">
        <f t="shared" si="8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4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61"/>
      <c r="C27" s="206"/>
      <c r="D27" s="432">
        <f t="shared" si="8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4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61"/>
      <c r="C28" s="206"/>
      <c r="D28" s="432">
        <f t="shared" si="8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4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61"/>
      <c r="C29" s="206"/>
      <c r="D29" s="432">
        <f t="shared" si="8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4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61"/>
      <c r="C30" s="206"/>
      <c r="D30" s="432">
        <f t="shared" si="8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4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61"/>
      <c r="C31" s="206"/>
      <c r="D31" s="432">
        <f t="shared" si="8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4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61"/>
      <c r="C32" s="207"/>
      <c r="D32" s="432">
        <f t="shared" si="8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4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5"/>
      <c r="C33" s="208"/>
      <c r="D33" s="432">
        <f t="shared" si="8"/>
        <v>156679300</v>
      </c>
      <c r="E33" s="432">
        <f>SUM(E34:E53)</f>
        <v>39026812</v>
      </c>
      <c r="F33" s="432">
        <f t="shared" ref="F33:O33" si="9">SUM(F34:F53)</f>
        <v>14713872</v>
      </c>
      <c r="G33" s="432">
        <f t="shared" si="9"/>
        <v>4984885</v>
      </c>
      <c r="H33" s="432">
        <f t="shared" si="9"/>
        <v>0</v>
      </c>
      <c r="I33" s="432">
        <f t="shared" si="9"/>
        <v>44922286</v>
      </c>
      <c r="J33" s="432">
        <f t="shared" si="9"/>
        <v>600960</v>
      </c>
      <c r="K33" s="432">
        <f t="shared" si="9"/>
        <v>23983949</v>
      </c>
      <c r="L33" s="432">
        <f t="shared" si="9"/>
        <v>0</v>
      </c>
      <c r="M33" s="432">
        <f t="shared" si="9"/>
        <v>16239107</v>
      </c>
      <c r="N33" s="432">
        <f t="shared" si="9"/>
        <v>31275548</v>
      </c>
      <c r="O33" s="432">
        <f t="shared" si="9"/>
        <v>630638</v>
      </c>
      <c r="P33" s="432">
        <f t="shared" si="4"/>
        <v>152189486</v>
      </c>
      <c r="Q33" s="432">
        <f>SUM(Q34:Q53)</f>
        <v>50982040</v>
      </c>
      <c r="R33" s="432">
        <f t="shared" ref="R33:AM33" si="10">SUM(R34:R53)</f>
        <v>20291968</v>
      </c>
      <c r="S33" s="432">
        <f t="shared" si="10"/>
        <v>198422</v>
      </c>
      <c r="T33" s="432">
        <f t="shared" si="10"/>
        <v>106748</v>
      </c>
      <c r="U33" s="432">
        <f t="shared" si="10"/>
        <v>1565899</v>
      </c>
      <c r="V33" s="432">
        <f t="shared" si="10"/>
        <v>2409832</v>
      </c>
      <c r="W33" s="432">
        <f t="shared" si="10"/>
        <v>49469744</v>
      </c>
      <c r="X33" s="432">
        <f t="shared" si="10"/>
        <v>5300015</v>
      </c>
      <c r="Y33" s="432">
        <f t="shared" si="10"/>
        <v>571459</v>
      </c>
      <c r="Z33" s="432">
        <f t="shared" si="10"/>
        <v>20372606</v>
      </c>
      <c r="AA33" s="432">
        <f t="shared" si="10"/>
        <v>1193649</v>
      </c>
      <c r="AB33" s="432">
        <f t="shared" si="10"/>
        <v>-272896</v>
      </c>
      <c r="AC33" s="432">
        <f t="shared" si="10"/>
        <v>17296692</v>
      </c>
      <c r="AD33" s="432">
        <f t="shared" si="10"/>
        <v>1395941</v>
      </c>
      <c r="AE33" s="432">
        <f t="shared" si="10"/>
        <v>55429880</v>
      </c>
      <c r="AF33" s="432">
        <f t="shared" si="10"/>
        <v>4312724</v>
      </c>
      <c r="AG33" s="432">
        <f t="shared" si="10"/>
        <v>9595294</v>
      </c>
      <c r="AH33" s="432">
        <f t="shared" si="10"/>
        <v>9313515</v>
      </c>
      <c r="AI33" s="432">
        <f t="shared" si="10"/>
        <v>7729269</v>
      </c>
      <c r="AJ33" s="432">
        <f t="shared" si="10"/>
        <v>2605965</v>
      </c>
      <c r="AK33" s="432">
        <f t="shared" si="10"/>
        <v>106748</v>
      </c>
      <c r="AL33" s="432">
        <f t="shared" si="10"/>
        <v>28361927</v>
      </c>
      <c r="AM33" s="432">
        <f t="shared" si="10"/>
        <v>16041531</v>
      </c>
    </row>
    <row r="34" spans="1:39" s="155" customFormat="1" ht="12" x14ac:dyDescent="0.2">
      <c r="A34" s="146">
        <v>1</v>
      </c>
      <c r="B34" s="199">
        <v>168372</v>
      </c>
      <c r="C34" s="246" t="s">
        <v>807</v>
      </c>
      <c r="D34" s="432">
        <f t="shared" ref="D34:D42" si="11">E34+SUM(H34:O34)</f>
        <v>14394171</v>
      </c>
      <c r="E34" s="431">
        <v>4821723</v>
      </c>
      <c r="F34" s="431">
        <v>2462542</v>
      </c>
      <c r="G34" s="431">
        <v>308232</v>
      </c>
      <c r="H34" s="431">
        <v>0</v>
      </c>
      <c r="I34" s="431">
        <v>6623808</v>
      </c>
      <c r="J34" s="431">
        <v>79000</v>
      </c>
      <c r="K34" s="431">
        <v>1435860</v>
      </c>
      <c r="L34" s="431">
        <v>0</v>
      </c>
      <c r="M34" s="431">
        <v>1183455</v>
      </c>
      <c r="N34" s="431">
        <v>0</v>
      </c>
      <c r="O34" s="431">
        <v>250325</v>
      </c>
      <c r="P34" s="432">
        <f t="shared" ref="P34:P42" si="12">IF(SUM(Q34:AB34)=SUM(AC34:AM34),SUM(Q34:AB34),"  EROARE ART/CAP")</f>
        <v>14657394</v>
      </c>
      <c r="Q34" s="431">
        <v>6639521</v>
      </c>
      <c r="R34" s="431">
        <v>2127510</v>
      </c>
      <c r="S34" s="431">
        <v>0</v>
      </c>
      <c r="T34" s="431">
        <v>0</v>
      </c>
      <c r="U34" s="431">
        <v>219336</v>
      </c>
      <c r="V34" s="431">
        <v>692445</v>
      </c>
      <c r="W34" s="431">
        <v>0</v>
      </c>
      <c r="X34" s="431">
        <v>1117002</v>
      </c>
      <c r="Y34" s="431">
        <v>61610</v>
      </c>
      <c r="Z34" s="431">
        <v>3801234</v>
      </c>
      <c r="AA34" s="431">
        <v>0</v>
      </c>
      <c r="AB34" s="431">
        <v>-1264</v>
      </c>
      <c r="AC34" s="431">
        <v>1762747</v>
      </c>
      <c r="AD34" s="431">
        <v>178428</v>
      </c>
      <c r="AE34" s="431">
        <v>6496981</v>
      </c>
      <c r="AF34" s="431">
        <v>0</v>
      </c>
      <c r="AG34" s="431">
        <v>655358</v>
      </c>
      <c r="AH34" s="431">
        <v>1742522</v>
      </c>
      <c r="AI34" s="431">
        <v>1344201</v>
      </c>
      <c r="AJ34" s="431">
        <v>501369</v>
      </c>
      <c r="AK34" s="431">
        <v>0</v>
      </c>
      <c r="AL34" s="431">
        <v>1975788</v>
      </c>
      <c r="AM34" s="431">
        <v>0</v>
      </c>
    </row>
    <row r="35" spans="1:39" s="155" customFormat="1" ht="12" x14ac:dyDescent="0.2">
      <c r="A35" s="146">
        <v>2</v>
      </c>
      <c r="B35" s="199">
        <v>168452</v>
      </c>
      <c r="C35" s="246" t="s">
        <v>808</v>
      </c>
      <c r="D35" s="432">
        <f t="shared" si="11"/>
        <v>13419177</v>
      </c>
      <c r="E35" s="431">
        <v>3191505</v>
      </c>
      <c r="F35" s="431">
        <v>970940</v>
      </c>
      <c r="G35" s="431">
        <v>819325</v>
      </c>
      <c r="H35" s="431">
        <v>0</v>
      </c>
      <c r="I35" s="431">
        <v>5677752</v>
      </c>
      <c r="J35" s="431">
        <v>97960</v>
      </c>
      <c r="K35" s="431">
        <v>3484540</v>
      </c>
      <c r="L35" s="431">
        <v>0</v>
      </c>
      <c r="M35" s="431">
        <v>953620</v>
      </c>
      <c r="N35" s="431">
        <v>0</v>
      </c>
      <c r="O35" s="431">
        <v>13800</v>
      </c>
      <c r="P35" s="432">
        <f t="shared" si="12"/>
        <v>10647307</v>
      </c>
      <c r="Q35" s="431">
        <v>6131586</v>
      </c>
      <c r="R35" s="431">
        <v>1460088</v>
      </c>
      <c r="S35" s="431">
        <v>0</v>
      </c>
      <c r="T35" s="431">
        <v>0</v>
      </c>
      <c r="U35" s="431">
        <v>1015514</v>
      </c>
      <c r="V35" s="431">
        <v>546450</v>
      </c>
      <c r="W35" s="431">
        <v>0</v>
      </c>
      <c r="X35" s="431">
        <v>471849</v>
      </c>
      <c r="Y35" s="431">
        <v>0</v>
      </c>
      <c r="Z35" s="431">
        <v>1034284</v>
      </c>
      <c r="AA35" s="431">
        <v>0</v>
      </c>
      <c r="AB35" s="431">
        <v>-12464</v>
      </c>
      <c r="AC35" s="431">
        <v>1945726</v>
      </c>
      <c r="AD35" s="431">
        <v>92556</v>
      </c>
      <c r="AE35" s="431">
        <v>5331595</v>
      </c>
      <c r="AF35" s="431">
        <v>71868</v>
      </c>
      <c r="AG35" s="431">
        <v>297394</v>
      </c>
      <c r="AH35" s="431">
        <v>1778287</v>
      </c>
      <c r="AI35" s="431">
        <v>191850</v>
      </c>
      <c r="AJ35" s="431">
        <v>539694</v>
      </c>
      <c r="AK35" s="431">
        <v>0</v>
      </c>
      <c r="AL35" s="431">
        <v>138731</v>
      </c>
      <c r="AM35" s="431">
        <v>259606</v>
      </c>
    </row>
    <row r="36" spans="1:39" s="155" customFormat="1" ht="12" x14ac:dyDescent="0.2">
      <c r="A36" s="146">
        <v>3</v>
      </c>
      <c r="B36" s="199">
        <v>167641</v>
      </c>
      <c r="C36" s="246" t="s">
        <v>809</v>
      </c>
      <c r="D36" s="432">
        <f t="shared" si="11"/>
        <v>8344472</v>
      </c>
      <c r="E36" s="431">
        <v>2959965</v>
      </c>
      <c r="F36" s="431">
        <v>490773</v>
      </c>
      <c r="G36" s="431">
        <v>881366</v>
      </c>
      <c r="H36" s="431">
        <v>0</v>
      </c>
      <c r="I36" s="431">
        <v>1698762</v>
      </c>
      <c r="J36" s="431">
        <v>64000</v>
      </c>
      <c r="K36" s="431">
        <v>3466450</v>
      </c>
      <c r="L36" s="431">
        <v>0</v>
      </c>
      <c r="M36" s="431">
        <v>33191</v>
      </c>
      <c r="N36" s="431">
        <v>69899</v>
      </c>
      <c r="O36" s="431">
        <v>52205</v>
      </c>
      <c r="P36" s="432">
        <f t="shared" si="12"/>
        <v>5981154</v>
      </c>
      <c r="Q36" s="431">
        <v>2196594</v>
      </c>
      <c r="R36" s="431">
        <v>1127293</v>
      </c>
      <c r="S36" s="431">
        <v>0</v>
      </c>
      <c r="T36" s="431">
        <v>0</v>
      </c>
      <c r="U36" s="431">
        <v>0</v>
      </c>
      <c r="V36" s="431">
        <v>11978</v>
      </c>
      <c r="W36" s="431">
        <v>133660</v>
      </c>
      <c r="X36" s="431">
        <v>330403</v>
      </c>
      <c r="Y36" s="431">
        <v>138380</v>
      </c>
      <c r="Z36" s="431">
        <v>2063778</v>
      </c>
      <c r="AA36" s="431">
        <v>0</v>
      </c>
      <c r="AB36" s="431">
        <v>-20932</v>
      </c>
      <c r="AC36" s="431">
        <v>1006638</v>
      </c>
      <c r="AD36" s="431">
        <v>26522</v>
      </c>
      <c r="AE36" s="431">
        <v>1525805</v>
      </c>
      <c r="AF36" s="431">
        <v>5121</v>
      </c>
      <c r="AG36" s="431">
        <v>719480</v>
      </c>
      <c r="AH36" s="431">
        <v>408825</v>
      </c>
      <c r="AI36" s="431">
        <v>338858</v>
      </c>
      <c r="AJ36" s="431">
        <v>179198</v>
      </c>
      <c r="AK36" s="431">
        <v>0</v>
      </c>
      <c r="AL36" s="431">
        <v>1770707</v>
      </c>
      <c r="AM36" s="431">
        <v>0</v>
      </c>
    </row>
    <row r="37" spans="1:39" s="155" customFormat="1" ht="12" x14ac:dyDescent="0.2">
      <c r="A37" s="146">
        <v>4</v>
      </c>
      <c r="B37" s="199">
        <v>167696</v>
      </c>
      <c r="C37" s="246" t="s">
        <v>810</v>
      </c>
      <c r="D37" s="432">
        <f t="shared" si="11"/>
        <v>20082458</v>
      </c>
      <c r="E37" s="431">
        <v>4781217</v>
      </c>
      <c r="F37" s="431">
        <v>1571941</v>
      </c>
      <c r="G37" s="431">
        <v>528819</v>
      </c>
      <c r="H37" s="431">
        <v>0</v>
      </c>
      <c r="I37" s="431">
        <v>2906712</v>
      </c>
      <c r="J37" s="431">
        <v>0</v>
      </c>
      <c r="K37" s="431">
        <v>2029140</v>
      </c>
      <c r="L37" s="431">
        <v>0</v>
      </c>
      <c r="M37" s="431">
        <v>2679881</v>
      </c>
      <c r="N37" s="431">
        <v>7649327</v>
      </c>
      <c r="O37" s="431">
        <v>36181</v>
      </c>
      <c r="P37" s="432">
        <f t="shared" si="12"/>
        <v>20516191</v>
      </c>
      <c r="Q37" s="431">
        <v>3776818</v>
      </c>
      <c r="R37" s="431">
        <v>2861467</v>
      </c>
      <c r="S37" s="431">
        <v>7000</v>
      </c>
      <c r="T37" s="431">
        <v>49624</v>
      </c>
      <c r="U37" s="431">
        <v>47625</v>
      </c>
      <c r="V37" s="431">
        <v>623314</v>
      </c>
      <c r="W37" s="431">
        <v>11763357</v>
      </c>
      <c r="X37" s="431">
        <v>490067</v>
      </c>
      <c r="Y37" s="431">
        <v>26000</v>
      </c>
      <c r="Z37" s="431">
        <v>800934</v>
      </c>
      <c r="AA37" s="431">
        <v>71436</v>
      </c>
      <c r="AB37" s="431">
        <v>-1451</v>
      </c>
      <c r="AC37" s="431">
        <v>1418905</v>
      </c>
      <c r="AD37" s="431">
        <v>255850</v>
      </c>
      <c r="AE37" s="431">
        <v>2846949</v>
      </c>
      <c r="AF37" s="431">
        <v>0</v>
      </c>
      <c r="AG37" s="431">
        <v>363041</v>
      </c>
      <c r="AH37" s="431">
        <v>582050</v>
      </c>
      <c r="AI37" s="431">
        <v>1796328</v>
      </c>
      <c r="AJ37" s="431">
        <v>117778</v>
      </c>
      <c r="AK37" s="431">
        <v>49624</v>
      </c>
      <c r="AL37" s="431">
        <v>12952481</v>
      </c>
      <c r="AM37" s="431">
        <v>133185</v>
      </c>
    </row>
    <row r="38" spans="1:39" s="155" customFormat="1" ht="12" x14ac:dyDescent="0.2">
      <c r="A38" s="146">
        <v>5</v>
      </c>
      <c r="B38" s="199">
        <v>168602</v>
      </c>
      <c r="C38" s="246" t="s">
        <v>811</v>
      </c>
      <c r="D38" s="432">
        <f t="shared" si="11"/>
        <v>18620240</v>
      </c>
      <c r="E38" s="431">
        <v>3447213</v>
      </c>
      <c r="F38" s="431">
        <v>1997735</v>
      </c>
      <c r="G38" s="431">
        <v>627296</v>
      </c>
      <c r="H38" s="431">
        <v>0</v>
      </c>
      <c r="I38" s="431">
        <v>5442055</v>
      </c>
      <c r="J38" s="431">
        <v>68000</v>
      </c>
      <c r="K38" s="431">
        <v>2488810</v>
      </c>
      <c r="L38" s="431">
        <v>0</v>
      </c>
      <c r="M38" s="431">
        <v>1572375</v>
      </c>
      <c r="N38" s="431">
        <v>5484670</v>
      </c>
      <c r="O38" s="431">
        <v>117117</v>
      </c>
      <c r="P38" s="432">
        <f t="shared" si="12"/>
        <v>19585253</v>
      </c>
      <c r="Q38" s="431">
        <v>5587022</v>
      </c>
      <c r="R38" s="431">
        <v>1460717</v>
      </c>
      <c r="S38" s="431">
        <v>0</v>
      </c>
      <c r="T38" s="431">
        <v>0</v>
      </c>
      <c r="U38" s="431">
        <v>0</v>
      </c>
      <c r="V38" s="431">
        <v>0</v>
      </c>
      <c r="W38" s="431">
        <v>9238761</v>
      </c>
      <c r="X38" s="431">
        <v>413768</v>
      </c>
      <c r="Y38" s="431">
        <v>34474</v>
      </c>
      <c r="Z38" s="431">
        <v>3056754</v>
      </c>
      <c r="AA38" s="431">
        <v>0</v>
      </c>
      <c r="AB38" s="431">
        <v>-206243</v>
      </c>
      <c r="AC38" s="431">
        <v>1231010</v>
      </c>
      <c r="AD38" s="431">
        <v>7630</v>
      </c>
      <c r="AE38" s="431">
        <v>14205871</v>
      </c>
      <c r="AF38" s="431">
        <v>0</v>
      </c>
      <c r="AG38" s="431">
        <v>-97223</v>
      </c>
      <c r="AH38" s="431">
        <v>663356</v>
      </c>
      <c r="AI38" s="431">
        <v>402879</v>
      </c>
      <c r="AJ38" s="431">
        <v>2195</v>
      </c>
      <c r="AK38" s="431">
        <v>0</v>
      </c>
      <c r="AL38" s="431">
        <v>3107697</v>
      </c>
      <c r="AM38" s="431">
        <v>61838</v>
      </c>
    </row>
    <row r="39" spans="1:39" s="155" customFormat="1" ht="12" x14ac:dyDescent="0.2">
      <c r="A39" s="146">
        <v>6</v>
      </c>
      <c r="B39" s="199">
        <v>167794</v>
      </c>
      <c r="C39" s="246" t="s">
        <v>812</v>
      </c>
      <c r="D39" s="432">
        <f t="shared" si="11"/>
        <v>16483265</v>
      </c>
      <c r="E39" s="431">
        <v>3844064</v>
      </c>
      <c r="F39" s="431">
        <v>1347053</v>
      </c>
      <c r="G39" s="431">
        <v>687367</v>
      </c>
      <c r="H39" s="431">
        <v>0</v>
      </c>
      <c r="I39" s="431">
        <v>4551981</v>
      </c>
      <c r="J39" s="431">
        <v>88000</v>
      </c>
      <c r="K39" s="431">
        <v>4976740</v>
      </c>
      <c r="L39" s="431">
        <v>0</v>
      </c>
      <c r="M39" s="431">
        <v>1783951</v>
      </c>
      <c r="N39" s="431">
        <v>1183154</v>
      </c>
      <c r="O39" s="431">
        <v>55375</v>
      </c>
      <c r="P39" s="432">
        <f t="shared" si="12"/>
        <v>15270773</v>
      </c>
      <c r="Q39" s="431">
        <v>5091044</v>
      </c>
      <c r="R39" s="431">
        <v>2925020</v>
      </c>
      <c r="S39" s="431">
        <v>39116</v>
      </c>
      <c r="T39" s="431">
        <v>0</v>
      </c>
      <c r="U39" s="431">
        <v>23424</v>
      </c>
      <c r="V39" s="431">
        <v>43705</v>
      </c>
      <c r="W39" s="431">
        <v>1561353</v>
      </c>
      <c r="X39" s="431">
        <v>692686</v>
      </c>
      <c r="Y39" s="431">
        <v>3750</v>
      </c>
      <c r="Z39" s="431">
        <v>4850519</v>
      </c>
      <c r="AA39" s="431">
        <v>45454</v>
      </c>
      <c r="AB39" s="431">
        <v>-5298</v>
      </c>
      <c r="AC39" s="431">
        <v>2592578</v>
      </c>
      <c r="AD39" s="431">
        <v>3601</v>
      </c>
      <c r="AE39" s="431">
        <v>4669482</v>
      </c>
      <c r="AF39" s="431">
        <v>150362</v>
      </c>
      <c r="AG39" s="431">
        <v>1630265</v>
      </c>
      <c r="AH39" s="431">
        <v>1150639</v>
      </c>
      <c r="AI39" s="431">
        <v>1563328</v>
      </c>
      <c r="AJ39" s="431">
        <v>800695</v>
      </c>
      <c r="AK39" s="431">
        <v>0</v>
      </c>
      <c r="AL39" s="431">
        <v>2704665</v>
      </c>
      <c r="AM39" s="431">
        <v>5158</v>
      </c>
    </row>
    <row r="40" spans="1:39" s="155" customFormat="1" ht="12" x14ac:dyDescent="0.2">
      <c r="A40" s="146">
        <v>7</v>
      </c>
      <c r="B40" s="199">
        <v>167909</v>
      </c>
      <c r="C40" s="246" t="s">
        <v>813</v>
      </c>
      <c r="D40" s="432">
        <f t="shared" si="11"/>
        <v>22471608</v>
      </c>
      <c r="E40" s="431">
        <v>6275824</v>
      </c>
      <c r="F40" s="431">
        <v>2310520</v>
      </c>
      <c r="G40" s="431">
        <v>136882</v>
      </c>
      <c r="H40" s="431">
        <v>0</v>
      </c>
      <c r="I40" s="431">
        <v>7207684</v>
      </c>
      <c r="J40" s="431">
        <v>75000</v>
      </c>
      <c r="K40" s="431">
        <v>2005110</v>
      </c>
      <c r="L40" s="431">
        <v>0</v>
      </c>
      <c r="M40" s="431">
        <v>2123126</v>
      </c>
      <c r="N40" s="431">
        <v>4745109</v>
      </c>
      <c r="O40" s="431">
        <v>39755</v>
      </c>
      <c r="P40" s="432">
        <f t="shared" si="12"/>
        <v>23643956</v>
      </c>
      <c r="Q40" s="431">
        <v>8399609</v>
      </c>
      <c r="R40" s="431">
        <v>3766922</v>
      </c>
      <c r="S40" s="431">
        <v>82211</v>
      </c>
      <c r="T40" s="431">
        <v>34572</v>
      </c>
      <c r="U40" s="431">
        <v>0</v>
      </c>
      <c r="V40" s="431">
        <v>126050</v>
      </c>
      <c r="W40" s="431">
        <v>8280622</v>
      </c>
      <c r="X40" s="431">
        <v>960077</v>
      </c>
      <c r="Y40" s="431">
        <v>139302</v>
      </c>
      <c r="Z40" s="431">
        <v>1598921</v>
      </c>
      <c r="AA40" s="431">
        <v>262128</v>
      </c>
      <c r="AB40" s="431">
        <v>-6458</v>
      </c>
      <c r="AC40" s="431">
        <v>2492617</v>
      </c>
      <c r="AD40" s="431">
        <v>493114</v>
      </c>
      <c r="AE40" s="431">
        <v>10476515</v>
      </c>
      <c r="AF40" s="431">
        <v>79350</v>
      </c>
      <c r="AG40" s="431">
        <v>5171490</v>
      </c>
      <c r="AH40" s="431">
        <v>1537752</v>
      </c>
      <c r="AI40" s="431">
        <v>1007962</v>
      </c>
      <c r="AJ40" s="431">
        <v>367155</v>
      </c>
      <c r="AK40" s="431">
        <v>34572</v>
      </c>
      <c r="AL40" s="431">
        <v>1509926</v>
      </c>
      <c r="AM40" s="431">
        <v>473503</v>
      </c>
    </row>
    <row r="41" spans="1:39" s="155" customFormat="1" ht="12" x14ac:dyDescent="0.2">
      <c r="A41" s="146">
        <v>8</v>
      </c>
      <c r="B41" s="199">
        <v>168041</v>
      </c>
      <c r="C41" s="246" t="s">
        <v>814</v>
      </c>
      <c r="D41" s="432">
        <f t="shared" si="11"/>
        <v>34083908</v>
      </c>
      <c r="E41" s="431">
        <v>6415309</v>
      </c>
      <c r="F41" s="431">
        <v>2668847</v>
      </c>
      <c r="G41" s="431">
        <v>129989</v>
      </c>
      <c r="H41" s="431">
        <v>0</v>
      </c>
      <c r="I41" s="431">
        <v>9131426</v>
      </c>
      <c r="J41" s="431">
        <v>129000</v>
      </c>
      <c r="K41" s="431">
        <v>690180</v>
      </c>
      <c r="L41" s="431">
        <v>0</v>
      </c>
      <c r="M41" s="431">
        <v>5875859</v>
      </c>
      <c r="N41" s="431">
        <v>11790054</v>
      </c>
      <c r="O41" s="431">
        <v>52080</v>
      </c>
      <c r="P41" s="432">
        <f t="shared" si="12"/>
        <v>36951911</v>
      </c>
      <c r="Q41" s="431">
        <v>10676596</v>
      </c>
      <c r="R41" s="431">
        <v>3313721</v>
      </c>
      <c r="S41" s="431">
        <v>70095</v>
      </c>
      <c r="T41" s="431">
        <v>22552</v>
      </c>
      <c r="U41" s="431">
        <v>260000</v>
      </c>
      <c r="V41" s="431">
        <v>247290</v>
      </c>
      <c r="W41" s="431">
        <v>17967815</v>
      </c>
      <c r="X41" s="431">
        <v>511208</v>
      </c>
      <c r="Y41" s="431">
        <v>137967</v>
      </c>
      <c r="Z41" s="431">
        <v>2948822</v>
      </c>
      <c r="AA41" s="431">
        <v>814631</v>
      </c>
      <c r="AB41" s="431">
        <v>-18786</v>
      </c>
      <c r="AC41" s="431">
        <v>3322676</v>
      </c>
      <c r="AD41" s="431">
        <v>318722</v>
      </c>
      <c r="AE41" s="431">
        <v>8562358</v>
      </c>
      <c r="AF41" s="431">
        <v>3988962</v>
      </c>
      <c r="AG41" s="431">
        <v>800532</v>
      </c>
      <c r="AH41" s="431">
        <v>873279</v>
      </c>
      <c r="AI41" s="431">
        <v>450231</v>
      </c>
      <c r="AJ41" s="431">
        <v>0</v>
      </c>
      <c r="AK41" s="431">
        <v>22552</v>
      </c>
      <c r="AL41" s="431">
        <v>4035479</v>
      </c>
      <c r="AM41" s="431">
        <v>14577120</v>
      </c>
    </row>
    <row r="42" spans="1:39" s="155" customFormat="1" ht="12" x14ac:dyDescent="0.2">
      <c r="A42" s="146">
        <v>9</v>
      </c>
      <c r="B42" s="199">
        <v>168130</v>
      </c>
      <c r="C42" s="246" t="s">
        <v>815</v>
      </c>
      <c r="D42" s="432">
        <f t="shared" si="11"/>
        <v>8780001</v>
      </c>
      <c r="E42" s="431">
        <v>3289992</v>
      </c>
      <c r="F42" s="431">
        <v>893521</v>
      </c>
      <c r="G42" s="431">
        <v>865609</v>
      </c>
      <c r="H42" s="431">
        <v>0</v>
      </c>
      <c r="I42" s="431">
        <v>1682106</v>
      </c>
      <c r="J42" s="431">
        <v>0</v>
      </c>
      <c r="K42" s="431">
        <v>3407119</v>
      </c>
      <c r="L42" s="431">
        <v>0</v>
      </c>
      <c r="M42" s="431">
        <v>33649</v>
      </c>
      <c r="N42" s="431">
        <v>353335</v>
      </c>
      <c r="O42" s="431">
        <v>13800</v>
      </c>
      <c r="P42" s="432">
        <f t="shared" si="12"/>
        <v>4935547</v>
      </c>
      <c r="Q42" s="431">
        <v>2483250</v>
      </c>
      <c r="R42" s="431">
        <v>1249230</v>
      </c>
      <c r="S42" s="431">
        <v>0</v>
      </c>
      <c r="T42" s="431">
        <v>0</v>
      </c>
      <c r="U42" s="431">
        <v>0</v>
      </c>
      <c r="V42" s="431">
        <v>118600</v>
      </c>
      <c r="W42" s="431">
        <v>524176</v>
      </c>
      <c r="X42" s="431">
        <v>312955</v>
      </c>
      <c r="Y42" s="431">
        <v>29976</v>
      </c>
      <c r="Z42" s="431">
        <v>217360</v>
      </c>
      <c r="AA42" s="431">
        <v>0</v>
      </c>
      <c r="AB42" s="431">
        <v>0</v>
      </c>
      <c r="AC42" s="431">
        <v>1523795</v>
      </c>
      <c r="AD42" s="431">
        <v>19518</v>
      </c>
      <c r="AE42" s="431">
        <v>1314324</v>
      </c>
      <c r="AF42" s="431">
        <v>17061</v>
      </c>
      <c r="AG42" s="431">
        <v>54957</v>
      </c>
      <c r="AH42" s="431">
        <v>576805</v>
      </c>
      <c r="AI42" s="431">
        <v>633632</v>
      </c>
      <c r="AJ42" s="431">
        <v>97881</v>
      </c>
      <c r="AK42" s="431">
        <v>0</v>
      </c>
      <c r="AL42" s="431">
        <v>166453</v>
      </c>
      <c r="AM42" s="431">
        <v>531121</v>
      </c>
    </row>
    <row r="43" spans="1:39" s="155" customFormat="1" ht="12" hidden="1" x14ac:dyDescent="0.2">
      <c r="A43" s="146">
        <v>10</v>
      </c>
      <c r="B43" s="161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4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61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4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61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4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61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4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61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4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61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4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61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4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61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4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61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4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61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4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61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4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5"/>
      <c r="C54" s="208"/>
      <c r="D54" s="432">
        <f t="shared" ref="D54:D117" si="13">E54+SUM(H54:O54)</f>
        <v>464739099</v>
      </c>
      <c r="E54" s="432">
        <f>SUM(E55:E143)</f>
        <v>81489608</v>
      </c>
      <c r="F54" s="432">
        <f t="shared" ref="F54:O54" si="14">SUM(F55:F143)</f>
        <v>19883336</v>
      </c>
      <c r="G54" s="432">
        <f t="shared" si="14"/>
        <v>24001827</v>
      </c>
      <c r="H54" s="432">
        <f t="shared" si="14"/>
        <v>0</v>
      </c>
      <c r="I54" s="432">
        <f t="shared" si="14"/>
        <v>112994911</v>
      </c>
      <c r="J54" s="432">
        <f t="shared" si="14"/>
        <v>5164787</v>
      </c>
      <c r="K54" s="432">
        <f t="shared" si="14"/>
        <v>113272240</v>
      </c>
      <c r="L54" s="432">
        <f t="shared" si="14"/>
        <v>0</v>
      </c>
      <c r="M54" s="432">
        <f t="shared" si="14"/>
        <v>94179451</v>
      </c>
      <c r="N54" s="432">
        <f t="shared" si="14"/>
        <v>46107891</v>
      </c>
      <c r="O54" s="432">
        <f t="shared" si="14"/>
        <v>11530211</v>
      </c>
      <c r="P54" s="432">
        <f t="shared" si="4"/>
        <v>477700430</v>
      </c>
      <c r="Q54" s="432">
        <f>SUM(Q55:Q143)</f>
        <v>132084981</v>
      </c>
      <c r="R54" s="432">
        <f t="shared" ref="R54:AM54" si="15">SUM(R55:R143)</f>
        <v>64703717</v>
      </c>
      <c r="S54" s="432">
        <f t="shared" si="15"/>
        <v>259288</v>
      </c>
      <c r="T54" s="432">
        <f t="shared" si="15"/>
        <v>0</v>
      </c>
      <c r="U54" s="432">
        <f t="shared" si="15"/>
        <v>489694</v>
      </c>
      <c r="V54" s="432">
        <f t="shared" si="15"/>
        <v>860919</v>
      </c>
      <c r="W54" s="432">
        <f t="shared" si="15"/>
        <v>39082358</v>
      </c>
      <c r="X54" s="432">
        <f t="shared" si="15"/>
        <v>25248114</v>
      </c>
      <c r="Y54" s="432">
        <f t="shared" si="15"/>
        <v>968527</v>
      </c>
      <c r="Z54" s="432">
        <f t="shared" si="15"/>
        <v>209436689</v>
      </c>
      <c r="AA54" s="432">
        <f t="shared" si="15"/>
        <v>4912081</v>
      </c>
      <c r="AB54" s="432">
        <f t="shared" si="15"/>
        <v>-345938</v>
      </c>
      <c r="AC54" s="432">
        <f t="shared" si="15"/>
        <v>66264776</v>
      </c>
      <c r="AD54" s="432">
        <f t="shared" si="15"/>
        <v>2631350</v>
      </c>
      <c r="AE54" s="432">
        <f t="shared" si="15"/>
        <v>86679766</v>
      </c>
      <c r="AF54" s="432">
        <f t="shared" si="15"/>
        <v>1718945</v>
      </c>
      <c r="AG54" s="432">
        <f t="shared" si="15"/>
        <v>39495352</v>
      </c>
      <c r="AH54" s="432">
        <f t="shared" si="15"/>
        <v>45972852</v>
      </c>
      <c r="AI54" s="432">
        <f t="shared" si="15"/>
        <v>55072681</v>
      </c>
      <c r="AJ54" s="432">
        <f t="shared" si="15"/>
        <v>15548233</v>
      </c>
      <c r="AK54" s="432">
        <f t="shared" si="15"/>
        <v>0</v>
      </c>
      <c r="AL54" s="432">
        <f>SUM(AL55:AL143)</f>
        <v>156611614</v>
      </c>
      <c r="AM54" s="432">
        <f t="shared" si="15"/>
        <v>7704861</v>
      </c>
    </row>
    <row r="55" spans="1:39" s="155" customFormat="1" ht="12" x14ac:dyDescent="0.2">
      <c r="A55" s="168">
        <v>1</v>
      </c>
      <c r="B55" s="200">
        <v>168229</v>
      </c>
      <c r="C55" s="246" t="s">
        <v>816</v>
      </c>
      <c r="D55" s="432">
        <f t="shared" si="13"/>
        <v>5937769</v>
      </c>
      <c r="E55" s="431">
        <v>2057748</v>
      </c>
      <c r="F55" s="431">
        <v>989205</v>
      </c>
      <c r="G55" s="431">
        <v>180212</v>
      </c>
      <c r="H55" s="431">
        <v>0</v>
      </c>
      <c r="I55" s="431">
        <v>2537962</v>
      </c>
      <c r="J55" s="431">
        <v>98000</v>
      </c>
      <c r="K55" s="431">
        <v>140720</v>
      </c>
      <c r="L55" s="431">
        <v>0</v>
      </c>
      <c r="M55" s="431">
        <v>278340</v>
      </c>
      <c r="N55" s="431">
        <v>803819</v>
      </c>
      <c r="O55" s="431">
        <v>21180</v>
      </c>
      <c r="P55" s="432">
        <f t="shared" ref="P55:P118" si="16">IF(SUM(Q55:AB55)=SUM(AC55:AM55),SUM(Q55:AB55),"  EROARE ART/CAP")</f>
        <v>7002928</v>
      </c>
      <c r="Q55" s="431">
        <v>3032834</v>
      </c>
      <c r="R55" s="431">
        <v>1813046</v>
      </c>
      <c r="S55" s="431">
        <v>0</v>
      </c>
      <c r="T55" s="431">
        <v>0</v>
      </c>
      <c r="U55" s="431">
        <v>0</v>
      </c>
      <c r="V55" s="431">
        <v>5500</v>
      </c>
      <c r="W55" s="431">
        <v>1056412</v>
      </c>
      <c r="X55" s="431">
        <v>221076</v>
      </c>
      <c r="Y55" s="431">
        <v>27108</v>
      </c>
      <c r="Z55" s="431">
        <v>851338</v>
      </c>
      <c r="AA55" s="431">
        <v>0</v>
      </c>
      <c r="AB55" s="431">
        <v>-4386</v>
      </c>
      <c r="AC55" s="431">
        <v>1281090</v>
      </c>
      <c r="AD55" s="431">
        <v>0</v>
      </c>
      <c r="AE55" s="431">
        <v>2204156</v>
      </c>
      <c r="AF55" s="431">
        <v>0</v>
      </c>
      <c r="AG55" s="431">
        <v>436786</v>
      </c>
      <c r="AH55" s="431">
        <v>769026</v>
      </c>
      <c r="AI55" s="431">
        <v>723863</v>
      </c>
      <c r="AJ55" s="431">
        <v>0</v>
      </c>
      <c r="AK55" s="431">
        <v>0</v>
      </c>
      <c r="AL55" s="431">
        <v>1579567</v>
      </c>
      <c r="AM55" s="431">
        <v>8440</v>
      </c>
    </row>
    <row r="56" spans="1:39" s="155" customFormat="1" ht="12" x14ac:dyDescent="0.2">
      <c r="A56" s="168">
        <v>2</v>
      </c>
      <c r="B56" s="200">
        <v>168309</v>
      </c>
      <c r="C56" s="246" t="s">
        <v>817</v>
      </c>
      <c r="D56" s="432">
        <f t="shared" si="13"/>
        <v>3164013</v>
      </c>
      <c r="E56" s="431">
        <v>609579</v>
      </c>
      <c r="F56" s="431">
        <v>71473</v>
      </c>
      <c r="G56" s="431">
        <v>240283</v>
      </c>
      <c r="H56" s="431">
        <v>0</v>
      </c>
      <c r="I56" s="431">
        <v>997087</v>
      </c>
      <c r="J56" s="431">
        <v>104000</v>
      </c>
      <c r="K56" s="431">
        <v>1072970</v>
      </c>
      <c r="L56" s="431">
        <v>0</v>
      </c>
      <c r="M56" s="431">
        <v>380377</v>
      </c>
      <c r="N56" s="431">
        <v>0</v>
      </c>
      <c r="O56" s="431">
        <v>0</v>
      </c>
      <c r="P56" s="432">
        <f t="shared" si="16"/>
        <v>3049734</v>
      </c>
      <c r="Q56" s="431">
        <v>1154866</v>
      </c>
      <c r="R56" s="431">
        <v>688207</v>
      </c>
      <c r="S56" s="431">
        <v>0</v>
      </c>
      <c r="T56" s="431">
        <v>0</v>
      </c>
      <c r="U56" s="431">
        <v>0</v>
      </c>
      <c r="V56" s="431">
        <v>6300</v>
      </c>
      <c r="W56" s="431">
        <v>0</v>
      </c>
      <c r="X56" s="431">
        <v>336179</v>
      </c>
      <c r="Y56" s="431">
        <v>8000</v>
      </c>
      <c r="Z56" s="431">
        <v>856438</v>
      </c>
      <c r="AA56" s="431">
        <v>0</v>
      </c>
      <c r="AB56" s="431">
        <v>-256</v>
      </c>
      <c r="AC56" s="431">
        <v>660359</v>
      </c>
      <c r="AD56" s="431">
        <v>840</v>
      </c>
      <c r="AE56" s="431">
        <v>718704</v>
      </c>
      <c r="AF56" s="431">
        <v>21529</v>
      </c>
      <c r="AG56" s="431">
        <v>327583</v>
      </c>
      <c r="AH56" s="431">
        <v>446669</v>
      </c>
      <c r="AI56" s="431">
        <v>82110</v>
      </c>
      <c r="AJ56" s="431">
        <v>16439</v>
      </c>
      <c r="AK56" s="431">
        <v>0</v>
      </c>
      <c r="AL56" s="431">
        <v>775501</v>
      </c>
      <c r="AM56" s="431">
        <v>0</v>
      </c>
    </row>
    <row r="57" spans="1:39" s="155" customFormat="1" ht="12" x14ac:dyDescent="0.2">
      <c r="A57" s="168">
        <v>3</v>
      </c>
      <c r="B57" s="200">
        <v>168559</v>
      </c>
      <c r="C57" s="246" t="s">
        <v>818</v>
      </c>
      <c r="D57" s="432">
        <f t="shared" si="13"/>
        <v>8298233</v>
      </c>
      <c r="E57" s="431">
        <v>1371172</v>
      </c>
      <c r="F57" s="431">
        <v>226143</v>
      </c>
      <c r="G57" s="431">
        <v>467764</v>
      </c>
      <c r="H57" s="431">
        <v>0</v>
      </c>
      <c r="I57" s="431">
        <v>1485151</v>
      </c>
      <c r="J57" s="431">
        <v>25000</v>
      </c>
      <c r="K57" s="431">
        <v>873800</v>
      </c>
      <c r="L57" s="431">
        <v>0</v>
      </c>
      <c r="M57" s="431">
        <v>3149441</v>
      </c>
      <c r="N57" s="431">
        <v>1387149</v>
      </c>
      <c r="O57" s="431">
        <v>6520</v>
      </c>
      <c r="P57" s="432">
        <f t="shared" si="16"/>
        <v>8712123</v>
      </c>
      <c r="Q57" s="431">
        <v>1478065</v>
      </c>
      <c r="R57" s="431">
        <v>593105</v>
      </c>
      <c r="S57" s="431">
        <v>46114</v>
      </c>
      <c r="T57" s="431">
        <v>0</v>
      </c>
      <c r="U57" s="431">
        <v>0</v>
      </c>
      <c r="V57" s="431">
        <v>14700</v>
      </c>
      <c r="W57" s="431">
        <v>1027772</v>
      </c>
      <c r="X57" s="431">
        <v>515780</v>
      </c>
      <c r="Y57" s="431">
        <v>8000</v>
      </c>
      <c r="Z57" s="431">
        <v>4408587</v>
      </c>
      <c r="AA57" s="431">
        <v>620000</v>
      </c>
      <c r="AB57" s="431">
        <v>0</v>
      </c>
      <c r="AC57" s="431">
        <v>554384</v>
      </c>
      <c r="AD57" s="431">
        <v>24584</v>
      </c>
      <c r="AE57" s="431">
        <v>1191783</v>
      </c>
      <c r="AF57" s="431">
        <v>0</v>
      </c>
      <c r="AG57" s="431">
        <v>2127514</v>
      </c>
      <c r="AH57" s="431">
        <v>506839</v>
      </c>
      <c r="AI57" s="431">
        <v>2460424</v>
      </c>
      <c r="AJ57" s="431">
        <v>0</v>
      </c>
      <c r="AK57" s="431">
        <v>0</v>
      </c>
      <c r="AL57" s="431">
        <v>1846595</v>
      </c>
      <c r="AM57" s="431">
        <v>0</v>
      </c>
    </row>
    <row r="58" spans="1:39" s="155" customFormat="1" ht="12" x14ac:dyDescent="0.2">
      <c r="A58" s="168">
        <v>4</v>
      </c>
      <c r="B58" s="200">
        <v>168675</v>
      </c>
      <c r="C58" s="246" t="s">
        <v>819</v>
      </c>
      <c r="D58" s="432">
        <f t="shared" si="13"/>
        <v>5310494</v>
      </c>
      <c r="E58" s="431">
        <v>801009</v>
      </c>
      <c r="F58" s="431">
        <v>172797</v>
      </c>
      <c r="G58" s="431">
        <v>217633</v>
      </c>
      <c r="H58" s="431">
        <v>0</v>
      </c>
      <c r="I58" s="431">
        <v>1356741</v>
      </c>
      <c r="J58" s="431">
        <v>24000</v>
      </c>
      <c r="K58" s="431">
        <v>984770</v>
      </c>
      <c r="L58" s="431">
        <v>0</v>
      </c>
      <c r="M58" s="431">
        <v>1600480</v>
      </c>
      <c r="N58" s="431">
        <v>540734</v>
      </c>
      <c r="O58" s="431">
        <v>2760</v>
      </c>
      <c r="P58" s="432">
        <f t="shared" si="16"/>
        <v>7438056</v>
      </c>
      <c r="Q58" s="431">
        <v>1597393</v>
      </c>
      <c r="R58" s="431">
        <v>1039849</v>
      </c>
      <c r="S58" s="431">
        <v>0</v>
      </c>
      <c r="T58" s="431">
        <v>0</v>
      </c>
      <c r="U58" s="431">
        <v>0</v>
      </c>
      <c r="V58" s="431">
        <v>7786</v>
      </c>
      <c r="W58" s="431">
        <v>636758</v>
      </c>
      <c r="X58" s="431">
        <v>305194</v>
      </c>
      <c r="Y58" s="431">
        <v>160000</v>
      </c>
      <c r="Z58" s="431">
        <v>3361222</v>
      </c>
      <c r="AA58" s="431">
        <v>332415</v>
      </c>
      <c r="AB58" s="431">
        <v>-2561</v>
      </c>
      <c r="AC58" s="431">
        <v>910578</v>
      </c>
      <c r="AD58" s="431">
        <v>656376</v>
      </c>
      <c r="AE58" s="431">
        <v>1017940</v>
      </c>
      <c r="AF58" s="431">
        <v>0</v>
      </c>
      <c r="AG58" s="431">
        <v>180044</v>
      </c>
      <c r="AH58" s="431">
        <v>457194</v>
      </c>
      <c r="AI58" s="431">
        <v>80390</v>
      </c>
      <c r="AJ58" s="431">
        <v>0</v>
      </c>
      <c r="AK58" s="431">
        <v>0</v>
      </c>
      <c r="AL58" s="431">
        <v>4110116</v>
      </c>
      <c r="AM58" s="431">
        <v>25418</v>
      </c>
    </row>
    <row r="59" spans="1:39" s="155" customFormat="1" ht="12" x14ac:dyDescent="0.2">
      <c r="A59" s="168">
        <v>5</v>
      </c>
      <c r="B59" s="200">
        <v>168755</v>
      </c>
      <c r="C59" s="246" t="s">
        <v>820</v>
      </c>
      <c r="D59" s="432">
        <f t="shared" si="13"/>
        <v>5112721</v>
      </c>
      <c r="E59" s="431">
        <v>546910</v>
      </c>
      <c r="F59" s="431">
        <v>68919</v>
      </c>
      <c r="G59" s="431">
        <v>255054</v>
      </c>
      <c r="H59" s="431">
        <v>0</v>
      </c>
      <c r="I59" s="431">
        <v>944469</v>
      </c>
      <c r="J59" s="431">
        <v>30000</v>
      </c>
      <c r="K59" s="431">
        <v>2726720</v>
      </c>
      <c r="L59" s="431">
        <v>0</v>
      </c>
      <c r="M59" s="431">
        <v>476526</v>
      </c>
      <c r="N59" s="431">
        <v>378836</v>
      </c>
      <c r="O59" s="431">
        <v>9260</v>
      </c>
      <c r="P59" s="432">
        <f t="shared" si="16"/>
        <v>4657063</v>
      </c>
      <c r="Q59" s="431">
        <v>1407296</v>
      </c>
      <c r="R59" s="431">
        <v>424512</v>
      </c>
      <c r="S59" s="431">
        <v>0</v>
      </c>
      <c r="T59" s="431">
        <v>0</v>
      </c>
      <c r="U59" s="431">
        <v>0</v>
      </c>
      <c r="V59" s="431">
        <v>0</v>
      </c>
      <c r="W59" s="431">
        <v>965970</v>
      </c>
      <c r="X59" s="431">
        <v>91534</v>
      </c>
      <c r="Y59" s="431">
        <v>0</v>
      </c>
      <c r="Z59" s="431">
        <v>1771670</v>
      </c>
      <c r="AA59" s="431">
        <v>0</v>
      </c>
      <c r="AB59" s="431">
        <v>-3919</v>
      </c>
      <c r="AC59" s="431">
        <v>698416</v>
      </c>
      <c r="AD59" s="431">
        <v>0</v>
      </c>
      <c r="AE59" s="431">
        <v>821952</v>
      </c>
      <c r="AF59" s="431">
        <v>0</v>
      </c>
      <c r="AG59" s="431">
        <v>384282</v>
      </c>
      <c r="AH59" s="431">
        <v>230220</v>
      </c>
      <c r="AI59" s="431">
        <v>66491</v>
      </c>
      <c r="AJ59" s="431">
        <v>6114</v>
      </c>
      <c r="AK59" s="431">
        <v>0</v>
      </c>
      <c r="AL59" s="431">
        <v>2449588</v>
      </c>
      <c r="AM59" s="431">
        <v>0</v>
      </c>
    </row>
    <row r="60" spans="1:39" s="155" customFormat="1" ht="12" x14ac:dyDescent="0.2">
      <c r="A60" s="168">
        <v>6</v>
      </c>
      <c r="B60" s="200">
        <v>168791</v>
      </c>
      <c r="C60" s="246" t="s">
        <v>821</v>
      </c>
      <c r="D60" s="432">
        <f t="shared" si="13"/>
        <v>7004005</v>
      </c>
      <c r="E60" s="431">
        <v>3463242</v>
      </c>
      <c r="F60" s="431">
        <v>600220</v>
      </c>
      <c r="G60" s="431">
        <v>1313678</v>
      </c>
      <c r="H60" s="431">
        <v>0</v>
      </c>
      <c r="I60" s="431">
        <v>2254394</v>
      </c>
      <c r="J60" s="431">
        <v>139000</v>
      </c>
      <c r="K60" s="431">
        <v>798030</v>
      </c>
      <c r="L60" s="431">
        <v>0</v>
      </c>
      <c r="M60" s="431">
        <v>45579</v>
      </c>
      <c r="N60" s="431">
        <v>0</v>
      </c>
      <c r="O60" s="431">
        <v>303760</v>
      </c>
      <c r="P60" s="432">
        <f t="shared" si="16"/>
        <v>9776982</v>
      </c>
      <c r="Q60" s="431">
        <v>2408555</v>
      </c>
      <c r="R60" s="431">
        <v>1783927</v>
      </c>
      <c r="S60" s="431">
        <v>0</v>
      </c>
      <c r="T60" s="431">
        <v>0</v>
      </c>
      <c r="U60" s="431">
        <v>0</v>
      </c>
      <c r="V60" s="431">
        <v>11487</v>
      </c>
      <c r="W60" s="431">
        <v>0</v>
      </c>
      <c r="X60" s="431">
        <v>489282</v>
      </c>
      <c r="Y60" s="431">
        <v>0</v>
      </c>
      <c r="Z60" s="431">
        <v>5088657</v>
      </c>
      <c r="AA60" s="431">
        <v>0</v>
      </c>
      <c r="AB60" s="431">
        <v>-4926</v>
      </c>
      <c r="AC60" s="431">
        <v>1549227</v>
      </c>
      <c r="AD60" s="431">
        <v>39421</v>
      </c>
      <c r="AE60" s="431">
        <v>1692049</v>
      </c>
      <c r="AF60" s="431">
        <v>0</v>
      </c>
      <c r="AG60" s="431">
        <v>65152</v>
      </c>
      <c r="AH60" s="431">
        <v>715181</v>
      </c>
      <c r="AI60" s="431">
        <v>70715</v>
      </c>
      <c r="AJ60" s="431">
        <v>276499</v>
      </c>
      <c r="AK60" s="431">
        <v>0</v>
      </c>
      <c r="AL60" s="431">
        <v>5368738</v>
      </c>
      <c r="AM60" s="431">
        <v>0</v>
      </c>
    </row>
    <row r="61" spans="1:39" s="155" customFormat="1" ht="12" x14ac:dyDescent="0.2">
      <c r="A61" s="168">
        <v>7</v>
      </c>
      <c r="B61" s="200">
        <v>168880</v>
      </c>
      <c r="C61" s="246" t="s">
        <v>822</v>
      </c>
      <c r="D61" s="432">
        <f t="shared" si="13"/>
        <v>5115497</v>
      </c>
      <c r="E61" s="431">
        <v>2755347</v>
      </c>
      <c r="F61" s="431">
        <v>1320400</v>
      </c>
      <c r="G61" s="431">
        <v>392922</v>
      </c>
      <c r="H61" s="431">
        <v>0</v>
      </c>
      <c r="I61" s="431">
        <v>2006309</v>
      </c>
      <c r="J61" s="431">
        <v>30000</v>
      </c>
      <c r="K61" s="431">
        <v>195620</v>
      </c>
      <c r="L61" s="431">
        <v>0</v>
      </c>
      <c r="M61" s="431">
        <v>32306</v>
      </c>
      <c r="N61" s="431">
        <v>0</v>
      </c>
      <c r="O61" s="431">
        <v>95915</v>
      </c>
      <c r="P61" s="432">
        <f t="shared" si="16"/>
        <v>5681482</v>
      </c>
      <c r="Q61" s="431">
        <v>1987056</v>
      </c>
      <c r="R61" s="431">
        <v>1109442</v>
      </c>
      <c r="S61" s="431">
        <v>0</v>
      </c>
      <c r="T61" s="431">
        <v>0</v>
      </c>
      <c r="U61" s="431">
        <v>0</v>
      </c>
      <c r="V61" s="431">
        <v>27743</v>
      </c>
      <c r="W61" s="431">
        <v>579006</v>
      </c>
      <c r="X61" s="431">
        <v>806350</v>
      </c>
      <c r="Y61" s="431">
        <v>10000</v>
      </c>
      <c r="Z61" s="431">
        <v>1164978</v>
      </c>
      <c r="AA61" s="431">
        <v>0</v>
      </c>
      <c r="AB61" s="431">
        <v>-3093</v>
      </c>
      <c r="AC61" s="431">
        <v>700784</v>
      </c>
      <c r="AD61" s="431">
        <v>87544</v>
      </c>
      <c r="AE61" s="431">
        <v>1821959</v>
      </c>
      <c r="AF61" s="431">
        <v>14684</v>
      </c>
      <c r="AG61" s="431">
        <v>40970</v>
      </c>
      <c r="AH61" s="431">
        <v>776182</v>
      </c>
      <c r="AI61" s="431">
        <v>208396</v>
      </c>
      <c r="AJ61" s="431">
        <v>81819</v>
      </c>
      <c r="AK61" s="431">
        <v>0</v>
      </c>
      <c r="AL61" s="431">
        <v>1949144</v>
      </c>
      <c r="AM61" s="431">
        <v>0</v>
      </c>
    </row>
    <row r="62" spans="1:39" s="155" customFormat="1" ht="12" x14ac:dyDescent="0.2">
      <c r="A62" s="168">
        <v>8</v>
      </c>
      <c r="B62" s="200">
        <v>168960</v>
      </c>
      <c r="C62" s="246" t="s">
        <v>823</v>
      </c>
      <c r="D62" s="432">
        <f t="shared" si="13"/>
        <v>5851684</v>
      </c>
      <c r="E62" s="431">
        <v>606705</v>
      </c>
      <c r="F62" s="431">
        <v>76396</v>
      </c>
      <c r="G62" s="431">
        <v>244222</v>
      </c>
      <c r="H62" s="431">
        <v>0</v>
      </c>
      <c r="I62" s="431">
        <v>1039240</v>
      </c>
      <c r="J62" s="431">
        <v>61000</v>
      </c>
      <c r="K62" s="431">
        <v>1634730</v>
      </c>
      <c r="L62" s="431">
        <v>0</v>
      </c>
      <c r="M62" s="431">
        <v>1171408</v>
      </c>
      <c r="N62" s="431">
        <v>1338601</v>
      </c>
      <c r="O62" s="431">
        <v>0</v>
      </c>
      <c r="P62" s="432">
        <f t="shared" si="16"/>
        <v>7349687</v>
      </c>
      <c r="Q62" s="431">
        <v>1293649</v>
      </c>
      <c r="R62" s="431">
        <v>983929</v>
      </c>
      <c r="S62" s="431">
        <v>0</v>
      </c>
      <c r="T62" s="431">
        <v>0</v>
      </c>
      <c r="U62" s="431">
        <v>0</v>
      </c>
      <c r="V62" s="431">
        <v>11054</v>
      </c>
      <c r="W62" s="431">
        <v>2583841</v>
      </c>
      <c r="X62" s="431">
        <v>246899</v>
      </c>
      <c r="Y62" s="431">
        <v>0</v>
      </c>
      <c r="Z62" s="431">
        <v>2230315</v>
      </c>
      <c r="AA62" s="431">
        <v>0</v>
      </c>
      <c r="AB62" s="431">
        <v>0</v>
      </c>
      <c r="AC62" s="431">
        <v>724804</v>
      </c>
      <c r="AD62" s="431">
        <v>12999</v>
      </c>
      <c r="AE62" s="431">
        <v>963189</v>
      </c>
      <c r="AF62" s="431">
        <v>91869</v>
      </c>
      <c r="AG62" s="431">
        <v>382093</v>
      </c>
      <c r="AH62" s="431">
        <v>243247</v>
      </c>
      <c r="AI62" s="431">
        <v>98130</v>
      </c>
      <c r="AJ62" s="431">
        <v>0</v>
      </c>
      <c r="AK62" s="431">
        <v>0</v>
      </c>
      <c r="AL62" s="431">
        <v>4833356</v>
      </c>
      <c r="AM62" s="431">
        <v>0</v>
      </c>
    </row>
    <row r="63" spans="1:39" s="155" customFormat="1" ht="12" x14ac:dyDescent="0.2">
      <c r="A63" s="168">
        <v>9</v>
      </c>
      <c r="B63" s="200">
        <v>169039</v>
      </c>
      <c r="C63" s="246" t="s">
        <v>824</v>
      </c>
      <c r="D63" s="432">
        <f t="shared" si="13"/>
        <v>5335424</v>
      </c>
      <c r="E63" s="431">
        <v>943822</v>
      </c>
      <c r="F63" s="431">
        <v>155643</v>
      </c>
      <c r="G63" s="431">
        <v>393906</v>
      </c>
      <c r="H63" s="431">
        <v>0</v>
      </c>
      <c r="I63" s="431">
        <v>2349182</v>
      </c>
      <c r="J63" s="431">
        <v>7000</v>
      </c>
      <c r="K63" s="431">
        <v>1007150</v>
      </c>
      <c r="L63" s="431">
        <v>0</v>
      </c>
      <c r="M63" s="431">
        <v>1024590</v>
      </c>
      <c r="N63" s="431">
        <v>0</v>
      </c>
      <c r="O63" s="431">
        <v>3680</v>
      </c>
      <c r="P63" s="432">
        <f t="shared" si="16"/>
        <v>6762762</v>
      </c>
      <c r="Q63" s="431">
        <v>2586183</v>
      </c>
      <c r="R63" s="431">
        <v>1409062</v>
      </c>
      <c r="S63" s="431">
        <v>0</v>
      </c>
      <c r="T63" s="431">
        <v>0</v>
      </c>
      <c r="U63" s="431">
        <v>0</v>
      </c>
      <c r="V63" s="431">
        <v>37999</v>
      </c>
      <c r="W63" s="431">
        <v>0</v>
      </c>
      <c r="X63" s="431">
        <v>332416</v>
      </c>
      <c r="Y63" s="431">
        <v>13390</v>
      </c>
      <c r="Z63" s="431">
        <v>2383712</v>
      </c>
      <c r="AA63" s="431">
        <v>0</v>
      </c>
      <c r="AB63" s="431">
        <v>0</v>
      </c>
      <c r="AC63" s="431">
        <v>856033</v>
      </c>
      <c r="AD63" s="431">
        <v>15000</v>
      </c>
      <c r="AE63" s="431">
        <v>1863291</v>
      </c>
      <c r="AF63" s="431">
        <v>24729</v>
      </c>
      <c r="AG63" s="431">
        <v>63182</v>
      </c>
      <c r="AH63" s="431">
        <v>641926</v>
      </c>
      <c r="AI63" s="431">
        <v>220968</v>
      </c>
      <c r="AJ63" s="431">
        <v>0</v>
      </c>
      <c r="AK63" s="431">
        <v>0</v>
      </c>
      <c r="AL63" s="431">
        <v>3074333</v>
      </c>
      <c r="AM63" s="431">
        <v>3300</v>
      </c>
    </row>
    <row r="64" spans="1:39" s="155" customFormat="1" ht="12" x14ac:dyDescent="0.2">
      <c r="A64" s="168">
        <v>10</v>
      </c>
      <c r="B64" s="200">
        <v>169119</v>
      </c>
      <c r="C64" s="246" t="s">
        <v>825</v>
      </c>
      <c r="D64" s="432">
        <f t="shared" si="13"/>
        <v>4653828</v>
      </c>
      <c r="E64" s="431">
        <v>893874</v>
      </c>
      <c r="F64" s="431">
        <v>348301</v>
      </c>
      <c r="G64" s="431">
        <v>156578</v>
      </c>
      <c r="H64" s="431">
        <v>0</v>
      </c>
      <c r="I64" s="431">
        <v>1322227</v>
      </c>
      <c r="J64" s="431">
        <v>0</v>
      </c>
      <c r="K64" s="431">
        <v>883250</v>
      </c>
      <c r="L64" s="431">
        <v>0</v>
      </c>
      <c r="M64" s="431">
        <v>680909</v>
      </c>
      <c r="N64" s="431">
        <v>762968</v>
      </c>
      <c r="O64" s="431">
        <v>110600</v>
      </c>
      <c r="P64" s="432">
        <f t="shared" si="16"/>
        <v>4299367</v>
      </c>
      <c r="Q64" s="431">
        <v>1562881</v>
      </c>
      <c r="R64" s="431">
        <v>663503</v>
      </c>
      <c r="S64" s="431">
        <v>6000</v>
      </c>
      <c r="T64" s="431">
        <v>0</v>
      </c>
      <c r="U64" s="431">
        <v>0</v>
      </c>
      <c r="V64" s="431">
        <v>4300</v>
      </c>
      <c r="W64" s="431">
        <v>412953</v>
      </c>
      <c r="X64" s="431">
        <v>133980</v>
      </c>
      <c r="Y64" s="431">
        <v>0</v>
      </c>
      <c r="Z64" s="431">
        <v>1058116</v>
      </c>
      <c r="AA64" s="431">
        <v>457634</v>
      </c>
      <c r="AB64" s="431">
        <v>0</v>
      </c>
      <c r="AC64" s="431">
        <v>882572</v>
      </c>
      <c r="AD64" s="431">
        <v>0</v>
      </c>
      <c r="AE64" s="431">
        <v>1172762</v>
      </c>
      <c r="AF64" s="431">
        <v>2000</v>
      </c>
      <c r="AG64" s="431">
        <v>598406</v>
      </c>
      <c r="AH64" s="431">
        <v>406783</v>
      </c>
      <c r="AI64" s="431">
        <v>92103</v>
      </c>
      <c r="AJ64" s="431">
        <v>0</v>
      </c>
      <c r="AK64" s="431">
        <v>0</v>
      </c>
      <c r="AL64" s="431">
        <v>1144741</v>
      </c>
      <c r="AM64" s="431">
        <v>0</v>
      </c>
    </row>
    <row r="65" spans="1:39" s="155" customFormat="1" ht="12" x14ac:dyDescent="0.2">
      <c r="A65" s="168">
        <v>11</v>
      </c>
      <c r="B65" s="200">
        <v>169182</v>
      </c>
      <c r="C65" s="246" t="s">
        <v>826</v>
      </c>
      <c r="D65" s="432">
        <f t="shared" si="13"/>
        <v>3787041</v>
      </c>
      <c r="E65" s="431">
        <v>804131</v>
      </c>
      <c r="F65" s="431">
        <v>137156</v>
      </c>
      <c r="G65" s="431">
        <v>220587</v>
      </c>
      <c r="H65" s="431">
        <v>0</v>
      </c>
      <c r="I65" s="431">
        <v>1623532</v>
      </c>
      <c r="J65" s="431">
        <v>7000</v>
      </c>
      <c r="K65" s="431">
        <v>992480</v>
      </c>
      <c r="L65" s="431">
        <v>0</v>
      </c>
      <c r="M65" s="431">
        <v>352538</v>
      </c>
      <c r="N65" s="431">
        <v>0</v>
      </c>
      <c r="O65" s="431">
        <v>7360</v>
      </c>
      <c r="P65" s="432">
        <f t="shared" si="16"/>
        <v>6306153</v>
      </c>
      <c r="Q65" s="431">
        <v>1857205</v>
      </c>
      <c r="R65" s="431">
        <v>660469</v>
      </c>
      <c r="S65" s="431">
        <v>0</v>
      </c>
      <c r="T65" s="431">
        <v>0</v>
      </c>
      <c r="U65" s="431">
        <v>0</v>
      </c>
      <c r="V65" s="431">
        <v>8150</v>
      </c>
      <c r="W65" s="431">
        <v>0</v>
      </c>
      <c r="X65" s="431">
        <v>313283</v>
      </c>
      <c r="Y65" s="431">
        <v>35898</v>
      </c>
      <c r="Z65" s="431">
        <v>3445501</v>
      </c>
      <c r="AA65" s="431">
        <v>0</v>
      </c>
      <c r="AB65" s="431">
        <v>-14353</v>
      </c>
      <c r="AC65" s="431">
        <v>545602</v>
      </c>
      <c r="AD65" s="431">
        <v>3841</v>
      </c>
      <c r="AE65" s="431">
        <v>1225564</v>
      </c>
      <c r="AF65" s="431">
        <v>0</v>
      </c>
      <c r="AG65" s="431">
        <v>131145</v>
      </c>
      <c r="AH65" s="431">
        <v>600593</v>
      </c>
      <c r="AI65" s="431">
        <v>262682</v>
      </c>
      <c r="AJ65" s="431">
        <v>138851</v>
      </c>
      <c r="AK65" s="431">
        <v>0</v>
      </c>
      <c r="AL65" s="431">
        <v>3396175</v>
      </c>
      <c r="AM65" s="431">
        <v>1700</v>
      </c>
    </row>
    <row r="66" spans="1:39" s="155" customFormat="1" ht="12" x14ac:dyDescent="0.2">
      <c r="A66" s="168">
        <v>12</v>
      </c>
      <c r="B66" s="200">
        <v>169253</v>
      </c>
      <c r="C66" s="246" t="s">
        <v>827</v>
      </c>
      <c r="D66" s="432">
        <f t="shared" si="13"/>
        <v>3826017</v>
      </c>
      <c r="E66" s="431">
        <v>1109895</v>
      </c>
      <c r="F66" s="431">
        <v>571090</v>
      </c>
      <c r="G66" s="431">
        <v>124081</v>
      </c>
      <c r="H66" s="431">
        <v>0</v>
      </c>
      <c r="I66" s="431">
        <v>1438719</v>
      </c>
      <c r="J66" s="431">
        <v>0</v>
      </c>
      <c r="K66" s="431">
        <v>694640</v>
      </c>
      <c r="L66" s="431">
        <v>0</v>
      </c>
      <c r="M66" s="431">
        <v>157053</v>
      </c>
      <c r="N66" s="431">
        <v>422030</v>
      </c>
      <c r="O66" s="431">
        <v>3680</v>
      </c>
      <c r="P66" s="432">
        <f t="shared" si="16"/>
        <v>4011091</v>
      </c>
      <c r="Q66" s="431">
        <v>1656156</v>
      </c>
      <c r="R66" s="431">
        <v>1102124</v>
      </c>
      <c r="S66" s="431">
        <v>6400</v>
      </c>
      <c r="T66" s="431">
        <v>0</v>
      </c>
      <c r="U66" s="431">
        <v>0</v>
      </c>
      <c r="V66" s="431">
        <v>2500</v>
      </c>
      <c r="W66" s="431">
        <v>192832</v>
      </c>
      <c r="X66" s="431">
        <v>258511</v>
      </c>
      <c r="Y66" s="431">
        <v>24000</v>
      </c>
      <c r="Z66" s="431">
        <v>392989</v>
      </c>
      <c r="AA66" s="431">
        <v>379433</v>
      </c>
      <c r="AB66" s="431">
        <v>-3854</v>
      </c>
      <c r="AC66" s="431">
        <v>1116214</v>
      </c>
      <c r="AD66" s="431">
        <v>34485</v>
      </c>
      <c r="AE66" s="431">
        <v>1229526</v>
      </c>
      <c r="AF66" s="431">
        <v>21713</v>
      </c>
      <c r="AG66" s="431">
        <v>413202</v>
      </c>
      <c r="AH66" s="431">
        <v>345262</v>
      </c>
      <c r="AI66" s="431">
        <v>403889</v>
      </c>
      <c r="AJ66" s="431">
        <v>82502</v>
      </c>
      <c r="AK66" s="431">
        <v>0</v>
      </c>
      <c r="AL66" s="431">
        <v>355618</v>
      </c>
      <c r="AM66" s="431">
        <v>8680</v>
      </c>
    </row>
    <row r="67" spans="1:39" s="155" customFormat="1" ht="12" x14ac:dyDescent="0.2">
      <c r="A67" s="168">
        <v>13</v>
      </c>
      <c r="B67" s="200">
        <v>169306</v>
      </c>
      <c r="C67" s="246" t="s">
        <v>828</v>
      </c>
      <c r="D67" s="432">
        <f t="shared" si="13"/>
        <v>4205260</v>
      </c>
      <c r="E67" s="431">
        <v>697543</v>
      </c>
      <c r="F67" s="431">
        <v>85751</v>
      </c>
      <c r="G67" s="431">
        <v>222557</v>
      </c>
      <c r="H67" s="431">
        <v>0</v>
      </c>
      <c r="I67" s="431">
        <v>1074001</v>
      </c>
      <c r="J67" s="431">
        <v>12987</v>
      </c>
      <c r="K67" s="431">
        <v>1412490</v>
      </c>
      <c r="L67" s="431">
        <v>0</v>
      </c>
      <c r="M67" s="431">
        <v>866789</v>
      </c>
      <c r="N67" s="431">
        <v>133170</v>
      </c>
      <c r="O67" s="431">
        <v>8280</v>
      </c>
      <c r="P67" s="432">
        <f t="shared" si="16"/>
        <v>3729198</v>
      </c>
      <c r="Q67" s="431">
        <v>1235022</v>
      </c>
      <c r="R67" s="431">
        <v>552199</v>
      </c>
      <c r="S67" s="431">
        <v>0</v>
      </c>
      <c r="T67" s="431">
        <v>0</v>
      </c>
      <c r="U67" s="431">
        <v>0</v>
      </c>
      <c r="V67" s="431">
        <v>0</v>
      </c>
      <c r="W67" s="431">
        <v>172816</v>
      </c>
      <c r="X67" s="431">
        <v>382767</v>
      </c>
      <c r="Y67" s="431">
        <v>0</v>
      </c>
      <c r="Z67" s="431">
        <v>1390975</v>
      </c>
      <c r="AA67" s="431">
        <v>0</v>
      </c>
      <c r="AB67" s="431">
        <v>-4581</v>
      </c>
      <c r="AC67" s="431">
        <v>519750</v>
      </c>
      <c r="AD67" s="431">
        <v>9561</v>
      </c>
      <c r="AE67" s="431">
        <v>774078</v>
      </c>
      <c r="AF67" s="431">
        <v>0</v>
      </c>
      <c r="AG67" s="431">
        <v>126485</v>
      </c>
      <c r="AH67" s="431">
        <v>863563</v>
      </c>
      <c r="AI67" s="431">
        <v>98847</v>
      </c>
      <c r="AJ67" s="431">
        <v>1288319</v>
      </c>
      <c r="AK67" s="431">
        <v>0</v>
      </c>
      <c r="AL67" s="431">
        <v>47000</v>
      </c>
      <c r="AM67" s="431">
        <v>1595</v>
      </c>
    </row>
    <row r="68" spans="1:39" s="155" customFormat="1" ht="12" x14ac:dyDescent="0.2">
      <c r="A68" s="168">
        <v>14</v>
      </c>
      <c r="B68" s="200">
        <v>169351</v>
      </c>
      <c r="C68" s="246" t="s">
        <v>829</v>
      </c>
      <c r="D68" s="432">
        <f t="shared" si="13"/>
        <v>7810241</v>
      </c>
      <c r="E68" s="431">
        <v>1312515</v>
      </c>
      <c r="F68" s="431">
        <v>637463</v>
      </c>
      <c r="G68" s="431">
        <v>98477</v>
      </c>
      <c r="H68" s="431">
        <v>0</v>
      </c>
      <c r="I68" s="431">
        <v>1505578</v>
      </c>
      <c r="J68" s="431">
        <v>98000</v>
      </c>
      <c r="K68" s="431">
        <v>660080</v>
      </c>
      <c r="L68" s="431">
        <v>0</v>
      </c>
      <c r="M68" s="431">
        <v>2181303</v>
      </c>
      <c r="N68" s="431">
        <v>1947245</v>
      </c>
      <c r="O68" s="431">
        <v>105520</v>
      </c>
      <c r="P68" s="432">
        <f t="shared" si="16"/>
        <v>7453424</v>
      </c>
      <c r="Q68" s="431">
        <v>1747864</v>
      </c>
      <c r="R68" s="431">
        <v>975836</v>
      </c>
      <c r="S68" s="431">
        <v>0</v>
      </c>
      <c r="T68" s="431">
        <v>0</v>
      </c>
      <c r="U68" s="431">
        <v>0</v>
      </c>
      <c r="V68" s="431">
        <v>16500</v>
      </c>
      <c r="W68" s="431">
        <v>2218325</v>
      </c>
      <c r="X68" s="431">
        <v>335122</v>
      </c>
      <c r="Y68" s="431">
        <v>24950</v>
      </c>
      <c r="Z68" s="431">
        <v>2139457</v>
      </c>
      <c r="AA68" s="431">
        <v>0</v>
      </c>
      <c r="AB68" s="431">
        <v>-4630</v>
      </c>
      <c r="AC68" s="431">
        <v>1243311</v>
      </c>
      <c r="AD68" s="431">
        <v>257070</v>
      </c>
      <c r="AE68" s="431">
        <v>1144811</v>
      </c>
      <c r="AF68" s="431">
        <v>61690</v>
      </c>
      <c r="AG68" s="431">
        <v>1141231</v>
      </c>
      <c r="AH68" s="431">
        <v>667620</v>
      </c>
      <c r="AI68" s="431">
        <v>115247</v>
      </c>
      <c r="AJ68" s="431">
        <v>15957</v>
      </c>
      <c r="AK68" s="431">
        <v>0</v>
      </c>
      <c r="AL68" s="431">
        <v>2804787</v>
      </c>
      <c r="AM68" s="431">
        <v>1700</v>
      </c>
    </row>
    <row r="69" spans="1:39" s="155" customFormat="1" ht="12" x14ac:dyDescent="0.2">
      <c r="A69" s="168">
        <v>15</v>
      </c>
      <c r="B69" s="200">
        <v>169404</v>
      </c>
      <c r="C69" s="246" t="s">
        <v>830</v>
      </c>
      <c r="D69" s="432">
        <f t="shared" si="13"/>
        <v>3802863</v>
      </c>
      <c r="E69" s="431">
        <v>727796</v>
      </c>
      <c r="F69" s="431">
        <v>110565</v>
      </c>
      <c r="G69" s="431">
        <v>227481</v>
      </c>
      <c r="H69" s="431">
        <v>0</v>
      </c>
      <c r="I69" s="431">
        <v>1104440</v>
      </c>
      <c r="J69" s="431">
        <v>165000</v>
      </c>
      <c r="K69" s="431">
        <v>1065150</v>
      </c>
      <c r="L69" s="431">
        <v>0</v>
      </c>
      <c r="M69" s="431">
        <v>737717</v>
      </c>
      <c r="N69" s="431">
        <v>0</v>
      </c>
      <c r="O69" s="431">
        <v>2760</v>
      </c>
      <c r="P69" s="432">
        <f t="shared" si="16"/>
        <v>5068255</v>
      </c>
      <c r="Q69" s="431">
        <v>1428283</v>
      </c>
      <c r="R69" s="431">
        <v>765039</v>
      </c>
      <c r="S69" s="431">
        <v>0</v>
      </c>
      <c r="T69" s="431">
        <v>0</v>
      </c>
      <c r="U69" s="431">
        <v>0</v>
      </c>
      <c r="V69" s="431">
        <v>6300</v>
      </c>
      <c r="W69" s="431">
        <v>0</v>
      </c>
      <c r="X69" s="431">
        <v>171781</v>
      </c>
      <c r="Y69" s="431">
        <v>0</v>
      </c>
      <c r="Z69" s="431">
        <v>2696852</v>
      </c>
      <c r="AA69" s="431">
        <v>0</v>
      </c>
      <c r="AB69" s="431">
        <v>0</v>
      </c>
      <c r="AC69" s="431">
        <v>621093</v>
      </c>
      <c r="AD69" s="431">
        <v>248</v>
      </c>
      <c r="AE69" s="431">
        <v>888598</v>
      </c>
      <c r="AF69" s="431">
        <v>16543</v>
      </c>
      <c r="AG69" s="431">
        <v>79102</v>
      </c>
      <c r="AH69" s="431">
        <v>411275</v>
      </c>
      <c r="AI69" s="431">
        <v>287933</v>
      </c>
      <c r="AJ69" s="431">
        <v>16622</v>
      </c>
      <c r="AK69" s="431">
        <v>0</v>
      </c>
      <c r="AL69" s="431">
        <v>2746841</v>
      </c>
      <c r="AM69" s="431">
        <v>0</v>
      </c>
    </row>
    <row r="70" spans="1:39" s="155" customFormat="1" ht="12" x14ac:dyDescent="0.2">
      <c r="A70" s="168">
        <v>16</v>
      </c>
      <c r="B70" s="200">
        <v>174502</v>
      </c>
      <c r="C70" s="246" t="s">
        <v>831</v>
      </c>
      <c r="D70" s="432">
        <f t="shared" si="13"/>
        <v>6517001</v>
      </c>
      <c r="E70" s="431">
        <v>564210</v>
      </c>
      <c r="F70" s="431">
        <v>84301</v>
      </c>
      <c r="G70" s="431">
        <v>254070</v>
      </c>
      <c r="H70" s="431">
        <v>0</v>
      </c>
      <c r="I70" s="431">
        <v>976786</v>
      </c>
      <c r="J70" s="431">
        <v>0</v>
      </c>
      <c r="K70" s="431">
        <v>1412770</v>
      </c>
      <c r="L70" s="431">
        <v>0</v>
      </c>
      <c r="M70" s="431">
        <v>342113</v>
      </c>
      <c r="N70" s="431">
        <v>0</v>
      </c>
      <c r="O70" s="431">
        <v>3221122</v>
      </c>
      <c r="P70" s="432">
        <f t="shared" si="16"/>
        <v>7676554</v>
      </c>
      <c r="Q70" s="431">
        <v>1410454</v>
      </c>
      <c r="R70" s="431">
        <v>441108</v>
      </c>
      <c r="S70" s="431">
        <v>62504</v>
      </c>
      <c r="T70" s="431">
        <v>0</v>
      </c>
      <c r="U70" s="431">
        <v>0</v>
      </c>
      <c r="V70" s="431">
        <v>2000</v>
      </c>
      <c r="W70" s="431">
        <v>0</v>
      </c>
      <c r="X70" s="431">
        <v>143803</v>
      </c>
      <c r="Y70" s="431">
        <v>0</v>
      </c>
      <c r="Z70" s="431">
        <v>5432437</v>
      </c>
      <c r="AA70" s="431">
        <v>184248</v>
      </c>
      <c r="AB70" s="431">
        <v>0</v>
      </c>
      <c r="AC70" s="431">
        <v>764901</v>
      </c>
      <c r="AD70" s="431">
        <v>0</v>
      </c>
      <c r="AE70" s="431">
        <v>800487</v>
      </c>
      <c r="AF70" s="431">
        <v>24431</v>
      </c>
      <c r="AG70" s="431">
        <v>97680</v>
      </c>
      <c r="AH70" s="431">
        <v>267699</v>
      </c>
      <c r="AI70" s="431">
        <v>3637873</v>
      </c>
      <c r="AJ70" s="431">
        <v>0</v>
      </c>
      <c r="AK70" s="431">
        <v>0</v>
      </c>
      <c r="AL70" s="431">
        <v>2081483</v>
      </c>
      <c r="AM70" s="431">
        <v>2000</v>
      </c>
    </row>
    <row r="71" spans="1:39" s="155" customFormat="1" ht="12" x14ac:dyDescent="0.2">
      <c r="A71" s="168">
        <v>17</v>
      </c>
      <c r="B71" s="200">
        <v>169547</v>
      </c>
      <c r="C71" s="246" t="s">
        <v>832</v>
      </c>
      <c r="D71" s="432">
        <f t="shared" si="13"/>
        <v>9483889</v>
      </c>
      <c r="E71" s="431">
        <v>731279</v>
      </c>
      <c r="F71" s="431">
        <v>207561</v>
      </c>
      <c r="G71" s="431">
        <v>217633</v>
      </c>
      <c r="H71" s="431">
        <v>0</v>
      </c>
      <c r="I71" s="431">
        <v>988125</v>
      </c>
      <c r="J71" s="431">
        <v>80000</v>
      </c>
      <c r="K71" s="431">
        <v>994810</v>
      </c>
      <c r="L71" s="431">
        <v>0</v>
      </c>
      <c r="M71" s="431">
        <v>1750600</v>
      </c>
      <c r="N71" s="431">
        <v>4788155</v>
      </c>
      <c r="O71" s="431">
        <v>150920</v>
      </c>
      <c r="P71" s="432">
        <f t="shared" si="16"/>
        <v>11639004</v>
      </c>
      <c r="Q71" s="431">
        <v>1216290</v>
      </c>
      <c r="R71" s="431">
        <v>1160635</v>
      </c>
      <c r="S71" s="431">
        <v>0</v>
      </c>
      <c r="T71" s="431">
        <v>0</v>
      </c>
      <c r="U71" s="431">
        <v>0</v>
      </c>
      <c r="V71" s="431">
        <v>5000</v>
      </c>
      <c r="W71" s="431">
        <v>8544067</v>
      </c>
      <c r="X71" s="431">
        <v>274770</v>
      </c>
      <c r="Y71" s="431">
        <v>0</v>
      </c>
      <c r="Z71" s="431">
        <v>440897</v>
      </c>
      <c r="AA71" s="431">
        <v>0</v>
      </c>
      <c r="AB71" s="431">
        <v>-2655</v>
      </c>
      <c r="AC71" s="431">
        <v>953229</v>
      </c>
      <c r="AD71" s="431">
        <v>0</v>
      </c>
      <c r="AE71" s="431">
        <v>727442</v>
      </c>
      <c r="AF71" s="431">
        <v>14589</v>
      </c>
      <c r="AG71" s="431">
        <v>927973</v>
      </c>
      <c r="AH71" s="431">
        <v>351475</v>
      </c>
      <c r="AI71" s="431">
        <v>2122989</v>
      </c>
      <c r="AJ71" s="431">
        <v>2377729</v>
      </c>
      <c r="AK71" s="431">
        <v>0</v>
      </c>
      <c r="AL71" s="431">
        <v>3928258</v>
      </c>
      <c r="AM71" s="431">
        <v>235320</v>
      </c>
    </row>
    <row r="72" spans="1:39" s="155" customFormat="1" ht="12" x14ac:dyDescent="0.2">
      <c r="A72" s="168">
        <v>18</v>
      </c>
      <c r="B72" s="200">
        <v>169583</v>
      </c>
      <c r="C72" s="246" t="s">
        <v>833</v>
      </c>
      <c r="D72" s="432">
        <f t="shared" si="13"/>
        <v>2945947</v>
      </c>
      <c r="E72" s="431">
        <v>745709</v>
      </c>
      <c r="F72" s="431">
        <v>169240</v>
      </c>
      <c r="G72" s="431">
        <v>249146</v>
      </c>
      <c r="H72" s="431">
        <v>0</v>
      </c>
      <c r="I72" s="431">
        <v>1108839</v>
      </c>
      <c r="J72" s="431">
        <v>6000</v>
      </c>
      <c r="K72" s="431">
        <v>994240</v>
      </c>
      <c r="L72" s="431">
        <v>0</v>
      </c>
      <c r="M72" s="431">
        <v>73342</v>
      </c>
      <c r="N72" s="431">
        <v>0</v>
      </c>
      <c r="O72" s="431">
        <v>17817</v>
      </c>
      <c r="P72" s="432">
        <f t="shared" si="16"/>
        <v>2747850</v>
      </c>
      <c r="Q72" s="431">
        <v>1627139</v>
      </c>
      <c r="R72" s="431">
        <v>533496</v>
      </c>
      <c r="S72" s="431">
        <v>0</v>
      </c>
      <c r="T72" s="431">
        <v>0</v>
      </c>
      <c r="U72" s="431">
        <v>0</v>
      </c>
      <c r="V72" s="431">
        <v>8700</v>
      </c>
      <c r="W72" s="431">
        <v>0</v>
      </c>
      <c r="X72" s="431">
        <v>104853</v>
      </c>
      <c r="Y72" s="431">
        <v>0</v>
      </c>
      <c r="Z72" s="431">
        <v>475062</v>
      </c>
      <c r="AA72" s="431">
        <v>0</v>
      </c>
      <c r="AB72" s="431">
        <v>-1400</v>
      </c>
      <c r="AC72" s="431">
        <v>1113262</v>
      </c>
      <c r="AD72" s="431">
        <v>0</v>
      </c>
      <c r="AE72" s="431">
        <v>798465</v>
      </c>
      <c r="AF72" s="431">
        <v>23626</v>
      </c>
      <c r="AG72" s="431">
        <v>98179</v>
      </c>
      <c r="AH72" s="431">
        <v>475532</v>
      </c>
      <c r="AI72" s="431">
        <v>147370</v>
      </c>
      <c r="AJ72" s="431">
        <v>82744</v>
      </c>
      <c r="AK72" s="431">
        <v>0</v>
      </c>
      <c r="AL72" s="431">
        <v>6672</v>
      </c>
      <c r="AM72" s="431">
        <v>2000</v>
      </c>
    </row>
    <row r="73" spans="1:39" s="155" customFormat="1" ht="12" x14ac:dyDescent="0.2">
      <c r="A73" s="168">
        <v>19</v>
      </c>
      <c r="B73" s="200">
        <v>169681</v>
      </c>
      <c r="C73" s="246" t="s">
        <v>834</v>
      </c>
      <c r="D73" s="432">
        <f t="shared" si="13"/>
        <v>14978525</v>
      </c>
      <c r="E73" s="431">
        <v>1949301</v>
      </c>
      <c r="F73" s="431">
        <v>195722</v>
      </c>
      <c r="G73" s="431">
        <v>877427</v>
      </c>
      <c r="H73" s="431">
        <v>0</v>
      </c>
      <c r="I73" s="431">
        <v>3126049</v>
      </c>
      <c r="J73" s="431">
        <v>158000</v>
      </c>
      <c r="K73" s="431">
        <v>1483280</v>
      </c>
      <c r="L73" s="431">
        <v>0</v>
      </c>
      <c r="M73" s="431">
        <v>3563285</v>
      </c>
      <c r="N73" s="431">
        <v>1654775</v>
      </c>
      <c r="O73" s="431">
        <v>3043835</v>
      </c>
      <c r="P73" s="432">
        <f t="shared" si="16"/>
        <v>12683688</v>
      </c>
      <c r="Q73" s="431">
        <v>3533801</v>
      </c>
      <c r="R73" s="431">
        <v>988648</v>
      </c>
      <c r="S73" s="431">
        <v>36719</v>
      </c>
      <c r="T73" s="431">
        <v>0</v>
      </c>
      <c r="U73" s="431">
        <v>0</v>
      </c>
      <c r="V73" s="431">
        <v>39350</v>
      </c>
      <c r="W73" s="431">
        <v>0</v>
      </c>
      <c r="X73" s="431">
        <v>473410</v>
      </c>
      <c r="Y73" s="431">
        <v>13242</v>
      </c>
      <c r="Z73" s="431">
        <v>6778301</v>
      </c>
      <c r="AA73" s="431">
        <v>822119</v>
      </c>
      <c r="AB73" s="431">
        <v>-1902</v>
      </c>
      <c r="AC73" s="431">
        <v>1737792</v>
      </c>
      <c r="AD73" s="431">
        <v>39244</v>
      </c>
      <c r="AE73" s="431">
        <v>2072007</v>
      </c>
      <c r="AF73" s="431">
        <v>0</v>
      </c>
      <c r="AG73" s="431">
        <v>224768</v>
      </c>
      <c r="AH73" s="431">
        <v>1438525</v>
      </c>
      <c r="AI73" s="431">
        <v>147841</v>
      </c>
      <c r="AJ73" s="431">
        <v>2842372</v>
      </c>
      <c r="AK73" s="431">
        <v>0</v>
      </c>
      <c r="AL73" s="431">
        <v>4174156</v>
      </c>
      <c r="AM73" s="431">
        <v>6983</v>
      </c>
    </row>
    <row r="74" spans="1:39" s="155" customFormat="1" ht="12" x14ac:dyDescent="0.2">
      <c r="A74" s="168">
        <v>20</v>
      </c>
      <c r="B74" s="200">
        <v>169896</v>
      </c>
      <c r="C74" s="246" t="s">
        <v>835</v>
      </c>
      <c r="D74" s="432">
        <f t="shared" si="13"/>
        <v>7181415</v>
      </c>
      <c r="E74" s="431">
        <v>3040234</v>
      </c>
      <c r="F74" s="431">
        <v>1517347</v>
      </c>
      <c r="G74" s="431">
        <v>629265</v>
      </c>
      <c r="H74" s="431">
        <v>0</v>
      </c>
      <c r="I74" s="431">
        <v>3159720</v>
      </c>
      <c r="J74" s="431">
        <v>7000</v>
      </c>
      <c r="K74" s="431">
        <v>241510</v>
      </c>
      <c r="L74" s="431">
        <v>0</v>
      </c>
      <c r="M74" s="431">
        <v>720991</v>
      </c>
      <c r="N74" s="431">
        <v>0</v>
      </c>
      <c r="O74" s="431">
        <v>11960</v>
      </c>
      <c r="P74" s="432">
        <f t="shared" si="16"/>
        <v>7481770</v>
      </c>
      <c r="Q74" s="431">
        <v>3305757</v>
      </c>
      <c r="R74" s="431">
        <v>1330736</v>
      </c>
      <c r="S74" s="431">
        <v>0</v>
      </c>
      <c r="T74" s="431">
        <v>0</v>
      </c>
      <c r="U74" s="431">
        <v>0</v>
      </c>
      <c r="V74" s="431">
        <v>4300</v>
      </c>
      <c r="W74" s="431">
        <v>0</v>
      </c>
      <c r="X74" s="431">
        <v>609754</v>
      </c>
      <c r="Y74" s="431">
        <v>47000</v>
      </c>
      <c r="Z74" s="431">
        <v>2184223</v>
      </c>
      <c r="AA74" s="431">
        <v>0</v>
      </c>
      <c r="AB74" s="431">
        <v>0</v>
      </c>
      <c r="AC74" s="431">
        <v>827418</v>
      </c>
      <c r="AD74" s="431">
        <v>2970</v>
      </c>
      <c r="AE74" s="431">
        <v>2651114</v>
      </c>
      <c r="AF74" s="431">
        <v>25791</v>
      </c>
      <c r="AG74" s="431">
        <v>85921</v>
      </c>
      <c r="AH74" s="431">
        <v>945529</v>
      </c>
      <c r="AI74" s="431">
        <v>755429</v>
      </c>
      <c r="AJ74" s="431">
        <v>0</v>
      </c>
      <c r="AK74" s="431">
        <v>0</v>
      </c>
      <c r="AL74" s="431">
        <v>2187598</v>
      </c>
      <c r="AM74" s="431">
        <v>0</v>
      </c>
    </row>
    <row r="75" spans="1:39" s="155" customFormat="1" ht="12" x14ac:dyDescent="0.2">
      <c r="A75" s="168">
        <v>21</v>
      </c>
      <c r="B75" s="200">
        <v>169994</v>
      </c>
      <c r="C75" s="246" t="s">
        <v>836</v>
      </c>
      <c r="D75" s="432">
        <f t="shared" si="13"/>
        <v>11927424</v>
      </c>
      <c r="E75" s="431">
        <v>1257927</v>
      </c>
      <c r="F75" s="431">
        <v>251968</v>
      </c>
      <c r="G75" s="431">
        <v>400800</v>
      </c>
      <c r="H75" s="431">
        <v>0</v>
      </c>
      <c r="I75" s="431">
        <v>1964991</v>
      </c>
      <c r="J75" s="431">
        <v>102000</v>
      </c>
      <c r="K75" s="431">
        <v>1117200</v>
      </c>
      <c r="L75" s="431">
        <v>0</v>
      </c>
      <c r="M75" s="431">
        <v>5989517</v>
      </c>
      <c r="N75" s="431">
        <v>728254</v>
      </c>
      <c r="O75" s="431">
        <v>767535</v>
      </c>
      <c r="P75" s="432">
        <f t="shared" si="16"/>
        <v>13120368</v>
      </c>
      <c r="Q75" s="431">
        <v>2237933</v>
      </c>
      <c r="R75" s="431">
        <v>661176</v>
      </c>
      <c r="S75" s="431">
        <v>0</v>
      </c>
      <c r="T75" s="431">
        <v>0</v>
      </c>
      <c r="U75" s="431">
        <v>0</v>
      </c>
      <c r="V75" s="431">
        <v>7900</v>
      </c>
      <c r="W75" s="431">
        <v>40466</v>
      </c>
      <c r="X75" s="431">
        <v>365514</v>
      </c>
      <c r="Y75" s="431">
        <v>0</v>
      </c>
      <c r="Z75" s="431">
        <v>9820895</v>
      </c>
      <c r="AA75" s="431">
        <v>0</v>
      </c>
      <c r="AB75" s="431">
        <v>-13516</v>
      </c>
      <c r="AC75" s="431">
        <v>715152</v>
      </c>
      <c r="AD75" s="431">
        <v>5944</v>
      </c>
      <c r="AE75" s="431">
        <v>1347875</v>
      </c>
      <c r="AF75" s="431">
        <v>27233</v>
      </c>
      <c r="AG75" s="431">
        <v>154701</v>
      </c>
      <c r="AH75" s="431">
        <v>862354</v>
      </c>
      <c r="AI75" s="431">
        <v>6348632</v>
      </c>
      <c r="AJ75" s="431">
        <v>0</v>
      </c>
      <c r="AK75" s="431">
        <v>0</v>
      </c>
      <c r="AL75" s="431">
        <v>3658477</v>
      </c>
      <c r="AM75" s="431">
        <v>0</v>
      </c>
    </row>
    <row r="76" spans="1:39" s="155" customFormat="1" ht="12" x14ac:dyDescent="0.2">
      <c r="A76" s="168">
        <v>22</v>
      </c>
      <c r="B76" s="200">
        <v>170097</v>
      </c>
      <c r="C76" s="246" t="s">
        <v>837</v>
      </c>
      <c r="D76" s="432">
        <f t="shared" si="13"/>
        <v>2857249</v>
      </c>
      <c r="E76" s="431">
        <v>581302</v>
      </c>
      <c r="F76" s="431">
        <v>51249</v>
      </c>
      <c r="G76" s="431">
        <v>250131</v>
      </c>
      <c r="H76" s="431">
        <v>0</v>
      </c>
      <c r="I76" s="431">
        <v>925339</v>
      </c>
      <c r="J76" s="431">
        <v>17000</v>
      </c>
      <c r="K76" s="431">
        <v>1000180</v>
      </c>
      <c r="L76" s="431">
        <v>0</v>
      </c>
      <c r="M76" s="431">
        <v>331719</v>
      </c>
      <c r="N76" s="431">
        <v>0</v>
      </c>
      <c r="O76" s="431">
        <v>1709</v>
      </c>
      <c r="P76" s="432">
        <f t="shared" si="16"/>
        <v>2367775</v>
      </c>
      <c r="Q76" s="431">
        <v>1141545</v>
      </c>
      <c r="R76" s="431">
        <v>199717</v>
      </c>
      <c r="S76" s="431">
        <v>0</v>
      </c>
      <c r="T76" s="431">
        <v>0</v>
      </c>
      <c r="U76" s="431">
        <v>0</v>
      </c>
      <c r="V76" s="431">
        <v>0</v>
      </c>
      <c r="W76" s="431">
        <v>0</v>
      </c>
      <c r="X76" s="431">
        <v>194744</v>
      </c>
      <c r="Y76" s="431">
        <v>0</v>
      </c>
      <c r="Z76" s="431">
        <v>832440</v>
      </c>
      <c r="AA76" s="431">
        <v>0</v>
      </c>
      <c r="AB76" s="431">
        <v>-671</v>
      </c>
      <c r="AC76" s="431">
        <v>426447</v>
      </c>
      <c r="AD76" s="431">
        <v>3527</v>
      </c>
      <c r="AE76" s="431">
        <v>592274</v>
      </c>
      <c r="AF76" s="431">
        <v>0</v>
      </c>
      <c r="AG76" s="431">
        <v>27713</v>
      </c>
      <c r="AH76" s="431">
        <v>450306</v>
      </c>
      <c r="AI76" s="431">
        <v>840642</v>
      </c>
      <c r="AJ76" s="431">
        <v>2820</v>
      </c>
      <c r="AK76" s="431">
        <v>0</v>
      </c>
      <c r="AL76" s="431">
        <v>24046</v>
      </c>
      <c r="AM76" s="431">
        <v>0</v>
      </c>
    </row>
    <row r="77" spans="1:39" s="155" customFormat="1" ht="12" x14ac:dyDescent="0.2">
      <c r="A77" s="168">
        <v>23</v>
      </c>
      <c r="B77" s="200">
        <v>170168</v>
      </c>
      <c r="C77" s="246" t="s">
        <v>838</v>
      </c>
      <c r="D77" s="432">
        <f t="shared" si="13"/>
        <v>7081763</v>
      </c>
      <c r="E77" s="431">
        <v>609649</v>
      </c>
      <c r="F77" s="431">
        <v>58716</v>
      </c>
      <c r="G77" s="431">
        <v>248161</v>
      </c>
      <c r="H77" s="431">
        <v>0</v>
      </c>
      <c r="I77" s="431">
        <v>1099703</v>
      </c>
      <c r="J77" s="431">
        <v>88000</v>
      </c>
      <c r="K77" s="431">
        <v>1035480</v>
      </c>
      <c r="L77" s="431">
        <v>0</v>
      </c>
      <c r="M77" s="431">
        <v>257626</v>
      </c>
      <c r="N77" s="431">
        <v>3987625</v>
      </c>
      <c r="O77" s="431">
        <v>3680</v>
      </c>
      <c r="P77" s="432">
        <f t="shared" si="16"/>
        <v>2425468</v>
      </c>
      <c r="Q77" s="431">
        <v>1084875</v>
      </c>
      <c r="R77" s="431">
        <v>698239</v>
      </c>
      <c r="S77" s="431">
        <v>0</v>
      </c>
      <c r="T77" s="431">
        <v>0</v>
      </c>
      <c r="U77" s="431">
        <v>0</v>
      </c>
      <c r="V77" s="431">
        <v>1500</v>
      </c>
      <c r="W77" s="431">
        <v>0</v>
      </c>
      <c r="X77" s="431">
        <v>496953</v>
      </c>
      <c r="Y77" s="431">
        <v>8000</v>
      </c>
      <c r="Z77" s="431">
        <v>136000</v>
      </c>
      <c r="AA77" s="431">
        <v>0</v>
      </c>
      <c r="AB77" s="431">
        <v>-99</v>
      </c>
      <c r="AC77" s="431">
        <v>409855</v>
      </c>
      <c r="AD77" s="431">
        <v>2110</v>
      </c>
      <c r="AE77" s="431">
        <v>881381</v>
      </c>
      <c r="AF77" s="431">
        <v>54661</v>
      </c>
      <c r="AG77" s="431">
        <v>39701</v>
      </c>
      <c r="AH77" s="431">
        <v>540987</v>
      </c>
      <c r="AI77" s="431">
        <v>69052</v>
      </c>
      <c r="AJ77" s="431">
        <v>0</v>
      </c>
      <c r="AK77" s="431">
        <v>0</v>
      </c>
      <c r="AL77" s="431">
        <v>427721</v>
      </c>
      <c r="AM77" s="431">
        <v>0</v>
      </c>
    </row>
    <row r="78" spans="1:39" s="155" customFormat="1" ht="12" x14ac:dyDescent="0.2">
      <c r="A78" s="168">
        <v>24</v>
      </c>
      <c r="B78" s="200">
        <v>170220</v>
      </c>
      <c r="C78" s="246" t="s">
        <v>839</v>
      </c>
      <c r="D78" s="432">
        <f t="shared" si="13"/>
        <v>3729340</v>
      </c>
      <c r="E78" s="431">
        <v>830990</v>
      </c>
      <c r="F78" s="431">
        <v>112550</v>
      </c>
      <c r="G78" s="431">
        <v>212710</v>
      </c>
      <c r="H78" s="431">
        <v>0</v>
      </c>
      <c r="I78" s="431">
        <v>942906</v>
      </c>
      <c r="J78" s="431">
        <v>119000</v>
      </c>
      <c r="K78" s="431">
        <v>1033760</v>
      </c>
      <c r="L78" s="431">
        <v>0</v>
      </c>
      <c r="M78" s="431">
        <v>523510</v>
      </c>
      <c r="N78" s="431">
        <v>275494</v>
      </c>
      <c r="O78" s="431">
        <v>3680</v>
      </c>
      <c r="P78" s="432">
        <f t="shared" si="16"/>
        <v>4175640</v>
      </c>
      <c r="Q78" s="431">
        <v>982039</v>
      </c>
      <c r="R78" s="431">
        <v>687759</v>
      </c>
      <c r="S78" s="431">
        <v>0</v>
      </c>
      <c r="T78" s="431">
        <v>0</v>
      </c>
      <c r="U78" s="431">
        <v>0</v>
      </c>
      <c r="V78" s="431">
        <v>1000</v>
      </c>
      <c r="W78" s="431">
        <v>382070</v>
      </c>
      <c r="X78" s="431">
        <v>375093</v>
      </c>
      <c r="Y78" s="431">
        <v>0</v>
      </c>
      <c r="Z78" s="431">
        <v>1747679</v>
      </c>
      <c r="AA78" s="431">
        <v>0</v>
      </c>
      <c r="AB78" s="431">
        <v>0</v>
      </c>
      <c r="AC78" s="431">
        <v>670279</v>
      </c>
      <c r="AD78" s="431">
        <v>0</v>
      </c>
      <c r="AE78" s="431">
        <v>590080</v>
      </c>
      <c r="AF78" s="431">
        <v>0</v>
      </c>
      <c r="AG78" s="431">
        <v>0</v>
      </c>
      <c r="AH78" s="431">
        <v>499991</v>
      </c>
      <c r="AI78" s="431">
        <v>1235476</v>
      </c>
      <c r="AJ78" s="431">
        <v>0</v>
      </c>
      <c r="AK78" s="431">
        <v>0</v>
      </c>
      <c r="AL78" s="431">
        <v>1179814</v>
      </c>
      <c r="AM78" s="431">
        <v>0</v>
      </c>
    </row>
    <row r="79" spans="1:39" s="155" customFormat="1" ht="12" x14ac:dyDescent="0.2">
      <c r="A79" s="168">
        <v>25</v>
      </c>
      <c r="B79" s="200">
        <v>170346</v>
      </c>
      <c r="C79" s="246" t="s">
        <v>840</v>
      </c>
      <c r="D79" s="432">
        <f t="shared" si="13"/>
        <v>4129987</v>
      </c>
      <c r="E79" s="431">
        <v>785625</v>
      </c>
      <c r="F79" s="431">
        <v>240804</v>
      </c>
      <c r="G79" s="431">
        <v>225511</v>
      </c>
      <c r="H79" s="431">
        <v>0</v>
      </c>
      <c r="I79" s="431">
        <v>2094594</v>
      </c>
      <c r="J79" s="431">
        <v>119000</v>
      </c>
      <c r="K79" s="431">
        <v>1035970</v>
      </c>
      <c r="L79" s="431">
        <v>0</v>
      </c>
      <c r="M79" s="431">
        <v>92958</v>
      </c>
      <c r="N79" s="431">
        <v>0</v>
      </c>
      <c r="O79" s="431">
        <v>1840</v>
      </c>
      <c r="P79" s="432">
        <f t="shared" si="16"/>
        <v>4053081</v>
      </c>
      <c r="Q79" s="431">
        <v>2210830</v>
      </c>
      <c r="R79" s="431">
        <v>1034584</v>
      </c>
      <c r="S79" s="431">
        <v>0</v>
      </c>
      <c r="T79" s="431">
        <v>0</v>
      </c>
      <c r="U79" s="431">
        <v>460474</v>
      </c>
      <c r="V79" s="431">
        <v>0</v>
      </c>
      <c r="W79" s="431">
        <v>0</v>
      </c>
      <c r="X79" s="431">
        <v>340864</v>
      </c>
      <c r="Y79" s="431">
        <v>11000</v>
      </c>
      <c r="Z79" s="431">
        <v>0</v>
      </c>
      <c r="AA79" s="431">
        <v>0</v>
      </c>
      <c r="AB79" s="431">
        <v>-4671</v>
      </c>
      <c r="AC79" s="431">
        <v>875637</v>
      </c>
      <c r="AD79" s="431">
        <v>19648</v>
      </c>
      <c r="AE79" s="431">
        <v>1676697</v>
      </c>
      <c r="AF79" s="431">
        <v>22924</v>
      </c>
      <c r="AG79" s="431">
        <v>32273</v>
      </c>
      <c r="AH79" s="431">
        <v>489641</v>
      </c>
      <c r="AI79" s="431">
        <v>182114</v>
      </c>
      <c r="AJ79" s="431">
        <v>28521</v>
      </c>
      <c r="AK79" s="431">
        <v>0</v>
      </c>
      <c r="AL79" s="431">
        <v>725626</v>
      </c>
      <c r="AM79" s="431">
        <v>0</v>
      </c>
    </row>
    <row r="80" spans="1:39" s="155" customFormat="1" ht="12" x14ac:dyDescent="0.2">
      <c r="A80" s="168">
        <v>26</v>
      </c>
      <c r="B80" s="200">
        <v>170444</v>
      </c>
      <c r="C80" s="246" t="s">
        <v>841</v>
      </c>
      <c r="D80" s="432">
        <f t="shared" si="13"/>
        <v>2334584</v>
      </c>
      <c r="E80" s="431">
        <v>837910</v>
      </c>
      <c r="F80" s="431">
        <v>322697</v>
      </c>
      <c r="G80" s="431">
        <v>169380</v>
      </c>
      <c r="H80" s="431">
        <v>0</v>
      </c>
      <c r="I80" s="431">
        <v>688040</v>
      </c>
      <c r="J80" s="431">
        <v>30000</v>
      </c>
      <c r="K80" s="431">
        <v>746340</v>
      </c>
      <c r="L80" s="431">
        <v>0</v>
      </c>
      <c r="M80" s="431">
        <v>30454</v>
      </c>
      <c r="N80" s="431">
        <v>0</v>
      </c>
      <c r="O80" s="431">
        <v>1840</v>
      </c>
      <c r="P80" s="432">
        <f t="shared" si="16"/>
        <v>2332624</v>
      </c>
      <c r="Q80" s="431">
        <v>906221</v>
      </c>
      <c r="R80" s="431">
        <v>610102</v>
      </c>
      <c r="S80" s="431">
        <v>0</v>
      </c>
      <c r="T80" s="431">
        <v>0</v>
      </c>
      <c r="U80" s="431">
        <v>0</v>
      </c>
      <c r="V80" s="431">
        <v>1000</v>
      </c>
      <c r="W80" s="431">
        <v>0</v>
      </c>
      <c r="X80" s="431">
        <v>207271</v>
      </c>
      <c r="Y80" s="431">
        <v>3000</v>
      </c>
      <c r="Z80" s="431">
        <v>611681</v>
      </c>
      <c r="AA80" s="431">
        <v>0</v>
      </c>
      <c r="AB80" s="431">
        <v>-6651</v>
      </c>
      <c r="AC80" s="431">
        <v>657140</v>
      </c>
      <c r="AD80" s="431">
        <v>18000</v>
      </c>
      <c r="AE80" s="431">
        <v>510543</v>
      </c>
      <c r="AF80" s="431">
        <v>0</v>
      </c>
      <c r="AG80" s="431">
        <v>583361</v>
      </c>
      <c r="AH80" s="431">
        <v>361714</v>
      </c>
      <c r="AI80" s="431">
        <v>122285</v>
      </c>
      <c r="AJ80" s="431">
        <v>0</v>
      </c>
      <c r="AK80" s="431">
        <v>0</v>
      </c>
      <c r="AL80" s="431">
        <v>79581</v>
      </c>
      <c r="AM80" s="431">
        <v>0</v>
      </c>
    </row>
    <row r="81" spans="1:39" s="155" customFormat="1" ht="12" x14ac:dyDescent="0.2">
      <c r="A81" s="168">
        <v>27</v>
      </c>
      <c r="B81" s="200">
        <v>170514</v>
      </c>
      <c r="C81" s="246" t="s">
        <v>842</v>
      </c>
      <c r="D81" s="432">
        <f t="shared" si="13"/>
        <v>12706532</v>
      </c>
      <c r="E81" s="431">
        <v>1510629</v>
      </c>
      <c r="F81" s="431">
        <v>224282</v>
      </c>
      <c r="G81" s="431">
        <v>573134</v>
      </c>
      <c r="H81" s="431">
        <v>0</v>
      </c>
      <c r="I81" s="431">
        <v>1948445</v>
      </c>
      <c r="J81" s="431">
        <v>112000</v>
      </c>
      <c r="K81" s="431">
        <v>1140370</v>
      </c>
      <c r="L81" s="431">
        <v>0</v>
      </c>
      <c r="M81" s="431">
        <v>6351258</v>
      </c>
      <c r="N81" s="431">
        <v>1575870</v>
      </c>
      <c r="O81" s="431">
        <v>67960</v>
      </c>
      <c r="P81" s="432">
        <f t="shared" si="16"/>
        <v>10562536</v>
      </c>
      <c r="Q81" s="431">
        <v>1920281</v>
      </c>
      <c r="R81" s="431">
        <v>1076181</v>
      </c>
      <c r="S81" s="431">
        <v>0</v>
      </c>
      <c r="T81" s="431">
        <v>0</v>
      </c>
      <c r="U81" s="431">
        <v>0</v>
      </c>
      <c r="V81" s="431">
        <v>0</v>
      </c>
      <c r="W81" s="431">
        <v>21896</v>
      </c>
      <c r="X81" s="431">
        <v>554037</v>
      </c>
      <c r="Y81" s="431">
        <v>0</v>
      </c>
      <c r="Z81" s="431">
        <v>6995757</v>
      </c>
      <c r="AA81" s="431">
        <v>0</v>
      </c>
      <c r="AB81" s="431">
        <v>-5616</v>
      </c>
      <c r="AC81" s="431">
        <v>917728</v>
      </c>
      <c r="AD81" s="431">
        <v>0</v>
      </c>
      <c r="AE81" s="431">
        <v>1377512</v>
      </c>
      <c r="AF81" s="431">
        <v>24660</v>
      </c>
      <c r="AG81" s="431">
        <v>67910</v>
      </c>
      <c r="AH81" s="431">
        <v>710266</v>
      </c>
      <c r="AI81" s="431">
        <v>5321697</v>
      </c>
      <c r="AJ81" s="431">
        <v>0</v>
      </c>
      <c r="AK81" s="431">
        <v>0</v>
      </c>
      <c r="AL81" s="431">
        <v>2142763</v>
      </c>
      <c r="AM81" s="431">
        <v>0</v>
      </c>
    </row>
    <row r="82" spans="1:39" s="155" customFormat="1" ht="12" x14ac:dyDescent="0.2">
      <c r="A82" s="168">
        <v>28</v>
      </c>
      <c r="B82" s="200">
        <v>170612</v>
      </c>
      <c r="C82" s="246" t="s">
        <v>843</v>
      </c>
      <c r="D82" s="432">
        <f t="shared" si="13"/>
        <v>3290353</v>
      </c>
      <c r="E82" s="431">
        <v>686151</v>
      </c>
      <c r="F82" s="431">
        <v>86838</v>
      </c>
      <c r="G82" s="431">
        <v>239298</v>
      </c>
      <c r="H82" s="431">
        <v>0</v>
      </c>
      <c r="I82" s="431">
        <v>1403466</v>
      </c>
      <c r="J82" s="431">
        <v>100000</v>
      </c>
      <c r="K82" s="431">
        <v>1052110</v>
      </c>
      <c r="L82" s="431">
        <v>0</v>
      </c>
      <c r="M82" s="431">
        <v>44946</v>
      </c>
      <c r="N82" s="431">
        <v>0</v>
      </c>
      <c r="O82" s="431">
        <v>3680</v>
      </c>
      <c r="P82" s="432">
        <f t="shared" si="16"/>
        <v>3279901</v>
      </c>
      <c r="Q82" s="431">
        <v>1603248</v>
      </c>
      <c r="R82" s="431">
        <v>940773</v>
      </c>
      <c r="S82" s="431">
        <v>0</v>
      </c>
      <c r="T82" s="431">
        <v>0</v>
      </c>
      <c r="U82" s="431">
        <v>0</v>
      </c>
      <c r="V82" s="431">
        <v>0</v>
      </c>
      <c r="W82" s="431">
        <v>0</v>
      </c>
      <c r="X82" s="431">
        <v>199643</v>
      </c>
      <c r="Y82" s="431">
        <v>4000</v>
      </c>
      <c r="Z82" s="431">
        <v>550626</v>
      </c>
      <c r="AA82" s="431">
        <v>0</v>
      </c>
      <c r="AB82" s="431">
        <v>-18389</v>
      </c>
      <c r="AC82" s="431">
        <v>890713</v>
      </c>
      <c r="AD82" s="431">
        <v>0</v>
      </c>
      <c r="AE82" s="431">
        <v>1199820</v>
      </c>
      <c r="AF82" s="431">
        <v>23827</v>
      </c>
      <c r="AG82" s="431">
        <v>20441</v>
      </c>
      <c r="AH82" s="431">
        <v>282648</v>
      </c>
      <c r="AI82" s="431">
        <v>582571</v>
      </c>
      <c r="AJ82" s="431">
        <v>0</v>
      </c>
      <c r="AK82" s="431">
        <v>0</v>
      </c>
      <c r="AL82" s="431">
        <v>269881</v>
      </c>
      <c r="AM82" s="431">
        <v>10000</v>
      </c>
    </row>
    <row r="83" spans="1:39" s="155" customFormat="1" ht="12" x14ac:dyDescent="0.2">
      <c r="A83" s="168">
        <v>29</v>
      </c>
      <c r="B83" s="200">
        <v>170685</v>
      </c>
      <c r="C83" s="246" t="s">
        <v>844</v>
      </c>
      <c r="D83" s="432">
        <f t="shared" si="13"/>
        <v>4365111</v>
      </c>
      <c r="E83" s="431">
        <v>712668</v>
      </c>
      <c r="F83" s="431">
        <v>145775</v>
      </c>
      <c r="G83" s="431">
        <v>227481</v>
      </c>
      <c r="H83" s="431">
        <v>0</v>
      </c>
      <c r="I83" s="431">
        <v>1698307</v>
      </c>
      <c r="J83" s="431">
        <v>78000</v>
      </c>
      <c r="K83" s="431">
        <v>1035520</v>
      </c>
      <c r="L83" s="431">
        <v>0</v>
      </c>
      <c r="M83" s="431">
        <v>827576</v>
      </c>
      <c r="N83" s="431">
        <v>0</v>
      </c>
      <c r="O83" s="431">
        <v>13040</v>
      </c>
      <c r="P83" s="432">
        <f t="shared" si="16"/>
        <v>4164967</v>
      </c>
      <c r="Q83" s="431">
        <v>1656277</v>
      </c>
      <c r="R83" s="431">
        <v>406343</v>
      </c>
      <c r="S83" s="431">
        <v>0</v>
      </c>
      <c r="T83" s="431">
        <v>0</v>
      </c>
      <c r="U83" s="431">
        <v>0</v>
      </c>
      <c r="V83" s="431">
        <v>5000</v>
      </c>
      <c r="W83" s="431">
        <v>0</v>
      </c>
      <c r="X83" s="431">
        <v>390256</v>
      </c>
      <c r="Y83" s="431">
        <v>0</v>
      </c>
      <c r="Z83" s="431">
        <v>1710747</v>
      </c>
      <c r="AA83" s="431">
        <v>0</v>
      </c>
      <c r="AB83" s="431">
        <v>-3656</v>
      </c>
      <c r="AC83" s="431">
        <v>507284</v>
      </c>
      <c r="AD83" s="431">
        <v>2584</v>
      </c>
      <c r="AE83" s="431">
        <v>1314523</v>
      </c>
      <c r="AF83" s="431">
        <v>30752</v>
      </c>
      <c r="AG83" s="431">
        <v>22561</v>
      </c>
      <c r="AH83" s="431">
        <v>560075</v>
      </c>
      <c r="AI83" s="431">
        <v>35928</v>
      </c>
      <c r="AJ83" s="431">
        <v>625</v>
      </c>
      <c r="AK83" s="431">
        <v>0</v>
      </c>
      <c r="AL83" s="431">
        <v>1690635</v>
      </c>
      <c r="AM83" s="431">
        <v>0</v>
      </c>
    </row>
    <row r="84" spans="1:39" s="155" customFormat="1" ht="12" x14ac:dyDescent="0.2">
      <c r="A84" s="168">
        <v>30</v>
      </c>
      <c r="B84" s="200">
        <v>170792</v>
      </c>
      <c r="C84" s="246" t="s">
        <v>845</v>
      </c>
      <c r="D84" s="432">
        <f t="shared" si="13"/>
        <v>3911525</v>
      </c>
      <c r="E84" s="431">
        <v>609174</v>
      </c>
      <c r="F84" s="431">
        <v>103007</v>
      </c>
      <c r="G84" s="431">
        <v>244222</v>
      </c>
      <c r="H84" s="431">
        <v>0</v>
      </c>
      <c r="I84" s="431">
        <v>1200056</v>
      </c>
      <c r="J84" s="431">
        <v>81000</v>
      </c>
      <c r="K84" s="431">
        <v>1182060</v>
      </c>
      <c r="L84" s="431">
        <v>0</v>
      </c>
      <c r="M84" s="431">
        <v>830035</v>
      </c>
      <c r="N84" s="431">
        <v>0</v>
      </c>
      <c r="O84" s="431">
        <v>9200</v>
      </c>
      <c r="P84" s="432">
        <f t="shared" si="16"/>
        <v>3995315</v>
      </c>
      <c r="Q84" s="431">
        <v>1357323</v>
      </c>
      <c r="R84" s="431">
        <v>1044846</v>
      </c>
      <c r="S84" s="431">
        <v>0</v>
      </c>
      <c r="T84" s="431">
        <v>0</v>
      </c>
      <c r="U84" s="431">
        <v>0</v>
      </c>
      <c r="V84" s="431">
        <v>15100</v>
      </c>
      <c r="W84" s="431">
        <v>0</v>
      </c>
      <c r="X84" s="431">
        <v>285653</v>
      </c>
      <c r="Y84" s="431">
        <v>0</v>
      </c>
      <c r="Z84" s="431">
        <v>1295985</v>
      </c>
      <c r="AA84" s="431">
        <v>0</v>
      </c>
      <c r="AB84" s="431">
        <v>-3592</v>
      </c>
      <c r="AC84" s="431">
        <v>509635</v>
      </c>
      <c r="AD84" s="431">
        <v>1215</v>
      </c>
      <c r="AE84" s="431">
        <v>713542</v>
      </c>
      <c r="AF84" s="431">
        <v>9682</v>
      </c>
      <c r="AG84" s="431">
        <v>75909</v>
      </c>
      <c r="AH84" s="431">
        <v>639661</v>
      </c>
      <c r="AI84" s="431">
        <v>720712</v>
      </c>
      <c r="AJ84" s="431">
        <v>3405</v>
      </c>
      <c r="AK84" s="431">
        <v>0</v>
      </c>
      <c r="AL84" s="431">
        <v>1321554</v>
      </c>
      <c r="AM84" s="431">
        <v>0</v>
      </c>
    </row>
    <row r="85" spans="1:39" s="155" customFormat="1" ht="12" x14ac:dyDescent="0.2">
      <c r="A85" s="168">
        <v>31</v>
      </c>
      <c r="B85" s="200">
        <v>174511</v>
      </c>
      <c r="C85" s="246" t="s">
        <v>846</v>
      </c>
      <c r="D85" s="432">
        <f t="shared" si="13"/>
        <v>2641807</v>
      </c>
      <c r="E85" s="431">
        <v>551904</v>
      </c>
      <c r="F85" s="431">
        <v>69077</v>
      </c>
      <c r="G85" s="431">
        <v>274750</v>
      </c>
      <c r="H85" s="431">
        <v>0</v>
      </c>
      <c r="I85" s="431">
        <v>720298</v>
      </c>
      <c r="J85" s="431">
        <v>23000</v>
      </c>
      <c r="K85" s="431">
        <v>1122290</v>
      </c>
      <c r="L85" s="431">
        <v>0</v>
      </c>
      <c r="M85" s="431">
        <v>213455</v>
      </c>
      <c r="N85" s="431">
        <v>0</v>
      </c>
      <c r="O85" s="431">
        <v>10860</v>
      </c>
      <c r="P85" s="432">
        <f t="shared" si="16"/>
        <v>2430614</v>
      </c>
      <c r="Q85" s="431">
        <v>1061921</v>
      </c>
      <c r="R85" s="431">
        <v>422254</v>
      </c>
      <c r="S85" s="431">
        <v>0</v>
      </c>
      <c r="T85" s="431">
        <v>0</v>
      </c>
      <c r="U85" s="431">
        <v>0</v>
      </c>
      <c r="V85" s="431">
        <v>0</v>
      </c>
      <c r="W85" s="431">
        <v>0</v>
      </c>
      <c r="X85" s="431">
        <v>170304</v>
      </c>
      <c r="Y85" s="431">
        <v>0</v>
      </c>
      <c r="Z85" s="431">
        <v>776135</v>
      </c>
      <c r="AA85" s="431">
        <v>0</v>
      </c>
      <c r="AB85" s="431">
        <v>0</v>
      </c>
      <c r="AC85" s="431">
        <v>754371</v>
      </c>
      <c r="AD85" s="431">
        <v>0</v>
      </c>
      <c r="AE85" s="431">
        <v>518723</v>
      </c>
      <c r="AF85" s="431">
        <v>24092</v>
      </c>
      <c r="AG85" s="431">
        <v>285159</v>
      </c>
      <c r="AH85" s="431">
        <v>335471</v>
      </c>
      <c r="AI85" s="431">
        <v>39759</v>
      </c>
      <c r="AJ85" s="431">
        <v>0</v>
      </c>
      <c r="AK85" s="431">
        <v>0</v>
      </c>
      <c r="AL85" s="431">
        <v>473039</v>
      </c>
      <c r="AM85" s="431">
        <v>0</v>
      </c>
    </row>
    <row r="86" spans="1:39" s="155" customFormat="1" ht="12" x14ac:dyDescent="0.2">
      <c r="A86" s="168">
        <v>32</v>
      </c>
      <c r="B86" s="200">
        <v>170872</v>
      </c>
      <c r="C86" s="246" t="s">
        <v>847</v>
      </c>
      <c r="D86" s="432">
        <f t="shared" si="13"/>
        <v>3986169</v>
      </c>
      <c r="E86" s="431">
        <v>681815</v>
      </c>
      <c r="F86" s="431">
        <v>133773</v>
      </c>
      <c r="G86" s="431">
        <v>249146</v>
      </c>
      <c r="H86" s="431">
        <v>0</v>
      </c>
      <c r="I86" s="431">
        <v>1761766</v>
      </c>
      <c r="J86" s="431">
        <v>52000</v>
      </c>
      <c r="K86" s="431">
        <v>1082900</v>
      </c>
      <c r="L86" s="431">
        <v>0</v>
      </c>
      <c r="M86" s="431">
        <v>373088</v>
      </c>
      <c r="N86" s="431">
        <v>0</v>
      </c>
      <c r="O86" s="431">
        <v>34600</v>
      </c>
      <c r="P86" s="432">
        <f t="shared" si="16"/>
        <v>6343806</v>
      </c>
      <c r="Q86" s="431">
        <v>2334119</v>
      </c>
      <c r="R86" s="431">
        <v>465376</v>
      </c>
      <c r="S86" s="431">
        <v>0</v>
      </c>
      <c r="T86" s="431">
        <v>0</v>
      </c>
      <c r="U86" s="431">
        <v>0</v>
      </c>
      <c r="V86" s="431">
        <v>0</v>
      </c>
      <c r="W86" s="431">
        <v>0</v>
      </c>
      <c r="X86" s="431">
        <v>323196</v>
      </c>
      <c r="Y86" s="431">
        <v>0</v>
      </c>
      <c r="Z86" s="431">
        <v>3221781</v>
      </c>
      <c r="AA86" s="431">
        <v>0</v>
      </c>
      <c r="AB86" s="431">
        <v>-666</v>
      </c>
      <c r="AC86" s="431">
        <v>911689</v>
      </c>
      <c r="AD86" s="431">
        <v>0</v>
      </c>
      <c r="AE86" s="431">
        <v>944589</v>
      </c>
      <c r="AF86" s="431">
        <v>27429</v>
      </c>
      <c r="AG86" s="431">
        <v>15276</v>
      </c>
      <c r="AH86" s="431">
        <v>1158124</v>
      </c>
      <c r="AI86" s="431">
        <v>54789</v>
      </c>
      <c r="AJ86" s="431">
        <v>0</v>
      </c>
      <c r="AK86" s="431">
        <v>0</v>
      </c>
      <c r="AL86" s="431">
        <v>3231910</v>
      </c>
      <c r="AM86" s="431">
        <v>0</v>
      </c>
    </row>
    <row r="87" spans="1:39" s="155" customFormat="1" ht="12" x14ac:dyDescent="0.2">
      <c r="A87" s="168">
        <v>33</v>
      </c>
      <c r="B87" s="200">
        <v>170952</v>
      </c>
      <c r="C87" s="246" t="s">
        <v>848</v>
      </c>
      <c r="D87" s="432">
        <f t="shared" si="13"/>
        <v>9601203</v>
      </c>
      <c r="E87" s="431">
        <v>888761</v>
      </c>
      <c r="F87" s="431">
        <v>318236</v>
      </c>
      <c r="G87" s="431">
        <v>215664</v>
      </c>
      <c r="H87" s="431">
        <v>0</v>
      </c>
      <c r="I87" s="431">
        <v>1551717</v>
      </c>
      <c r="J87" s="431">
        <v>94000</v>
      </c>
      <c r="K87" s="431">
        <v>3727010</v>
      </c>
      <c r="L87" s="431">
        <v>0</v>
      </c>
      <c r="M87" s="431">
        <v>3202170</v>
      </c>
      <c r="N87" s="431">
        <v>102742</v>
      </c>
      <c r="O87" s="431">
        <v>34803</v>
      </c>
      <c r="P87" s="432">
        <f t="shared" si="16"/>
        <v>7229528</v>
      </c>
      <c r="Q87" s="431">
        <v>1626885</v>
      </c>
      <c r="R87" s="431">
        <v>864055</v>
      </c>
      <c r="S87" s="431">
        <v>0</v>
      </c>
      <c r="T87" s="431">
        <v>0</v>
      </c>
      <c r="U87" s="431">
        <v>0</v>
      </c>
      <c r="V87" s="431">
        <v>1000</v>
      </c>
      <c r="W87" s="431">
        <v>0</v>
      </c>
      <c r="X87" s="431">
        <v>507992</v>
      </c>
      <c r="Y87" s="431">
        <v>20000</v>
      </c>
      <c r="Z87" s="431">
        <v>4209693</v>
      </c>
      <c r="AA87" s="431">
        <v>0</v>
      </c>
      <c r="AB87" s="431">
        <v>-97</v>
      </c>
      <c r="AC87" s="431">
        <v>933780</v>
      </c>
      <c r="AD87" s="431">
        <v>0</v>
      </c>
      <c r="AE87" s="431">
        <v>1043740</v>
      </c>
      <c r="AF87" s="431">
        <v>66041</v>
      </c>
      <c r="AG87" s="431">
        <v>94843</v>
      </c>
      <c r="AH87" s="431">
        <v>665004</v>
      </c>
      <c r="AI87" s="431">
        <v>275589</v>
      </c>
      <c r="AJ87" s="431">
        <v>2256438</v>
      </c>
      <c r="AK87" s="431">
        <v>0</v>
      </c>
      <c r="AL87" s="431">
        <v>1745732</v>
      </c>
      <c r="AM87" s="431">
        <v>148361</v>
      </c>
    </row>
    <row r="88" spans="1:39" s="155" customFormat="1" ht="12" x14ac:dyDescent="0.2">
      <c r="A88" s="168">
        <v>34</v>
      </c>
      <c r="B88" s="200">
        <v>171021</v>
      </c>
      <c r="C88" s="246" t="s">
        <v>849</v>
      </c>
      <c r="D88" s="432">
        <f t="shared" si="13"/>
        <v>3361154</v>
      </c>
      <c r="E88" s="431">
        <v>1861862</v>
      </c>
      <c r="F88" s="431">
        <v>937705</v>
      </c>
      <c r="G88" s="431">
        <v>254070</v>
      </c>
      <c r="H88" s="431">
        <v>0</v>
      </c>
      <c r="I88" s="431">
        <v>1114000</v>
      </c>
      <c r="J88" s="431">
        <v>0</v>
      </c>
      <c r="K88" s="431">
        <v>72210</v>
      </c>
      <c r="L88" s="431">
        <v>0</v>
      </c>
      <c r="M88" s="431">
        <v>77500</v>
      </c>
      <c r="N88" s="431">
        <v>232822</v>
      </c>
      <c r="O88" s="431">
        <v>2760</v>
      </c>
      <c r="P88" s="432">
        <f t="shared" si="16"/>
        <v>3359030</v>
      </c>
      <c r="Q88" s="431">
        <v>1307659</v>
      </c>
      <c r="R88" s="431">
        <v>984798</v>
      </c>
      <c r="S88" s="431">
        <v>20072</v>
      </c>
      <c r="T88" s="431">
        <v>0</v>
      </c>
      <c r="U88" s="431">
        <v>0</v>
      </c>
      <c r="V88" s="431">
        <v>0</v>
      </c>
      <c r="W88" s="431">
        <v>303062</v>
      </c>
      <c r="X88" s="431">
        <v>212568</v>
      </c>
      <c r="Y88" s="431">
        <v>0</v>
      </c>
      <c r="Z88" s="431">
        <v>531256</v>
      </c>
      <c r="AA88" s="431">
        <v>0</v>
      </c>
      <c r="AB88" s="431">
        <v>-385</v>
      </c>
      <c r="AC88" s="431">
        <v>631417</v>
      </c>
      <c r="AD88" s="431">
        <v>0</v>
      </c>
      <c r="AE88" s="431">
        <v>923106</v>
      </c>
      <c r="AF88" s="431">
        <v>0</v>
      </c>
      <c r="AG88" s="431">
        <v>370747</v>
      </c>
      <c r="AH88" s="431">
        <v>414016</v>
      </c>
      <c r="AI88" s="431">
        <v>903844</v>
      </c>
      <c r="AJ88" s="431">
        <v>0</v>
      </c>
      <c r="AK88" s="431">
        <v>0</v>
      </c>
      <c r="AL88" s="431">
        <v>115900</v>
      </c>
      <c r="AM88" s="431">
        <v>0</v>
      </c>
    </row>
    <row r="89" spans="1:39" s="155" customFormat="1" ht="12" x14ac:dyDescent="0.2">
      <c r="A89" s="168">
        <v>35</v>
      </c>
      <c r="B89" s="200">
        <v>171067</v>
      </c>
      <c r="C89" s="246" t="s">
        <v>850</v>
      </c>
      <c r="D89" s="432">
        <f t="shared" si="13"/>
        <v>8823135</v>
      </c>
      <c r="E89" s="431">
        <v>775800</v>
      </c>
      <c r="F89" s="431">
        <v>227915</v>
      </c>
      <c r="G89" s="431">
        <v>205816</v>
      </c>
      <c r="H89" s="431">
        <v>0</v>
      </c>
      <c r="I89" s="431">
        <v>1884262</v>
      </c>
      <c r="J89" s="431">
        <v>94000</v>
      </c>
      <c r="K89" s="431">
        <v>3368560</v>
      </c>
      <c r="L89" s="431">
        <v>0</v>
      </c>
      <c r="M89" s="431">
        <v>2671233</v>
      </c>
      <c r="N89" s="431">
        <v>0</v>
      </c>
      <c r="O89" s="431">
        <v>29280</v>
      </c>
      <c r="P89" s="432">
        <f t="shared" si="16"/>
        <v>7354499</v>
      </c>
      <c r="Q89" s="431">
        <v>2392874</v>
      </c>
      <c r="R89" s="431">
        <v>1736750</v>
      </c>
      <c r="S89" s="431">
        <v>0</v>
      </c>
      <c r="T89" s="431">
        <v>0</v>
      </c>
      <c r="U89" s="431">
        <v>0</v>
      </c>
      <c r="V89" s="431">
        <v>7000</v>
      </c>
      <c r="W89" s="431">
        <v>0</v>
      </c>
      <c r="X89" s="431">
        <v>176888</v>
      </c>
      <c r="Y89" s="431">
        <v>0</v>
      </c>
      <c r="Z89" s="431">
        <v>3045587</v>
      </c>
      <c r="AA89" s="431">
        <v>0</v>
      </c>
      <c r="AB89" s="431">
        <v>-4600</v>
      </c>
      <c r="AC89" s="431">
        <v>837284</v>
      </c>
      <c r="AD89" s="431">
        <v>17853</v>
      </c>
      <c r="AE89" s="431">
        <v>1474009</v>
      </c>
      <c r="AF89" s="431">
        <v>0</v>
      </c>
      <c r="AG89" s="431">
        <v>47142</v>
      </c>
      <c r="AH89" s="431">
        <v>746276</v>
      </c>
      <c r="AI89" s="431">
        <v>384862</v>
      </c>
      <c r="AJ89" s="431">
        <v>0</v>
      </c>
      <c r="AK89" s="431">
        <v>0</v>
      </c>
      <c r="AL89" s="431">
        <v>3847073</v>
      </c>
      <c r="AM89" s="431">
        <v>0</v>
      </c>
    </row>
    <row r="90" spans="1:39" s="155" customFormat="1" ht="12" x14ac:dyDescent="0.2">
      <c r="A90" s="168">
        <v>36</v>
      </c>
      <c r="B90" s="200">
        <v>171101</v>
      </c>
      <c r="C90" s="246" t="s">
        <v>851</v>
      </c>
      <c r="D90" s="432">
        <f t="shared" si="13"/>
        <v>5256140</v>
      </c>
      <c r="E90" s="431">
        <v>1052698</v>
      </c>
      <c r="F90" s="431">
        <v>486544</v>
      </c>
      <c r="G90" s="431">
        <v>160517</v>
      </c>
      <c r="H90" s="431">
        <v>0</v>
      </c>
      <c r="I90" s="431">
        <v>1685872</v>
      </c>
      <c r="J90" s="431">
        <v>97000</v>
      </c>
      <c r="K90" s="431">
        <v>925880</v>
      </c>
      <c r="L90" s="431">
        <v>0</v>
      </c>
      <c r="M90" s="431">
        <v>1473286</v>
      </c>
      <c r="N90" s="431">
        <v>0</v>
      </c>
      <c r="O90" s="431">
        <v>21404</v>
      </c>
      <c r="P90" s="432">
        <f t="shared" si="16"/>
        <v>5812364</v>
      </c>
      <c r="Q90" s="431">
        <v>1844407</v>
      </c>
      <c r="R90" s="431">
        <v>586674</v>
      </c>
      <c r="S90" s="431">
        <v>0</v>
      </c>
      <c r="T90" s="431">
        <v>0</v>
      </c>
      <c r="U90" s="431">
        <v>0</v>
      </c>
      <c r="V90" s="431">
        <v>5100</v>
      </c>
      <c r="W90" s="431">
        <v>0</v>
      </c>
      <c r="X90" s="431">
        <v>287375</v>
      </c>
      <c r="Y90" s="431">
        <v>24119</v>
      </c>
      <c r="Z90" s="431">
        <v>3068572</v>
      </c>
      <c r="AA90" s="431">
        <v>0</v>
      </c>
      <c r="AB90" s="431">
        <v>-3883</v>
      </c>
      <c r="AC90" s="431">
        <v>774721</v>
      </c>
      <c r="AD90" s="431">
        <v>73</v>
      </c>
      <c r="AE90" s="431">
        <v>1278540</v>
      </c>
      <c r="AF90" s="431">
        <v>51840</v>
      </c>
      <c r="AG90" s="431">
        <v>49079</v>
      </c>
      <c r="AH90" s="431">
        <v>510440</v>
      </c>
      <c r="AI90" s="431">
        <v>2616317</v>
      </c>
      <c r="AJ90" s="431">
        <v>744</v>
      </c>
      <c r="AK90" s="431">
        <v>0</v>
      </c>
      <c r="AL90" s="431">
        <v>505230</v>
      </c>
      <c r="AM90" s="431">
        <v>25380</v>
      </c>
    </row>
    <row r="91" spans="1:39" s="155" customFormat="1" ht="12" x14ac:dyDescent="0.2">
      <c r="A91" s="168">
        <v>37</v>
      </c>
      <c r="B91" s="200">
        <v>171209</v>
      </c>
      <c r="C91" s="246" t="s">
        <v>852</v>
      </c>
      <c r="D91" s="432">
        <f t="shared" si="13"/>
        <v>3767628</v>
      </c>
      <c r="E91" s="431">
        <v>1021448</v>
      </c>
      <c r="F91" s="431">
        <v>62544</v>
      </c>
      <c r="G91" s="431">
        <v>146730</v>
      </c>
      <c r="H91" s="431">
        <v>0</v>
      </c>
      <c r="I91" s="431">
        <v>818428</v>
      </c>
      <c r="J91" s="431">
        <v>134000</v>
      </c>
      <c r="K91" s="431">
        <v>712980</v>
      </c>
      <c r="L91" s="431">
        <v>0</v>
      </c>
      <c r="M91" s="431">
        <v>1058601</v>
      </c>
      <c r="N91" s="431">
        <v>0</v>
      </c>
      <c r="O91" s="431">
        <v>22171</v>
      </c>
      <c r="P91" s="432">
        <f t="shared" si="16"/>
        <v>4160957</v>
      </c>
      <c r="Q91" s="431">
        <v>1016428</v>
      </c>
      <c r="R91" s="431">
        <v>875601</v>
      </c>
      <c r="S91" s="431">
        <v>0</v>
      </c>
      <c r="T91" s="431">
        <v>0</v>
      </c>
      <c r="U91" s="431">
        <v>0</v>
      </c>
      <c r="V91" s="431">
        <v>0</v>
      </c>
      <c r="W91" s="431">
        <v>0</v>
      </c>
      <c r="X91" s="431">
        <v>189241</v>
      </c>
      <c r="Y91" s="431">
        <v>0</v>
      </c>
      <c r="Z91" s="431">
        <v>2087057</v>
      </c>
      <c r="AA91" s="431">
        <v>0</v>
      </c>
      <c r="AB91" s="431">
        <v>-7370</v>
      </c>
      <c r="AC91" s="431">
        <v>1165842</v>
      </c>
      <c r="AD91" s="431">
        <v>0</v>
      </c>
      <c r="AE91" s="431">
        <v>545373</v>
      </c>
      <c r="AF91" s="431">
        <v>18344</v>
      </c>
      <c r="AG91" s="431">
        <v>524946</v>
      </c>
      <c r="AH91" s="431">
        <v>334178</v>
      </c>
      <c r="AI91" s="431">
        <v>17002</v>
      </c>
      <c r="AJ91" s="431">
        <v>0</v>
      </c>
      <c r="AK91" s="431">
        <v>0</v>
      </c>
      <c r="AL91" s="431">
        <v>1555272</v>
      </c>
      <c r="AM91" s="431">
        <v>0</v>
      </c>
    </row>
    <row r="92" spans="1:39" s="155" customFormat="1" ht="12" x14ac:dyDescent="0.2">
      <c r="A92" s="168">
        <v>38</v>
      </c>
      <c r="B92" s="200">
        <v>171272</v>
      </c>
      <c r="C92" s="246" t="s">
        <v>853</v>
      </c>
      <c r="D92" s="432">
        <f t="shared" si="13"/>
        <v>5287011</v>
      </c>
      <c r="E92" s="431">
        <v>571846</v>
      </c>
      <c r="F92" s="431">
        <v>133363</v>
      </c>
      <c r="G92" s="431">
        <v>225511</v>
      </c>
      <c r="H92" s="431">
        <v>0</v>
      </c>
      <c r="I92" s="431">
        <v>935182</v>
      </c>
      <c r="J92" s="431">
        <v>19630</v>
      </c>
      <c r="K92" s="431">
        <v>1601970</v>
      </c>
      <c r="L92" s="431">
        <v>0</v>
      </c>
      <c r="M92" s="431">
        <v>1065604</v>
      </c>
      <c r="N92" s="431">
        <v>1067806</v>
      </c>
      <c r="O92" s="431">
        <v>24973</v>
      </c>
      <c r="P92" s="432">
        <f t="shared" si="16"/>
        <v>4987854</v>
      </c>
      <c r="Q92" s="431">
        <v>1241448</v>
      </c>
      <c r="R92" s="431">
        <v>770125</v>
      </c>
      <c r="S92" s="431">
        <v>19708</v>
      </c>
      <c r="T92" s="431">
        <v>0</v>
      </c>
      <c r="U92" s="431">
        <v>0</v>
      </c>
      <c r="V92" s="431">
        <v>48778</v>
      </c>
      <c r="W92" s="431">
        <v>183438</v>
      </c>
      <c r="X92" s="431">
        <v>148014</v>
      </c>
      <c r="Y92" s="431">
        <v>0</v>
      </c>
      <c r="Z92" s="431">
        <v>1899484</v>
      </c>
      <c r="AA92" s="431">
        <v>679408</v>
      </c>
      <c r="AB92" s="431">
        <v>-2549</v>
      </c>
      <c r="AC92" s="431">
        <v>925897</v>
      </c>
      <c r="AD92" s="431">
        <v>0</v>
      </c>
      <c r="AE92" s="431">
        <v>562466</v>
      </c>
      <c r="AF92" s="431">
        <v>37934</v>
      </c>
      <c r="AG92" s="431">
        <v>436094</v>
      </c>
      <c r="AH92" s="431">
        <v>438850</v>
      </c>
      <c r="AI92" s="431">
        <v>85674</v>
      </c>
      <c r="AJ92" s="431">
        <v>42160</v>
      </c>
      <c r="AK92" s="431">
        <v>0</v>
      </c>
      <c r="AL92" s="431">
        <v>2024492</v>
      </c>
      <c r="AM92" s="431">
        <v>434287</v>
      </c>
    </row>
    <row r="93" spans="1:39" s="155" customFormat="1" ht="12" x14ac:dyDescent="0.2">
      <c r="A93" s="168">
        <v>39</v>
      </c>
      <c r="B93" s="200">
        <v>171325</v>
      </c>
      <c r="C93" s="246" t="s">
        <v>854</v>
      </c>
      <c r="D93" s="432">
        <f t="shared" si="13"/>
        <v>7741680</v>
      </c>
      <c r="E93" s="431">
        <v>3486326</v>
      </c>
      <c r="F93" s="431">
        <v>1196236</v>
      </c>
      <c r="G93" s="431">
        <v>819325</v>
      </c>
      <c r="H93" s="431">
        <v>0</v>
      </c>
      <c r="I93" s="431">
        <v>2926650</v>
      </c>
      <c r="J93" s="431">
        <v>87000</v>
      </c>
      <c r="K93" s="431">
        <v>413410</v>
      </c>
      <c r="L93" s="431">
        <v>0</v>
      </c>
      <c r="M93" s="431">
        <v>828294</v>
      </c>
      <c r="N93" s="431">
        <v>0</v>
      </c>
      <c r="O93" s="431">
        <v>0</v>
      </c>
      <c r="P93" s="432">
        <f t="shared" si="16"/>
        <v>8549435</v>
      </c>
      <c r="Q93" s="431">
        <v>3300020</v>
      </c>
      <c r="R93" s="431">
        <v>1335581</v>
      </c>
      <c r="S93" s="431">
        <v>0</v>
      </c>
      <c r="T93" s="431">
        <v>0</v>
      </c>
      <c r="U93" s="431">
        <v>0</v>
      </c>
      <c r="V93" s="431">
        <v>6751</v>
      </c>
      <c r="W93" s="431">
        <v>0</v>
      </c>
      <c r="X93" s="431">
        <v>737347</v>
      </c>
      <c r="Y93" s="431">
        <v>0</v>
      </c>
      <c r="Z93" s="431">
        <v>3170627</v>
      </c>
      <c r="AA93" s="431">
        <v>0</v>
      </c>
      <c r="AB93" s="431">
        <v>-891</v>
      </c>
      <c r="AC93" s="431">
        <v>1250545</v>
      </c>
      <c r="AD93" s="431">
        <v>1855</v>
      </c>
      <c r="AE93" s="431">
        <v>2409139</v>
      </c>
      <c r="AF93" s="431">
        <v>47112</v>
      </c>
      <c r="AG93" s="431">
        <v>275349</v>
      </c>
      <c r="AH93" s="431">
        <v>1260723</v>
      </c>
      <c r="AI93" s="431">
        <v>346353</v>
      </c>
      <c r="AJ93" s="431">
        <v>94320</v>
      </c>
      <c r="AK93" s="431">
        <v>0</v>
      </c>
      <c r="AL93" s="431">
        <v>2774956</v>
      </c>
      <c r="AM93" s="431">
        <v>89083</v>
      </c>
    </row>
    <row r="94" spans="1:39" s="155" customFormat="1" ht="12" x14ac:dyDescent="0.2">
      <c r="A94" s="168">
        <v>40</v>
      </c>
      <c r="B94" s="200">
        <v>171469</v>
      </c>
      <c r="C94" s="246" t="s">
        <v>855</v>
      </c>
      <c r="D94" s="432">
        <f t="shared" si="13"/>
        <v>4295818</v>
      </c>
      <c r="E94" s="431">
        <v>758090</v>
      </c>
      <c r="F94" s="431">
        <v>119719</v>
      </c>
      <c r="G94" s="431">
        <v>241268</v>
      </c>
      <c r="H94" s="431">
        <v>0</v>
      </c>
      <c r="I94" s="431">
        <v>582902</v>
      </c>
      <c r="J94" s="431">
        <v>103000</v>
      </c>
      <c r="K94" s="431">
        <v>2308960</v>
      </c>
      <c r="L94" s="431">
        <v>0</v>
      </c>
      <c r="M94" s="431">
        <v>441026</v>
      </c>
      <c r="N94" s="431">
        <v>0</v>
      </c>
      <c r="O94" s="431">
        <v>101840</v>
      </c>
      <c r="P94" s="432">
        <f t="shared" si="16"/>
        <v>5333430</v>
      </c>
      <c r="Q94" s="431">
        <v>768755</v>
      </c>
      <c r="R94" s="431">
        <v>472970</v>
      </c>
      <c r="S94" s="431">
        <v>0</v>
      </c>
      <c r="T94" s="431">
        <v>0</v>
      </c>
      <c r="U94" s="431">
        <v>0</v>
      </c>
      <c r="V94" s="431">
        <v>4300</v>
      </c>
      <c r="W94" s="431">
        <v>0</v>
      </c>
      <c r="X94" s="431">
        <v>147093</v>
      </c>
      <c r="Y94" s="431">
        <v>0</v>
      </c>
      <c r="Z94" s="431">
        <v>3940312</v>
      </c>
      <c r="AA94" s="431">
        <v>0</v>
      </c>
      <c r="AB94" s="431">
        <v>0</v>
      </c>
      <c r="AC94" s="431">
        <v>525152</v>
      </c>
      <c r="AD94" s="431">
        <v>0</v>
      </c>
      <c r="AE94" s="431">
        <v>688879</v>
      </c>
      <c r="AF94" s="431">
        <v>0</v>
      </c>
      <c r="AG94" s="431">
        <v>344406</v>
      </c>
      <c r="AH94" s="431">
        <v>171787</v>
      </c>
      <c r="AI94" s="431">
        <v>468868</v>
      </c>
      <c r="AJ94" s="431">
        <v>632007</v>
      </c>
      <c r="AK94" s="431">
        <v>0</v>
      </c>
      <c r="AL94" s="431">
        <v>2502331</v>
      </c>
      <c r="AM94" s="431">
        <v>0</v>
      </c>
    </row>
    <row r="95" spans="1:39" s="155" customFormat="1" ht="12" x14ac:dyDescent="0.2">
      <c r="A95" s="168">
        <v>41</v>
      </c>
      <c r="B95" s="200">
        <v>174520</v>
      </c>
      <c r="C95" s="246" t="s">
        <v>856</v>
      </c>
      <c r="D95" s="432">
        <f t="shared" si="13"/>
        <v>3632746</v>
      </c>
      <c r="E95" s="431">
        <v>442070</v>
      </c>
      <c r="F95" s="431">
        <v>41732</v>
      </c>
      <c r="G95" s="431">
        <v>293460</v>
      </c>
      <c r="H95" s="431">
        <v>0</v>
      </c>
      <c r="I95" s="431">
        <v>464566</v>
      </c>
      <c r="J95" s="431">
        <v>89000</v>
      </c>
      <c r="K95" s="431">
        <v>2219550</v>
      </c>
      <c r="L95" s="431">
        <v>0</v>
      </c>
      <c r="M95" s="431">
        <v>342560</v>
      </c>
      <c r="N95" s="431">
        <v>0</v>
      </c>
      <c r="O95" s="431">
        <v>75000</v>
      </c>
      <c r="P95" s="432">
        <f t="shared" si="16"/>
        <v>5005989</v>
      </c>
      <c r="Q95" s="431">
        <v>665940</v>
      </c>
      <c r="R95" s="431">
        <v>276260</v>
      </c>
      <c r="S95" s="431">
        <v>0</v>
      </c>
      <c r="T95" s="431">
        <v>0</v>
      </c>
      <c r="U95" s="431">
        <v>0</v>
      </c>
      <c r="V95" s="431">
        <v>1000</v>
      </c>
      <c r="W95" s="431">
        <v>0</v>
      </c>
      <c r="X95" s="431">
        <v>174164</v>
      </c>
      <c r="Y95" s="431">
        <v>0</v>
      </c>
      <c r="Z95" s="431">
        <v>3894372</v>
      </c>
      <c r="AA95" s="431">
        <v>0</v>
      </c>
      <c r="AB95" s="431">
        <v>-5747</v>
      </c>
      <c r="AC95" s="431">
        <v>618439</v>
      </c>
      <c r="AD95" s="431">
        <v>0</v>
      </c>
      <c r="AE95" s="431">
        <v>317082</v>
      </c>
      <c r="AF95" s="431">
        <v>418</v>
      </c>
      <c r="AG95" s="431">
        <v>222555</v>
      </c>
      <c r="AH95" s="431">
        <v>236072</v>
      </c>
      <c r="AI95" s="431">
        <v>469942</v>
      </c>
      <c r="AJ95" s="431">
        <v>432178</v>
      </c>
      <c r="AK95" s="431">
        <v>0</v>
      </c>
      <c r="AL95" s="431">
        <v>2707604</v>
      </c>
      <c r="AM95" s="431">
        <v>1699</v>
      </c>
    </row>
    <row r="96" spans="1:39" s="155" customFormat="1" ht="12" x14ac:dyDescent="0.2">
      <c r="A96" s="168">
        <v>42</v>
      </c>
      <c r="B96" s="200">
        <v>171539</v>
      </c>
      <c r="C96" s="246" t="s">
        <v>857</v>
      </c>
      <c r="D96" s="432">
        <f t="shared" si="13"/>
        <v>3751497</v>
      </c>
      <c r="E96" s="431">
        <v>626811</v>
      </c>
      <c r="F96" s="431">
        <v>85684</v>
      </c>
      <c r="G96" s="431">
        <v>254070</v>
      </c>
      <c r="H96" s="431">
        <v>0</v>
      </c>
      <c r="I96" s="431">
        <v>1319000</v>
      </c>
      <c r="J96" s="431">
        <v>94000</v>
      </c>
      <c r="K96" s="431">
        <v>1156060</v>
      </c>
      <c r="L96" s="431">
        <v>0</v>
      </c>
      <c r="M96" s="431">
        <v>451173</v>
      </c>
      <c r="N96" s="431">
        <v>99853</v>
      </c>
      <c r="O96" s="431">
        <v>4600</v>
      </c>
      <c r="P96" s="432">
        <f t="shared" si="16"/>
        <v>3473914</v>
      </c>
      <c r="Q96" s="431">
        <v>1500358</v>
      </c>
      <c r="R96" s="431">
        <v>484885</v>
      </c>
      <c r="S96" s="431">
        <v>0</v>
      </c>
      <c r="T96" s="431">
        <v>0</v>
      </c>
      <c r="U96" s="431">
        <v>0</v>
      </c>
      <c r="V96" s="431">
        <v>11500</v>
      </c>
      <c r="W96" s="431">
        <v>130168</v>
      </c>
      <c r="X96" s="431">
        <v>276386</v>
      </c>
      <c r="Y96" s="431">
        <v>0</v>
      </c>
      <c r="Z96" s="431">
        <v>1070713</v>
      </c>
      <c r="AA96" s="431">
        <v>0</v>
      </c>
      <c r="AB96" s="431">
        <v>-96</v>
      </c>
      <c r="AC96" s="431">
        <v>625861</v>
      </c>
      <c r="AD96" s="431">
        <v>130168</v>
      </c>
      <c r="AE96" s="431">
        <v>1074990</v>
      </c>
      <c r="AF96" s="431">
        <v>0</v>
      </c>
      <c r="AG96" s="431">
        <v>41307</v>
      </c>
      <c r="AH96" s="431">
        <v>503748</v>
      </c>
      <c r="AI96" s="431">
        <v>441836</v>
      </c>
      <c r="AJ96" s="431">
        <v>0</v>
      </c>
      <c r="AK96" s="431">
        <v>0</v>
      </c>
      <c r="AL96" s="431">
        <v>646640</v>
      </c>
      <c r="AM96" s="431">
        <v>9364</v>
      </c>
    </row>
    <row r="97" spans="1:39" s="155" customFormat="1" ht="12" x14ac:dyDescent="0.2">
      <c r="A97" s="168">
        <v>43</v>
      </c>
      <c r="B97" s="200">
        <v>171628</v>
      </c>
      <c r="C97" s="246" t="s">
        <v>858</v>
      </c>
      <c r="D97" s="432">
        <f t="shared" si="13"/>
        <v>6344907</v>
      </c>
      <c r="E97" s="431">
        <v>977624</v>
      </c>
      <c r="F97" s="431">
        <v>138463</v>
      </c>
      <c r="G97" s="431">
        <v>312171</v>
      </c>
      <c r="H97" s="431">
        <v>0</v>
      </c>
      <c r="I97" s="431">
        <v>1562463</v>
      </c>
      <c r="J97" s="431">
        <v>100000</v>
      </c>
      <c r="K97" s="431">
        <v>905510</v>
      </c>
      <c r="L97" s="431">
        <v>0</v>
      </c>
      <c r="M97" s="431">
        <v>2791030</v>
      </c>
      <c r="N97" s="431">
        <v>0</v>
      </c>
      <c r="O97" s="431">
        <v>8280</v>
      </c>
      <c r="P97" s="432">
        <f t="shared" si="16"/>
        <v>8313826</v>
      </c>
      <c r="Q97" s="431">
        <v>1853955</v>
      </c>
      <c r="R97" s="431">
        <v>731735</v>
      </c>
      <c r="S97" s="431">
        <v>0</v>
      </c>
      <c r="T97" s="431">
        <v>0</v>
      </c>
      <c r="U97" s="431">
        <v>0</v>
      </c>
      <c r="V97" s="431">
        <v>24165</v>
      </c>
      <c r="W97" s="431">
        <v>0</v>
      </c>
      <c r="X97" s="431">
        <v>349773</v>
      </c>
      <c r="Y97" s="431">
        <v>800</v>
      </c>
      <c r="Z97" s="431">
        <v>5354590</v>
      </c>
      <c r="AA97" s="431">
        <v>0</v>
      </c>
      <c r="AB97" s="431">
        <v>-1192</v>
      </c>
      <c r="AC97" s="431">
        <v>772950</v>
      </c>
      <c r="AD97" s="431">
        <v>10639</v>
      </c>
      <c r="AE97" s="431">
        <v>1168610</v>
      </c>
      <c r="AF97" s="431">
        <v>0</v>
      </c>
      <c r="AG97" s="431">
        <v>40285</v>
      </c>
      <c r="AH97" s="431">
        <v>588619</v>
      </c>
      <c r="AI97" s="431">
        <v>140482</v>
      </c>
      <c r="AJ97" s="431">
        <v>5000</v>
      </c>
      <c r="AK97" s="431">
        <v>0</v>
      </c>
      <c r="AL97" s="431">
        <v>5584797</v>
      </c>
      <c r="AM97" s="431">
        <v>2444</v>
      </c>
    </row>
    <row r="98" spans="1:39" s="155" customFormat="1" ht="12" x14ac:dyDescent="0.2">
      <c r="A98" s="168">
        <v>44</v>
      </c>
      <c r="B98" s="200">
        <v>171806</v>
      </c>
      <c r="C98" s="246" t="s">
        <v>859</v>
      </c>
      <c r="D98" s="432">
        <f t="shared" si="13"/>
        <v>6674096</v>
      </c>
      <c r="E98" s="431">
        <v>862797</v>
      </c>
      <c r="F98" s="431">
        <v>105197</v>
      </c>
      <c r="G98" s="431">
        <v>185136</v>
      </c>
      <c r="H98" s="431">
        <v>0</v>
      </c>
      <c r="I98" s="431">
        <v>1505912</v>
      </c>
      <c r="J98" s="431">
        <v>73000</v>
      </c>
      <c r="K98" s="431">
        <v>1302250</v>
      </c>
      <c r="L98" s="431">
        <v>0</v>
      </c>
      <c r="M98" s="431">
        <v>2850537</v>
      </c>
      <c r="N98" s="431">
        <v>0</v>
      </c>
      <c r="O98" s="431">
        <v>79600</v>
      </c>
      <c r="P98" s="432">
        <f t="shared" si="16"/>
        <v>6804260</v>
      </c>
      <c r="Q98" s="431">
        <v>1850423</v>
      </c>
      <c r="R98" s="431">
        <v>295968</v>
      </c>
      <c r="S98" s="431">
        <v>0</v>
      </c>
      <c r="T98" s="431">
        <v>0</v>
      </c>
      <c r="U98" s="431">
        <v>0</v>
      </c>
      <c r="V98" s="431">
        <v>4300</v>
      </c>
      <c r="W98" s="431">
        <v>0</v>
      </c>
      <c r="X98" s="431">
        <v>315345</v>
      </c>
      <c r="Y98" s="431">
        <v>7500</v>
      </c>
      <c r="Z98" s="431">
        <v>4336866</v>
      </c>
      <c r="AA98" s="431">
        <v>0</v>
      </c>
      <c r="AB98" s="431">
        <v>-6142</v>
      </c>
      <c r="AC98" s="431">
        <v>665651</v>
      </c>
      <c r="AD98" s="431">
        <v>0</v>
      </c>
      <c r="AE98" s="431">
        <v>1241501</v>
      </c>
      <c r="AF98" s="431">
        <v>0</v>
      </c>
      <c r="AG98" s="431">
        <v>23915</v>
      </c>
      <c r="AH98" s="431">
        <v>480958</v>
      </c>
      <c r="AI98" s="431">
        <v>1380825</v>
      </c>
      <c r="AJ98" s="431">
        <v>0</v>
      </c>
      <c r="AK98" s="431">
        <v>0</v>
      </c>
      <c r="AL98" s="431">
        <v>3011410</v>
      </c>
      <c r="AM98" s="431">
        <v>0</v>
      </c>
    </row>
    <row r="99" spans="1:39" s="155" customFormat="1" ht="12" x14ac:dyDescent="0.2">
      <c r="A99" s="168">
        <v>45</v>
      </c>
      <c r="B99" s="200">
        <v>171879</v>
      </c>
      <c r="C99" s="246" t="s">
        <v>860</v>
      </c>
      <c r="D99" s="432">
        <f t="shared" si="13"/>
        <v>5704927</v>
      </c>
      <c r="E99" s="431">
        <v>1506908</v>
      </c>
      <c r="F99" s="431">
        <v>485019</v>
      </c>
      <c r="G99" s="431">
        <v>261948</v>
      </c>
      <c r="H99" s="431">
        <v>0</v>
      </c>
      <c r="I99" s="431">
        <v>1260719</v>
      </c>
      <c r="J99" s="431">
        <v>72000</v>
      </c>
      <c r="K99" s="431">
        <v>785760</v>
      </c>
      <c r="L99" s="431">
        <v>0</v>
      </c>
      <c r="M99" s="431">
        <v>2063510</v>
      </c>
      <c r="N99" s="431">
        <v>0</v>
      </c>
      <c r="O99" s="431">
        <v>16030</v>
      </c>
      <c r="P99" s="432">
        <f t="shared" si="16"/>
        <v>5736421</v>
      </c>
      <c r="Q99" s="431">
        <v>1364471</v>
      </c>
      <c r="R99" s="431">
        <v>904430</v>
      </c>
      <c r="S99" s="431">
        <v>4196</v>
      </c>
      <c r="T99" s="431">
        <v>0</v>
      </c>
      <c r="U99" s="431">
        <v>0</v>
      </c>
      <c r="V99" s="431">
        <v>48473</v>
      </c>
      <c r="W99" s="431">
        <v>225200</v>
      </c>
      <c r="X99" s="431">
        <v>523177</v>
      </c>
      <c r="Y99" s="431">
        <v>75722</v>
      </c>
      <c r="Z99" s="431">
        <v>2591366</v>
      </c>
      <c r="AA99" s="431">
        <v>0</v>
      </c>
      <c r="AB99" s="431">
        <v>-614</v>
      </c>
      <c r="AC99" s="431">
        <v>868638</v>
      </c>
      <c r="AD99" s="431">
        <v>0</v>
      </c>
      <c r="AE99" s="431">
        <v>818804</v>
      </c>
      <c r="AF99" s="431">
        <v>39907</v>
      </c>
      <c r="AG99" s="431">
        <v>815039</v>
      </c>
      <c r="AH99" s="431">
        <v>617643</v>
      </c>
      <c r="AI99" s="431">
        <v>119653</v>
      </c>
      <c r="AJ99" s="431">
        <v>172601</v>
      </c>
      <c r="AK99" s="431">
        <v>0</v>
      </c>
      <c r="AL99" s="431">
        <v>2268938</v>
      </c>
      <c r="AM99" s="431">
        <v>15198</v>
      </c>
    </row>
    <row r="100" spans="1:39" s="155" customFormat="1" ht="12" x14ac:dyDescent="0.2">
      <c r="A100" s="168">
        <v>46</v>
      </c>
      <c r="B100" s="200">
        <v>171931</v>
      </c>
      <c r="C100" s="246" t="s">
        <v>861</v>
      </c>
      <c r="D100" s="432">
        <f t="shared" si="13"/>
        <v>9074536</v>
      </c>
      <c r="E100" s="431">
        <v>600149</v>
      </c>
      <c r="F100" s="431">
        <v>106840</v>
      </c>
      <c r="G100" s="431">
        <v>201877</v>
      </c>
      <c r="H100" s="431">
        <v>0</v>
      </c>
      <c r="I100" s="431">
        <v>1185155</v>
      </c>
      <c r="J100" s="431">
        <v>84000</v>
      </c>
      <c r="K100" s="431">
        <v>1583630</v>
      </c>
      <c r="L100" s="431">
        <v>0</v>
      </c>
      <c r="M100" s="431">
        <v>1123879</v>
      </c>
      <c r="N100" s="431">
        <v>4491283</v>
      </c>
      <c r="O100" s="431">
        <v>6440</v>
      </c>
      <c r="P100" s="432">
        <f t="shared" si="16"/>
        <v>4005103</v>
      </c>
      <c r="Q100" s="431">
        <v>1402475</v>
      </c>
      <c r="R100" s="431">
        <v>592370</v>
      </c>
      <c r="S100" s="431">
        <v>0</v>
      </c>
      <c r="T100" s="431">
        <v>0</v>
      </c>
      <c r="U100" s="431">
        <v>0</v>
      </c>
      <c r="V100" s="431">
        <v>9000</v>
      </c>
      <c r="W100" s="431">
        <v>860390</v>
      </c>
      <c r="X100" s="431">
        <v>311626</v>
      </c>
      <c r="Y100" s="431">
        <v>33000</v>
      </c>
      <c r="Z100" s="431">
        <v>798252</v>
      </c>
      <c r="AA100" s="431">
        <v>0</v>
      </c>
      <c r="AB100" s="431">
        <v>-2010</v>
      </c>
      <c r="AC100" s="431">
        <v>644145</v>
      </c>
      <c r="AD100" s="431">
        <v>123520</v>
      </c>
      <c r="AE100" s="431">
        <v>736893</v>
      </c>
      <c r="AF100" s="431">
        <v>0</v>
      </c>
      <c r="AG100" s="431">
        <v>234438</v>
      </c>
      <c r="AH100" s="431">
        <v>565940</v>
      </c>
      <c r="AI100" s="431">
        <v>101631</v>
      </c>
      <c r="AJ100" s="431">
        <v>0</v>
      </c>
      <c r="AK100" s="431">
        <v>0</v>
      </c>
      <c r="AL100" s="431">
        <v>1596836</v>
      </c>
      <c r="AM100" s="431">
        <v>1700</v>
      </c>
    </row>
    <row r="101" spans="1:39" s="155" customFormat="1" ht="12" x14ac:dyDescent="0.2">
      <c r="A101" s="168">
        <v>47</v>
      </c>
      <c r="B101" s="200">
        <v>171995</v>
      </c>
      <c r="C101" s="246" t="s">
        <v>862</v>
      </c>
      <c r="D101" s="432">
        <f t="shared" si="13"/>
        <v>4013133</v>
      </c>
      <c r="E101" s="431">
        <v>988072</v>
      </c>
      <c r="F101" s="431">
        <v>259035</v>
      </c>
      <c r="G101" s="431">
        <v>156578</v>
      </c>
      <c r="H101" s="431">
        <v>0</v>
      </c>
      <c r="I101" s="431">
        <v>1355748</v>
      </c>
      <c r="J101" s="431">
        <v>84000</v>
      </c>
      <c r="K101" s="431">
        <v>1144780</v>
      </c>
      <c r="L101" s="431">
        <v>0</v>
      </c>
      <c r="M101" s="431">
        <v>439613</v>
      </c>
      <c r="N101" s="431">
        <v>0</v>
      </c>
      <c r="O101" s="431">
        <v>920</v>
      </c>
      <c r="P101" s="432">
        <f t="shared" si="16"/>
        <v>5404939</v>
      </c>
      <c r="Q101" s="431">
        <v>1478916</v>
      </c>
      <c r="R101" s="431">
        <v>574985</v>
      </c>
      <c r="S101" s="431">
        <v>0</v>
      </c>
      <c r="T101" s="431">
        <v>0</v>
      </c>
      <c r="U101" s="431">
        <v>0</v>
      </c>
      <c r="V101" s="431">
        <v>3225</v>
      </c>
      <c r="W101" s="431">
        <v>0</v>
      </c>
      <c r="X101" s="431">
        <v>334922</v>
      </c>
      <c r="Y101" s="431">
        <v>7802</v>
      </c>
      <c r="Z101" s="431">
        <v>3015348</v>
      </c>
      <c r="AA101" s="431">
        <v>0</v>
      </c>
      <c r="AB101" s="431">
        <v>-10259</v>
      </c>
      <c r="AC101" s="431">
        <v>588428</v>
      </c>
      <c r="AD101" s="431">
        <v>34574</v>
      </c>
      <c r="AE101" s="431">
        <v>1047673</v>
      </c>
      <c r="AF101" s="431">
        <v>27716</v>
      </c>
      <c r="AG101" s="431">
        <v>120430</v>
      </c>
      <c r="AH101" s="431">
        <v>414263</v>
      </c>
      <c r="AI101" s="431">
        <v>96962</v>
      </c>
      <c r="AJ101" s="431">
        <v>59986</v>
      </c>
      <c r="AK101" s="431">
        <v>0</v>
      </c>
      <c r="AL101" s="431">
        <v>3011286</v>
      </c>
      <c r="AM101" s="431">
        <v>3621</v>
      </c>
    </row>
    <row r="102" spans="1:39" s="155" customFormat="1" ht="12" x14ac:dyDescent="0.2">
      <c r="A102" s="168">
        <v>48</v>
      </c>
      <c r="B102" s="200">
        <v>172082</v>
      </c>
      <c r="C102" s="246" t="s">
        <v>863</v>
      </c>
      <c r="D102" s="432">
        <f t="shared" si="13"/>
        <v>8232368</v>
      </c>
      <c r="E102" s="431">
        <v>1593276</v>
      </c>
      <c r="F102" s="431">
        <v>358757</v>
      </c>
      <c r="G102" s="431">
        <v>453977</v>
      </c>
      <c r="H102" s="431">
        <v>0</v>
      </c>
      <c r="I102" s="431">
        <v>1544420</v>
      </c>
      <c r="J102" s="431">
        <v>134000</v>
      </c>
      <c r="K102" s="431">
        <v>862230</v>
      </c>
      <c r="L102" s="431">
        <v>0</v>
      </c>
      <c r="M102" s="431">
        <v>3813517</v>
      </c>
      <c r="N102" s="431">
        <v>261037</v>
      </c>
      <c r="O102" s="431">
        <v>23888</v>
      </c>
      <c r="P102" s="432">
        <f t="shared" si="16"/>
        <v>8651354</v>
      </c>
      <c r="Q102" s="431">
        <v>1865541</v>
      </c>
      <c r="R102" s="431">
        <v>1067330</v>
      </c>
      <c r="S102" s="431">
        <v>0</v>
      </c>
      <c r="T102" s="431">
        <v>0</v>
      </c>
      <c r="U102" s="431">
        <v>29220</v>
      </c>
      <c r="V102" s="431">
        <v>24663</v>
      </c>
      <c r="W102" s="431">
        <v>378063</v>
      </c>
      <c r="X102" s="431">
        <v>408341</v>
      </c>
      <c r="Y102" s="431">
        <v>0</v>
      </c>
      <c r="Z102" s="431">
        <v>4878291</v>
      </c>
      <c r="AA102" s="431">
        <v>0</v>
      </c>
      <c r="AB102" s="431">
        <v>-95</v>
      </c>
      <c r="AC102" s="431">
        <v>1206187</v>
      </c>
      <c r="AD102" s="431">
        <v>1449</v>
      </c>
      <c r="AE102" s="431">
        <v>1640620</v>
      </c>
      <c r="AF102" s="431">
        <v>1550</v>
      </c>
      <c r="AG102" s="431">
        <v>204128</v>
      </c>
      <c r="AH102" s="431">
        <v>533232</v>
      </c>
      <c r="AI102" s="431">
        <v>3202833</v>
      </c>
      <c r="AJ102" s="431">
        <v>256</v>
      </c>
      <c r="AK102" s="431">
        <v>0</v>
      </c>
      <c r="AL102" s="431">
        <v>1861099</v>
      </c>
      <c r="AM102" s="431">
        <v>0</v>
      </c>
    </row>
    <row r="103" spans="1:39" s="155" customFormat="1" ht="12" x14ac:dyDescent="0.2">
      <c r="A103" s="168">
        <v>49</v>
      </c>
      <c r="B103" s="200">
        <v>172153</v>
      </c>
      <c r="C103" s="246" t="s">
        <v>864</v>
      </c>
      <c r="D103" s="432">
        <f t="shared" si="13"/>
        <v>6371511</v>
      </c>
      <c r="E103" s="431">
        <v>932940</v>
      </c>
      <c r="F103" s="431">
        <v>191323</v>
      </c>
      <c r="G103" s="431">
        <v>186121</v>
      </c>
      <c r="H103" s="431">
        <v>0</v>
      </c>
      <c r="I103" s="431">
        <v>1746212</v>
      </c>
      <c r="J103" s="431">
        <v>105000</v>
      </c>
      <c r="K103" s="431">
        <v>936400</v>
      </c>
      <c r="L103" s="431">
        <v>0</v>
      </c>
      <c r="M103" s="431">
        <v>1123848</v>
      </c>
      <c r="N103" s="431">
        <v>1477571</v>
      </c>
      <c r="O103" s="431">
        <v>49540</v>
      </c>
      <c r="P103" s="432">
        <f t="shared" si="16"/>
        <v>6219790</v>
      </c>
      <c r="Q103" s="431">
        <v>2079313</v>
      </c>
      <c r="R103" s="431">
        <v>678412</v>
      </c>
      <c r="S103" s="431">
        <v>0</v>
      </c>
      <c r="T103" s="431">
        <v>0</v>
      </c>
      <c r="U103" s="431">
        <v>0</v>
      </c>
      <c r="V103" s="431">
        <v>0</v>
      </c>
      <c r="W103" s="431">
        <v>2175942</v>
      </c>
      <c r="X103" s="431">
        <v>190098</v>
      </c>
      <c r="Y103" s="431">
        <v>0</v>
      </c>
      <c r="Z103" s="431">
        <v>1101045</v>
      </c>
      <c r="AA103" s="431">
        <v>0</v>
      </c>
      <c r="AB103" s="431">
        <v>-5020</v>
      </c>
      <c r="AC103" s="431">
        <v>972082</v>
      </c>
      <c r="AD103" s="431">
        <v>233948</v>
      </c>
      <c r="AE103" s="431">
        <v>1546639</v>
      </c>
      <c r="AF103" s="431">
        <v>0</v>
      </c>
      <c r="AG103" s="431">
        <v>487094</v>
      </c>
      <c r="AH103" s="431">
        <v>372244</v>
      </c>
      <c r="AI103" s="431">
        <v>1150492</v>
      </c>
      <c r="AJ103" s="431">
        <v>0</v>
      </c>
      <c r="AK103" s="431">
        <v>0</v>
      </c>
      <c r="AL103" s="431">
        <v>1457291</v>
      </c>
      <c r="AM103" s="431">
        <v>0</v>
      </c>
    </row>
    <row r="104" spans="1:39" s="155" customFormat="1" ht="12" x14ac:dyDescent="0.2">
      <c r="A104" s="168">
        <v>50</v>
      </c>
      <c r="B104" s="200">
        <v>172279</v>
      </c>
      <c r="C104" s="246" t="s">
        <v>865</v>
      </c>
      <c r="D104" s="432">
        <f t="shared" si="13"/>
        <v>3281272</v>
      </c>
      <c r="E104" s="431">
        <v>573437</v>
      </c>
      <c r="F104" s="431">
        <v>60432</v>
      </c>
      <c r="G104" s="431">
        <v>269826</v>
      </c>
      <c r="H104" s="431">
        <v>0</v>
      </c>
      <c r="I104" s="431">
        <v>818400</v>
      </c>
      <c r="J104" s="431">
        <v>36000</v>
      </c>
      <c r="K104" s="431">
        <v>1136760</v>
      </c>
      <c r="L104" s="431">
        <v>0</v>
      </c>
      <c r="M104" s="431">
        <v>699560</v>
      </c>
      <c r="N104" s="431">
        <v>0</v>
      </c>
      <c r="O104" s="431">
        <v>17115</v>
      </c>
      <c r="P104" s="432">
        <f t="shared" si="16"/>
        <v>3715668</v>
      </c>
      <c r="Q104" s="431">
        <v>1145141</v>
      </c>
      <c r="R104" s="431">
        <v>1019355</v>
      </c>
      <c r="S104" s="431">
        <v>0</v>
      </c>
      <c r="T104" s="431">
        <v>0</v>
      </c>
      <c r="U104" s="431">
        <v>0</v>
      </c>
      <c r="V104" s="431">
        <v>9100</v>
      </c>
      <c r="W104" s="431">
        <v>0</v>
      </c>
      <c r="X104" s="431">
        <v>138613</v>
      </c>
      <c r="Y104" s="431">
        <v>9000</v>
      </c>
      <c r="Z104" s="431">
        <v>1400160</v>
      </c>
      <c r="AA104" s="431">
        <v>0</v>
      </c>
      <c r="AB104" s="431">
        <v>-5701</v>
      </c>
      <c r="AC104" s="431">
        <v>1048872</v>
      </c>
      <c r="AD104" s="431">
        <v>51890</v>
      </c>
      <c r="AE104" s="431">
        <v>704107</v>
      </c>
      <c r="AF104" s="431">
        <v>21116</v>
      </c>
      <c r="AG104" s="431">
        <v>70921</v>
      </c>
      <c r="AH104" s="431">
        <v>222147</v>
      </c>
      <c r="AI104" s="431">
        <v>193817</v>
      </c>
      <c r="AJ104" s="431">
        <v>0</v>
      </c>
      <c r="AK104" s="431">
        <v>0</v>
      </c>
      <c r="AL104" s="431">
        <v>1402798</v>
      </c>
      <c r="AM104" s="431">
        <v>0</v>
      </c>
    </row>
    <row r="105" spans="1:39" s="155" customFormat="1" ht="12" x14ac:dyDescent="0.2">
      <c r="A105" s="168">
        <v>51</v>
      </c>
      <c r="B105" s="200">
        <v>172340</v>
      </c>
      <c r="C105" s="246" t="s">
        <v>866</v>
      </c>
      <c r="D105" s="432">
        <f t="shared" si="13"/>
        <v>3859502</v>
      </c>
      <c r="E105" s="431">
        <v>805327</v>
      </c>
      <c r="F105" s="431">
        <v>222996</v>
      </c>
      <c r="G105" s="431">
        <v>201877</v>
      </c>
      <c r="H105" s="431">
        <v>0</v>
      </c>
      <c r="I105" s="431">
        <v>1423845</v>
      </c>
      <c r="J105" s="431">
        <v>81360</v>
      </c>
      <c r="K105" s="431">
        <v>919490</v>
      </c>
      <c r="L105" s="431">
        <v>0</v>
      </c>
      <c r="M105" s="431">
        <v>629480</v>
      </c>
      <c r="N105" s="431">
        <v>0</v>
      </c>
      <c r="O105" s="431">
        <v>0</v>
      </c>
      <c r="P105" s="432">
        <f t="shared" si="16"/>
        <v>3636458</v>
      </c>
      <c r="Q105" s="431">
        <v>1667346</v>
      </c>
      <c r="R105" s="431">
        <v>524582</v>
      </c>
      <c r="S105" s="431">
        <v>0</v>
      </c>
      <c r="T105" s="431">
        <v>0</v>
      </c>
      <c r="U105" s="431">
        <v>0</v>
      </c>
      <c r="V105" s="431">
        <v>12000</v>
      </c>
      <c r="W105" s="431">
        <v>0</v>
      </c>
      <c r="X105" s="431">
        <v>426103</v>
      </c>
      <c r="Y105" s="431">
        <v>6900</v>
      </c>
      <c r="Z105" s="431">
        <v>1006976</v>
      </c>
      <c r="AA105" s="431">
        <v>0</v>
      </c>
      <c r="AB105" s="431">
        <v>-7449</v>
      </c>
      <c r="AC105" s="431">
        <v>723358</v>
      </c>
      <c r="AD105" s="431">
        <v>38644</v>
      </c>
      <c r="AE105" s="431">
        <v>1230379</v>
      </c>
      <c r="AF105" s="431">
        <v>43412</v>
      </c>
      <c r="AG105" s="431">
        <v>235823</v>
      </c>
      <c r="AH105" s="431">
        <v>469807</v>
      </c>
      <c r="AI105" s="431">
        <v>107467</v>
      </c>
      <c r="AJ105" s="431">
        <v>0</v>
      </c>
      <c r="AK105" s="431">
        <v>0</v>
      </c>
      <c r="AL105" s="431">
        <v>782568</v>
      </c>
      <c r="AM105" s="431">
        <v>5000</v>
      </c>
    </row>
    <row r="106" spans="1:39" s="155" customFormat="1" ht="12" x14ac:dyDescent="0.2">
      <c r="A106" s="168">
        <v>52</v>
      </c>
      <c r="B106" s="200">
        <v>172377</v>
      </c>
      <c r="C106" s="246" t="s">
        <v>867</v>
      </c>
      <c r="D106" s="432">
        <f t="shared" si="13"/>
        <v>11017065</v>
      </c>
      <c r="E106" s="431">
        <v>908088</v>
      </c>
      <c r="F106" s="431">
        <v>159866</v>
      </c>
      <c r="G106" s="431">
        <v>211725</v>
      </c>
      <c r="H106" s="431">
        <v>0</v>
      </c>
      <c r="I106" s="431">
        <v>1838388</v>
      </c>
      <c r="J106" s="431">
        <v>15810</v>
      </c>
      <c r="K106" s="431">
        <v>1395960</v>
      </c>
      <c r="L106" s="431">
        <v>0</v>
      </c>
      <c r="M106" s="431">
        <v>1235981</v>
      </c>
      <c r="N106" s="431">
        <v>5076967</v>
      </c>
      <c r="O106" s="431">
        <v>545871</v>
      </c>
      <c r="P106" s="432">
        <f t="shared" si="16"/>
        <v>12142161</v>
      </c>
      <c r="Q106" s="431">
        <v>2388847</v>
      </c>
      <c r="R106" s="431">
        <v>824740</v>
      </c>
      <c r="S106" s="431">
        <v>0</v>
      </c>
      <c r="T106" s="431">
        <v>0</v>
      </c>
      <c r="U106" s="431">
        <v>0</v>
      </c>
      <c r="V106" s="431">
        <v>0</v>
      </c>
      <c r="W106" s="431">
        <v>6024432</v>
      </c>
      <c r="X106" s="431">
        <v>326255</v>
      </c>
      <c r="Y106" s="431">
        <v>0</v>
      </c>
      <c r="Z106" s="431">
        <v>2583383</v>
      </c>
      <c r="AA106" s="431">
        <v>0</v>
      </c>
      <c r="AB106" s="431">
        <v>-5496</v>
      </c>
      <c r="AC106" s="431">
        <v>974114</v>
      </c>
      <c r="AD106" s="431">
        <v>0</v>
      </c>
      <c r="AE106" s="431">
        <v>1318417</v>
      </c>
      <c r="AF106" s="431">
        <v>0</v>
      </c>
      <c r="AG106" s="431">
        <v>348919</v>
      </c>
      <c r="AH106" s="431">
        <v>1637001</v>
      </c>
      <c r="AI106" s="431">
        <v>406546</v>
      </c>
      <c r="AJ106" s="431">
        <v>545871</v>
      </c>
      <c r="AK106" s="431">
        <v>0</v>
      </c>
      <c r="AL106" s="431">
        <v>1710200</v>
      </c>
      <c r="AM106" s="431">
        <v>5201093</v>
      </c>
    </row>
    <row r="107" spans="1:39" s="155" customFormat="1" ht="12" x14ac:dyDescent="0.2">
      <c r="A107" s="168">
        <v>53</v>
      </c>
      <c r="B107" s="200">
        <v>172457</v>
      </c>
      <c r="C107" s="246" t="s">
        <v>868</v>
      </c>
      <c r="D107" s="432">
        <f t="shared" si="13"/>
        <v>5975071</v>
      </c>
      <c r="E107" s="431">
        <v>1681106</v>
      </c>
      <c r="F107" s="431">
        <v>294761</v>
      </c>
      <c r="G107" s="431">
        <v>648961</v>
      </c>
      <c r="H107" s="431">
        <v>0</v>
      </c>
      <c r="I107" s="431">
        <v>1900251</v>
      </c>
      <c r="J107" s="431">
        <v>8000</v>
      </c>
      <c r="K107" s="431">
        <v>1883690</v>
      </c>
      <c r="L107" s="431">
        <v>0</v>
      </c>
      <c r="M107" s="431">
        <v>475403</v>
      </c>
      <c r="N107" s="431">
        <v>-157236</v>
      </c>
      <c r="O107" s="431">
        <v>183857</v>
      </c>
      <c r="P107" s="432">
        <f t="shared" si="16"/>
        <v>10784052</v>
      </c>
      <c r="Q107" s="431">
        <v>2152557</v>
      </c>
      <c r="R107" s="431">
        <v>1316799</v>
      </c>
      <c r="S107" s="431">
        <v>24177</v>
      </c>
      <c r="T107" s="431">
        <v>0</v>
      </c>
      <c r="U107" s="431">
        <v>0</v>
      </c>
      <c r="V107" s="431">
        <v>16800</v>
      </c>
      <c r="W107" s="431">
        <v>0</v>
      </c>
      <c r="X107" s="431">
        <v>696892</v>
      </c>
      <c r="Y107" s="431">
        <v>0</v>
      </c>
      <c r="Z107" s="431">
        <v>6500857</v>
      </c>
      <c r="AA107" s="431">
        <v>75970</v>
      </c>
      <c r="AB107" s="431">
        <v>0</v>
      </c>
      <c r="AC107" s="431">
        <v>1521564</v>
      </c>
      <c r="AD107" s="431">
        <v>22174</v>
      </c>
      <c r="AE107" s="431">
        <v>1023636</v>
      </c>
      <c r="AF107" s="431">
        <v>23069</v>
      </c>
      <c r="AG107" s="431">
        <v>189520</v>
      </c>
      <c r="AH107" s="431">
        <v>1287497</v>
      </c>
      <c r="AI107" s="431">
        <v>930978</v>
      </c>
      <c r="AJ107" s="431">
        <v>611886</v>
      </c>
      <c r="AK107" s="431">
        <v>0</v>
      </c>
      <c r="AL107" s="431">
        <v>5131929</v>
      </c>
      <c r="AM107" s="431">
        <v>41799</v>
      </c>
    </row>
    <row r="108" spans="1:39" s="155" customFormat="1" ht="12" x14ac:dyDescent="0.2">
      <c r="A108" s="168">
        <v>54</v>
      </c>
      <c r="B108" s="200">
        <v>172509</v>
      </c>
      <c r="C108" s="246" t="s">
        <v>869</v>
      </c>
      <c r="D108" s="432">
        <f t="shared" si="13"/>
        <v>3998181</v>
      </c>
      <c r="E108" s="431">
        <v>633898</v>
      </c>
      <c r="F108" s="431">
        <v>197042</v>
      </c>
      <c r="G108" s="431">
        <v>217633</v>
      </c>
      <c r="H108" s="431">
        <v>0</v>
      </c>
      <c r="I108" s="431">
        <v>1176427</v>
      </c>
      <c r="J108" s="431">
        <v>94000</v>
      </c>
      <c r="K108" s="431">
        <v>1049090</v>
      </c>
      <c r="L108" s="431">
        <v>0</v>
      </c>
      <c r="M108" s="431">
        <v>252825</v>
      </c>
      <c r="N108" s="431">
        <v>769141</v>
      </c>
      <c r="O108" s="431">
        <v>22800</v>
      </c>
      <c r="P108" s="432">
        <f t="shared" si="16"/>
        <v>3766369</v>
      </c>
      <c r="Q108" s="431">
        <v>1502951</v>
      </c>
      <c r="R108" s="431">
        <v>851392</v>
      </c>
      <c r="S108" s="431">
        <v>0</v>
      </c>
      <c r="T108" s="431">
        <v>0</v>
      </c>
      <c r="U108" s="431">
        <v>0</v>
      </c>
      <c r="V108" s="431">
        <v>0</v>
      </c>
      <c r="W108" s="431">
        <v>946865</v>
      </c>
      <c r="X108" s="431">
        <v>220857</v>
      </c>
      <c r="Y108" s="431">
        <v>0</v>
      </c>
      <c r="Z108" s="431">
        <v>244304</v>
      </c>
      <c r="AA108" s="431">
        <v>0</v>
      </c>
      <c r="AB108" s="431">
        <v>0</v>
      </c>
      <c r="AC108" s="431">
        <v>1099330</v>
      </c>
      <c r="AD108" s="431">
        <v>19593</v>
      </c>
      <c r="AE108" s="431">
        <v>943751</v>
      </c>
      <c r="AF108" s="431">
        <v>0</v>
      </c>
      <c r="AG108" s="431">
        <v>1011604</v>
      </c>
      <c r="AH108" s="431">
        <v>386880</v>
      </c>
      <c r="AI108" s="431">
        <v>57783</v>
      </c>
      <c r="AJ108" s="431">
        <v>0</v>
      </c>
      <c r="AK108" s="431">
        <v>0</v>
      </c>
      <c r="AL108" s="431">
        <v>247428</v>
      </c>
      <c r="AM108" s="431">
        <v>0</v>
      </c>
    </row>
    <row r="109" spans="1:39" s="155" customFormat="1" ht="12" x14ac:dyDescent="0.2">
      <c r="A109" s="168">
        <v>55</v>
      </c>
      <c r="B109" s="200">
        <v>172581</v>
      </c>
      <c r="C109" s="246" t="s">
        <v>870</v>
      </c>
      <c r="D109" s="432">
        <f t="shared" si="13"/>
        <v>4633771</v>
      </c>
      <c r="E109" s="431">
        <v>720467</v>
      </c>
      <c r="F109" s="431">
        <v>136558</v>
      </c>
      <c r="G109" s="431">
        <v>250131</v>
      </c>
      <c r="H109" s="431">
        <v>0</v>
      </c>
      <c r="I109" s="431">
        <v>1565344</v>
      </c>
      <c r="J109" s="431">
        <v>84000</v>
      </c>
      <c r="K109" s="431">
        <v>1166800</v>
      </c>
      <c r="L109" s="431">
        <v>0</v>
      </c>
      <c r="M109" s="431">
        <v>1071716</v>
      </c>
      <c r="N109" s="431">
        <v>25444</v>
      </c>
      <c r="O109" s="431">
        <v>0</v>
      </c>
      <c r="P109" s="432">
        <f t="shared" si="16"/>
        <v>5194592</v>
      </c>
      <c r="Q109" s="431">
        <v>1968422</v>
      </c>
      <c r="R109" s="431">
        <v>700747</v>
      </c>
      <c r="S109" s="431">
        <v>0</v>
      </c>
      <c r="T109" s="431">
        <v>0</v>
      </c>
      <c r="U109" s="431">
        <v>0</v>
      </c>
      <c r="V109" s="431">
        <v>5000</v>
      </c>
      <c r="W109" s="431">
        <v>31610</v>
      </c>
      <c r="X109" s="431">
        <v>265586</v>
      </c>
      <c r="Y109" s="431">
        <v>0</v>
      </c>
      <c r="Z109" s="431">
        <v>2235349</v>
      </c>
      <c r="AA109" s="431">
        <v>0</v>
      </c>
      <c r="AB109" s="431">
        <v>-12122</v>
      </c>
      <c r="AC109" s="431">
        <v>617028</v>
      </c>
      <c r="AD109" s="431">
        <v>0</v>
      </c>
      <c r="AE109" s="431">
        <v>1157704</v>
      </c>
      <c r="AF109" s="431">
        <v>27737</v>
      </c>
      <c r="AG109" s="431">
        <v>314931</v>
      </c>
      <c r="AH109" s="431">
        <v>1152551</v>
      </c>
      <c r="AI109" s="431">
        <v>957067</v>
      </c>
      <c r="AJ109" s="431">
        <v>115348</v>
      </c>
      <c r="AK109" s="431">
        <v>0</v>
      </c>
      <c r="AL109" s="431">
        <v>852226</v>
      </c>
      <c r="AM109" s="431">
        <v>0</v>
      </c>
    </row>
    <row r="110" spans="1:39" s="155" customFormat="1" ht="12" x14ac:dyDescent="0.2">
      <c r="A110" s="168">
        <v>56</v>
      </c>
      <c r="B110" s="200">
        <v>172698</v>
      </c>
      <c r="C110" s="246" t="s">
        <v>871</v>
      </c>
      <c r="D110" s="432">
        <f t="shared" si="13"/>
        <v>7492387</v>
      </c>
      <c r="E110" s="431">
        <v>714902</v>
      </c>
      <c r="F110" s="431">
        <v>95228</v>
      </c>
      <c r="G110" s="431">
        <v>236344</v>
      </c>
      <c r="H110" s="431">
        <v>0</v>
      </c>
      <c r="I110" s="431">
        <v>1251473</v>
      </c>
      <c r="J110" s="431">
        <v>119000</v>
      </c>
      <c r="K110" s="431">
        <v>1161950</v>
      </c>
      <c r="L110" s="431">
        <v>0</v>
      </c>
      <c r="M110" s="431">
        <v>661060</v>
      </c>
      <c r="N110" s="431">
        <v>3119848</v>
      </c>
      <c r="O110" s="431">
        <v>464154</v>
      </c>
      <c r="P110" s="432">
        <f t="shared" si="16"/>
        <v>3648089</v>
      </c>
      <c r="Q110" s="431">
        <v>1325822</v>
      </c>
      <c r="R110" s="431">
        <v>667149</v>
      </c>
      <c r="S110" s="431">
        <v>0</v>
      </c>
      <c r="T110" s="431">
        <v>0</v>
      </c>
      <c r="U110" s="431">
        <v>0</v>
      </c>
      <c r="V110" s="431">
        <v>7000</v>
      </c>
      <c r="W110" s="431">
        <v>0</v>
      </c>
      <c r="X110" s="431">
        <v>435589</v>
      </c>
      <c r="Y110" s="431">
        <v>17350</v>
      </c>
      <c r="Z110" s="431">
        <v>1201718</v>
      </c>
      <c r="AA110" s="431">
        <v>0</v>
      </c>
      <c r="AB110" s="431">
        <v>-6539</v>
      </c>
      <c r="AC110" s="431">
        <v>591861</v>
      </c>
      <c r="AD110" s="431">
        <v>16495</v>
      </c>
      <c r="AE110" s="431">
        <v>832020</v>
      </c>
      <c r="AF110" s="431">
        <v>0</v>
      </c>
      <c r="AG110" s="431">
        <v>17350</v>
      </c>
      <c r="AH110" s="431">
        <v>585731</v>
      </c>
      <c r="AI110" s="431">
        <v>88389</v>
      </c>
      <c r="AJ110" s="431">
        <v>4242</v>
      </c>
      <c r="AK110" s="431">
        <v>0</v>
      </c>
      <c r="AL110" s="431">
        <v>1507513</v>
      </c>
      <c r="AM110" s="431">
        <v>4488</v>
      </c>
    </row>
    <row r="111" spans="1:39" s="155" customFormat="1" ht="12" x14ac:dyDescent="0.2">
      <c r="A111" s="168">
        <v>57</v>
      </c>
      <c r="B111" s="200">
        <v>172812</v>
      </c>
      <c r="C111" s="246" t="s">
        <v>872</v>
      </c>
      <c r="D111" s="432">
        <f t="shared" si="13"/>
        <v>3104336</v>
      </c>
      <c r="E111" s="431">
        <v>487440</v>
      </c>
      <c r="F111" s="431">
        <v>77372</v>
      </c>
      <c r="G111" s="431">
        <v>237329</v>
      </c>
      <c r="H111" s="431">
        <v>0</v>
      </c>
      <c r="I111" s="431">
        <v>782000</v>
      </c>
      <c r="J111" s="431">
        <v>94000</v>
      </c>
      <c r="K111" s="431">
        <v>1041120</v>
      </c>
      <c r="L111" s="431">
        <v>0</v>
      </c>
      <c r="M111" s="431">
        <v>688856</v>
      </c>
      <c r="N111" s="431">
        <v>0</v>
      </c>
      <c r="O111" s="431">
        <v>10920</v>
      </c>
      <c r="P111" s="432">
        <f t="shared" si="16"/>
        <v>3765829</v>
      </c>
      <c r="Q111" s="431">
        <v>869893</v>
      </c>
      <c r="R111" s="431">
        <v>1093910</v>
      </c>
      <c r="S111" s="431">
        <v>0</v>
      </c>
      <c r="T111" s="431">
        <v>0</v>
      </c>
      <c r="U111" s="431">
        <v>0</v>
      </c>
      <c r="V111" s="431">
        <v>200</v>
      </c>
      <c r="W111" s="431">
        <v>0</v>
      </c>
      <c r="X111" s="431">
        <v>238887</v>
      </c>
      <c r="Y111" s="431">
        <v>0</v>
      </c>
      <c r="Z111" s="431">
        <v>1563271</v>
      </c>
      <c r="AA111" s="431">
        <v>0</v>
      </c>
      <c r="AB111" s="431">
        <v>-332</v>
      </c>
      <c r="AC111" s="431">
        <v>732318</v>
      </c>
      <c r="AD111" s="431">
        <v>0</v>
      </c>
      <c r="AE111" s="431">
        <v>573680</v>
      </c>
      <c r="AF111" s="431">
        <v>0</v>
      </c>
      <c r="AG111" s="431">
        <v>80923</v>
      </c>
      <c r="AH111" s="431">
        <v>236967</v>
      </c>
      <c r="AI111" s="431">
        <v>793329</v>
      </c>
      <c r="AJ111" s="431">
        <v>0</v>
      </c>
      <c r="AK111" s="431">
        <v>0</v>
      </c>
      <c r="AL111" s="431">
        <v>1348612</v>
      </c>
      <c r="AM111" s="431">
        <v>0</v>
      </c>
    </row>
    <row r="112" spans="1:39" s="155" customFormat="1" ht="12" x14ac:dyDescent="0.2">
      <c r="A112" s="168">
        <v>58</v>
      </c>
      <c r="B112" s="200">
        <v>172894</v>
      </c>
      <c r="C112" s="246" t="s">
        <v>873</v>
      </c>
      <c r="D112" s="432">
        <f t="shared" si="13"/>
        <v>3934009</v>
      </c>
      <c r="E112" s="431">
        <v>690715</v>
      </c>
      <c r="F112" s="431">
        <v>80001</v>
      </c>
      <c r="G112" s="431">
        <v>234374</v>
      </c>
      <c r="H112" s="431">
        <v>0</v>
      </c>
      <c r="I112" s="431">
        <v>1223009</v>
      </c>
      <c r="J112" s="431">
        <v>43000</v>
      </c>
      <c r="K112" s="431">
        <v>1040060</v>
      </c>
      <c r="L112" s="431">
        <v>0</v>
      </c>
      <c r="M112" s="431">
        <v>488507</v>
      </c>
      <c r="N112" s="431">
        <v>445038</v>
      </c>
      <c r="O112" s="431">
        <v>3680</v>
      </c>
      <c r="P112" s="432">
        <f t="shared" si="16"/>
        <v>3372885</v>
      </c>
      <c r="Q112" s="431">
        <v>1439869</v>
      </c>
      <c r="R112" s="431">
        <v>421607</v>
      </c>
      <c r="S112" s="431">
        <v>0</v>
      </c>
      <c r="T112" s="431">
        <v>0</v>
      </c>
      <c r="U112" s="431">
        <v>0</v>
      </c>
      <c r="V112" s="431">
        <v>6450</v>
      </c>
      <c r="W112" s="431">
        <v>641942</v>
      </c>
      <c r="X112" s="431">
        <v>211843</v>
      </c>
      <c r="Y112" s="431">
        <v>12000</v>
      </c>
      <c r="Z112" s="431">
        <v>640050</v>
      </c>
      <c r="AA112" s="431">
        <v>0</v>
      </c>
      <c r="AB112" s="431">
        <v>-876</v>
      </c>
      <c r="AC112" s="431">
        <v>447891</v>
      </c>
      <c r="AD112" s="431">
        <v>3685</v>
      </c>
      <c r="AE112" s="431">
        <v>920713</v>
      </c>
      <c r="AF112" s="431">
        <v>31628</v>
      </c>
      <c r="AG112" s="431">
        <v>65876</v>
      </c>
      <c r="AH112" s="431">
        <v>513301</v>
      </c>
      <c r="AI112" s="431">
        <v>19424</v>
      </c>
      <c r="AJ112" s="431">
        <v>0</v>
      </c>
      <c r="AK112" s="431">
        <v>0</v>
      </c>
      <c r="AL112" s="431">
        <v>727648</v>
      </c>
      <c r="AM112" s="431">
        <v>642719</v>
      </c>
    </row>
    <row r="113" spans="1:39" s="155" customFormat="1" ht="12" x14ac:dyDescent="0.2">
      <c r="A113" s="168">
        <v>59</v>
      </c>
      <c r="B113" s="200">
        <v>172947</v>
      </c>
      <c r="C113" s="246" t="s">
        <v>874</v>
      </c>
      <c r="D113" s="432">
        <f t="shared" si="13"/>
        <v>4553435</v>
      </c>
      <c r="E113" s="431">
        <v>544957</v>
      </c>
      <c r="F113" s="431">
        <v>70358</v>
      </c>
      <c r="G113" s="431">
        <v>272780</v>
      </c>
      <c r="H113" s="431">
        <v>0</v>
      </c>
      <c r="I113" s="431">
        <v>964000</v>
      </c>
      <c r="J113" s="431">
        <v>6000</v>
      </c>
      <c r="K113" s="431">
        <v>1346880</v>
      </c>
      <c r="L113" s="431">
        <v>0</v>
      </c>
      <c r="M113" s="431">
        <v>1686078</v>
      </c>
      <c r="N113" s="431">
        <v>0</v>
      </c>
      <c r="O113" s="431">
        <v>5520</v>
      </c>
      <c r="P113" s="432">
        <f t="shared" si="16"/>
        <v>5424226</v>
      </c>
      <c r="Q113" s="431">
        <v>1248385</v>
      </c>
      <c r="R113" s="431">
        <v>640742</v>
      </c>
      <c r="S113" s="431">
        <v>1407</v>
      </c>
      <c r="T113" s="431">
        <v>0</v>
      </c>
      <c r="U113" s="431">
        <v>0</v>
      </c>
      <c r="V113" s="431">
        <v>49500</v>
      </c>
      <c r="W113" s="431">
        <v>0</v>
      </c>
      <c r="X113" s="431">
        <v>249263</v>
      </c>
      <c r="Y113" s="431">
        <v>14249</v>
      </c>
      <c r="Z113" s="431">
        <v>3223266</v>
      </c>
      <c r="AA113" s="431">
        <v>0</v>
      </c>
      <c r="AB113" s="431">
        <v>-2586</v>
      </c>
      <c r="AC113" s="431">
        <v>852744</v>
      </c>
      <c r="AD113" s="431">
        <v>0</v>
      </c>
      <c r="AE113" s="431">
        <v>1078688</v>
      </c>
      <c r="AF113" s="431">
        <v>0</v>
      </c>
      <c r="AG113" s="431">
        <v>120508</v>
      </c>
      <c r="AH113" s="431">
        <v>463260</v>
      </c>
      <c r="AI113" s="431">
        <v>36493</v>
      </c>
      <c r="AJ113" s="431">
        <v>12000</v>
      </c>
      <c r="AK113" s="431">
        <v>0</v>
      </c>
      <c r="AL113" s="431">
        <v>2860533</v>
      </c>
      <c r="AM113" s="431">
        <v>0</v>
      </c>
    </row>
    <row r="114" spans="1:39" s="155" customFormat="1" ht="12" x14ac:dyDescent="0.2">
      <c r="A114" s="168">
        <v>60</v>
      </c>
      <c r="B114" s="200">
        <v>172992</v>
      </c>
      <c r="C114" s="246" t="s">
        <v>875</v>
      </c>
      <c r="D114" s="432">
        <f t="shared" si="13"/>
        <v>4587058</v>
      </c>
      <c r="E114" s="431">
        <v>690585</v>
      </c>
      <c r="F114" s="431">
        <v>154012</v>
      </c>
      <c r="G114" s="431">
        <v>251115</v>
      </c>
      <c r="H114" s="431">
        <v>0</v>
      </c>
      <c r="I114" s="431">
        <v>1221609</v>
      </c>
      <c r="J114" s="431">
        <v>79000</v>
      </c>
      <c r="K114" s="431">
        <v>1157670</v>
      </c>
      <c r="L114" s="431">
        <v>0</v>
      </c>
      <c r="M114" s="431">
        <v>1438194</v>
      </c>
      <c r="N114" s="431">
        <v>0</v>
      </c>
      <c r="O114" s="431">
        <v>0</v>
      </c>
      <c r="P114" s="432">
        <f t="shared" si="16"/>
        <v>4141331</v>
      </c>
      <c r="Q114" s="431">
        <v>1621865</v>
      </c>
      <c r="R114" s="431">
        <v>489913</v>
      </c>
      <c r="S114" s="431">
        <v>0</v>
      </c>
      <c r="T114" s="431">
        <v>0</v>
      </c>
      <c r="U114" s="431">
        <v>0</v>
      </c>
      <c r="V114" s="431">
        <v>6000</v>
      </c>
      <c r="W114" s="431">
        <v>0</v>
      </c>
      <c r="X114" s="431">
        <v>137120</v>
      </c>
      <c r="Y114" s="431">
        <v>0</v>
      </c>
      <c r="Z114" s="431">
        <v>1886761</v>
      </c>
      <c r="AA114" s="431">
        <v>0</v>
      </c>
      <c r="AB114" s="431">
        <v>-328</v>
      </c>
      <c r="AC114" s="431">
        <v>711112</v>
      </c>
      <c r="AD114" s="431">
        <v>0</v>
      </c>
      <c r="AE114" s="431">
        <v>920946</v>
      </c>
      <c r="AF114" s="431">
        <v>15403</v>
      </c>
      <c r="AG114" s="431">
        <v>286942</v>
      </c>
      <c r="AH114" s="431">
        <v>392130</v>
      </c>
      <c r="AI114" s="431">
        <v>1481723</v>
      </c>
      <c r="AJ114" s="431">
        <v>0</v>
      </c>
      <c r="AK114" s="431">
        <v>0</v>
      </c>
      <c r="AL114" s="431">
        <v>333075</v>
      </c>
      <c r="AM114" s="431">
        <v>0</v>
      </c>
    </row>
    <row r="115" spans="1:39" s="155" customFormat="1" ht="12" x14ac:dyDescent="0.2">
      <c r="A115" s="168">
        <v>61</v>
      </c>
      <c r="B115" s="200">
        <v>173061</v>
      </c>
      <c r="C115" s="246" t="s">
        <v>876</v>
      </c>
      <c r="D115" s="432">
        <f t="shared" si="13"/>
        <v>11017198</v>
      </c>
      <c r="E115" s="431">
        <v>1494708</v>
      </c>
      <c r="F115" s="431">
        <v>213418</v>
      </c>
      <c r="G115" s="431">
        <v>554423</v>
      </c>
      <c r="H115" s="431">
        <v>0</v>
      </c>
      <c r="I115" s="431">
        <v>1406249</v>
      </c>
      <c r="J115" s="431">
        <v>28000</v>
      </c>
      <c r="K115" s="431">
        <v>2141370</v>
      </c>
      <c r="L115" s="431">
        <v>0</v>
      </c>
      <c r="M115" s="431">
        <v>4928722</v>
      </c>
      <c r="N115" s="431">
        <v>1005269</v>
      </c>
      <c r="O115" s="431">
        <v>12880</v>
      </c>
      <c r="P115" s="432">
        <f t="shared" si="16"/>
        <v>14019881</v>
      </c>
      <c r="Q115" s="431">
        <v>1923517</v>
      </c>
      <c r="R115" s="431">
        <v>1331770</v>
      </c>
      <c r="S115" s="431">
        <v>0</v>
      </c>
      <c r="T115" s="431">
        <v>0</v>
      </c>
      <c r="U115" s="431">
        <v>0</v>
      </c>
      <c r="V115" s="431">
        <v>20975</v>
      </c>
      <c r="W115" s="431">
        <v>1373805</v>
      </c>
      <c r="X115" s="431">
        <v>309066</v>
      </c>
      <c r="Y115" s="431">
        <v>7000</v>
      </c>
      <c r="Z115" s="431">
        <v>9053748</v>
      </c>
      <c r="AA115" s="431">
        <v>0</v>
      </c>
      <c r="AB115" s="431">
        <v>0</v>
      </c>
      <c r="AC115" s="431">
        <v>1130433</v>
      </c>
      <c r="AD115" s="431">
        <v>366792</v>
      </c>
      <c r="AE115" s="431">
        <v>1162917</v>
      </c>
      <c r="AF115" s="431">
        <v>24100</v>
      </c>
      <c r="AG115" s="431">
        <v>1182721</v>
      </c>
      <c r="AH115" s="431">
        <v>611932</v>
      </c>
      <c r="AI115" s="431">
        <v>474427</v>
      </c>
      <c r="AJ115" s="431">
        <v>1128328</v>
      </c>
      <c r="AK115" s="431">
        <v>0</v>
      </c>
      <c r="AL115" s="431">
        <v>7938231</v>
      </c>
      <c r="AM115" s="431">
        <v>0</v>
      </c>
    </row>
    <row r="116" spans="1:39" s="155" customFormat="1" ht="12" x14ac:dyDescent="0.2">
      <c r="A116" s="168">
        <v>62</v>
      </c>
      <c r="B116" s="200">
        <v>173132</v>
      </c>
      <c r="C116" s="246" t="s">
        <v>877</v>
      </c>
      <c r="D116" s="432">
        <f t="shared" si="13"/>
        <v>3744078</v>
      </c>
      <c r="E116" s="431">
        <v>547628</v>
      </c>
      <c r="F116" s="431">
        <v>48265</v>
      </c>
      <c r="G116" s="431">
        <v>268841</v>
      </c>
      <c r="H116" s="431">
        <v>0</v>
      </c>
      <c r="I116" s="431">
        <v>615573</v>
      </c>
      <c r="J116" s="431">
        <v>67000</v>
      </c>
      <c r="K116" s="431">
        <v>1178630</v>
      </c>
      <c r="L116" s="431">
        <v>0</v>
      </c>
      <c r="M116" s="431">
        <v>772156</v>
      </c>
      <c r="N116" s="431">
        <v>0</v>
      </c>
      <c r="O116" s="431">
        <v>563091</v>
      </c>
      <c r="P116" s="432">
        <f t="shared" si="16"/>
        <v>3550319</v>
      </c>
      <c r="Q116" s="431">
        <v>884573</v>
      </c>
      <c r="R116" s="431">
        <v>524229</v>
      </c>
      <c r="S116" s="431">
        <v>0</v>
      </c>
      <c r="T116" s="431">
        <v>0</v>
      </c>
      <c r="U116" s="431">
        <v>0</v>
      </c>
      <c r="V116" s="431">
        <v>9225</v>
      </c>
      <c r="W116" s="431">
        <v>0</v>
      </c>
      <c r="X116" s="431">
        <v>192279</v>
      </c>
      <c r="Y116" s="431">
        <v>49392</v>
      </c>
      <c r="Z116" s="431">
        <v>1899014</v>
      </c>
      <c r="AA116" s="431">
        <v>0</v>
      </c>
      <c r="AB116" s="431">
        <v>-8393</v>
      </c>
      <c r="AC116" s="431">
        <v>680977</v>
      </c>
      <c r="AD116" s="431">
        <v>0</v>
      </c>
      <c r="AE116" s="431">
        <v>461911</v>
      </c>
      <c r="AF116" s="431">
        <v>0</v>
      </c>
      <c r="AG116" s="431">
        <v>66080</v>
      </c>
      <c r="AH116" s="431">
        <v>307225</v>
      </c>
      <c r="AI116" s="431">
        <v>1369303</v>
      </c>
      <c r="AJ116" s="431">
        <v>0</v>
      </c>
      <c r="AK116" s="431">
        <v>0</v>
      </c>
      <c r="AL116" s="431">
        <v>664823</v>
      </c>
      <c r="AM116" s="431">
        <v>0</v>
      </c>
    </row>
    <row r="117" spans="1:39" s="155" customFormat="1" ht="12" x14ac:dyDescent="0.2">
      <c r="A117" s="168">
        <v>63</v>
      </c>
      <c r="B117" s="200">
        <v>173230</v>
      </c>
      <c r="C117" s="246" t="s">
        <v>878</v>
      </c>
      <c r="D117" s="432">
        <f t="shared" si="13"/>
        <v>9332097</v>
      </c>
      <c r="E117" s="431">
        <v>1136110</v>
      </c>
      <c r="F117" s="431">
        <v>195069</v>
      </c>
      <c r="G117" s="431">
        <v>452008</v>
      </c>
      <c r="H117" s="431">
        <v>0</v>
      </c>
      <c r="I117" s="431">
        <v>1820857</v>
      </c>
      <c r="J117" s="431">
        <v>124000</v>
      </c>
      <c r="K117" s="431">
        <v>2281330</v>
      </c>
      <c r="L117" s="431">
        <v>0</v>
      </c>
      <c r="M117" s="431">
        <v>975507</v>
      </c>
      <c r="N117" s="431">
        <v>2097063</v>
      </c>
      <c r="O117" s="431">
        <v>897230</v>
      </c>
      <c r="P117" s="432">
        <f t="shared" si="16"/>
        <v>5604303</v>
      </c>
      <c r="Q117" s="431">
        <v>1664928</v>
      </c>
      <c r="R117" s="431">
        <v>1068267</v>
      </c>
      <c r="S117" s="431">
        <v>17991</v>
      </c>
      <c r="T117" s="431">
        <v>0</v>
      </c>
      <c r="U117" s="431">
        <v>0</v>
      </c>
      <c r="V117" s="431">
        <v>3490</v>
      </c>
      <c r="W117" s="431">
        <v>7707</v>
      </c>
      <c r="X117" s="431">
        <v>621855</v>
      </c>
      <c r="Y117" s="431">
        <v>0</v>
      </c>
      <c r="Z117" s="431">
        <v>2135065</v>
      </c>
      <c r="AA117" s="431">
        <v>85000</v>
      </c>
      <c r="AB117" s="431">
        <v>0</v>
      </c>
      <c r="AC117" s="431">
        <v>877503</v>
      </c>
      <c r="AD117" s="431">
        <v>0</v>
      </c>
      <c r="AE117" s="431">
        <v>1383014</v>
      </c>
      <c r="AF117" s="431">
        <v>26577</v>
      </c>
      <c r="AG117" s="431">
        <v>740185</v>
      </c>
      <c r="AH117" s="431">
        <v>611175</v>
      </c>
      <c r="AI117" s="431">
        <v>707507</v>
      </c>
      <c r="AJ117" s="431">
        <v>515013</v>
      </c>
      <c r="AK117" s="431">
        <v>0</v>
      </c>
      <c r="AL117" s="431">
        <v>743329</v>
      </c>
      <c r="AM117" s="431">
        <v>0</v>
      </c>
    </row>
    <row r="118" spans="1:39" s="155" customFormat="1" ht="12" x14ac:dyDescent="0.2">
      <c r="A118" s="168">
        <v>64</v>
      </c>
      <c r="B118" s="200">
        <v>173374</v>
      </c>
      <c r="C118" s="246" t="s">
        <v>879</v>
      </c>
      <c r="D118" s="432">
        <f t="shared" ref="D118:D132" si="17">E118+SUM(H118:O118)</f>
        <v>6907302</v>
      </c>
      <c r="E118" s="431">
        <v>1191146</v>
      </c>
      <c r="F118" s="431">
        <v>162385</v>
      </c>
      <c r="G118" s="431">
        <v>660778</v>
      </c>
      <c r="H118" s="431">
        <v>0</v>
      </c>
      <c r="I118" s="431">
        <v>2505956</v>
      </c>
      <c r="J118" s="431">
        <v>81000</v>
      </c>
      <c r="K118" s="431">
        <v>1112640</v>
      </c>
      <c r="L118" s="431">
        <v>0</v>
      </c>
      <c r="M118" s="431">
        <v>2006040</v>
      </c>
      <c r="N118" s="431">
        <v>0</v>
      </c>
      <c r="O118" s="431">
        <v>10520</v>
      </c>
      <c r="P118" s="432">
        <f t="shared" si="16"/>
        <v>8293014</v>
      </c>
      <c r="Q118" s="431">
        <v>2548320</v>
      </c>
      <c r="R118" s="431">
        <v>866455</v>
      </c>
      <c r="S118" s="431">
        <v>0</v>
      </c>
      <c r="T118" s="431">
        <v>0</v>
      </c>
      <c r="U118" s="431">
        <v>0</v>
      </c>
      <c r="V118" s="431">
        <v>6700</v>
      </c>
      <c r="W118" s="431">
        <v>92105</v>
      </c>
      <c r="X118" s="431">
        <v>537002</v>
      </c>
      <c r="Y118" s="431">
        <v>0</v>
      </c>
      <c r="Z118" s="431">
        <v>4254819</v>
      </c>
      <c r="AA118" s="431">
        <v>0</v>
      </c>
      <c r="AB118" s="431">
        <v>-12387</v>
      </c>
      <c r="AC118" s="431">
        <v>744066</v>
      </c>
      <c r="AD118" s="431">
        <v>0</v>
      </c>
      <c r="AE118" s="431">
        <v>1832215</v>
      </c>
      <c r="AF118" s="431">
        <v>237381</v>
      </c>
      <c r="AG118" s="431">
        <v>75783</v>
      </c>
      <c r="AH118" s="431">
        <v>828173</v>
      </c>
      <c r="AI118" s="431">
        <v>1105953</v>
      </c>
      <c r="AJ118" s="431">
        <v>0</v>
      </c>
      <c r="AK118" s="431">
        <v>0</v>
      </c>
      <c r="AL118" s="431">
        <v>3430487</v>
      </c>
      <c r="AM118" s="431">
        <v>38956</v>
      </c>
    </row>
    <row r="119" spans="1:39" s="155" customFormat="1" ht="12" x14ac:dyDescent="0.2">
      <c r="A119" s="168">
        <v>65</v>
      </c>
      <c r="B119" s="200">
        <v>173533</v>
      </c>
      <c r="C119" s="246" t="s">
        <v>880</v>
      </c>
      <c r="D119" s="432">
        <f t="shared" si="17"/>
        <v>5781002</v>
      </c>
      <c r="E119" s="431">
        <v>794557</v>
      </c>
      <c r="F119" s="431">
        <v>137819</v>
      </c>
      <c r="G119" s="431">
        <v>224527</v>
      </c>
      <c r="H119" s="431">
        <v>0</v>
      </c>
      <c r="I119" s="431">
        <v>1842690</v>
      </c>
      <c r="J119" s="431">
        <v>21000</v>
      </c>
      <c r="K119" s="431">
        <v>1024430</v>
      </c>
      <c r="L119" s="431">
        <v>0</v>
      </c>
      <c r="M119" s="431">
        <v>1094097</v>
      </c>
      <c r="N119" s="431">
        <v>997788</v>
      </c>
      <c r="O119" s="431">
        <v>6440</v>
      </c>
      <c r="P119" s="432">
        <f t="shared" ref="P119:P132" si="18">IF(SUM(Q119:AB119)=SUM(AC119:AM119),SUM(Q119:AB119),"  EROARE ART/CAP")</f>
        <v>6819166</v>
      </c>
      <c r="Q119" s="431">
        <v>2058699</v>
      </c>
      <c r="R119" s="431">
        <v>816469</v>
      </c>
      <c r="S119" s="431">
        <v>14000</v>
      </c>
      <c r="T119" s="431">
        <v>0</v>
      </c>
      <c r="U119" s="431">
        <v>0</v>
      </c>
      <c r="V119" s="431">
        <v>9000</v>
      </c>
      <c r="W119" s="431">
        <v>46295</v>
      </c>
      <c r="X119" s="431">
        <v>352380</v>
      </c>
      <c r="Y119" s="431">
        <v>44230</v>
      </c>
      <c r="Z119" s="431">
        <v>2208981</v>
      </c>
      <c r="AA119" s="431">
        <v>1275854</v>
      </c>
      <c r="AB119" s="431">
        <v>-6742</v>
      </c>
      <c r="AC119" s="431">
        <v>604590</v>
      </c>
      <c r="AD119" s="431">
        <v>21120</v>
      </c>
      <c r="AE119" s="431">
        <v>1299852</v>
      </c>
      <c r="AF119" s="431">
        <v>30500</v>
      </c>
      <c r="AG119" s="431">
        <v>694405</v>
      </c>
      <c r="AH119" s="431">
        <v>713581</v>
      </c>
      <c r="AI119" s="431">
        <v>1896306</v>
      </c>
      <c r="AJ119" s="431">
        <v>0</v>
      </c>
      <c r="AK119" s="431">
        <v>0</v>
      </c>
      <c r="AL119" s="431">
        <v>1558812</v>
      </c>
      <c r="AM119" s="431">
        <v>0</v>
      </c>
    </row>
    <row r="120" spans="1:39" s="155" customFormat="1" ht="12" x14ac:dyDescent="0.2">
      <c r="A120" s="168">
        <v>66</v>
      </c>
      <c r="B120" s="200">
        <v>173597</v>
      </c>
      <c r="C120" s="246" t="s">
        <v>881</v>
      </c>
      <c r="D120" s="432">
        <f t="shared" si="17"/>
        <v>4921889</v>
      </c>
      <c r="E120" s="431">
        <v>772364</v>
      </c>
      <c r="F120" s="431">
        <v>212594</v>
      </c>
      <c r="G120" s="431">
        <v>233510</v>
      </c>
      <c r="H120" s="431">
        <v>0</v>
      </c>
      <c r="I120" s="431">
        <v>1239644</v>
      </c>
      <c r="J120" s="431">
        <v>41000</v>
      </c>
      <c r="K120" s="431">
        <v>2088820</v>
      </c>
      <c r="L120" s="431">
        <v>0</v>
      </c>
      <c r="M120" s="431">
        <v>279989</v>
      </c>
      <c r="N120" s="431">
        <v>477975</v>
      </c>
      <c r="O120" s="431">
        <v>22097</v>
      </c>
      <c r="P120" s="432">
        <f t="shared" si="18"/>
        <v>7198290</v>
      </c>
      <c r="Q120" s="431">
        <v>1529935</v>
      </c>
      <c r="R120" s="431">
        <v>1378970</v>
      </c>
      <c r="S120" s="431">
        <v>0</v>
      </c>
      <c r="T120" s="431">
        <v>0</v>
      </c>
      <c r="U120" s="431">
        <v>0</v>
      </c>
      <c r="V120" s="431">
        <v>0</v>
      </c>
      <c r="W120" s="431">
        <v>787469</v>
      </c>
      <c r="X120" s="431">
        <v>216768</v>
      </c>
      <c r="Y120" s="431">
        <v>0</v>
      </c>
      <c r="Z120" s="431">
        <v>3288604</v>
      </c>
      <c r="AA120" s="431">
        <v>0</v>
      </c>
      <c r="AB120" s="431">
        <v>-3456</v>
      </c>
      <c r="AC120" s="431">
        <v>1766956</v>
      </c>
      <c r="AD120" s="431">
        <v>65323</v>
      </c>
      <c r="AE120" s="431">
        <v>879641</v>
      </c>
      <c r="AF120" s="431">
        <v>0</v>
      </c>
      <c r="AG120" s="431">
        <v>31631</v>
      </c>
      <c r="AH120" s="431">
        <v>1224161</v>
      </c>
      <c r="AI120" s="431">
        <v>60486</v>
      </c>
      <c r="AJ120" s="431">
        <v>0</v>
      </c>
      <c r="AK120" s="431">
        <v>0</v>
      </c>
      <c r="AL120" s="431">
        <v>3170092</v>
      </c>
      <c r="AM120" s="431">
        <v>0</v>
      </c>
    </row>
    <row r="121" spans="1:39" s="155" customFormat="1" ht="12" x14ac:dyDescent="0.2">
      <c r="A121" s="168">
        <v>67</v>
      </c>
      <c r="B121" s="200">
        <v>173686</v>
      </c>
      <c r="C121" s="246" t="s">
        <v>882</v>
      </c>
      <c r="D121" s="432">
        <f t="shared" si="17"/>
        <v>4175086</v>
      </c>
      <c r="E121" s="431">
        <v>634499</v>
      </c>
      <c r="F121" s="431">
        <v>81806</v>
      </c>
      <c r="G121" s="431">
        <v>262933</v>
      </c>
      <c r="H121" s="431">
        <v>0</v>
      </c>
      <c r="I121" s="431">
        <v>1336255</v>
      </c>
      <c r="J121" s="431">
        <v>22000</v>
      </c>
      <c r="K121" s="431">
        <v>1201350</v>
      </c>
      <c r="L121" s="431">
        <v>0</v>
      </c>
      <c r="M121" s="431">
        <v>835405</v>
      </c>
      <c r="N121" s="431">
        <v>127157</v>
      </c>
      <c r="O121" s="431">
        <v>18420</v>
      </c>
      <c r="P121" s="432">
        <f t="shared" si="18"/>
        <v>3938158</v>
      </c>
      <c r="Q121" s="431">
        <v>1620616</v>
      </c>
      <c r="R121" s="431">
        <v>596301</v>
      </c>
      <c r="S121" s="431">
        <v>0</v>
      </c>
      <c r="T121" s="431">
        <v>0</v>
      </c>
      <c r="U121" s="431">
        <v>0</v>
      </c>
      <c r="V121" s="431">
        <v>10000</v>
      </c>
      <c r="W121" s="431">
        <v>144085</v>
      </c>
      <c r="X121" s="431">
        <v>206507</v>
      </c>
      <c r="Y121" s="431">
        <v>69686</v>
      </c>
      <c r="Z121" s="431">
        <v>1292638</v>
      </c>
      <c r="AA121" s="431">
        <v>0</v>
      </c>
      <c r="AB121" s="431">
        <v>-1675</v>
      </c>
      <c r="AC121" s="431">
        <v>747612</v>
      </c>
      <c r="AD121" s="431">
        <v>0</v>
      </c>
      <c r="AE121" s="431">
        <v>1098938</v>
      </c>
      <c r="AF121" s="431">
        <v>19022</v>
      </c>
      <c r="AG121" s="431">
        <v>194447</v>
      </c>
      <c r="AH121" s="431">
        <v>503459</v>
      </c>
      <c r="AI121" s="431">
        <v>207273</v>
      </c>
      <c r="AJ121" s="431">
        <v>0</v>
      </c>
      <c r="AK121" s="431">
        <v>0</v>
      </c>
      <c r="AL121" s="431">
        <v>1166044</v>
      </c>
      <c r="AM121" s="431">
        <v>1363</v>
      </c>
    </row>
    <row r="122" spans="1:39" s="155" customFormat="1" ht="12" x14ac:dyDescent="0.2">
      <c r="A122" s="168">
        <v>68</v>
      </c>
      <c r="B122" s="200">
        <v>173748</v>
      </c>
      <c r="C122" s="246" t="s">
        <v>883</v>
      </c>
      <c r="D122" s="432">
        <f t="shared" si="17"/>
        <v>4497224</v>
      </c>
      <c r="E122" s="431">
        <v>1182522</v>
      </c>
      <c r="F122" s="431">
        <v>138757</v>
      </c>
      <c r="G122" s="431">
        <v>324973</v>
      </c>
      <c r="H122" s="431">
        <v>0</v>
      </c>
      <c r="I122" s="431">
        <v>1735704</v>
      </c>
      <c r="J122" s="431">
        <v>76000</v>
      </c>
      <c r="K122" s="431">
        <v>958080</v>
      </c>
      <c r="L122" s="431">
        <v>0</v>
      </c>
      <c r="M122" s="431">
        <v>538478</v>
      </c>
      <c r="N122" s="431">
        <v>0</v>
      </c>
      <c r="O122" s="431">
        <v>6440</v>
      </c>
      <c r="P122" s="432">
        <f t="shared" si="18"/>
        <v>3955985</v>
      </c>
      <c r="Q122" s="431">
        <v>2241924</v>
      </c>
      <c r="R122" s="431">
        <v>575187</v>
      </c>
      <c r="S122" s="431">
        <v>0</v>
      </c>
      <c r="T122" s="431">
        <v>0</v>
      </c>
      <c r="U122" s="431">
        <v>0</v>
      </c>
      <c r="V122" s="431">
        <v>2000</v>
      </c>
      <c r="W122" s="431">
        <v>0</v>
      </c>
      <c r="X122" s="431">
        <v>339482</v>
      </c>
      <c r="Y122" s="431">
        <v>0</v>
      </c>
      <c r="Z122" s="431">
        <v>805106</v>
      </c>
      <c r="AA122" s="431">
        <v>0</v>
      </c>
      <c r="AB122" s="431">
        <v>-7714</v>
      </c>
      <c r="AC122" s="431">
        <v>769855</v>
      </c>
      <c r="AD122" s="431">
        <v>0</v>
      </c>
      <c r="AE122" s="431">
        <v>1297716</v>
      </c>
      <c r="AF122" s="431">
        <v>20414</v>
      </c>
      <c r="AG122" s="431">
        <v>43006</v>
      </c>
      <c r="AH122" s="431">
        <v>655676</v>
      </c>
      <c r="AI122" s="431">
        <v>314891</v>
      </c>
      <c r="AJ122" s="431">
        <v>59977</v>
      </c>
      <c r="AK122" s="431">
        <v>0</v>
      </c>
      <c r="AL122" s="431">
        <v>794450</v>
      </c>
      <c r="AM122" s="431">
        <v>0</v>
      </c>
    </row>
    <row r="123" spans="1:39" s="155" customFormat="1" ht="12" x14ac:dyDescent="0.2">
      <c r="A123" s="168">
        <v>69</v>
      </c>
      <c r="B123" s="200">
        <v>173793</v>
      </c>
      <c r="C123" s="246" t="s">
        <v>884</v>
      </c>
      <c r="D123" s="432">
        <f t="shared" si="17"/>
        <v>4163644</v>
      </c>
      <c r="E123" s="431">
        <v>746001</v>
      </c>
      <c r="F123" s="431">
        <v>98677</v>
      </c>
      <c r="G123" s="431">
        <v>224527</v>
      </c>
      <c r="H123" s="431">
        <v>0</v>
      </c>
      <c r="I123" s="431">
        <v>1884895</v>
      </c>
      <c r="J123" s="431">
        <v>88000</v>
      </c>
      <c r="K123" s="431">
        <v>1333100</v>
      </c>
      <c r="L123" s="431">
        <v>0</v>
      </c>
      <c r="M123" s="431">
        <v>85559</v>
      </c>
      <c r="N123" s="431">
        <v>0</v>
      </c>
      <c r="O123" s="431">
        <v>26089</v>
      </c>
      <c r="P123" s="432">
        <f t="shared" si="18"/>
        <v>4163644</v>
      </c>
      <c r="Q123" s="431">
        <v>2009108</v>
      </c>
      <c r="R123" s="431">
        <v>1227027</v>
      </c>
      <c r="S123" s="431">
        <v>0</v>
      </c>
      <c r="T123" s="431">
        <v>0</v>
      </c>
      <c r="U123" s="431">
        <v>0</v>
      </c>
      <c r="V123" s="431">
        <v>9700</v>
      </c>
      <c r="W123" s="431">
        <v>0</v>
      </c>
      <c r="X123" s="431">
        <v>445677</v>
      </c>
      <c r="Y123" s="431">
        <v>0</v>
      </c>
      <c r="Z123" s="431">
        <v>480888</v>
      </c>
      <c r="AA123" s="431">
        <v>0</v>
      </c>
      <c r="AB123" s="431">
        <v>-8756</v>
      </c>
      <c r="AC123" s="431">
        <v>986413</v>
      </c>
      <c r="AD123" s="431">
        <v>61472</v>
      </c>
      <c r="AE123" s="431">
        <v>1183388</v>
      </c>
      <c r="AF123" s="431">
        <v>112051</v>
      </c>
      <c r="AG123" s="431">
        <v>281910</v>
      </c>
      <c r="AH123" s="431">
        <v>751553</v>
      </c>
      <c r="AI123" s="431">
        <v>197557</v>
      </c>
      <c r="AJ123" s="431">
        <v>0</v>
      </c>
      <c r="AK123" s="431">
        <v>0</v>
      </c>
      <c r="AL123" s="431">
        <v>589300</v>
      </c>
      <c r="AM123" s="431">
        <v>0</v>
      </c>
    </row>
    <row r="124" spans="1:39" s="155" customFormat="1" ht="12" x14ac:dyDescent="0.2">
      <c r="A124" s="168">
        <v>70</v>
      </c>
      <c r="B124" s="200">
        <v>173855</v>
      </c>
      <c r="C124" s="246" t="s">
        <v>885</v>
      </c>
      <c r="D124" s="432">
        <f t="shared" si="17"/>
        <v>4681558</v>
      </c>
      <c r="E124" s="431">
        <v>792468</v>
      </c>
      <c r="F124" s="431">
        <v>129407</v>
      </c>
      <c r="G124" s="431">
        <v>219603</v>
      </c>
      <c r="H124" s="431">
        <v>0</v>
      </c>
      <c r="I124" s="431">
        <v>1615365</v>
      </c>
      <c r="J124" s="431">
        <v>0</v>
      </c>
      <c r="K124" s="431">
        <v>1059880</v>
      </c>
      <c r="L124" s="431">
        <v>0</v>
      </c>
      <c r="M124" s="431">
        <v>1211085</v>
      </c>
      <c r="N124" s="431">
        <v>0</v>
      </c>
      <c r="O124" s="431">
        <v>2760</v>
      </c>
      <c r="P124" s="432">
        <f t="shared" si="18"/>
        <v>4896794</v>
      </c>
      <c r="Q124" s="431">
        <v>1885031</v>
      </c>
      <c r="R124" s="431">
        <v>568823</v>
      </c>
      <c r="S124" s="431">
        <v>0</v>
      </c>
      <c r="T124" s="431">
        <v>0</v>
      </c>
      <c r="U124" s="431">
        <v>0</v>
      </c>
      <c r="V124" s="431">
        <v>1000</v>
      </c>
      <c r="W124" s="431">
        <v>0</v>
      </c>
      <c r="X124" s="431">
        <v>472528</v>
      </c>
      <c r="Y124" s="431">
        <v>22787</v>
      </c>
      <c r="Z124" s="431">
        <v>1947528</v>
      </c>
      <c r="AA124" s="431">
        <v>0</v>
      </c>
      <c r="AB124" s="431">
        <v>-903</v>
      </c>
      <c r="AC124" s="431">
        <v>926306</v>
      </c>
      <c r="AD124" s="431">
        <v>6613</v>
      </c>
      <c r="AE124" s="431">
        <v>1005080</v>
      </c>
      <c r="AF124" s="431">
        <v>27575</v>
      </c>
      <c r="AG124" s="431">
        <v>253400</v>
      </c>
      <c r="AH124" s="431">
        <v>835216</v>
      </c>
      <c r="AI124" s="431">
        <v>1203777</v>
      </c>
      <c r="AJ124" s="431">
        <v>49809</v>
      </c>
      <c r="AK124" s="431">
        <v>0</v>
      </c>
      <c r="AL124" s="431">
        <v>581163</v>
      </c>
      <c r="AM124" s="431">
        <v>7855</v>
      </c>
    </row>
    <row r="125" spans="1:39" s="155" customFormat="1" ht="12" x14ac:dyDescent="0.2">
      <c r="A125" s="168">
        <v>71</v>
      </c>
      <c r="B125" s="200">
        <v>174496</v>
      </c>
      <c r="C125" s="246" t="s">
        <v>886</v>
      </c>
      <c r="D125" s="432">
        <f t="shared" si="17"/>
        <v>3156941</v>
      </c>
      <c r="E125" s="431">
        <v>567535</v>
      </c>
      <c r="F125" s="431">
        <v>115222</v>
      </c>
      <c r="G125" s="431">
        <v>282628</v>
      </c>
      <c r="H125" s="431">
        <v>0</v>
      </c>
      <c r="I125" s="431">
        <v>709154</v>
      </c>
      <c r="J125" s="431">
        <v>0</v>
      </c>
      <c r="K125" s="431">
        <v>1121620</v>
      </c>
      <c r="L125" s="431">
        <v>0</v>
      </c>
      <c r="M125" s="431">
        <v>183558</v>
      </c>
      <c r="N125" s="431">
        <v>572314</v>
      </c>
      <c r="O125" s="431">
        <v>2760</v>
      </c>
      <c r="P125" s="432">
        <f t="shared" si="18"/>
        <v>3619125</v>
      </c>
      <c r="Q125" s="431">
        <v>982747</v>
      </c>
      <c r="R125" s="431">
        <v>260042</v>
      </c>
      <c r="S125" s="431">
        <v>0</v>
      </c>
      <c r="T125" s="431">
        <v>0</v>
      </c>
      <c r="U125" s="431">
        <v>0</v>
      </c>
      <c r="V125" s="431">
        <v>4300</v>
      </c>
      <c r="W125" s="431">
        <v>708973</v>
      </c>
      <c r="X125" s="431">
        <v>121821</v>
      </c>
      <c r="Y125" s="431">
        <v>0</v>
      </c>
      <c r="Z125" s="431">
        <v>1565656</v>
      </c>
      <c r="AA125" s="431">
        <v>0</v>
      </c>
      <c r="AB125" s="431">
        <v>-24414</v>
      </c>
      <c r="AC125" s="431">
        <v>1041988</v>
      </c>
      <c r="AD125" s="431">
        <v>201</v>
      </c>
      <c r="AE125" s="431">
        <v>589688</v>
      </c>
      <c r="AF125" s="431">
        <v>49848</v>
      </c>
      <c r="AG125" s="431">
        <v>331300</v>
      </c>
      <c r="AH125" s="431">
        <v>239304</v>
      </c>
      <c r="AI125" s="431">
        <v>53894</v>
      </c>
      <c r="AJ125" s="431">
        <v>0</v>
      </c>
      <c r="AK125" s="431">
        <v>0</v>
      </c>
      <c r="AL125" s="431">
        <v>1312902</v>
      </c>
      <c r="AM125" s="431">
        <v>0</v>
      </c>
    </row>
    <row r="126" spans="1:39" s="155" customFormat="1" ht="12" x14ac:dyDescent="0.2">
      <c r="A126" s="168">
        <v>72</v>
      </c>
      <c r="B126" s="200">
        <v>173935</v>
      </c>
      <c r="C126" s="246" t="s">
        <v>887</v>
      </c>
      <c r="D126" s="432">
        <f t="shared" si="17"/>
        <v>4058079</v>
      </c>
      <c r="E126" s="431">
        <v>1302371</v>
      </c>
      <c r="F126" s="431">
        <v>232017</v>
      </c>
      <c r="G126" s="431">
        <v>489429</v>
      </c>
      <c r="H126" s="431">
        <v>0</v>
      </c>
      <c r="I126" s="431">
        <v>1687125</v>
      </c>
      <c r="J126" s="431">
        <v>75000</v>
      </c>
      <c r="K126" s="431">
        <v>944580</v>
      </c>
      <c r="L126" s="431">
        <v>0</v>
      </c>
      <c r="M126" s="431">
        <v>46243</v>
      </c>
      <c r="N126" s="431">
        <v>0</v>
      </c>
      <c r="O126" s="431">
        <v>2760</v>
      </c>
      <c r="P126" s="432">
        <f t="shared" si="18"/>
        <v>4465460</v>
      </c>
      <c r="Q126" s="431">
        <v>2010401</v>
      </c>
      <c r="R126" s="431">
        <v>1197646</v>
      </c>
      <c r="S126" s="431">
        <v>0</v>
      </c>
      <c r="T126" s="431">
        <v>0</v>
      </c>
      <c r="U126" s="431">
        <v>0</v>
      </c>
      <c r="V126" s="431">
        <v>0</v>
      </c>
      <c r="W126" s="431">
        <v>0</v>
      </c>
      <c r="X126" s="431">
        <v>305824</v>
      </c>
      <c r="Y126" s="431">
        <v>85462</v>
      </c>
      <c r="Z126" s="431">
        <v>866127</v>
      </c>
      <c r="AA126" s="431">
        <v>0</v>
      </c>
      <c r="AB126" s="431">
        <v>0</v>
      </c>
      <c r="AC126" s="431">
        <v>856938</v>
      </c>
      <c r="AD126" s="431">
        <v>17634</v>
      </c>
      <c r="AE126" s="431">
        <v>1630323</v>
      </c>
      <c r="AF126" s="431">
        <v>30580</v>
      </c>
      <c r="AG126" s="431">
        <v>209769</v>
      </c>
      <c r="AH126" s="431">
        <v>402657</v>
      </c>
      <c r="AI126" s="431">
        <v>324702</v>
      </c>
      <c r="AJ126" s="431">
        <v>0</v>
      </c>
      <c r="AK126" s="431">
        <v>0</v>
      </c>
      <c r="AL126" s="431">
        <v>992857</v>
      </c>
      <c r="AM126" s="431">
        <v>0</v>
      </c>
    </row>
    <row r="127" spans="1:39" s="155" customFormat="1" ht="12" x14ac:dyDescent="0.2">
      <c r="A127" s="168">
        <v>73</v>
      </c>
      <c r="B127" s="200">
        <v>174021</v>
      </c>
      <c r="C127" s="246" t="s">
        <v>888</v>
      </c>
      <c r="D127" s="432">
        <f t="shared" si="17"/>
        <v>13757109</v>
      </c>
      <c r="E127" s="431">
        <v>2061289</v>
      </c>
      <c r="F127" s="431">
        <v>288767</v>
      </c>
      <c r="G127" s="431">
        <v>661763</v>
      </c>
      <c r="H127" s="431">
        <v>0</v>
      </c>
      <c r="I127" s="431">
        <v>2271933</v>
      </c>
      <c r="J127" s="431">
        <v>33000</v>
      </c>
      <c r="K127" s="431">
        <v>2826300</v>
      </c>
      <c r="L127" s="431">
        <v>0</v>
      </c>
      <c r="M127" s="431">
        <v>3837658</v>
      </c>
      <c r="N127" s="431">
        <v>2656889</v>
      </c>
      <c r="O127" s="431">
        <v>70040</v>
      </c>
      <c r="P127" s="432">
        <f t="shared" si="18"/>
        <v>14464499</v>
      </c>
      <c r="Q127" s="431">
        <v>2473369</v>
      </c>
      <c r="R127" s="431">
        <v>1534995</v>
      </c>
      <c r="S127" s="431">
        <v>0</v>
      </c>
      <c r="T127" s="431">
        <v>0</v>
      </c>
      <c r="U127" s="431">
        <v>0</v>
      </c>
      <c r="V127" s="431">
        <v>161136</v>
      </c>
      <c r="W127" s="431">
        <v>4626942</v>
      </c>
      <c r="X127" s="431">
        <v>717955</v>
      </c>
      <c r="Y127" s="431">
        <v>49940</v>
      </c>
      <c r="Z127" s="431">
        <v>4913428</v>
      </c>
      <c r="AA127" s="431">
        <v>0</v>
      </c>
      <c r="AB127" s="431">
        <v>-13266</v>
      </c>
      <c r="AC127" s="431">
        <v>1458067</v>
      </c>
      <c r="AD127" s="431">
        <v>104976</v>
      </c>
      <c r="AE127" s="431">
        <v>1835500</v>
      </c>
      <c r="AF127" s="431">
        <v>21912</v>
      </c>
      <c r="AG127" s="431">
        <v>1239582</v>
      </c>
      <c r="AH127" s="431">
        <v>1025415</v>
      </c>
      <c r="AI127" s="431">
        <v>274832</v>
      </c>
      <c r="AJ127" s="431">
        <v>375128</v>
      </c>
      <c r="AK127" s="431">
        <v>0</v>
      </c>
      <c r="AL127" s="431">
        <v>7702077</v>
      </c>
      <c r="AM127" s="431">
        <v>427010</v>
      </c>
    </row>
    <row r="128" spans="1:39" s="155" customFormat="1" ht="12" x14ac:dyDescent="0.2">
      <c r="A128" s="168">
        <v>74</v>
      </c>
      <c r="B128" s="200">
        <v>174085</v>
      </c>
      <c r="C128" s="246" t="s">
        <v>889</v>
      </c>
      <c r="D128" s="432">
        <f t="shared" si="17"/>
        <v>4887572</v>
      </c>
      <c r="E128" s="431">
        <v>671662</v>
      </c>
      <c r="F128" s="431">
        <v>70984</v>
      </c>
      <c r="G128" s="431">
        <v>267856</v>
      </c>
      <c r="H128" s="431">
        <v>0</v>
      </c>
      <c r="I128" s="431">
        <v>1574653</v>
      </c>
      <c r="J128" s="431">
        <v>20000</v>
      </c>
      <c r="K128" s="431">
        <v>899230</v>
      </c>
      <c r="L128" s="431">
        <v>0</v>
      </c>
      <c r="M128" s="431">
        <v>1663831</v>
      </c>
      <c r="N128" s="431">
        <v>0</v>
      </c>
      <c r="O128" s="431">
        <v>58196</v>
      </c>
      <c r="P128" s="432">
        <f t="shared" si="18"/>
        <v>4450826</v>
      </c>
      <c r="Q128" s="431">
        <v>1702457</v>
      </c>
      <c r="R128" s="431">
        <v>478068</v>
      </c>
      <c r="S128" s="431">
        <v>0</v>
      </c>
      <c r="T128" s="431">
        <v>0</v>
      </c>
      <c r="U128" s="431">
        <v>0</v>
      </c>
      <c r="V128" s="431">
        <v>0</v>
      </c>
      <c r="W128" s="431">
        <v>0</v>
      </c>
      <c r="X128" s="431">
        <v>403647</v>
      </c>
      <c r="Y128" s="431">
        <v>0</v>
      </c>
      <c r="Z128" s="431">
        <v>1892519</v>
      </c>
      <c r="AA128" s="431">
        <v>0</v>
      </c>
      <c r="AB128" s="431">
        <v>-25865</v>
      </c>
      <c r="AC128" s="431">
        <v>611225</v>
      </c>
      <c r="AD128" s="431">
        <v>0</v>
      </c>
      <c r="AE128" s="431">
        <v>961695</v>
      </c>
      <c r="AF128" s="431">
        <v>33580</v>
      </c>
      <c r="AG128" s="431">
        <v>47402</v>
      </c>
      <c r="AH128" s="431">
        <v>732055</v>
      </c>
      <c r="AI128" s="431">
        <v>165231</v>
      </c>
      <c r="AJ128" s="431">
        <v>878110</v>
      </c>
      <c r="AK128" s="431">
        <v>0</v>
      </c>
      <c r="AL128" s="431">
        <v>1021528</v>
      </c>
      <c r="AM128" s="431">
        <v>0</v>
      </c>
    </row>
    <row r="129" spans="1:39" s="155" customFormat="1" ht="12" x14ac:dyDescent="0.2">
      <c r="A129" s="168">
        <v>75</v>
      </c>
      <c r="B129" s="200">
        <v>174156</v>
      </c>
      <c r="C129" s="246" t="s">
        <v>890</v>
      </c>
      <c r="D129" s="432">
        <f t="shared" si="17"/>
        <v>4334830</v>
      </c>
      <c r="E129" s="431">
        <v>1780008</v>
      </c>
      <c r="F129" s="431">
        <v>376656</v>
      </c>
      <c r="G129" s="431">
        <v>436251</v>
      </c>
      <c r="H129" s="431">
        <v>0</v>
      </c>
      <c r="I129" s="431">
        <v>1015577</v>
      </c>
      <c r="J129" s="431">
        <v>31000</v>
      </c>
      <c r="K129" s="431">
        <v>589940</v>
      </c>
      <c r="L129" s="431">
        <v>0</v>
      </c>
      <c r="M129" s="431">
        <v>914461</v>
      </c>
      <c r="N129" s="431">
        <v>0</v>
      </c>
      <c r="O129" s="431">
        <v>3844</v>
      </c>
      <c r="P129" s="432">
        <f t="shared" si="18"/>
        <v>4072521</v>
      </c>
      <c r="Q129" s="431">
        <v>1482001</v>
      </c>
      <c r="R129" s="431">
        <v>956042</v>
      </c>
      <c r="S129" s="431">
        <v>0</v>
      </c>
      <c r="T129" s="431">
        <v>0</v>
      </c>
      <c r="U129" s="431">
        <v>0</v>
      </c>
      <c r="V129" s="431">
        <v>23071</v>
      </c>
      <c r="W129" s="431">
        <v>0</v>
      </c>
      <c r="X129" s="431">
        <v>190560</v>
      </c>
      <c r="Y129" s="431">
        <v>0</v>
      </c>
      <c r="Z129" s="431">
        <v>1421266</v>
      </c>
      <c r="AA129" s="431">
        <v>0</v>
      </c>
      <c r="AB129" s="431">
        <v>-419</v>
      </c>
      <c r="AC129" s="431">
        <v>1004424</v>
      </c>
      <c r="AD129" s="431">
        <v>36261</v>
      </c>
      <c r="AE129" s="431">
        <v>953468</v>
      </c>
      <c r="AF129" s="431">
        <v>0</v>
      </c>
      <c r="AG129" s="431">
        <v>135481</v>
      </c>
      <c r="AH129" s="431">
        <v>443287</v>
      </c>
      <c r="AI129" s="431">
        <v>684469</v>
      </c>
      <c r="AJ129" s="431">
        <v>196966</v>
      </c>
      <c r="AK129" s="431">
        <v>0</v>
      </c>
      <c r="AL129" s="431">
        <v>618165</v>
      </c>
      <c r="AM129" s="431">
        <v>0</v>
      </c>
    </row>
    <row r="130" spans="1:39" s="155" customFormat="1" ht="12" x14ac:dyDescent="0.2">
      <c r="A130" s="168">
        <v>76</v>
      </c>
      <c r="B130" s="200">
        <v>174218</v>
      </c>
      <c r="C130" s="246" t="s">
        <v>891</v>
      </c>
      <c r="D130" s="432">
        <f t="shared" si="17"/>
        <v>7795997</v>
      </c>
      <c r="E130" s="431">
        <v>585311</v>
      </c>
      <c r="F130" s="431">
        <v>67644</v>
      </c>
      <c r="G130" s="431">
        <v>261948</v>
      </c>
      <c r="H130" s="431">
        <v>0</v>
      </c>
      <c r="I130" s="431">
        <v>1016646</v>
      </c>
      <c r="J130" s="431">
        <v>66000</v>
      </c>
      <c r="K130" s="431">
        <v>3451120</v>
      </c>
      <c r="L130" s="431">
        <v>0</v>
      </c>
      <c r="M130" s="431">
        <v>2659115</v>
      </c>
      <c r="N130" s="431">
        <v>0</v>
      </c>
      <c r="O130" s="431">
        <v>17805</v>
      </c>
      <c r="P130" s="432">
        <f t="shared" si="18"/>
        <v>5569357</v>
      </c>
      <c r="Q130" s="431">
        <v>1308388</v>
      </c>
      <c r="R130" s="431">
        <v>867807</v>
      </c>
      <c r="S130" s="431">
        <v>0</v>
      </c>
      <c r="T130" s="431">
        <v>0</v>
      </c>
      <c r="U130" s="431">
        <v>0</v>
      </c>
      <c r="V130" s="431">
        <v>20000</v>
      </c>
      <c r="W130" s="431">
        <v>0</v>
      </c>
      <c r="X130" s="431">
        <v>176752</v>
      </c>
      <c r="Y130" s="431">
        <v>3000</v>
      </c>
      <c r="Z130" s="431">
        <v>3201143</v>
      </c>
      <c r="AA130" s="431">
        <v>0</v>
      </c>
      <c r="AB130" s="431">
        <v>-7733</v>
      </c>
      <c r="AC130" s="431">
        <v>611133</v>
      </c>
      <c r="AD130" s="431">
        <v>0</v>
      </c>
      <c r="AE130" s="431">
        <v>927058</v>
      </c>
      <c r="AF130" s="431">
        <v>18364</v>
      </c>
      <c r="AG130" s="431">
        <v>229323</v>
      </c>
      <c r="AH130" s="431">
        <v>298951</v>
      </c>
      <c r="AI130" s="431">
        <v>75054</v>
      </c>
      <c r="AJ130" s="431">
        <v>98527</v>
      </c>
      <c r="AK130" s="431">
        <v>0</v>
      </c>
      <c r="AL130" s="431">
        <v>3034961</v>
      </c>
      <c r="AM130" s="431">
        <v>275986</v>
      </c>
    </row>
    <row r="131" spans="1:39" s="155" customFormat="1" ht="12" x14ac:dyDescent="0.2">
      <c r="A131" s="168">
        <v>77</v>
      </c>
      <c r="B131" s="200">
        <v>174254</v>
      </c>
      <c r="C131" s="246" t="s">
        <v>892</v>
      </c>
      <c r="D131" s="432">
        <f t="shared" si="17"/>
        <v>21431278</v>
      </c>
      <c r="E131" s="431">
        <v>1552830</v>
      </c>
      <c r="F131" s="431">
        <v>699010</v>
      </c>
      <c r="G131" s="431">
        <v>96507</v>
      </c>
      <c r="H131" s="431">
        <v>0</v>
      </c>
      <c r="I131" s="431">
        <v>895970</v>
      </c>
      <c r="J131" s="431">
        <v>73000</v>
      </c>
      <c r="K131" s="431">
        <v>18020370</v>
      </c>
      <c r="L131" s="431">
        <v>0</v>
      </c>
      <c r="M131" s="431">
        <v>450873</v>
      </c>
      <c r="N131" s="431">
        <v>436395</v>
      </c>
      <c r="O131" s="431">
        <v>1840</v>
      </c>
      <c r="P131" s="432">
        <f t="shared" si="18"/>
        <v>21067758</v>
      </c>
      <c r="Q131" s="431">
        <v>1130788</v>
      </c>
      <c r="R131" s="431">
        <v>792511</v>
      </c>
      <c r="S131" s="431">
        <v>0</v>
      </c>
      <c r="T131" s="431">
        <v>0</v>
      </c>
      <c r="U131" s="431">
        <v>0</v>
      </c>
      <c r="V131" s="431">
        <v>17848</v>
      </c>
      <c r="W131" s="431">
        <v>558681</v>
      </c>
      <c r="X131" s="431">
        <v>116651</v>
      </c>
      <c r="Y131" s="431">
        <v>6000</v>
      </c>
      <c r="Z131" s="431">
        <v>18446928</v>
      </c>
      <c r="AA131" s="431">
        <v>0</v>
      </c>
      <c r="AB131" s="431">
        <v>-1649</v>
      </c>
      <c r="AC131" s="431">
        <v>710488</v>
      </c>
      <c r="AD131" s="431">
        <v>7187</v>
      </c>
      <c r="AE131" s="431">
        <v>787572</v>
      </c>
      <c r="AF131" s="431">
        <v>0</v>
      </c>
      <c r="AG131" s="431">
        <v>17358091</v>
      </c>
      <c r="AH131" s="431">
        <v>223862</v>
      </c>
      <c r="AI131" s="431">
        <v>183155</v>
      </c>
      <c r="AJ131" s="431">
        <v>0</v>
      </c>
      <c r="AK131" s="431">
        <v>0</v>
      </c>
      <c r="AL131" s="431">
        <v>1778098</v>
      </c>
      <c r="AM131" s="431">
        <v>19305</v>
      </c>
    </row>
    <row r="132" spans="1:39" s="155" customFormat="1" ht="12" x14ac:dyDescent="0.2">
      <c r="A132" s="168">
        <v>78</v>
      </c>
      <c r="B132" s="200">
        <v>174290</v>
      </c>
      <c r="C132" s="246" t="s">
        <v>893</v>
      </c>
      <c r="D132" s="432">
        <f t="shared" si="17"/>
        <v>4442927</v>
      </c>
      <c r="E132" s="431">
        <v>890434</v>
      </c>
      <c r="F132" s="431">
        <v>265472</v>
      </c>
      <c r="G132" s="431">
        <v>175288</v>
      </c>
      <c r="H132" s="431">
        <v>0</v>
      </c>
      <c r="I132" s="431">
        <v>1366249</v>
      </c>
      <c r="J132" s="431">
        <v>222000</v>
      </c>
      <c r="K132" s="431">
        <v>859440</v>
      </c>
      <c r="L132" s="431">
        <v>0</v>
      </c>
      <c r="M132" s="431">
        <v>1099804</v>
      </c>
      <c r="N132" s="431">
        <v>0</v>
      </c>
      <c r="O132" s="431">
        <v>5000</v>
      </c>
      <c r="P132" s="432">
        <f t="shared" si="18"/>
        <v>4777711</v>
      </c>
      <c r="Q132" s="431">
        <v>1713852</v>
      </c>
      <c r="R132" s="431">
        <v>613021</v>
      </c>
      <c r="S132" s="431">
        <v>0</v>
      </c>
      <c r="T132" s="431">
        <v>0</v>
      </c>
      <c r="U132" s="431">
        <v>0</v>
      </c>
      <c r="V132" s="431">
        <v>0</v>
      </c>
      <c r="W132" s="431">
        <v>0</v>
      </c>
      <c r="X132" s="431">
        <v>433730</v>
      </c>
      <c r="Y132" s="431">
        <v>5000</v>
      </c>
      <c r="Z132" s="431">
        <v>2032252</v>
      </c>
      <c r="AA132" s="431">
        <v>0</v>
      </c>
      <c r="AB132" s="431">
        <v>-20144</v>
      </c>
      <c r="AC132" s="431">
        <v>901842</v>
      </c>
      <c r="AD132" s="431">
        <v>0</v>
      </c>
      <c r="AE132" s="431">
        <v>720249</v>
      </c>
      <c r="AF132" s="431">
        <v>25360</v>
      </c>
      <c r="AG132" s="431">
        <v>49019</v>
      </c>
      <c r="AH132" s="431">
        <v>912327</v>
      </c>
      <c r="AI132" s="431">
        <v>860336</v>
      </c>
      <c r="AJ132" s="431">
        <v>0</v>
      </c>
      <c r="AK132" s="431">
        <v>0</v>
      </c>
      <c r="AL132" s="431">
        <v>1307564</v>
      </c>
      <c r="AM132" s="431">
        <v>1014</v>
      </c>
    </row>
    <row r="133" spans="1:39" s="155" customFormat="1" ht="12" hidden="1" x14ac:dyDescent="0.2">
      <c r="A133" s="168">
        <v>79</v>
      </c>
      <c r="B133" s="201"/>
      <c r="C133" s="172"/>
      <c r="D133" s="432">
        <f t="shared" ref="D133:D143" si="19">E133+SUM(H133:O133)</f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ref="P133:P142" si="20">IF(SUM(Q133:AB133)=SUM(AC133:AM133),SUM(Q133:AB133),"  EROARE ART/CAP")</f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155" customFormat="1" ht="12" hidden="1" x14ac:dyDescent="0.2">
      <c r="A134" s="168">
        <v>80</v>
      </c>
      <c r="B134" s="201"/>
      <c r="C134" s="172"/>
      <c r="D134" s="432">
        <f t="shared" si="19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si="20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155" customFormat="1" ht="12" hidden="1" x14ac:dyDescent="0.2">
      <c r="A135" s="168">
        <v>81</v>
      </c>
      <c r="B135" s="201"/>
      <c r="C135" s="172"/>
      <c r="D135" s="432">
        <f t="shared" si="19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20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155" customFormat="1" ht="12" hidden="1" x14ac:dyDescent="0.2">
      <c r="A136" s="168">
        <v>82</v>
      </c>
      <c r="B136" s="201"/>
      <c r="C136" s="172"/>
      <c r="D136" s="432">
        <f t="shared" si="19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20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155" customFormat="1" ht="12" hidden="1" x14ac:dyDescent="0.2">
      <c r="A137" s="168">
        <v>83</v>
      </c>
      <c r="B137" s="201"/>
      <c r="C137" s="172"/>
      <c r="D137" s="432">
        <f t="shared" si="19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20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201"/>
      <c r="C138" s="172"/>
      <c r="D138" s="432">
        <f t="shared" si="19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20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201"/>
      <c r="C139" s="172"/>
      <c r="D139" s="432">
        <f t="shared" si="19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20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68"/>
      <c r="C140" s="172"/>
      <c r="D140" s="432">
        <f t="shared" si="19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20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173"/>
      <c r="D141" s="432">
        <f t="shared" si="19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20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9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20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9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9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L9" sqref="L9:L11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976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957314762</v>
      </c>
      <c r="E14" s="432">
        <f>SUM(E15,E16,E33,E54)</f>
        <v>254851708</v>
      </c>
      <c r="F14" s="432">
        <f t="shared" ref="F14:O14" si="0">SUM(F15,F16,F33,F54)</f>
        <v>106704192</v>
      </c>
      <c r="G14" s="432">
        <f t="shared" si="0"/>
        <v>37245811</v>
      </c>
      <c r="H14" s="432">
        <f t="shared" si="0"/>
        <v>47336368</v>
      </c>
      <c r="I14" s="432">
        <f t="shared" si="0"/>
        <v>237184250</v>
      </c>
      <c r="J14" s="432">
        <f t="shared" si="0"/>
        <v>20254000</v>
      </c>
      <c r="K14" s="432">
        <f t="shared" si="0"/>
        <v>131619360</v>
      </c>
      <c r="L14" s="432">
        <f t="shared" si="0"/>
        <v>0</v>
      </c>
      <c r="M14" s="432">
        <f t="shared" si="0"/>
        <v>168126832</v>
      </c>
      <c r="N14" s="432">
        <f t="shared" si="0"/>
        <v>96877198</v>
      </c>
      <c r="O14" s="432">
        <f t="shared" si="0"/>
        <v>1065046</v>
      </c>
      <c r="P14" s="432">
        <f>IF(SUM(Q14:AB14)=SUM(AC14:AM14),SUM(Q14:AB14),"  EROARE ART/CAP")</f>
        <v>889505719</v>
      </c>
      <c r="Q14" s="432">
        <f t="shared" ref="Q14:AM14" si="1">Q15+Q16+Q33+Q54</f>
        <v>304691534</v>
      </c>
      <c r="R14" s="432">
        <f t="shared" si="1"/>
        <v>154956641</v>
      </c>
      <c r="S14" s="432">
        <f t="shared" si="1"/>
        <v>3312320</v>
      </c>
      <c r="T14" s="432">
        <f t="shared" si="1"/>
        <v>6734517</v>
      </c>
      <c r="U14" s="432">
        <f t="shared" si="1"/>
        <v>27111880</v>
      </c>
      <c r="V14" s="432">
        <f t="shared" si="1"/>
        <v>2470333</v>
      </c>
      <c r="W14" s="432">
        <f t="shared" si="1"/>
        <v>153952783</v>
      </c>
      <c r="X14" s="432">
        <f t="shared" si="1"/>
        <v>98332895</v>
      </c>
      <c r="Y14" s="432">
        <f t="shared" si="1"/>
        <v>4333496</v>
      </c>
      <c r="Z14" s="432">
        <f t="shared" si="1"/>
        <v>121351383</v>
      </c>
      <c r="AA14" s="432">
        <f t="shared" si="1"/>
        <v>14157717</v>
      </c>
      <c r="AB14" s="432">
        <f t="shared" si="1"/>
        <v>-1899780</v>
      </c>
      <c r="AC14" s="432">
        <f t="shared" si="1"/>
        <v>127752251</v>
      </c>
      <c r="AD14" s="432">
        <f t="shared" si="1"/>
        <v>9312424</v>
      </c>
      <c r="AE14" s="432">
        <f t="shared" si="1"/>
        <v>262791913</v>
      </c>
      <c r="AF14" s="432">
        <f t="shared" si="1"/>
        <v>14847388</v>
      </c>
      <c r="AG14" s="432">
        <f t="shared" si="1"/>
        <v>43685836</v>
      </c>
      <c r="AH14" s="432">
        <f t="shared" si="1"/>
        <v>152177649</v>
      </c>
      <c r="AI14" s="432">
        <f t="shared" si="1"/>
        <v>56167736</v>
      </c>
      <c r="AJ14" s="432">
        <f t="shared" si="1"/>
        <v>52204911</v>
      </c>
      <c r="AK14" s="432">
        <f t="shared" si="1"/>
        <v>28597814</v>
      </c>
      <c r="AL14" s="432">
        <f t="shared" si="1"/>
        <v>127902118</v>
      </c>
      <c r="AM14" s="432">
        <f t="shared" si="1"/>
        <v>14065679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260891345</v>
      </c>
      <c r="E15" s="436">
        <v>42733400</v>
      </c>
      <c r="F15" s="436">
        <v>22649478</v>
      </c>
      <c r="G15" s="436">
        <v>18588124</v>
      </c>
      <c r="H15" s="436">
        <v>47336368</v>
      </c>
      <c r="I15" s="436">
        <v>0</v>
      </c>
      <c r="J15" s="436">
        <v>10013000</v>
      </c>
      <c r="K15" s="436">
        <v>48413000</v>
      </c>
      <c r="L15" s="470"/>
      <c r="M15" s="436">
        <v>88631074</v>
      </c>
      <c r="N15" s="436">
        <v>23265767</v>
      </c>
      <c r="O15" s="436">
        <v>498736</v>
      </c>
      <c r="P15" s="432">
        <f t="shared" ref="P15:P54" si="2">IF(SUM(Q15:AB15)=SUM(AC15:AM15),SUM(Q15:AB15),"  EROARE ART/CAP")</f>
        <v>227671492</v>
      </c>
      <c r="Q15" s="436">
        <v>38130580</v>
      </c>
      <c r="R15" s="436">
        <v>31320552</v>
      </c>
      <c r="S15" s="436">
        <v>843898</v>
      </c>
      <c r="T15" s="436">
        <v>0</v>
      </c>
      <c r="U15" s="436">
        <v>8288377</v>
      </c>
      <c r="V15" s="436">
        <v>0</v>
      </c>
      <c r="W15" s="436">
        <v>54291656</v>
      </c>
      <c r="X15" s="436">
        <v>68699670</v>
      </c>
      <c r="Y15" s="436">
        <v>2917878</v>
      </c>
      <c r="Z15" s="436">
        <v>23144245</v>
      </c>
      <c r="AA15" s="436">
        <v>1154608</v>
      </c>
      <c r="AB15" s="436">
        <v>-1119972</v>
      </c>
      <c r="AC15" s="436">
        <v>31336246</v>
      </c>
      <c r="AD15" s="436">
        <v>261586</v>
      </c>
      <c r="AE15" s="436">
        <v>22259046</v>
      </c>
      <c r="AF15" s="436">
        <v>0</v>
      </c>
      <c r="AG15" s="436">
        <v>10904205</v>
      </c>
      <c r="AH15" s="436">
        <v>94601395</v>
      </c>
      <c r="AI15" s="436">
        <v>2557507</v>
      </c>
      <c r="AJ15" s="436">
        <v>34967395</v>
      </c>
      <c r="AK15" s="436">
        <v>0</v>
      </c>
      <c r="AL15" s="436">
        <v>28770539</v>
      </c>
      <c r="AM15" s="470">
        <v>2013573</v>
      </c>
    </row>
    <row r="16" spans="1:39" s="155" customFormat="1" ht="12" x14ac:dyDescent="0.2">
      <c r="A16" s="156" t="s">
        <v>72</v>
      </c>
      <c r="B16" s="157"/>
      <c r="C16" s="159"/>
      <c r="D16" s="432">
        <f>E16+SUM(H16:O16)</f>
        <v>246507673</v>
      </c>
      <c r="E16" s="433">
        <f>SUM(E18:E32)</f>
        <v>111756911</v>
      </c>
      <c r="F16" s="433">
        <f t="shared" ref="F16:O16" si="3">SUM(F18:F32)</f>
        <v>60413725</v>
      </c>
      <c r="G16" s="433">
        <f t="shared" si="3"/>
        <v>1264351</v>
      </c>
      <c r="H16" s="433">
        <f t="shared" si="3"/>
        <v>0</v>
      </c>
      <c r="I16" s="433">
        <f t="shared" si="3"/>
        <v>94712052</v>
      </c>
      <c r="J16" s="433">
        <f t="shared" si="3"/>
        <v>500000</v>
      </c>
      <c r="K16" s="433">
        <f t="shared" si="3"/>
        <v>7463170</v>
      </c>
      <c r="L16" s="433">
        <f t="shared" si="3"/>
        <v>0</v>
      </c>
      <c r="M16" s="433">
        <f t="shared" si="3"/>
        <v>17538566</v>
      </c>
      <c r="N16" s="433">
        <f t="shared" si="3"/>
        <v>14305125</v>
      </c>
      <c r="O16" s="433">
        <f t="shared" si="3"/>
        <v>231849</v>
      </c>
      <c r="P16" s="432">
        <f t="shared" si="2"/>
        <v>242227548</v>
      </c>
      <c r="Q16" s="432">
        <f>SUM(Q18:Q32)</f>
        <v>102806385</v>
      </c>
      <c r="R16" s="432">
        <f t="shared" ref="R16:AM16" si="4">SUM(R18:R32)</f>
        <v>44117270</v>
      </c>
      <c r="S16" s="432">
        <f t="shared" si="4"/>
        <v>1115057</v>
      </c>
      <c r="T16" s="432">
        <f t="shared" si="4"/>
        <v>6734517</v>
      </c>
      <c r="U16" s="432">
        <f t="shared" si="4"/>
        <v>16061268</v>
      </c>
      <c r="V16" s="432">
        <f t="shared" si="4"/>
        <v>59678</v>
      </c>
      <c r="W16" s="432">
        <f t="shared" si="4"/>
        <v>39183541</v>
      </c>
      <c r="X16" s="432">
        <f t="shared" si="4"/>
        <v>7298585</v>
      </c>
      <c r="Y16" s="432">
        <f t="shared" si="4"/>
        <v>336991</v>
      </c>
      <c r="Z16" s="432">
        <f t="shared" si="4"/>
        <v>17314324</v>
      </c>
      <c r="AA16" s="432">
        <f t="shared" si="4"/>
        <v>7439791</v>
      </c>
      <c r="AB16" s="432">
        <f t="shared" si="4"/>
        <v>-239859</v>
      </c>
      <c r="AC16" s="432">
        <f t="shared" si="4"/>
        <v>14799830</v>
      </c>
      <c r="AD16" s="432">
        <f t="shared" si="4"/>
        <v>3512683</v>
      </c>
      <c r="AE16" s="432">
        <f t="shared" si="4"/>
        <v>100943139</v>
      </c>
      <c r="AF16" s="432">
        <f t="shared" si="4"/>
        <v>5725662</v>
      </c>
      <c r="AG16" s="432">
        <f t="shared" si="4"/>
        <v>20529527</v>
      </c>
      <c r="AH16" s="432">
        <f t="shared" si="4"/>
        <v>17987460</v>
      </c>
      <c r="AI16" s="432">
        <f t="shared" si="4"/>
        <v>14438738</v>
      </c>
      <c r="AJ16" s="432">
        <f t="shared" si="4"/>
        <v>5909449</v>
      </c>
      <c r="AK16" s="432">
        <f t="shared" si="4"/>
        <v>28597814</v>
      </c>
      <c r="AL16" s="432">
        <f t="shared" si="4"/>
        <v>20899025</v>
      </c>
      <c r="AM16" s="432">
        <f t="shared" si="4"/>
        <v>8884221</v>
      </c>
    </row>
    <row r="17" spans="1:39" s="155" customFormat="1" ht="22.5" x14ac:dyDescent="0.2">
      <c r="A17" s="277" t="s">
        <v>2306</v>
      </c>
      <c r="B17" s="279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x14ac:dyDescent="0.2">
      <c r="A18" s="146">
        <v>1</v>
      </c>
      <c r="B18" s="407">
        <v>174744</v>
      </c>
      <c r="C18" s="409" t="s">
        <v>3174</v>
      </c>
      <c r="D18" s="432">
        <f t="shared" ref="D18:D19" si="5">E18+SUM(H18:O18)</f>
        <v>207233476</v>
      </c>
      <c r="E18" s="436">
        <v>96870754</v>
      </c>
      <c r="F18" s="436">
        <v>54294622</v>
      </c>
      <c r="G18" s="436">
        <v>0</v>
      </c>
      <c r="H18" s="436">
        <v>0</v>
      </c>
      <c r="I18" s="436">
        <v>80159608</v>
      </c>
      <c r="J18" s="436">
        <v>0</v>
      </c>
      <c r="K18" s="436">
        <v>788000</v>
      </c>
      <c r="L18" s="470"/>
      <c r="M18" s="436">
        <v>15138112</v>
      </c>
      <c r="N18" s="436">
        <v>14277002</v>
      </c>
      <c r="O18" s="436">
        <v>0</v>
      </c>
      <c r="P18" s="432">
        <f t="shared" ref="P18:P19" si="6">IF(SUM(Q18:AB18)=SUM(AC18:AM18),SUM(Q18:AB18),"  EROARE ART/CAP")</f>
        <v>205450306</v>
      </c>
      <c r="Q18" s="436">
        <v>85732967</v>
      </c>
      <c r="R18" s="436">
        <v>33864543</v>
      </c>
      <c r="S18" s="436">
        <v>1042703</v>
      </c>
      <c r="T18" s="436">
        <v>6734517</v>
      </c>
      <c r="U18" s="436">
        <v>13352271</v>
      </c>
      <c r="V18" s="436">
        <v>59678</v>
      </c>
      <c r="W18" s="436">
        <v>39183541</v>
      </c>
      <c r="X18" s="436">
        <v>6502007</v>
      </c>
      <c r="Y18" s="436">
        <v>254305</v>
      </c>
      <c r="Z18" s="436">
        <v>11700320</v>
      </c>
      <c r="AA18" s="436">
        <v>7197798</v>
      </c>
      <c r="AB18" s="436">
        <v>-174344</v>
      </c>
      <c r="AC18" s="436">
        <v>10178054</v>
      </c>
      <c r="AD18" s="436">
        <v>3139051</v>
      </c>
      <c r="AE18" s="436">
        <v>87049889</v>
      </c>
      <c r="AF18" s="436">
        <v>2423164</v>
      </c>
      <c r="AG18" s="436">
        <v>17833928</v>
      </c>
      <c r="AH18" s="436">
        <v>15846755</v>
      </c>
      <c r="AI18" s="436">
        <v>9766350</v>
      </c>
      <c r="AJ18" s="436">
        <v>4618637</v>
      </c>
      <c r="AK18" s="436">
        <v>28597814</v>
      </c>
      <c r="AL18" s="436">
        <v>17112443</v>
      </c>
      <c r="AM18" s="470">
        <v>8884221</v>
      </c>
    </row>
    <row r="19" spans="1:39" s="155" customFormat="1" x14ac:dyDescent="0.2">
      <c r="A19" s="146">
        <v>2</v>
      </c>
      <c r="B19" s="407">
        <v>174860</v>
      </c>
      <c r="C19" s="409" t="s">
        <v>3175</v>
      </c>
      <c r="D19" s="432">
        <f t="shared" si="5"/>
        <v>39274197</v>
      </c>
      <c r="E19" s="436">
        <v>14886157</v>
      </c>
      <c r="F19" s="436">
        <v>6119103</v>
      </c>
      <c r="G19" s="436">
        <v>1264351</v>
      </c>
      <c r="H19" s="436">
        <v>0</v>
      </c>
      <c r="I19" s="436">
        <v>14552444</v>
      </c>
      <c r="J19" s="436">
        <v>500000</v>
      </c>
      <c r="K19" s="436">
        <v>6675170</v>
      </c>
      <c r="L19" s="470"/>
      <c r="M19" s="436">
        <v>2400454</v>
      </c>
      <c r="N19" s="436">
        <v>28123</v>
      </c>
      <c r="O19" s="436">
        <v>231849</v>
      </c>
      <c r="P19" s="432">
        <f t="shared" si="6"/>
        <v>36777242</v>
      </c>
      <c r="Q19" s="436">
        <v>17073418</v>
      </c>
      <c r="R19" s="436">
        <v>10252727</v>
      </c>
      <c r="S19" s="436">
        <v>72354</v>
      </c>
      <c r="T19" s="436">
        <v>0</v>
      </c>
      <c r="U19" s="436">
        <v>2708997</v>
      </c>
      <c r="V19" s="436">
        <v>0</v>
      </c>
      <c r="W19" s="436">
        <v>0</v>
      </c>
      <c r="X19" s="436">
        <v>796578</v>
      </c>
      <c r="Y19" s="436">
        <v>82686</v>
      </c>
      <c r="Z19" s="436">
        <v>5614004</v>
      </c>
      <c r="AA19" s="436">
        <v>241993</v>
      </c>
      <c r="AB19" s="436">
        <v>-65515</v>
      </c>
      <c r="AC19" s="436">
        <v>4621776</v>
      </c>
      <c r="AD19" s="436">
        <v>373632</v>
      </c>
      <c r="AE19" s="436">
        <v>13893250</v>
      </c>
      <c r="AF19" s="436">
        <v>3302498</v>
      </c>
      <c r="AG19" s="436">
        <v>2695599</v>
      </c>
      <c r="AH19" s="436">
        <v>2140705</v>
      </c>
      <c r="AI19" s="436">
        <v>4672388</v>
      </c>
      <c r="AJ19" s="436">
        <v>1290812</v>
      </c>
      <c r="AK19" s="436">
        <v>0</v>
      </c>
      <c r="AL19" s="436">
        <v>3786582</v>
      </c>
      <c r="AM19" s="470"/>
    </row>
    <row r="20" spans="1:39" s="155" customFormat="1" ht="12" hidden="1" x14ac:dyDescent="0.2">
      <c r="A20" s="146">
        <v>3</v>
      </c>
      <c r="B20" s="146"/>
      <c r="C20" s="206"/>
      <c r="D20" s="432">
        <f t="shared" ref="D20:D41" si="7">E20+SUM(H20:O20)</f>
        <v>0</v>
      </c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2">
        <f t="shared" si="2"/>
        <v>0</v>
      </c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</row>
    <row r="21" spans="1:39" s="155" customFormat="1" ht="12" hidden="1" x14ac:dyDescent="0.2">
      <c r="A21" s="146">
        <v>4</v>
      </c>
      <c r="B21" s="146"/>
      <c r="C21" s="206"/>
      <c r="D21" s="432">
        <f t="shared" si="7"/>
        <v>0</v>
      </c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2">
        <f t="shared" si="2"/>
        <v>0</v>
      </c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</row>
    <row r="22" spans="1:39" s="155" customFormat="1" ht="12" hidden="1" x14ac:dyDescent="0.2">
      <c r="A22" s="146">
        <v>5</v>
      </c>
      <c r="B22" s="146"/>
      <c r="C22" s="206"/>
      <c r="D22" s="432">
        <f t="shared" si="7"/>
        <v>0</v>
      </c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2">
        <f t="shared" si="2"/>
        <v>0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</row>
    <row r="23" spans="1:39" s="155" customFormat="1" ht="12" hidden="1" x14ac:dyDescent="0.2">
      <c r="A23" s="146">
        <v>6</v>
      </c>
      <c r="B23" s="146"/>
      <c r="C23" s="206"/>
      <c r="D23" s="432">
        <f t="shared" si="7"/>
        <v>0</v>
      </c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2">
        <f t="shared" si="2"/>
        <v>0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</row>
    <row r="24" spans="1:39" s="155" customFormat="1" ht="12" hidden="1" x14ac:dyDescent="0.2">
      <c r="A24" s="146">
        <v>7</v>
      </c>
      <c r="B24" s="146"/>
      <c r="C24" s="206"/>
      <c r="D24" s="432">
        <f t="shared" si="7"/>
        <v>0</v>
      </c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2">
        <f t="shared" si="2"/>
        <v>0</v>
      </c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</row>
    <row r="25" spans="1:39" s="155" customFormat="1" ht="12" hidden="1" x14ac:dyDescent="0.2">
      <c r="A25" s="146">
        <v>8</v>
      </c>
      <c r="B25" s="146"/>
      <c r="C25" s="206"/>
      <c r="D25" s="432">
        <f t="shared" si="7"/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2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46"/>
      <c r="C26" s="206"/>
      <c r="D26" s="432">
        <f t="shared" si="7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2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46"/>
      <c r="C27" s="206"/>
      <c r="D27" s="432">
        <f t="shared" si="7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2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46"/>
      <c r="C28" s="206"/>
      <c r="D28" s="432">
        <f t="shared" si="7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2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46"/>
      <c r="C29" s="206"/>
      <c r="D29" s="432">
        <f t="shared" si="7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2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46"/>
      <c r="C30" s="206"/>
      <c r="D30" s="432">
        <f t="shared" si="7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2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46"/>
      <c r="C31" s="206"/>
      <c r="D31" s="432">
        <f t="shared" si="7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2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46"/>
      <c r="C32" s="207"/>
      <c r="D32" s="432">
        <f t="shared" si="7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2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x14ac:dyDescent="0.2">
      <c r="A33" s="164" t="s">
        <v>75</v>
      </c>
      <c r="B33" s="164"/>
      <c r="C33" s="208"/>
      <c r="D33" s="432">
        <f t="shared" si="7"/>
        <v>70448530</v>
      </c>
      <c r="E33" s="432">
        <f>SUM(E34:E53)</f>
        <v>19691775</v>
      </c>
      <c r="F33" s="432">
        <f t="shared" ref="F33:O33" si="8">SUM(F34:F53)</f>
        <v>6426952</v>
      </c>
      <c r="G33" s="432">
        <f t="shared" si="8"/>
        <v>733385</v>
      </c>
      <c r="H33" s="432">
        <f t="shared" si="8"/>
        <v>0</v>
      </c>
      <c r="I33" s="432">
        <f t="shared" si="8"/>
        <v>19900915</v>
      </c>
      <c r="J33" s="432">
        <f t="shared" si="8"/>
        <v>1500000</v>
      </c>
      <c r="K33" s="432">
        <f t="shared" si="8"/>
        <v>5620050</v>
      </c>
      <c r="L33" s="432">
        <f t="shared" si="8"/>
        <v>0</v>
      </c>
      <c r="M33" s="432">
        <f t="shared" si="8"/>
        <v>12081848</v>
      </c>
      <c r="N33" s="432">
        <f t="shared" si="8"/>
        <v>11591342</v>
      </c>
      <c r="O33" s="432">
        <f t="shared" si="8"/>
        <v>62600</v>
      </c>
      <c r="P33" s="432">
        <f t="shared" si="2"/>
        <v>67024402</v>
      </c>
      <c r="Q33" s="432">
        <f>SUM(Q34:Q53)</f>
        <v>22704477</v>
      </c>
      <c r="R33" s="432">
        <f t="shared" ref="R33:AM33" si="9">SUM(R34:R53)</f>
        <v>11664373</v>
      </c>
      <c r="S33" s="432">
        <f t="shared" si="9"/>
        <v>1005941</v>
      </c>
      <c r="T33" s="432">
        <f t="shared" si="9"/>
        <v>0</v>
      </c>
      <c r="U33" s="432">
        <f t="shared" si="9"/>
        <v>2107231</v>
      </c>
      <c r="V33" s="432">
        <f t="shared" si="9"/>
        <v>21150</v>
      </c>
      <c r="W33" s="432">
        <f t="shared" si="9"/>
        <v>15048136</v>
      </c>
      <c r="X33" s="432">
        <f t="shared" si="9"/>
        <v>2618558</v>
      </c>
      <c r="Y33" s="432">
        <f t="shared" si="9"/>
        <v>30000</v>
      </c>
      <c r="Z33" s="432">
        <f t="shared" si="9"/>
        <v>10254454</v>
      </c>
      <c r="AA33" s="432">
        <f t="shared" si="9"/>
        <v>1733813</v>
      </c>
      <c r="AB33" s="432">
        <f t="shared" si="9"/>
        <v>-163731</v>
      </c>
      <c r="AC33" s="432">
        <f t="shared" si="9"/>
        <v>13092888</v>
      </c>
      <c r="AD33" s="432">
        <f t="shared" si="9"/>
        <v>605212</v>
      </c>
      <c r="AE33" s="432">
        <f t="shared" si="9"/>
        <v>21845428</v>
      </c>
      <c r="AF33" s="432">
        <f t="shared" si="9"/>
        <v>7261750</v>
      </c>
      <c r="AG33" s="432">
        <f t="shared" si="9"/>
        <v>2961902</v>
      </c>
      <c r="AH33" s="432">
        <f t="shared" si="9"/>
        <v>5886608</v>
      </c>
      <c r="AI33" s="432">
        <f t="shared" si="9"/>
        <v>6872549</v>
      </c>
      <c r="AJ33" s="432">
        <f t="shared" si="9"/>
        <v>1847065</v>
      </c>
      <c r="AK33" s="432">
        <f t="shared" si="9"/>
        <v>0</v>
      </c>
      <c r="AL33" s="432">
        <f t="shared" si="9"/>
        <v>6118676</v>
      </c>
      <c r="AM33" s="432">
        <f t="shared" si="9"/>
        <v>532324</v>
      </c>
    </row>
    <row r="34" spans="1:39" s="155" customFormat="1" x14ac:dyDescent="0.2">
      <c r="A34" s="146">
        <v>1</v>
      </c>
      <c r="B34" s="407">
        <v>174922</v>
      </c>
      <c r="C34" s="409" t="s">
        <v>3176</v>
      </c>
      <c r="D34" s="432">
        <f t="shared" ref="D34:D36" si="10">E34+SUM(H34:O34)</f>
        <v>15230276</v>
      </c>
      <c r="E34" s="436">
        <v>5624280</v>
      </c>
      <c r="F34" s="436">
        <v>1625744</v>
      </c>
      <c r="G34" s="436">
        <v>285147</v>
      </c>
      <c r="H34" s="436">
        <v>0</v>
      </c>
      <c r="I34" s="436">
        <v>7288370</v>
      </c>
      <c r="J34" s="436">
        <v>500000</v>
      </c>
      <c r="K34" s="436">
        <v>954350</v>
      </c>
      <c r="L34" s="471"/>
      <c r="M34" s="436">
        <v>863276</v>
      </c>
      <c r="N34" s="436">
        <v>0</v>
      </c>
      <c r="O34" s="436">
        <v>0</v>
      </c>
      <c r="P34" s="432">
        <f t="shared" ref="P34:P36" si="11">IF(SUM(Q34:AB34)=SUM(AC34:AM34),SUM(Q34:AB34),"  EROARE ART/CAP")</f>
        <v>15202315</v>
      </c>
      <c r="Q34" s="436">
        <v>8232930</v>
      </c>
      <c r="R34" s="436">
        <v>2939781</v>
      </c>
      <c r="S34" s="436">
        <v>230025</v>
      </c>
      <c r="T34" s="436">
        <v>0</v>
      </c>
      <c r="U34" s="436">
        <v>844231</v>
      </c>
      <c r="V34" s="436">
        <v>0</v>
      </c>
      <c r="W34" s="436">
        <v>0</v>
      </c>
      <c r="X34" s="436">
        <v>1284225</v>
      </c>
      <c r="Y34" s="436">
        <v>0</v>
      </c>
      <c r="Z34" s="436">
        <v>1208691</v>
      </c>
      <c r="AA34" s="436">
        <v>517000</v>
      </c>
      <c r="AB34" s="436">
        <v>-54568</v>
      </c>
      <c r="AC34" s="436">
        <v>3405090</v>
      </c>
      <c r="AD34" s="436">
        <v>117080</v>
      </c>
      <c r="AE34" s="436">
        <v>5936576</v>
      </c>
      <c r="AF34" s="436">
        <v>88340</v>
      </c>
      <c r="AG34" s="436">
        <v>386211</v>
      </c>
      <c r="AH34" s="436">
        <v>2346373</v>
      </c>
      <c r="AI34" s="436">
        <v>1298507</v>
      </c>
      <c r="AJ34" s="436">
        <v>0</v>
      </c>
      <c r="AK34" s="436">
        <v>0</v>
      </c>
      <c r="AL34" s="436">
        <v>1624138</v>
      </c>
      <c r="AM34" s="471"/>
    </row>
    <row r="35" spans="1:39" s="155" customFormat="1" x14ac:dyDescent="0.2">
      <c r="A35" s="146">
        <v>2</v>
      </c>
      <c r="B35" s="407">
        <v>175019</v>
      </c>
      <c r="C35" s="409" t="s">
        <v>3177</v>
      </c>
      <c r="D35" s="432">
        <f t="shared" si="10"/>
        <v>20845633</v>
      </c>
      <c r="E35" s="436">
        <v>8364183</v>
      </c>
      <c r="F35" s="436">
        <v>2299009</v>
      </c>
      <c r="G35" s="436">
        <v>321212</v>
      </c>
      <c r="H35" s="436">
        <v>0</v>
      </c>
      <c r="I35" s="436">
        <v>6340739</v>
      </c>
      <c r="J35" s="436">
        <v>500000</v>
      </c>
      <c r="K35" s="436">
        <v>985000</v>
      </c>
      <c r="L35" s="471"/>
      <c r="M35" s="436">
        <v>2930026</v>
      </c>
      <c r="N35" s="436">
        <v>1690435</v>
      </c>
      <c r="O35" s="436">
        <v>35250</v>
      </c>
      <c r="P35" s="432">
        <f t="shared" si="11"/>
        <v>17916740</v>
      </c>
      <c r="Q35" s="436">
        <v>7603100</v>
      </c>
      <c r="R35" s="436">
        <v>3778829</v>
      </c>
      <c r="S35" s="436">
        <v>111956</v>
      </c>
      <c r="T35" s="436">
        <v>0</v>
      </c>
      <c r="U35" s="436">
        <v>0</v>
      </c>
      <c r="V35" s="436">
        <v>21150</v>
      </c>
      <c r="W35" s="436">
        <v>629029</v>
      </c>
      <c r="X35" s="436">
        <v>605363</v>
      </c>
      <c r="Y35" s="436">
        <v>30000</v>
      </c>
      <c r="Z35" s="436">
        <v>4920066</v>
      </c>
      <c r="AA35" s="436">
        <v>240516</v>
      </c>
      <c r="AB35" s="436">
        <v>-23269</v>
      </c>
      <c r="AC35" s="436">
        <v>3078523</v>
      </c>
      <c r="AD35" s="436">
        <v>267550</v>
      </c>
      <c r="AE35" s="436">
        <v>5693857</v>
      </c>
      <c r="AF35" s="436">
        <v>182844</v>
      </c>
      <c r="AG35" s="436">
        <v>603156</v>
      </c>
      <c r="AH35" s="436">
        <v>753038</v>
      </c>
      <c r="AI35" s="436">
        <v>2072549</v>
      </c>
      <c r="AJ35" s="436">
        <v>831993</v>
      </c>
      <c r="AK35" s="436">
        <v>0</v>
      </c>
      <c r="AL35" s="436">
        <v>3900906</v>
      </c>
      <c r="AM35" s="471">
        <v>532324</v>
      </c>
    </row>
    <row r="36" spans="1:39" s="155" customFormat="1" x14ac:dyDescent="0.2">
      <c r="A36" s="146">
        <v>3</v>
      </c>
      <c r="B36" s="407">
        <v>175055</v>
      </c>
      <c r="C36" s="409" t="s">
        <v>3178</v>
      </c>
      <c r="D36" s="432">
        <f t="shared" si="10"/>
        <v>34372621</v>
      </c>
      <c r="E36" s="436">
        <v>5703312</v>
      </c>
      <c r="F36" s="436">
        <v>2502199</v>
      </c>
      <c r="G36" s="436">
        <v>127026</v>
      </c>
      <c r="H36" s="436">
        <v>0</v>
      </c>
      <c r="I36" s="436">
        <v>6271806</v>
      </c>
      <c r="J36" s="436">
        <v>500000</v>
      </c>
      <c r="K36" s="436">
        <v>3680700</v>
      </c>
      <c r="L36" s="471"/>
      <c r="M36" s="436">
        <v>8288546</v>
      </c>
      <c r="N36" s="436">
        <v>9900907</v>
      </c>
      <c r="O36" s="436">
        <v>27350</v>
      </c>
      <c r="P36" s="432">
        <f t="shared" si="11"/>
        <v>33905347</v>
      </c>
      <c r="Q36" s="436">
        <v>6868447</v>
      </c>
      <c r="R36" s="436">
        <v>4945763</v>
      </c>
      <c r="S36" s="436">
        <v>663960</v>
      </c>
      <c r="T36" s="436">
        <v>0</v>
      </c>
      <c r="U36" s="436">
        <v>1263000</v>
      </c>
      <c r="V36" s="436">
        <v>0</v>
      </c>
      <c r="W36" s="436">
        <v>14419107</v>
      </c>
      <c r="X36" s="436">
        <v>728970</v>
      </c>
      <c r="Y36" s="436">
        <v>0</v>
      </c>
      <c r="Z36" s="436">
        <v>4125697</v>
      </c>
      <c r="AA36" s="436">
        <v>976297</v>
      </c>
      <c r="AB36" s="436">
        <v>-85894</v>
      </c>
      <c r="AC36" s="436">
        <v>6609275</v>
      </c>
      <c r="AD36" s="436">
        <v>220582</v>
      </c>
      <c r="AE36" s="436">
        <v>10214995</v>
      </c>
      <c r="AF36" s="436">
        <v>6990566</v>
      </c>
      <c r="AG36" s="436">
        <v>1972535</v>
      </c>
      <c r="AH36" s="436">
        <v>2787197</v>
      </c>
      <c r="AI36" s="436">
        <v>3501493</v>
      </c>
      <c r="AJ36" s="436">
        <v>1015072</v>
      </c>
      <c r="AK36" s="436">
        <v>0</v>
      </c>
      <c r="AL36" s="436">
        <v>593632</v>
      </c>
      <c r="AM36" s="471"/>
    </row>
    <row r="37" spans="1:39" s="155" customFormat="1" ht="12" hidden="1" x14ac:dyDescent="0.2">
      <c r="A37" s="146">
        <v>4</v>
      </c>
      <c r="B37" s="146"/>
      <c r="C37" s="172"/>
      <c r="D37" s="432">
        <f t="shared" si="7"/>
        <v>0</v>
      </c>
      <c r="E37" s="435"/>
      <c r="F37" s="435"/>
      <c r="G37" s="435"/>
      <c r="H37" s="435"/>
      <c r="I37" s="435"/>
      <c r="J37" s="435"/>
      <c r="K37" s="435"/>
      <c r="L37" s="435"/>
      <c r="M37" s="435"/>
      <c r="N37" s="435"/>
      <c r="O37" s="435"/>
      <c r="P37" s="432">
        <f t="shared" si="2"/>
        <v>0</v>
      </c>
      <c r="Q37" s="435"/>
      <c r="R37" s="435"/>
      <c r="S37" s="435"/>
      <c r="T37" s="435"/>
      <c r="U37" s="435"/>
      <c r="V37" s="431"/>
      <c r="W37" s="431"/>
      <c r="X37" s="431"/>
      <c r="Y37" s="431"/>
      <c r="Z37" s="431"/>
      <c r="AA37" s="431"/>
      <c r="AB37" s="431"/>
      <c r="AC37" s="445"/>
      <c r="AD37" s="435"/>
      <c r="AE37" s="435"/>
      <c r="AF37" s="435"/>
      <c r="AG37" s="435"/>
      <c r="AH37" s="435"/>
      <c r="AI37" s="435"/>
      <c r="AJ37" s="435"/>
      <c r="AK37" s="435"/>
      <c r="AL37" s="435"/>
      <c r="AM37" s="435"/>
    </row>
    <row r="38" spans="1:39" s="155" customFormat="1" ht="12" hidden="1" x14ac:dyDescent="0.2">
      <c r="A38" s="146">
        <v>5</v>
      </c>
      <c r="B38" s="146"/>
      <c r="C38" s="172"/>
      <c r="D38" s="432">
        <f t="shared" si="7"/>
        <v>0</v>
      </c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2">
        <f t="shared" si="2"/>
        <v>0</v>
      </c>
      <c r="Q38" s="435"/>
      <c r="R38" s="435"/>
      <c r="S38" s="435"/>
      <c r="T38" s="435"/>
      <c r="U38" s="435"/>
      <c r="V38" s="431"/>
      <c r="W38" s="431"/>
      <c r="X38" s="431"/>
      <c r="Y38" s="431"/>
      <c r="Z38" s="435"/>
      <c r="AA38" s="431"/>
      <c r="AB38" s="431"/>
      <c r="AC38" s="445"/>
      <c r="AD38" s="435"/>
      <c r="AE38" s="435"/>
      <c r="AF38" s="435"/>
      <c r="AG38" s="435"/>
      <c r="AH38" s="435"/>
      <c r="AI38" s="435"/>
      <c r="AJ38" s="435"/>
      <c r="AK38" s="435"/>
      <c r="AL38" s="435"/>
      <c r="AM38" s="435"/>
    </row>
    <row r="39" spans="1:39" s="155" customFormat="1" ht="12" hidden="1" x14ac:dyDescent="0.2">
      <c r="A39" s="146">
        <v>6</v>
      </c>
      <c r="B39" s="146"/>
      <c r="C39" s="172"/>
      <c r="D39" s="432">
        <f t="shared" si="7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2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</row>
    <row r="40" spans="1:39" s="155" customFormat="1" ht="12" hidden="1" x14ac:dyDescent="0.2">
      <c r="A40" s="146">
        <v>7</v>
      </c>
      <c r="B40" s="146"/>
      <c r="C40" s="182"/>
      <c r="D40" s="432">
        <f t="shared" si="7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2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155" customFormat="1" ht="12" hidden="1" x14ac:dyDescent="0.2">
      <c r="A41" s="146">
        <v>8</v>
      </c>
      <c r="B41" s="146"/>
      <c r="C41" s="173"/>
      <c r="D41" s="432">
        <f t="shared" si="7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2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146">
        <v>9</v>
      </c>
      <c r="B42" s="146"/>
      <c r="C42" s="206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2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146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2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46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2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46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2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46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2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46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2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46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2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46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2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46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2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46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2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46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2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46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2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customHeight="1" x14ac:dyDescent="0.2">
      <c r="A54" s="164" t="s">
        <v>76</v>
      </c>
      <c r="B54" s="164"/>
      <c r="C54" s="208"/>
      <c r="D54" s="432">
        <f t="shared" ref="D54:D117" si="12">E54+SUM(H54:O54)</f>
        <v>379467214</v>
      </c>
      <c r="E54" s="432">
        <f>SUM(E55:E143)</f>
        <v>80669622</v>
      </c>
      <c r="F54" s="432">
        <f t="shared" ref="F54:O54" si="13">SUM(F55:F143)</f>
        <v>17214037</v>
      </c>
      <c r="G54" s="432">
        <f t="shared" si="13"/>
        <v>16659951</v>
      </c>
      <c r="H54" s="432">
        <f t="shared" si="13"/>
        <v>0</v>
      </c>
      <c r="I54" s="432">
        <f t="shared" si="13"/>
        <v>122571283</v>
      </c>
      <c r="J54" s="432">
        <f t="shared" si="13"/>
        <v>8241000</v>
      </c>
      <c r="K54" s="432">
        <f t="shared" si="13"/>
        <v>70123140</v>
      </c>
      <c r="L54" s="432">
        <f t="shared" si="13"/>
        <v>0</v>
      </c>
      <c r="M54" s="432">
        <f t="shared" si="13"/>
        <v>49875344</v>
      </c>
      <c r="N54" s="432">
        <f t="shared" si="13"/>
        <v>47714964</v>
      </c>
      <c r="O54" s="432">
        <f t="shared" si="13"/>
        <v>271861</v>
      </c>
      <c r="P54" s="432">
        <f t="shared" si="2"/>
        <v>352582277</v>
      </c>
      <c r="Q54" s="432">
        <f>SUM(Q55:Q143)</f>
        <v>141050092</v>
      </c>
      <c r="R54" s="432">
        <f t="shared" ref="R54:AM54" si="14">SUM(R55:R143)</f>
        <v>67854446</v>
      </c>
      <c r="S54" s="432">
        <f t="shared" si="14"/>
        <v>347424</v>
      </c>
      <c r="T54" s="432">
        <f t="shared" si="14"/>
        <v>0</v>
      </c>
      <c r="U54" s="432">
        <f t="shared" si="14"/>
        <v>655004</v>
      </c>
      <c r="V54" s="432">
        <f t="shared" si="14"/>
        <v>2389505</v>
      </c>
      <c r="W54" s="432">
        <f t="shared" si="14"/>
        <v>45429450</v>
      </c>
      <c r="X54" s="432">
        <f t="shared" si="14"/>
        <v>19716082</v>
      </c>
      <c r="Y54" s="432">
        <f t="shared" si="14"/>
        <v>1048627</v>
      </c>
      <c r="Z54" s="432">
        <f t="shared" si="14"/>
        <v>70638360</v>
      </c>
      <c r="AA54" s="432">
        <f t="shared" si="14"/>
        <v>3829505</v>
      </c>
      <c r="AB54" s="432">
        <f t="shared" si="14"/>
        <v>-376218</v>
      </c>
      <c r="AC54" s="432">
        <f t="shared" si="14"/>
        <v>68523287</v>
      </c>
      <c r="AD54" s="432">
        <f t="shared" si="14"/>
        <v>4932943</v>
      </c>
      <c r="AE54" s="432">
        <f t="shared" si="14"/>
        <v>117744300</v>
      </c>
      <c r="AF54" s="432">
        <f t="shared" si="14"/>
        <v>1859976</v>
      </c>
      <c r="AG54" s="432">
        <f t="shared" si="14"/>
        <v>9290202</v>
      </c>
      <c r="AH54" s="432">
        <f t="shared" si="14"/>
        <v>33702186</v>
      </c>
      <c r="AI54" s="432">
        <f t="shared" si="14"/>
        <v>32298942</v>
      </c>
      <c r="AJ54" s="432">
        <f t="shared" si="14"/>
        <v>9481002</v>
      </c>
      <c r="AK54" s="432">
        <f t="shared" si="14"/>
        <v>0</v>
      </c>
      <c r="AL54" s="432">
        <f>SUM(AL55:AL143)</f>
        <v>72113878</v>
      </c>
      <c r="AM54" s="432">
        <f t="shared" si="14"/>
        <v>2635561</v>
      </c>
    </row>
    <row r="55" spans="1:39" s="155" customFormat="1" x14ac:dyDescent="0.2">
      <c r="A55" s="168">
        <v>1</v>
      </c>
      <c r="B55" s="408">
        <v>175126</v>
      </c>
      <c r="C55" s="410" t="s">
        <v>3179</v>
      </c>
      <c r="D55" s="432">
        <f t="shared" si="12"/>
        <v>5762185</v>
      </c>
      <c r="E55" s="436">
        <v>588715</v>
      </c>
      <c r="F55" s="436">
        <v>64879</v>
      </c>
      <c r="G55" s="436">
        <v>249129</v>
      </c>
      <c r="H55" s="436">
        <v>0</v>
      </c>
      <c r="I55" s="436">
        <v>1085106</v>
      </c>
      <c r="J55" s="436">
        <v>108500</v>
      </c>
      <c r="K55" s="436">
        <v>1217550</v>
      </c>
      <c r="L55" s="470"/>
      <c r="M55" s="436">
        <v>164064</v>
      </c>
      <c r="N55" s="436">
        <v>2598250</v>
      </c>
      <c r="O55" s="436">
        <v>0</v>
      </c>
      <c r="P55" s="432">
        <f t="shared" ref="P55:P118" si="15">IF(SUM(Q55:AB55)=SUM(AC55:AM55),SUM(Q55:AB55),"  EROARE ART/CAP")</f>
        <v>3643848</v>
      </c>
      <c r="Q55" s="436">
        <v>1460299</v>
      </c>
      <c r="R55" s="436">
        <v>842308</v>
      </c>
      <c r="S55" s="436">
        <v>0</v>
      </c>
      <c r="T55" s="436">
        <v>0</v>
      </c>
      <c r="U55" s="436">
        <v>0</v>
      </c>
      <c r="V55" s="436">
        <v>0</v>
      </c>
      <c r="W55" s="436">
        <v>802108</v>
      </c>
      <c r="X55" s="436">
        <v>58643</v>
      </c>
      <c r="Y55" s="436">
        <v>0</v>
      </c>
      <c r="Z55" s="436">
        <v>481119</v>
      </c>
      <c r="AA55" s="436">
        <v>0</v>
      </c>
      <c r="AB55" s="436">
        <v>-629</v>
      </c>
      <c r="AC55" s="436">
        <v>629071</v>
      </c>
      <c r="AD55" s="436">
        <v>0</v>
      </c>
      <c r="AE55" s="436">
        <v>948230</v>
      </c>
      <c r="AF55" s="436">
        <v>346025</v>
      </c>
      <c r="AG55" s="436">
        <v>68330</v>
      </c>
      <c r="AH55" s="436">
        <v>245096</v>
      </c>
      <c r="AI55" s="436">
        <v>199614</v>
      </c>
      <c r="AJ55" s="436">
        <v>34160</v>
      </c>
      <c r="AK55" s="436">
        <v>0</v>
      </c>
      <c r="AL55" s="436">
        <v>1019053</v>
      </c>
      <c r="AM55" s="470">
        <v>154269</v>
      </c>
    </row>
    <row r="56" spans="1:39" s="155" customFormat="1" x14ac:dyDescent="0.2">
      <c r="A56" s="168">
        <v>2</v>
      </c>
      <c r="B56" s="408">
        <v>175206</v>
      </c>
      <c r="C56" s="410" t="s">
        <v>3180</v>
      </c>
      <c r="D56" s="432">
        <f t="shared" si="12"/>
        <v>4482876</v>
      </c>
      <c r="E56" s="436">
        <v>865103</v>
      </c>
      <c r="F56" s="436">
        <v>98336</v>
      </c>
      <c r="G56" s="436">
        <v>214664</v>
      </c>
      <c r="H56" s="436">
        <v>0</v>
      </c>
      <c r="I56" s="436">
        <v>1113000</v>
      </c>
      <c r="J56" s="436">
        <v>108500</v>
      </c>
      <c r="K56" s="436">
        <v>1026000</v>
      </c>
      <c r="L56" s="470"/>
      <c r="M56" s="436">
        <v>123882</v>
      </c>
      <c r="N56" s="436">
        <v>1246391</v>
      </c>
      <c r="O56" s="436">
        <v>0</v>
      </c>
      <c r="P56" s="432">
        <f t="shared" si="15"/>
        <v>3311026</v>
      </c>
      <c r="Q56" s="436">
        <v>1178887</v>
      </c>
      <c r="R56" s="436">
        <v>1002584</v>
      </c>
      <c r="S56" s="436">
        <v>0</v>
      </c>
      <c r="T56" s="436">
        <v>0</v>
      </c>
      <c r="U56" s="436">
        <v>0</v>
      </c>
      <c r="V56" s="436">
        <v>0</v>
      </c>
      <c r="W56" s="436">
        <v>17318</v>
      </c>
      <c r="X56" s="436">
        <v>257722</v>
      </c>
      <c r="Y56" s="436">
        <v>30000</v>
      </c>
      <c r="Z56" s="436">
        <v>824515</v>
      </c>
      <c r="AA56" s="436">
        <v>0</v>
      </c>
      <c r="AB56" s="436">
        <v>0</v>
      </c>
      <c r="AC56" s="436">
        <v>741088</v>
      </c>
      <c r="AD56" s="436">
        <v>6168</v>
      </c>
      <c r="AE56" s="436">
        <v>1265836</v>
      </c>
      <c r="AF56" s="436">
        <v>0</v>
      </c>
      <c r="AG56" s="436">
        <v>153713</v>
      </c>
      <c r="AH56" s="436">
        <v>445003</v>
      </c>
      <c r="AI56" s="436">
        <v>303560</v>
      </c>
      <c r="AJ56" s="436">
        <v>227138</v>
      </c>
      <c r="AK56" s="436">
        <v>0</v>
      </c>
      <c r="AL56" s="436">
        <v>124215</v>
      </c>
      <c r="AM56" s="470">
        <v>44305</v>
      </c>
    </row>
    <row r="57" spans="1:39" s="155" customFormat="1" x14ac:dyDescent="0.2">
      <c r="A57" s="168">
        <v>3</v>
      </c>
      <c r="B57" s="408">
        <v>178929</v>
      </c>
      <c r="C57" s="410" t="s">
        <v>3181</v>
      </c>
      <c r="D57" s="432">
        <f t="shared" si="12"/>
        <v>3264131</v>
      </c>
      <c r="E57" s="436">
        <v>695306</v>
      </c>
      <c r="F57" s="436">
        <v>110226</v>
      </c>
      <c r="G57" s="436">
        <v>227465</v>
      </c>
      <c r="H57" s="436">
        <v>0</v>
      </c>
      <c r="I57" s="436">
        <v>1004929</v>
      </c>
      <c r="J57" s="436">
        <v>128500</v>
      </c>
      <c r="K57" s="436">
        <v>1105000</v>
      </c>
      <c r="L57" s="470"/>
      <c r="M57" s="436">
        <v>16087</v>
      </c>
      <c r="N57" s="436">
        <v>314309</v>
      </c>
      <c r="O57" s="436">
        <v>0</v>
      </c>
      <c r="P57" s="432">
        <f t="shared" si="15"/>
        <v>2880099</v>
      </c>
      <c r="Q57" s="436">
        <v>1240720</v>
      </c>
      <c r="R57" s="436">
        <v>770907</v>
      </c>
      <c r="S57" s="436">
        <v>0</v>
      </c>
      <c r="T57" s="436">
        <v>0</v>
      </c>
      <c r="U57" s="436">
        <v>33629</v>
      </c>
      <c r="V57" s="436">
        <v>0</v>
      </c>
      <c r="W57" s="436">
        <v>467686</v>
      </c>
      <c r="X57" s="436">
        <v>195081</v>
      </c>
      <c r="Y57" s="436">
        <v>16000</v>
      </c>
      <c r="Z57" s="436">
        <v>156076</v>
      </c>
      <c r="AA57" s="436">
        <v>0</v>
      </c>
      <c r="AB57" s="436">
        <v>0</v>
      </c>
      <c r="AC57" s="436">
        <v>832420</v>
      </c>
      <c r="AD57" s="436">
        <v>420017</v>
      </c>
      <c r="AE57" s="436">
        <v>830086</v>
      </c>
      <c r="AF57" s="436">
        <v>0</v>
      </c>
      <c r="AG57" s="436">
        <v>90028</v>
      </c>
      <c r="AH57" s="436">
        <v>347094</v>
      </c>
      <c r="AI57" s="436">
        <v>111293</v>
      </c>
      <c r="AJ57" s="436">
        <v>9739</v>
      </c>
      <c r="AK57" s="436">
        <v>0</v>
      </c>
      <c r="AL57" s="436">
        <v>239422</v>
      </c>
      <c r="AM57" s="436"/>
    </row>
    <row r="58" spans="1:39" s="155" customFormat="1" x14ac:dyDescent="0.2">
      <c r="A58" s="168">
        <v>4</v>
      </c>
      <c r="B58" s="408">
        <v>175224</v>
      </c>
      <c r="C58" s="410" t="s">
        <v>3182</v>
      </c>
      <c r="D58" s="432">
        <f t="shared" si="12"/>
        <v>2865652</v>
      </c>
      <c r="E58" s="436">
        <v>690280</v>
      </c>
      <c r="F58" s="436">
        <v>134486</v>
      </c>
      <c r="G58" s="436">
        <v>239281</v>
      </c>
      <c r="H58" s="436">
        <v>0</v>
      </c>
      <c r="I58" s="436">
        <v>815000</v>
      </c>
      <c r="J58" s="436">
        <v>108500</v>
      </c>
      <c r="K58" s="436">
        <v>1105000</v>
      </c>
      <c r="L58" s="470"/>
      <c r="M58" s="436">
        <v>35902</v>
      </c>
      <c r="N58" s="436">
        <v>84200</v>
      </c>
      <c r="O58" s="436">
        <v>26770</v>
      </c>
      <c r="P58" s="432">
        <f t="shared" si="15"/>
        <v>2287108</v>
      </c>
      <c r="Q58" s="436">
        <v>1222312</v>
      </c>
      <c r="R58" s="436">
        <v>398928</v>
      </c>
      <c r="S58" s="436">
        <v>0</v>
      </c>
      <c r="T58" s="436">
        <v>0</v>
      </c>
      <c r="U58" s="436">
        <v>0</v>
      </c>
      <c r="V58" s="436">
        <v>0</v>
      </c>
      <c r="W58" s="436">
        <v>0</v>
      </c>
      <c r="X58" s="436">
        <v>86034</v>
      </c>
      <c r="Y58" s="436">
        <v>0</v>
      </c>
      <c r="Z58" s="436">
        <v>579834</v>
      </c>
      <c r="AA58" s="436">
        <v>0</v>
      </c>
      <c r="AB58" s="436">
        <v>0</v>
      </c>
      <c r="AC58" s="436">
        <v>649299</v>
      </c>
      <c r="AD58" s="436">
        <v>15629</v>
      </c>
      <c r="AE58" s="436">
        <v>777714</v>
      </c>
      <c r="AF58" s="436">
        <v>4895</v>
      </c>
      <c r="AG58" s="436">
        <v>140447</v>
      </c>
      <c r="AH58" s="436">
        <v>212954</v>
      </c>
      <c r="AI58" s="436">
        <v>70815</v>
      </c>
      <c r="AJ58" s="436">
        <v>304636</v>
      </c>
      <c r="AK58" s="436">
        <v>0</v>
      </c>
      <c r="AL58" s="436">
        <v>55734</v>
      </c>
      <c r="AM58" s="470">
        <v>54985</v>
      </c>
    </row>
    <row r="59" spans="1:39" s="155" customFormat="1" x14ac:dyDescent="0.2">
      <c r="A59" s="168">
        <v>5</v>
      </c>
      <c r="B59" s="408">
        <v>175260</v>
      </c>
      <c r="C59" s="410" t="s">
        <v>3183</v>
      </c>
      <c r="D59" s="432">
        <f t="shared" si="12"/>
        <v>3856468</v>
      </c>
      <c r="E59" s="436">
        <v>565186</v>
      </c>
      <c r="F59" s="436">
        <v>60282</v>
      </c>
      <c r="G59" s="436">
        <v>243220</v>
      </c>
      <c r="H59" s="436">
        <v>0</v>
      </c>
      <c r="I59" s="436">
        <v>964112</v>
      </c>
      <c r="J59" s="436">
        <v>128500</v>
      </c>
      <c r="K59" s="436">
        <v>1143000</v>
      </c>
      <c r="L59" s="470"/>
      <c r="M59" s="436">
        <v>320402</v>
      </c>
      <c r="N59" s="436">
        <v>735268</v>
      </c>
      <c r="O59" s="436">
        <v>0</v>
      </c>
      <c r="P59" s="432">
        <f t="shared" si="15"/>
        <v>3432058</v>
      </c>
      <c r="Q59" s="436">
        <v>1337853</v>
      </c>
      <c r="R59" s="436">
        <v>497072</v>
      </c>
      <c r="S59" s="436">
        <v>0</v>
      </c>
      <c r="T59" s="436">
        <v>0</v>
      </c>
      <c r="U59" s="436">
        <v>0</v>
      </c>
      <c r="V59" s="436">
        <v>0</v>
      </c>
      <c r="W59" s="436">
        <v>1437503</v>
      </c>
      <c r="X59" s="436">
        <v>143877</v>
      </c>
      <c r="Y59" s="436">
        <v>15753</v>
      </c>
      <c r="Z59" s="436">
        <v>0</v>
      </c>
      <c r="AA59" s="436">
        <v>0</v>
      </c>
      <c r="AB59" s="436">
        <v>0</v>
      </c>
      <c r="AC59" s="436">
        <v>633876</v>
      </c>
      <c r="AD59" s="436">
        <v>54151</v>
      </c>
      <c r="AE59" s="436">
        <v>771248</v>
      </c>
      <c r="AF59" s="436">
        <v>26797</v>
      </c>
      <c r="AG59" s="436">
        <v>35944</v>
      </c>
      <c r="AH59" s="436">
        <v>304832</v>
      </c>
      <c r="AI59" s="436">
        <v>81579</v>
      </c>
      <c r="AJ59" s="436">
        <v>338539</v>
      </c>
      <c r="AK59" s="436">
        <v>0</v>
      </c>
      <c r="AL59" s="436">
        <v>1185092</v>
      </c>
      <c r="AM59" s="470"/>
    </row>
    <row r="60" spans="1:39" s="155" customFormat="1" x14ac:dyDescent="0.2">
      <c r="A60" s="168">
        <v>6</v>
      </c>
      <c r="B60" s="408">
        <v>175368</v>
      </c>
      <c r="C60" s="410" t="s">
        <v>3184</v>
      </c>
      <c r="D60" s="432">
        <f t="shared" si="12"/>
        <v>4508760</v>
      </c>
      <c r="E60" s="436">
        <v>1268195</v>
      </c>
      <c r="F60" s="436">
        <v>220740</v>
      </c>
      <c r="G60" s="436">
        <v>291700</v>
      </c>
      <c r="H60" s="436">
        <v>0</v>
      </c>
      <c r="I60" s="436">
        <v>2011721</v>
      </c>
      <c r="J60" s="436">
        <v>148700</v>
      </c>
      <c r="K60" s="436">
        <v>1014000</v>
      </c>
      <c r="L60" s="470"/>
      <c r="M60" s="436">
        <v>63144</v>
      </c>
      <c r="N60" s="436">
        <v>0</v>
      </c>
      <c r="O60" s="436">
        <v>3000</v>
      </c>
      <c r="P60" s="432">
        <f t="shared" si="15"/>
        <v>4447627</v>
      </c>
      <c r="Q60" s="436">
        <v>2138777</v>
      </c>
      <c r="R60" s="436">
        <v>845863</v>
      </c>
      <c r="S60" s="436">
        <v>2111</v>
      </c>
      <c r="T60" s="436">
        <v>0</v>
      </c>
      <c r="U60" s="436">
        <v>0</v>
      </c>
      <c r="V60" s="436">
        <v>0</v>
      </c>
      <c r="W60" s="436">
        <v>0</v>
      </c>
      <c r="X60" s="436">
        <v>402319</v>
      </c>
      <c r="Y60" s="436">
        <v>0</v>
      </c>
      <c r="Z60" s="436">
        <v>1104845</v>
      </c>
      <c r="AA60" s="436">
        <v>47812</v>
      </c>
      <c r="AB60" s="436">
        <v>-94100</v>
      </c>
      <c r="AC60" s="436">
        <v>1040797</v>
      </c>
      <c r="AD60" s="436">
        <v>18261</v>
      </c>
      <c r="AE60" s="436">
        <v>1823266</v>
      </c>
      <c r="AF60" s="436">
        <v>0</v>
      </c>
      <c r="AG60" s="436">
        <v>0</v>
      </c>
      <c r="AH60" s="436">
        <v>524259</v>
      </c>
      <c r="AI60" s="436">
        <v>164071</v>
      </c>
      <c r="AJ60" s="436">
        <v>3587</v>
      </c>
      <c r="AK60" s="436">
        <v>0</v>
      </c>
      <c r="AL60" s="436">
        <v>873386</v>
      </c>
      <c r="AM60" s="470"/>
    </row>
    <row r="61" spans="1:39" s="155" customFormat="1" x14ac:dyDescent="0.2">
      <c r="A61" s="168">
        <v>7</v>
      </c>
      <c r="B61" s="408">
        <v>175439</v>
      </c>
      <c r="C61" s="410" t="s">
        <v>3185</v>
      </c>
      <c r="D61" s="432">
        <f t="shared" si="12"/>
        <v>3528234</v>
      </c>
      <c r="E61" s="436">
        <v>659914</v>
      </c>
      <c r="F61" s="436">
        <v>111414</v>
      </c>
      <c r="G61" s="436">
        <v>245189</v>
      </c>
      <c r="H61" s="436">
        <v>0</v>
      </c>
      <c r="I61" s="436">
        <v>1043000</v>
      </c>
      <c r="J61" s="436">
        <v>108500</v>
      </c>
      <c r="K61" s="436">
        <v>1146000</v>
      </c>
      <c r="L61" s="470"/>
      <c r="M61" s="436">
        <v>373287</v>
      </c>
      <c r="N61" s="436">
        <v>197533</v>
      </c>
      <c r="O61" s="436">
        <v>0</v>
      </c>
      <c r="P61" s="432">
        <f t="shared" si="15"/>
        <v>3406384</v>
      </c>
      <c r="Q61" s="436">
        <v>1389614</v>
      </c>
      <c r="R61" s="436">
        <v>729725</v>
      </c>
      <c r="S61" s="436">
        <v>0</v>
      </c>
      <c r="T61" s="436">
        <v>0</v>
      </c>
      <c r="U61" s="436">
        <v>0</v>
      </c>
      <c r="V61" s="436">
        <v>314706</v>
      </c>
      <c r="W61" s="436">
        <v>185042</v>
      </c>
      <c r="X61" s="436">
        <v>92977</v>
      </c>
      <c r="Y61" s="436">
        <v>2400</v>
      </c>
      <c r="Z61" s="436">
        <v>691920</v>
      </c>
      <c r="AA61" s="436">
        <v>0</v>
      </c>
      <c r="AB61" s="436">
        <v>0</v>
      </c>
      <c r="AC61" s="436">
        <v>818722</v>
      </c>
      <c r="AD61" s="436">
        <v>1456</v>
      </c>
      <c r="AE61" s="436">
        <v>865600</v>
      </c>
      <c r="AF61" s="436">
        <v>0</v>
      </c>
      <c r="AG61" s="436">
        <v>15910</v>
      </c>
      <c r="AH61" s="436">
        <v>255766</v>
      </c>
      <c r="AI61" s="436">
        <v>175412</v>
      </c>
      <c r="AJ61" s="436">
        <v>0</v>
      </c>
      <c r="AK61" s="436">
        <v>0</v>
      </c>
      <c r="AL61" s="436">
        <v>1252518</v>
      </c>
      <c r="AM61" s="470">
        <v>21000</v>
      </c>
    </row>
    <row r="62" spans="1:39" s="155" customFormat="1" x14ac:dyDescent="0.2">
      <c r="A62" s="168">
        <v>8</v>
      </c>
      <c r="B62" s="408">
        <v>175466</v>
      </c>
      <c r="C62" s="410" t="s">
        <v>510</v>
      </c>
      <c r="D62" s="432">
        <f t="shared" si="12"/>
        <v>2928612</v>
      </c>
      <c r="E62" s="436">
        <v>666303</v>
      </c>
      <c r="F62" s="436">
        <v>122356</v>
      </c>
      <c r="G62" s="436">
        <v>215649</v>
      </c>
      <c r="H62" s="436">
        <v>0</v>
      </c>
      <c r="I62" s="436">
        <v>1007924</v>
      </c>
      <c r="J62" s="436">
        <v>108500</v>
      </c>
      <c r="K62" s="436">
        <v>1064000</v>
      </c>
      <c r="L62" s="470"/>
      <c r="M62" s="436">
        <v>81885</v>
      </c>
      <c r="N62" s="436">
        <v>0</v>
      </c>
      <c r="O62" s="436">
        <v>0</v>
      </c>
      <c r="P62" s="432">
        <f t="shared" si="15"/>
        <v>2563764</v>
      </c>
      <c r="Q62" s="436">
        <v>1581249</v>
      </c>
      <c r="R62" s="436">
        <v>557591</v>
      </c>
      <c r="S62" s="436">
        <v>0</v>
      </c>
      <c r="T62" s="436">
        <v>0</v>
      </c>
      <c r="U62" s="436">
        <v>0</v>
      </c>
      <c r="V62" s="436">
        <v>0</v>
      </c>
      <c r="W62" s="436">
        <v>0</v>
      </c>
      <c r="X62" s="436">
        <v>124333</v>
      </c>
      <c r="Y62" s="436">
        <v>105000</v>
      </c>
      <c r="Z62" s="436">
        <v>195591</v>
      </c>
      <c r="AA62" s="436">
        <v>0</v>
      </c>
      <c r="AB62" s="436">
        <v>0</v>
      </c>
      <c r="AC62" s="436">
        <v>987812</v>
      </c>
      <c r="AD62" s="436">
        <v>54607</v>
      </c>
      <c r="AE62" s="436">
        <v>897151</v>
      </c>
      <c r="AF62" s="436">
        <v>17444</v>
      </c>
      <c r="AG62" s="436">
        <v>153349</v>
      </c>
      <c r="AH62" s="436">
        <v>271350</v>
      </c>
      <c r="AI62" s="436">
        <v>135809</v>
      </c>
      <c r="AJ62" s="436">
        <v>0</v>
      </c>
      <c r="AK62" s="436">
        <v>0</v>
      </c>
      <c r="AL62" s="436">
        <v>46242</v>
      </c>
      <c r="AM62" s="470"/>
    </row>
    <row r="63" spans="1:39" s="155" customFormat="1" x14ac:dyDescent="0.2">
      <c r="A63" s="168">
        <v>9</v>
      </c>
      <c r="B63" s="408">
        <v>175509</v>
      </c>
      <c r="C63" s="410" t="s">
        <v>3186</v>
      </c>
      <c r="D63" s="432">
        <f t="shared" si="12"/>
        <v>3981319</v>
      </c>
      <c r="E63" s="436">
        <v>611212</v>
      </c>
      <c r="F63" s="436">
        <v>131364</v>
      </c>
      <c r="G63" s="436">
        <v>246174</v>
      </c>
      <c r="H63" s="436">
        <v>0</v>
      </c>
      <c r="I63" s="436">
        <v>1716000</v>
      </c>
      <c r="J63" s="436">
        <v>108500</v>
      </c>
      <c r="K63" s="436">
        <v>1202000</v>
      </c>
      <c r="L63" s="470"/>
      <c r="M63" s="436">
        <v>97305</v>
      </c>
      <c r="N63" s="436">
        <v>246302</v>
      </c>
      <c r="O63" s="436">
        <v>0</v>
      </c>
      <c r="P63" s="432">
        <f t="shared" si="15"/>
        <v>3981839</v>
      </c>
      <c r="Q63" s="436">
        <v>1995231</v>
      </c>
      <c r="R63" s="436">
        <v>636675</v>
      </c>
      <c r="S63" s="436">
        <v>0</v>
      </c>
      <c r="T63" s="436">
        <v>0</v>
      </c>
      <c r="U63" s="436">
        <v>0</v>
      </c>
      <c r="V63" s="436">
        <v>0</v>
      </c>
      <c r="W63" s="436">
        <v>957620</v>
      </c>
      <c r="X63" s="436">
        <v>161944</v>
      </c>
      <c r="Y63" s="436">
        <v>0</v>
      </c>
      <c r="Z63" s="436">
        <v>230369</v>
      </c>
      <c r="AA63" s="436">
        <v>0</v>
      </c>
      <c r="AB63" s="436">
        <v>0</v>
      </c>
      <c r="AC63" s="436">
        <v>773742</v>
      </c>
      <c r="AD63" s="436">
        <v>20654</v>
      </c>
      <c r="AE63" s="436">
        <v>2363620</v>
      </c>
      <c r="AF63" s="436">
        <v>47000</v>
      </c>
      <c r="AG63" s="436">
        <v>143400</v>
      </c>
      <c r="AH63" s="436">
        <v>365253</v>
      </c>
      <c r="AI63" s="436">
        <v>110207</v>
      </c>
      <c r="AJ63" s="436">
        <v>0</v>
      </c>
      <c r="AK63" s="436">
        <v>0</v>
      </c>
      <c r="AL63" s="436">
        <v>157963</v>
      </c>
      <c r="AM63" s="470"/>
    </row>
    <row r="64" spans="1:39" s="155" customFormat="1" x14ac:dyDescent="0.2">
      <c r="A64" s="168">
        <v>10</v>
      </c>
      <c r="B64" s="408">
        <v>175590</v>
      </c>
      <c r="C64" s="410" t="s">
        <v>3187</v>
      </c>
      <c r="D64" s="432">
        <f t="shared" si="12"/>
        <v>4395117</v>
      </c>
      <c r="E64" s="436">
        <v>1411284</v>
      </c>
      <c r="F64" s="436">
        <v>374477</v>
      </c>
      <c r="G64" s="436">
        <v>69811</v>
      </c>
      <c r="H64" s="436">
        <v>0</v>
      </c>
      <c r="I64" s="436">
        <v>1104000</v>
      </c>
      <c r="J64" s="436">
        <v>108500</v>
      </c>
      <c r="K64" s="436">
        <v>551000</v>
      </c>
      <c r="L64" s="470"/>
      <c r="M64" s="436">
        <v>33768</v>
      </c>
      <c r="N64" s="436">
        <v>1185065</v>
      </c>
      <c r="O64" s="436">
        <v>1500</v>
      </c>
      <c r="P64" s="432">
        <f t="shared" si="15"/>
        <v>4402052</v>
      </c>
      <c r="Q64" s="436">
        <v>1134313</v>
      </c>
      <c r="R64" s="436">
        <v>948208</v>
      </c>
      <c r="S64" s="436">
        <v>10208</v>
      </c>
      <c r="T64" s="436">
        <v>0</v>
      </c>
      <c r="U64" s="436">
        <v>0</v>
      </c>
      <c r="V64" s="436">
        <v>0</v>
      </c>
      <c r="W64" s="436">
        <v>1339666</v>
      </c>
      <c r="X64" s="436">
        <v>383224</v>
      </c>
      <c r="Y64" s="436">
        <v>0</v>
      </c>
      <c r="Z64" s="436">
        <v>586723</v>
      </c>
      <c r="AA64" s="436">
        <v>0</v>
      </c>
      <c r="AB64" s="436">
        <v>-290</v>
      </c>
      <c r="AC64" s="436">
        <v>921084</v>
      </c>
      <c r="AD64" s="436">
        <v>25332</v>
      </c>
      <c r="AE64" s="436">
        <v>1593833</v>
      </c>
      <c r="AF64" s="436">
        <v>0</v>
      </c>
      <c r="AG64" s="436">
        <v>185251</v>
      </c>
      <c r="AH64" s="436">
        <v>928071</v>
      </c>
      <c r="AI64" s="436">
        <v>273562</v>
      </c>
      <c r="AJ64" s="436">
        <v>5338</v>
      </c>
      <c r="AK64" s="436">
        <v>0</v>
      </c>
      <c r="AL64" s="436">
        <v>469581</v>
      </c>
      <c r="AM64" s="470"/>
    </row>
    <row r="65" spans="1:39" s="155" customFormat="1" x14ac:dyDescent="0.2">
      <c r="A65" s="168">
        <v>11</v>
      </c>
      <c r="B65" s="408">
        <v>174780</v>
      </c>
      <c r="C65" s="410" t="s">
        <v>3188</v>
      </c>
      <c r="D65" s="432">
        <f t="shared" si="12"/>
        <v>3965327</v>
      </c>
      <c r="E65" s="436">
        <v>1504268</v>
      </c>
      <c r="F65" s="436">
        <v>594028</v>
      </c>
      <c r="G65" s="436">
        <v>66960</v>
      </c>
      <c r="H65" s="436">
        <v>0</v>
      </c>
      <c r="I65" s="436">
        <v>1338773</v>
      </c>
      <c r="J65" s="436">
        <v>108500</v>
      </c>
      <c r="K65" s="436">
        <v>543000</v>
      </c>
      <c r="L65" s="470"/>
      <c r="M65" s="436">
        <v>117267</v>
      </c>
      <c r="N65" s="436">
        <v>353519</v>
      </c>
      <c r="O65" s="436">
        <v>0</v>
      </c>
      <c r="P65" s="432">
        <f t="shared" si="15"/>
        <v>3735266</v>
      </c>
      <c r="Q65" s="436">
        <v>1857051</v>
      </c>
      <c r="R65" s="436">
        <v>784253</v>
      </c>
      <c r="S65" s="436">
        <v>37063</v>
      </c>
      <c r="T65" s="436">
        <v>0</v>
      </c>
      <c r="U65" s="436">
        <v>0</v>
      </c>
      <c r="V65" s="436">
        <v>191039</v>
      </c>
      <c r="W65" s="436">
        <v>437210</v>
      </c>
      <c r="X65" s="436">
        <v>240644</v>
      </c>
      <c r="Y65" s="436">
        <v>0</v>
      </c>
      <c r="Z65" s="436">
        <v>78289</v>
      </c>
      <c r="AA65" s="436">
        <v>110756</v>
      </c>
      <c r="AB65" s="436">
        <v>-1039</v>
      </c>
      <c r="AC65" s="436">
        <v>1153659</v>
      </c>
      <c r="AD65" s="436">
        <v>245092</v>
      </c>
      <c r="AE65" s="436">
        <v>1186368</v>
      </c>
      <c r="AF65" s="436">
        <v>0</v>
      </c>
      <c r="AG65" s="436">
        <v>2805</v>
      </c>
      <c r="AH65" s="436">
        <v>355258</v>
      </c>
      <c r="AI65" s="436">
        <v>211783</v>
      </c>
      <c r="AJ65" s="436">
        <v>0</v>
      </c>
      <c r="AK65" s="436">
        <v>0</v>
      </c>
      <c r="AL65" s="436">
        <v>580301</v>
      </c>
      <c r="AM65" s="470"/>
    </row>
    <row r="66" spans="1:39" s="155" customFormat="1" x14ac:dyDescent="0.2">
      <c r="A66" s="168">
        <v>12</v>
      </c>
      <c r="B66" s="408">
        <v>175670</v>
      </c>
      <c r="C66" s="410" t="s">
        <v>3189</v>
      </c>
      <c r="D66" s="432">
        <f t="shared" si="12"/>
        <v>10311435</v>
      </c>
      <c r="E66" s="436">
        <v>1160913</v>
      </c>
      <c r="F66" s="436">
        <v>159555</v>
      </c>
      <c r="G66" s="436">
        <v>184138</v>
      </c>
      <c r="H66" s="436">
        <v>0</v>
      </c>
      <c r="I66" s="436">
        <v>1830728</v>
      </c>
      <c r="J66" s="436">
        <v>108500</v>
      </c>
      <c r="K66" s="436">
        <v>1033000</v>
      </c>
      <c r="L66" s="470"/>
      <c r="M66" s="436">
        <v>1188222</v>
      </c>
      <c r="N66" s="436">
        <v>4990072</v>
      </c>
      <c r="O66" s="436">
        <v>0</v>
      </c>
      <c r="P66" s="432">
        <f t="shared" si="15"/>
        <v>9078554</v>
      </c>
      <c r="Q66" s="436">
        <v>2286514</v>
      </c>
      <c r="R66" s="436">
        <v>1373047</v>
      </c>
      <c r="S66" s="436">
        <v>0</v>
      </c>
      <c r="T66" s="436">
        <v>0</v>
      </c>
      <c r="U66" s="436">
        <v>0</v>
      </c>
      <c r="V66" s="436">
        <v>0</v>
      </c>
      <c r="W66" s="436">
        <v>4572476</v>
      </c>
      <c r="X66" s="436">
        <v>376683</v>
      </c>
      <c r="Y66" s="436">
        <v>0</v>
      </c>
      <c r="Z66" s="436">
        <v>469834</v>
      </c>
      <c r="AA66" s="436">
        <v>0</v>
      </c>
      <c r="AB66" s="436">
        <v>0</v>
      </c>
      <c r="AC66" s="436">
        <v>1079992</v>
      </c>
      <c r="AD66" s="436">
        <v>132765</v>
      </c>
      <c r="AE66" s="436">
        <v>1622042</v>
      </c>
      <c r="AF66" s="436">
        <v>151099</v>
      </c>
      <c r="AG66" s="436">
        <v>449641</v>
      </c>
      <c r="AH66" s="436">
        <v>499993</v>
      </c>
      <c r="AI66" s="436">
        <v>230983</v>
      </c>
      <c r="AJ66" s="436">
        <v>94524</v>
      </c>
      <c r="AK66" s="436">
        <v>0</v>
      </c>
      <c r="AL66" s="436">
        <v>4690218</v>
      </c>
      <c r="AM66" s="470">
        <v>127297</v>
      </c>
    </row>
    <row r="67" spans="1:39" s="155" customFormat="1" x14ac:dyDescent="0.2">
      <c r="A67" s="168">
        <v>13</v>
      </c>
      <c r="B67" s="408">
        <v>175732</v>
      </c>
      <c r="C67" s="410" t="s">
        <v>3190</v>
      </c>
      <c r="D67" s="432">
        <f t="shared" si="12"/>
        <v>4962313</v>
      </c>
      <c r="E67" s="436">
        <v>1072203</v>
      </c>
      <c r="F67" s="436">
        <v>122735</v>
      </c>
      <c r="G67" s="436">
        <v>255342</v>
      </c>
      <c r="H67" s="436">
        <v>0</v>
      </c>
      <c r="I67" s="436">
        <v>1364000</v>
      </c>
      <c r="J67" s="436">
        <v>148700</v>
      </c>
      <c r="K67" s="436">
        <v>929000</v>
      </c>
      <c r="L67" s="470"/>
      <c r="M67" s="436">
        <v>575412</v>
      </c>
      <c r="N67" s="436">
        <v>872998</v>
      </c>
      <c r="O67" s="436">
        <v>0</v>
      </c>
      <c r="P67" s="432">
        <f t="shared" si="15"/>
        <v>4946583</v>
      </c>
      <c r="Q67" s="436">
        <v>1712261</v>
      </c>
      <c r="R67" s="436">
        <v>1062513</v>
      </c>
      <c r="S67" s="436">
        <v>71950</v>
      </c>
      <c r="T67" s="436">
        <v>0</v>
      </c>
      <c r="U67" s="436">
        <v>11000</v>
      </c>
      <c r="V67" s="436">
        <v>0</v>
      </c>
      <c r="W67" s="436">
        <v>1142510</v>
      </c>
      <c r="X67" s="436">
        <v>265839</v>
      </c>
      <c r="Y67" s="436">
        <v>0</v>
      </c>
      <c r="Z67" s="436">
        <v>540564</v>
      </c>
      <c r="AA67" s="436">
        <v>139946</v>
      </c>
      <c r="AB67" s="436">
        <v>0</v>
      </c>
      <c r="AC67" s="436">
        <v>1451184</v>
      </c>
      <c r="AD67" s="436">
        <v>15737</v>
      </c>
      <c r="AE67" s="436">
        <v>2016455</v>
      </c>
      <c r="AF67" s="436">
        <v>0</v>
      </c>
      <c r="AG67" s="436">
        <v>26106</v>
      </c>
      <c r="AH67" s="436">
        <v>379346</v>
      </c>
      <c r="AI67" s="436">
        <v>169797</v>
      </c>
      <c r="AJ67" s="436">
        <v>69520</v>
      </c>
      <c r="AK67" s="436">
        <v>0</v>
      </c>
      <c r="AL67" s="436">
        <v>818438</v>
      </c>
      <c r="AM67" s="470"/>
    </row>
    <row r="68" spans="1:39" s="155" customFormat="1" x14ac:dyDescent="0.2">
      <c r="A68" s="168">
        <v>14</v>
      </c>
      <c r="B68" s="408">
        <v>175787</v>
      </c>
      <c r="C68" s="410" t="s">
        <v>3191</v>
      </c>
      <c r="D68" s="432">
        <f t="shared" si="12"/>
        <v>3471777</v>
      </c>
      <c r="E68" s="436">
        <v>665117</v>
      </c>
      <c r="F68" s="436">
        <v>65957</v>
      </c>
      <c r="G68" s="436">
        <v>229435</v>
      </c>
      <c r="H68" s="436">
        <v>0</v>
      </c>
      <c r="I68" s="436">
        <v>1191000</v>
      </c>
      <c r="J68" s="436">
        <v>148700</v>
      </c>
      <c r="K68" s="436">
        <v>1101000</v>
      </c>
      <c r="L68" s="470"/>
      <c r="M68" s="436">
        <v>130710</v>
      </c>
      <c r="N68" s="436">
        <v>232750</v>
      </c>
      <c r="O68" s="436">
        <v>2500</v>
      </c>
      <c r="P68" s="432">
        <f t="shared" si="15"/>
        <v>2871085</v>
      </c>
      <c r="Q68" s="436">
        <v>1495975</v>
      </c>
      <c r="R68" s="436">
        <v>731951</v>
      </c>
      <c r="S68" s="436">
        <v>0</v>
      </c>
      <c r="T68" s="436">
        <v>0</v>
      </c>
      <c r="U68" s="436">
        <v>0</v>
      </c>
      <c r="V68" s="436">
        <v>0</v>
      </c>
      <c r="W68" s="436">
        <v>319000</v>
      </c>
      <c r="X68" s="436">
        <v>128660</v>
      </c>
      <c r="Y68" s="436">
        <v>0</v>
      </c>
      <c r="Z68" s="436">
        <v>195499</v>
      </c>
      <c r="AA68" s="436">
        <v>0</v>
      </c>
      <c r="AB68" s="436">
        <v>0</v>
      </c>
      <c r="AC68" s="436">
        <v>684732</v>
      </c>
      <c r="AD68" s="436">
        <v>20230</v>
      </c>
      <c r="AE68" s="436">
        <v>947500</v>
      </c>
      <c r="AF68" s="436">
        <v>21124</v>
      </c>
      <c r="AG68" s="436">
        <v>0</v>
      </c>
      <c r="AH68" s="436">
        <v>395859</v>
      </c>
      <c r="AI68" s="436">
        <v>105481</v>
      </c>
      <c r="AJ68" s="436">
        <v>335409</v>
      </c>
      <c r="AK68" s="436">
        <v>0</v>
      </c>
      <c r="AL68" s="436">
        <v>360750</v>
      </c>
      <c r="AM68" s="470"/>
    </row>
    <row r="69" spans="1:39" s="155" customFormat="1" x14ac:dyDescent="0.2">
      <c r="A69" s="168">
        <v>15</v>
      </c>
      <c r="B69" s="408">
        <v>175885</v>
      </c>
      <c r="C69" s="410" t="s">
        <v>3192</v>
      </c>
      <c r="D69" s="432">
        <f t="shared" si="12"/>
        <v>9651075</v>
      </c>
      <c r="E69" s="436">
        <v>2146595</v>
      </c>
      <c r="F69" s="436">
        <v>575084</v>
      </c>
      <c r="G69" s="436">
        <v>307392</v>
      </c>
      <c r="H69" s="436">
        <v>0</v>
      </c>
      <c r="I69" s="436">
        <v>2280672</v>
      </c>
      <c r="J69" s="436">
        <v>148700</v>
      </c>
      <c r="K69" s="436">
        <v>816000</v>
      </c>
      <c r="L69" s="470"/>
      <c r="M69" s="436">
        <v>2581736</v>
      </c>
      <c r="N69" s="436">
        <v>1637622</v>
      </c>
      <c r="O69" s="436">
        <v>39750</v>
      </c>
      <c r="P69" s="432">
        <f t="shared" si="15"/>
        <v>8353006</v>
      </c>
      <c r="Q69" s="436">
        <v>2313807</v>
      </c>
      <c r="R69" s="436">
        <v>1908775</v>
      </c>
      <c r="S69" s="436">
        <v>0</v>
      </c>
      <c r="T69" s="436">
        <v>0</v>
      </c>
      <c r="U69" s="436">
        <v>0</v>
      </c>
      <c r="V69" s="436">
        <v>0</v>
      </c>
      <c r="W69" s="436">
        <v>94612</v>
      </c>
      <c r="X69" s="436">
        <v>533701</v>
      </c>
      <c r="Y69" s="436">
        <v>2982</v>
      </c>
      <c r="Z69" s="436">
        <v>3499129</v>
      </c>
      <c r="AA69" s="436">
        <v>0</v>
      </c>
      <c r="AB69" s="436">
        <v>0</v>
      </c>
      <c r="AC69" s="436">
        <v>1130401</v>
      </c>
      <c r="AD69" s="436">
        <v>18338</v>
      </c>
      <c r="AE69" s="436">
        <v>1530922</v>
      </c>
      <c r="AF69" s="436">
        <v>30389</v>
      </c>
      <c r="AG69" s="436">
        <v>110523</v>
      </c>
      <c r="AH69" s="436">
        <v>897588</v>
      </c>
      <c r="AI69" s="436">
        <v>642417</v>
      </c>
      <c r="AJ69" s="436">
        <v>233059</v>
      </c>
      <c r="AK69" s="436">
        <v>0</v>
      </c>
      <c r="AL69" s="436">
        <v>3675869</v>
      </c>
      <c r="AM69" s="470">
        <v>83500</v>
      </c>
    </row>
    <row r="70" spans="1:39" s="155" customFormat="1" x14ac:dyDescent="0.2">
      <c r="A70" s="168">
        <v>16</v>
      </c>
      <c r="B70" s="408">
        <v>175938</v>
      </c>
      <c r="C70" s="410" t="s">
        <v>440</v>
      </c>
      <c r="D70" s="432">
        <f t="shared" si="12"/>
        <v>10425907</v>
      </c>
      <c r="E70" s="436">
        <v>1771816</v>
      </c>
      <c r="F70" s="436">
        <v>581428</v>
      </c>
      <c r="G70" s="436">
        <v>194120</v>
      </c>
      <c r="H70" s="436">
        <v>0</v>
      </c>
      <c r="I70" s="436">
        <v>1968000</v>
      </c>
      <c r="J70" s="436">
        <v>148700</v>
      </c>
      <c r="K70" s="436">
        <v>707000</v>
      </c>
      <c r="L70" s="470"/>
      <c r="M70" s="436">
        <v>1497565</v>
      </c>
      <c r="N70" s="436">
        <v>4332826</v>
      </c>
      <c r="O70" s="436">
        <v>0</v>
      </c>
      <c r="P70" s="432">
        <f t="shared" si="15"/>
        <v>8153418</v>
      </c>
      <c r="Q70" s="436">
        <v>2419303</v>
      </c>
      <c r="R70" s="436">
        <v>824899</v>
      </c>
      <c r="S70" s="436">
        <v>0</v>
      </c>
      <c r="T70" s="436">
        <v>0</v>
      </c>
      <c r="U70" s="436">
        <v>30000</v>
      </c>
      <c r="V70" s="436">
        <v>260151</v>
      </c>
      <c r="W70" s="436">
        <v>3168234</v>
      </c>
      <c r="X70" s="436">
        <v>342859</v>
      </c>
      <c r="Y70" s="436">
        <v>26526</v>
      </c>
      <c r="Z70" s="436">
        <v>1081446</v>
      </c>
      <c r="AA70" s="436">
        <v>0</v>
      </c>
      <c r="AB70" s="436">
        <v>0</v>
      </c>
      <c r="AC70" s="436">
        <v>1230119</v>
      </c>
      <c r="AD70" s="436">
        <v>31083</v>
      </c>
      <c r="AE70" s="436">
        <v>2364327</v>
      </c>
      <c r="AF70" s="436">
        <v>30000</v>
      </c>
      <c r="AG70" s="436">
        <v>83287</v>
      </c>
      <c r="AH70" s="436">
        <v>454709</v>
      </c>
      <c r="AI70" s="436">
        <v>2540142</v>
      </c>
      <c r="AJ70" s="436">
        <v>86800</v>
      </c>
      <c r="AK70" s="436">
        <v>0</v>
      </c>
      <c r="AL70" s="436">
        <v>1332951</v>
      </c>
      <c r="AM70" s="470"/>
    </row>
    <row r="71" spans="1:39" s="155" customFormat="1" x14ac:dyDescent="0.2">
      <c r="A71" s="168">
        <v>17</v>
      </c>
      <c r="B71" s="408">
        <v>175983</v>
      </c>
      <c r="C71" s="410" t="s">
        <v>3193</v>
      </c>
      <c r="D71" s="432">
        <f t="shared" si="12"/>
        <v>9633132</v>
      </c>
      <c r="E71" s="436">
        <v>1577957</v>
      </c>
      <c r="F71" s="436">
        <v>474652</v>
      </c>
      <c r="G71" s="436">
        <v>273592</v>
      </c>
      <c r="H71" s="436">
        <v>0</v>
      </c>
      <c r="I71" s="436">
        <v>4348000</v>
      </c>
      <c r="J71" s="436">
        <v>148700</v>
      </c>
      <c r="K71" s="436">
        <v>994000</v>
      </c>
      <c r="L71" s="470"/>
      <c r="M71" s="436">
        <v>1219880</v>
      </c>
      <c r="N71" s="436">
        <v>1322595</v>
      </c>
      <c r="O71" s="436">
        <v>22000</v>
      </c>
      <c r="P71" s="432">
        <f t="shared" si="15"/>
        <v>9357708</v>
      </c>
      <c r="Q71" s="436">
        <v>4661719</v>
      </c>
      <c r="R71" s="436">
        <v>1540626</v>
      </c>
      <c r="S71" s="436">
        <v>0</v>
      </c>
      <c r="T71" s="436">
        <v>0</v>
      </c>
      <c r="U71" s="436">
        <v>0</v>
      </c>
      <c r="V71" s="436">
        <v>19500</v>
      </c>
      <c r="W71" s="436">
        <v>1455101</v>
      </c>
      <c r="X71" s="436">
        <v>324528</v>
      </c>
      <c r="Y71" s="436">
        <v>7450</v>
      </c>
      <c r="Z71" s="436">
        <v>1356369</v>
      </c>
      <c r="AA71" s="436">
        <v>0</v>
      </c>
      <c r="AB71" s="436">
        <v>-7585</v>
      </c>
      <c r="AC71" s="436">
        <v>2113275</v>
      </c>
      <c r="AD71" s="436">
        <v>63780</v>
      </c>
      <c r="AE71" s="436">
        <v>3598449</v>
      </c>
      <c r="AF71" s="436">
        <v>11858</v>
      </c>
      <c r="AG71" s="436">
        <v>149892</v>
      </c>
      <c r="AH71" s="436">
        <v>949544</v>
      </c>
      <c r="AI71" s="436">
        <v>334280</v>
      </c>
      <c r="AJ71" s="436">
        <v>53135</v>
      </c>
      <c r="AK71" s="436">
        <v>0</v>
      </c>
      <c r="AL71" s="436">
        <v>2083495</v>
      </c>
      <c r="AM71" s="470"/>
    </row>
    <row r="72" spans="1:39" s="155" customFormat="1" x14ac:dyDescent="0.2">
      <c r="A72" s="168">
        <v>18</v>
      </c>
      <c r="B72" s="408">
        <v>176150</v>
      </c>
      <c r="C72" s="410" t="s">
        <v>3194</v>
      </c>
      <c r="D72" s="432">
        <f t="shared" si="12"/>
        <v>9693872</v>
      </c>
      <c r="E72" s="436">
        <v>1007930</v>
      </c>
      <c r="F72" s="436">
        <v>101862</v>
      </c>
      <c r="G72" s="436">
        <v>211710</v>
      </c>
      <c r="H72" s="436">
        <v>0</v>
      </c>
      <c r="I72" s="436">
        <v>1149159</v>
      </c>
      <c r="J72" s="436">
        <v>148700</v>
      </c>
      <c r="K72" s="436">
        <v>1119000</v>
      </c>
      <c r="L72" s="470"/>
      <c r="M72" s="436">
        <v>3539363</v>
      </c>
      <c r="N72" s="436">
        <v>2706810</v>
      </c>
      <c r="O72" s="436">
        <v>22910</v>
      </c>
      <c r="P72" s="432">
        <f t="shared" si="15"/>
        <v>10114729</v>
      </c>
      <c r="Q72" s="436">
        <v>1576953</v>
      </c>
      <c r="R72" s="436">
        <v>1036176</v>
      </c>
      <c r="S72" s="436">
        <v>10000</v>
      </c>
      <c r="T72" s="436">
        <v>0</v>
      </c>
      <c r="U72" s="436">
        <v>0</v>
      </c>
      <c r="V72" s="436">
        <v>4510</v>
      </c>
      <c r="W72" s="436">
        <v>3798499</v>
      </c>
      <c r="X72" s="436">
        <v>308530</v>
      </c>
      <c r="Y72" s="436">
        <v>95894</v>
      </c>
      <c r="Z72" s="436">
        <v>2396176</v>
      </c>
      <c r="AA72" s="436">
        <v>892501</v>
      </c>
      <c r="AB72" s="436">
        <v>-4510</v>
      </c>
      <c r="AC72" s="436">
        <v>1062643</v>
      </c>
      <c r="AD72" s="436">
        <v>32124</v>
      </c>
      <c r="AE72" s="436">
        <v>4096483</v>
      </c>
      <c r="AF72" s="436">
        <v>0</v>
      </c>
      <c r="AG72" s="436">
        <v>36536</v>
      </c>
      <c r="AH72" s="436">
        <v>665518</v>
      </c>
      <c r="AI72" s="436">
        <v>176734</v>
      </c>
      <c r="AJ72" s="436">
        <v>2262171</v>
      </c>
      <c r="AK72" s="436">
        <v>0</v>
      </c>
      <c r="AL72" s="436">
        <v>1766460</v>
      </c>
      <c r="AM72" s="470">
        <v>16060</v>
      </c>
    </row>
    <row r="73" spans="1:39" s="155" customFormat="1" x14ac:dyDescent="0.2">
      <c r="A73" s="168">
        <v>19</v>
      </c>
      <c r="B73" s="408">
        <v>176212</v>
      </c>
      <c r="C73" s="410" t="s">
        <v>3195</v>
      </c>
      <c r="D73" s="432">
        <f t="shared" si="12"/>
        <v>6611131</v>
      </c>
      <c r="E73" s="436">
        <v>1739643</v>
      </c>
      <c r="F73" s="436">
        <v>303544</v>
      </c>
      <c r="G73" s="436">
        <v>296758</v>
      </c>
      <c r="H73" s="436">
        <v>0</v>
      </c>
      <c r="I73" s="436">
        <v>2199452</v>
      </c>
      <c r="J73" s="436">
        <v>108500</v>
      </c>
      <c r="K73" s="436">
        <v>623000</v>
      </c>
      <c r="L73" s="470"/>
      <c r="M73" s="436">
        <v>1484611</v>
      </c>
      <c r="N73" s="436">
        <v>449125</v>
      </c>
      <c r="O73" s="436">
        <v>6800</v>
      </c>
      <c r="P73" s="432">
        <f t="shared" si="15"/>
        <v>6057677</v>
      </c>
      <c r="Q73" s="436">
        <v>2898713</v>
      </c>
      <c r="R73" s="436">
        <v>1007169</v>
      </c>
      <c r="S73" s="436">
        <v>42418</v>
      </c>
      <c r="T73" s="436">
        <v>0</v>
      </c>
      <c r="U73" s="436">
        <v>31000</v>
      </c>
      <c r="V73" s="436">
        <v>967</v>
      </c>
      <c r="W73" s="436">
        <v>189201</v>
      </c>
      <c r="X73" s="436">
        <v>368539</v>
      </c>
      <c r="Y73" s="436">
        <v>8000</v>
      </c>
      <c r="Z73" s="436">
        <v>1463248</v>
      </c>
      <c r="AA73" s="436">
        <v>61000</v>
      </c>
      <c r="AB73" s="436">
        <v>-12578</v>
      </c>
      <c r="AC73" s="436">
        <v>1349631</v>
      </c>
      <c r="AD73" s="436">
        <v>247820</v>
      </c>
      <c r="AE73" s="436">
        <v>1860901</v>
      </c>
      <c r="AF73" s="436">
        <v>0</v>
      </c>
      <c r="AG73" s="436">
        <v>130255</v>
      </c>
      <c r="AH73" s="436">
        <v>659146</v>
      </c>
      <c r="AI73" s="436">
        <v>273706</v>
      </c>
      <c r="AJ73" s="436">
        <v>51837</v>
      </c>
      <c r="AK73" s="436">
        <v>0</v>
      </c>
      <c r="AL73" s="436">
        <v>1484381</v>
      </c>
      <c r="AM73" s="470"/>
    </row>
    <row r="74" spans="1:39" s="155" customFormat="1" x14ac:dyDescent="0.2">
      <c r="A74" s="168">
        <v>20</v>
      </c>
      <c r="B74" s="408">
        <v>174824</v>
      </c>
      <c r="C74" s="410" t="s">
        <v>3196</v>
      </c>
      <c r="D74" s="432">
        <f t="shared" si="12"/>
        <v>6706878</v>
      </c>
      <c r="E74" s="436">
        <v>3683897</v>
      </c>
      <c r="F74" s="436">
        <v>1326244</v>
      </c>
      <c r="G74" s="436">
        <v>134019</v>
      </c>
      <c r="H74" s="436">
        <v>0</v>
      </c>
      <c r="I74" s="436">
        <v>1250269</v>
      </c>
      <c r="J74" s="436">
        <v>108500</v>
      </c>
      <c r="K74" s="436">
        <v>255000</v>
      </c>
      <c r="L74" s="470"/>
      <c r="M74" s="436">
        <v>1200072</v>
      </c>
      <c r="N74" s="436">
        <v>207640</v>
      </c>
      <c r="O74" s="436">
        <v>1500</v>
      </c>
      <c r="P74" s="432">
        <f t="shared" si="15"/>
        <v>6120405</v>
      </c>
      <c r="Q74" s="436">
        <v>1631725</v>
      </c>
      <c r="R74" s="436">
        <v>1292828</v>
      </c>
      <c r="S74" s="436">
        <v>6692</v>
      </c>
      <c r="T74" s="436">
        <v>0</v>
      </c>
      <c r="U74" s="436">
        <v>0</v>
      </c>
      <c r="V74" s="436">
        <v>0</v>
      </c>
      <c r="W74" s="436">
        <v>25964</v>
      </c>
      <c r="X74" s="436">
        <v>260016</v>
      </c>
      <c r="Y74" s="436">
        <v>100900</v>
      </c>
      <c r="Z74" s="436">
        <v>2489705</v>
      </c>
      <c r="AA74" s="436">
        <v>312575</v>
      </c>
      <c r="AB74" s="436">
        <v>0</v>
      </c>
      <c r="AC74" s="436">
        <v>1431838</v>
      </c>
      <c r="AD74" s="436">
        <v>0</v>
      </c>
      <c r="AE74" s="436">
        <v>1015318</v>
      </c>
      <c r="AF74" s="436">
        <v>0</v>
      </c>
      <c r="AG74" s="436">
        <v>170383</v>
      </c>
      <c r="AH74" s="436">
        <v>362130</v>
      </c>
      <c r="AI74" s="436">
        <v>780738</v>
      </c>
      <c r="AJ74" s="436">
        <v>59013</v>
      </c>
      <c r="AK74" s="436">
        <v>0</v>
      </c>
      <c r="AL74" s="436">
        <v>2244371</v>
      </c>
      <c r="AM74" s="470">
        <v>56614</v>
      </c>
    </row>
    <row r="75" spans="1:39" s="155" customFormat="1" x14ac:dyDescent="0.2">
      <c r="A75" s="168">
        <v>21</v>
      </c>
      <c r="B75" s="408">
        <v>178938</v>
      </c>
      <c r="C75" s="410" t="s">
        <v>3197</v>
      </c>
      <c r="D75" s="432">
        <f t="shared" si="12"/>
        <v>3684361</v>
      </c>
      <c r="E75" s="436">
        <v>1096757</v>
      </c>
      <c r="F75" s="436">
        <v>188409</v>
      </c>
      <c r="G75" s="436">
        <v>176261</v>
      </c>
      <c r="H75" s="436">
        <v>0</v>
      </c>
      <c r="I75" s="436">
        <v>1049000</v>
      </c>
      <c r="J75" s="436">
        <v>108500</v>
      </c>
      <c r="K75" s="436">
        <v>948000</v>
      </c>
      <c r="L75" s="470"/>
      <c r="M75" s="436">
        <v>482104</v>
      </c>
      <c r="N75" s="436">
        <v>0</v>
      </c>
      <c r="O75" s="436">
        <v>0</v>
      </c>
      <c r="P75" s="432">
        <f t="shared" si="15"/>
        <v>3228832</v>
      </c>
      <c r="Q75" s="436">
        <v>1372223</v>
      </c>
      <c r="R75" s="436">
        <v>825946</v>
      </c>
      <c r="S75" s="436">
        <v>0</v>
      </c>
      <c r="T75" s="436">
        <v>0</v>
      </c>
      <c r="U75" s="436">
        <v>0</v>
      </c>
      <c r="V75" s="436">
        <v>0</v>
      </c>
      <c r="W75" s="436">
        <v>0</v>
      </c>
      <c r="X75" s="436">
        <v>254892</v>
      </c>
      <c r="Y75" s="436">
        <v>22000</v>
      </c>
      <c r="Z75" s="436">
        <v>755774</v>
      </c>
      <c r="AA75" s="436">
        <v>0</v>
      </c>
      <c r="AB75" s="436">
        <v>-2003</v>
      </c>
      <c r="AC75" s="436">
        <v>884480</v>
      </c>
      <c r="AD75" s="436">
        <v>56539</v>
      </c>
      <c r="AE75" s="436">
        <v>1311855</v>
      </c>
      <c r="AF75" s="436">
        <v>25071</v>
      </c>
      <c r="AG75" s="436">
        <v>56680</v>
      </c>
      <c r="AH75" s="436">
        <v>249892</v>
      </c>
      <c r="AI75" s="436">
        <v>36634</v>
      </c>
      <c r="AJ75" s="436">
        <v>198354</v>
      </c>
      <c r="AK75" s="436">
        <v>0</v>
      </c>
      <c r="AL75" s="436">
        <v>355151</v>
      </c>
      <c r="AM75" s="470">
        <v>54176</v>
      </c>
    </row>
    <row r="76" spans="1:39" s="155" customFormat="1" x14ac:dyDescent="0.2">
      <c r="A76" s="168">
        <v>22</v>
      </c>
      <c r="B76" s="408">
        <v>176301</v>
      </c>
      <c r="C76" s="410" t="s">
        <v>3198</v>
      </c>
      <c r="D76" s="432">
        <f t="shared" si="12"/>
        <v>10371329</v>
      </c>
      <c r="E76" s="436">
        <v>2394296</v>
      </c>
      <c r="F76" s="436">
        <v>540214</v>
      </c>
      <c r="G76" s="436">
        <v>558888</v>
      </c>
      <c r="H76" s="436">
        <v>0</v>
      </c>
      <c r="I76" s="436">
        <v>3320937</v>
      </c>
      <c r="J76" s="436">
        <v>148700</v>
      </c>
      <c r="K76" s="436">
        <v>990000</v>
      </c>
      <c r="L76" s="470"/>
      <c r="M76" s="436">
        <v>3513037</v>
      </c>
      <c r="N76" s="436">
        <v>0</v>
      </c>
      <c r="O76" s="436">
        <v>4359</v>
      </c>
      <c r="P76" s="432">
        <f t="shared" si="15"/>
        <v>10065299</v>
      </c>
      <c r="Q76" s="436">
        <v>3801853</v>
      </c>
      <c r="R76" s="436">
        <v>1483986</v>
      </c>
      <c r="S76" s="436">
        <v>0</v>
      </c>
      <c r="T76" s="436">
        <v>0</v>
      </c>
      <c r="U76" s="436">
        <v>0</v>
      </c>
      <c r="V76" s="436">
        <v>0</v>
      </c>
      <c r="W76" s="436">
        <v>0</v>
      </c>
      <c r="X76" s="436">
        <v>529908</v>
      </c>
      <c r="Y76" s="436">
        <v>2498</v>
      </c>
      <c r="Z76" s="436">
        <v>4248650</v>
      </c>
      <c r="AA76" s="436">
        <v>0</v>
      </c>
      <c r="AB76" s="436">
        <v>-1596</v>
      </c>
      <c r="AC76" s="436">
        <v>1703338</v>
      </c>
      <c r="AD76" s="436">
        <v>158753</v>
      </c>
      <c r="AE76" s="436">
        <v>2670875</v>
      </c>
      <c r="AF76" s="436">
        <v>23558</v>
      </c>
      <c r="AG76" s="436">
        <v>92224</v>
      </c>
      <c r="AH76" s="436">
        <v>859100</v>
      </c>
      <c r="AI76" s="436">
        <v>87322</v>
      </c>
      <c r="AJ76" s="436">
        <v>644847</v>
      </c>
      <c r="AK76" s="436">
        <v>0</v>
      </c>
      <c r="AL76" s="436">
        <v>3825282</v>
      </c>
      <c r="AM76" s="470"/>
    </row>
    <row r="77" spans="1:39" s="155" customFormat="1" x14ac:dyDescent="0.2">
      <c r="A77" s="168">
        <v>23</v>
      </c>
      <c r="B77" s="408">
        <v>176338</v>
      </c>
      <c r="C77" s="410" t="s">
        <v>3199</v>
      </c>
      <c r="D77" s="432">
        <f t="shared" si="12"/>
        <v>4366681</v>
      </c>
      <c r="E77" s="436">
        <v>790914</v>
      </c>
      <c r="F77" s="436">
        <v>117722</v>
      </c>
      <c r="G77" s="436">
        <v>224511</v>
      </c>
      <c r="H77" s="436">
        <v>0</v>
      </c>
      <c r="I77" s="436">
        <v>1563954</v>
      </c>
      <c r="J77" s="436">
        <v>128500</v>
      </c>
      <c r="K77" s="436">
        <v>1142000</v>
      </c>
      <c r="L77" s="470"/>
      <c r="M77" s="436">
        <v>320107</v>
      </c>
      <c r="N77" s="436">
        <v>421206</v>
      </c>
      <c r="O77" s="436">
        <v>0</v>
      </c>
      <c r="P77" s="432">
        <f t="shared" si="15"/>
        <v>4607543</v>
      </c>
      <c r="Q77" s="436">
        <v>1830960</v>
      </c>
      <c r="R77" s="436">
        <v>829306</v>
      </c>
      <c r="S77" s="436">
        <v>0</v>
      </c>
      <c r="T77" s="436">
        <v>0</v>
      </c>
      <c r="U77" s="436">
        <v>33710</v>
      </c>
      <c r="V77" s="436">
        <v>0</v>
      </c>
      <c r="W77" s="436">
        <v>452375</v>
      </c>
      <c r="X77" s="436">
        <v>218204</v>
      </c>
      <c r="Y77" s="436">
        <v>21428</v>
      </c>
      <c r="Z77" s="436">
        <v>1221560</v>
      </c>
      <c r="AA77" s="436">
        <v>0</v>
      </c>
      <c r="AB77" s="436">
        <v>0</v>
      </c>
      <c r="AC77" s="436">
        <v>669465</v>
      </c>
      <c r="AD77" s="436">
        <v>39836</v>
      </c>
      <c r="AE77" s="436">
        <v>1289909</v>
      </c>
      <c r="AF77" s="436">
        <v>0</v>
      </c>
      <c r="AG77" s="436">
        <v>57644</v>
      </c>
      <c r="AH77" s="436">
        <v>447969</v>
      </c>
      <c r="AI77" s="436">
        <v>220998</v>
      </c>
      <c r="AJ77" s="436">
        <v>37276</v>
      </c>
      <c r="AK77" s="436">
        <v>0</v>
      </c>
      <c r="AL77" s="436">
        <v>1562483</v>
      </c>
      <c r="AM77" s="470">
        <v>281963</v>
      </c>
    </row>
    <row r="78" spans="1:39" s="155" customFormat="1" x14ac:dyDescent="0.2">
      <c r="A78" s="168">
        <v>24</v>
      </c>
      <c r="B78" s="408">
        <v>176445</v>
      </c>
      <c r="C78" s="410" t="s">
        <v>3200</v>
      </c>
      <c r="D78" s="432">
        <f t="shared" si="12"/>
        <v>8691890</v>
      </c>
      <c r="E78" s="436">
        <v>1100065</v>
      </c>
      <c r="F78" s="436">
        <v>256641</v>
      </c>
      <c r="G78" s="436">
        <v>318526</v>
      </c>
      <c r="H78" s="436">
        <v>0</v>
      </c>
      <c r="I78" s="436">
        <v>3523507</v>
      </c>
      <c r="J78" s="436">
        <v>128500</v>
      </c>
      <c r="K78" s="436">
        <v>2120110</v>
      </c>
      <c r="L78" s="470"/>
      <c r="M78" s="436">
        <v>233303</v>
      </c>
      <c r="N78" s="436">
        <v>1586405</v>
      </c>
      <c r="O78" s="436">
        <v>0</v>
      </c>
      <c r="P78" s="432">
        <f t="shared" si="15"/>
        <v>6826693</v>
      </c>
      <c r="Q78" s="436">
        <v>4160653</v>
      </c>
      <c r="R78" s="436">
        <v>1498268</v>
      </c>
      <c r="S78" s="436">
        <v>18502</v>
      </c>
      <c r="T78" s="436">
        <v>0</v>
      </c>
      <c r="U78" s="436">
        <v>0</v>
      </c>
      <c r="V78" s="436">
        <v>0</v>
      </c>
      <c r="W78" s="436">
        <v>0</v>
      </c>
      <c r="X78" s="436">
        <v>337103</v>
      </c>
      <c r="Y78" s="436">
        <v>13800</v>
      </c>
      <c r="Z78" s="436">
        <v>785699</v>
      </c>
      <c r="AA78" s="436">
        <v>16875</v>
      </c>
      <c r="AB78" s="436">
        <v>-4207</v>
      </c>
      <c r="AC78" s="436">
        <v>1711127</v>
      </c>
      <c r="AD78" s="436">
        <v>28890</v>
      </c>
      <c r="AE78" s="436">
        <v>2953247</v>
      </c>
      <c r="AF78" s="436">
        <v>49193</v>
      </c>
      <c r="AG78" s="436">
        <v>63363</v>
      </c>
      <c r="AH78" s="436">
        <v>695421</v>
      </c>
      <c r="AI78" s="436">
        <v>677757</v>
      </c>
      <c r="AJ78" s="436">
        <v>332375</v>
      </c>
      <c r="AK78" s="436">
        <v>0</v>
      </c>
      <c r="AL78" s="436">
        <v>276373</v>
      </c>
      <c r="AM78" s="470">
        <v>38947</v>
      </c>
    </row>
    <row r="79" spans="1:39" s="155" customFormat="1" x14ac:dyDescent="0.2">
      <c r="A79" s="168">
        <v>25</v>
      </c>
      <c r="B79" s="408">
        <v>176506</v>
      </c>
      <c r="C79" s="410" t="s">
        <v>3201</v>
      </c>
      <c r="D79" s="432">
        <f t="shared" si="12"/>
        <v>4994836</v>
      </c>
      <c r="E79" s="436">
        <v>1179495</v>
      </c>
      <c r="F79" s="436">
        <v>390740</v>
      </c>
      <c r="G79" s="436">
        <v>213985</v>
      </c>
      <c r="H79" s="436">
        <v>0</v>
      </c>
      <c r="I79" s="436">
        <v>2031703</v>
      </c>
      <c r="J79" s="436">
        <v>108500</v>
      </c>
      <c r="K79" s="436">
        <v>821000</v>
      </c>
      <c r="L79" s="470"/>
      <c r="M79" s="436">
        <v>277985</v>
      </c>
      <c r="N79" s="436">
        <v>565953</v>
      </c>
      <c r="O79" s="436">
        <v>10200</v>
      </c>
      <c r="P79" s="432">
        <f t="shared" si="15"/>
        <v>4681480</v>
      </c>
      <c r="Q79" s="436">
        <v>2291241</v>
      </c>
      <c r="R79" s="436">
        <v>1236472</v>
      </c>
      <c r="S79" s="436">
        <v>0</v>
      </c>
      <c r="T79" s="436">
        <v>0</v>
      </c>
      <c r="U79" s="436">
        <v>0</v>
      </c>
      <c r="V79" s="436">
        <v>844</v>
      </c>
      <c r="W79" s="436">
        <v>819253</v>
      </c>
      <c r="X79" s="436">
        <v>295380</v>
      </c>
      <c r="Y79" s="436">
        <v>9200</v>
      </c>
      <c r="Z79" s="436">
        <v>31166</v>
      </c>
      <c r="AA79" s="436">
        <v>0</v>
      </c>
      <c r="AB79" s="436">
        <v>-2076</v>
      </c>
      <c r="AC79" s="436">
        <v>896547</v>
      </c>
      <c r="AD79" s="436">
        <v>84422</v>
      </c>
      <c r="AE79" s="436">
        <v>1656997</v>
      </c>
      <c r="AF79" s="436">
        <v>0</v>
      </c>
      <c r="AG79" s="436">
        <v>98208</v>
      </c>
      <c r="AH79" s="436">
        <v>1111048</v>
      </c>
      <c r="AI79" s="436">
        <v>117997</v>
      </c>
      <c r="AJ79" s="436">
        <v>133890</v>
      </c>
      <c r="AK79" s="436">
        <v>0</v>
      </c>
      <c r="AL79" s="436">
        <v>555148</v>
      </c>
      <c r="AM79" s="470">
        <v>27223</v>
      </c>
    </row>
    <row r="80" spans="1:39" s="155" customFormat="1" x14ac:dyDescent="0.2">
      <c r="A80" s="168">
        <v>26</v>
      </c>
      <c r="B80" s="408">
        <v>176551</v>
      </c>
      <c r="C80" s="410" t="s">
        <v>3202</v>
      </c>
      <c r="D80" s="432">
        <f t="shared" si="12"/>
        <v>3092187</v>
      </c>
      <c r="E80" s="436">
        <v>506945</v>
      </c>
      <c r="F80" s="436">
        <v>61650</v>
      </c>
      <c r="G80" s="436">
        <v>257006</v>
      </c>
      <c r="H80" s="436">
        <v>0</v>
      </c>
      <c r="I80" s="436">
        <v>1245983</v>
      </c>
      <c r="J80" s="436">
        <v>108500</v>
      </c>
      <c r="K80" s="436">
        <v>1206000</v>
      </c>
      <c r="L80" s="470"/>
      <c r="M80" s="436">
        <v>24759</v>
      </c>
      <c r="N80" s="436">
        <v>0</v>
      </c>
      <c r="O80" s="436">
        <v>0</v>
      </c>
      <c r="P80" s="432">
        <f t="shared" si="15"/>
        <v>2782251</v>
      </c>
      <c r="Q80" s="436">
        <v>1380164</v>
      </c>
      <c r="R80" s="436">
        <v>709808</v>
      </c>
      <c r="S80" s="436">
        <v>0</v>
      </c>
      <c r="T80" s="436">
        <v>0</v>
      </c>
      <c r="U80" s="436">
        <v>14424</v>
      </c>
      <c r="V80" s="436">
        <v>0</v>
      </c>
      <c r="W80" s="436">
        <v>0</v>
      </c>
      <c r="X80" s="436">
        <v>242137</v>
      </c>
      <c r="Y80" s="436">
        <v>0</v>
      </c>
      <c r="Z80" s="436">
        <v>435718</v>
      </c>
      <c r="AA80" s="436">
        <v>0</v>
      </c>
      <c r="AB80" s="436">
        <v>0</v>
      </c>
      <c r="AC80" s="436">
        <v>620455</v>
      </c>
      <c r="AD80" s="436">
        <v>9985</v>
      </c>
      <c r="AE80" s="436">
        <v>1120866</v>
      </c>
      <c r="AF80" s="436">
        <v>17444</v>
      </c>
      <c r="AG80" s="436">
        <v>60749</v>
      </c>
      <c r="AH80" s="436">
        <v>256561</v>
      </c>
      <c r="AI80" s="436">
        <v>429952</v>
      </c>
      <c r="AJ80" s="436">
        <v>5294</v>
      </c>
      <c r="AK80" s="436">
        <v>0</v>
      </c>
      <c r="AL80" s="436">
        <v>260945</v>
      </c>
      <c r="AM80" s="470"/>
    </row>
    <row r="81" spans="1:39" s="155" customFormat="1" x14ac:dyDescent="0.2">
      <c r="A81" s="168">
        <v>27</v>
      </c>
      <c r="B81" s="408">
        <v>176613</v>
      </c>
      <c r="C81" s="410" t="s">
        <v>3203</v>
      </c>
      <c r="D81" s="432">
        <f t="shared" si="12"/>
        <v>7827564</v>
      </c>
      <c r="E81" s="436">
        <v>1692882</v>
      </c>
      <c r="F81" s="436">
        <v>460251</v>
      </c>
      <c r="G81" s="436">
        <v>214114</v>
      </c>
      <c r="H81" s="436">
        <v>0</v>
      </c>
      <c r="I81" s="436">
        <v>2068672</v>
      </c>
      <c r="J81" s="436">
        <v>148700</v>
      </c>
      <c r="K81" s="436">
        <v>766000</v>
      </c>
      <c r="L81" s="470"/>
      <c r="M81" s="436">
        <v>1142724</v>
      </c>
      <c r="N81" s="436">
        <v>2008586</v>
      </c>
      <c r="O81" s="436">
        <v>0</v>
      </c>
      <c r="P81" s="432">
        <f t="shared" si="15"/>
        <v>7496658</v>
      </c>
      <c r="Q81" s="436">
        <v>2228849</v>
      </c>
      <c r="R81" s="436">
        <v>1240444</v>
      </c>
      <c r="S81" s="436">
        <v>0</v>
      </c>
      <c r="T81" s="436">
        <v>0</v>
      </c>
      <c r="U81" s="436">
        <v>0</v>
      </c>
      <c r="V81" s="436">
        <v>0</v>
      </c>
      <c r="W81" s="436">
        <v>2407346</v>
      </c>
      <c r="X81" s="436">
        <v>563161</v>
      </c>
      <c r="Y81" s="436">
        <v>0</v>
      </c>
      <c r="Z81" s="436">
        <v>1056858</v>
      </c>
      <c r="AA81" s="436">
        <v>0</v>
      </c>
      <c r="AB81" s="436">
        <v>0</v>
      </c>
      <c r="AC81" s="436">
        <v>1322118</v>
      </c>
      <c r="AD81" s="436">
        <v>0</v>
      </c>
      <c r="AE81" s="436">
        <v>3993200</v>
      </c>
      <c r="AF81" s="436">
        <v>54342</v>
      </c>
      <c r="AG81" s="436">
        <v>82093</v>
      </c>
      <c r="AH81" s="436">
        <v>624257</v>
      </c>
      <c r="AI81" s="436">
        <v>281804</v>
      </c>
      <c r="AJ81" s="436">
        <v>741182</v>
      </c>
      <c r="AK81" s="436">
        <v>0</v>
      </c>
      <c r="AL81" s="436">
        <v>397662</v>
      </c>
      <c r="AM81" s="470"/>
    </row>
    <row r="82" spans="1:39" s="155" customFormat="1" x14ac:dyDescent="0.2">
      <c r="A82" s="168">
        <v>28</v>
      </c>
      <c r="B82" s="408">
        <v>176686</v>
      </c>
      <c r="C82" s="410" t="s">
        <v>3204</v>
      </c>
      <c r="D82" s="432">
        <f t="shared" si="12"/>
        <v>4729636</v>
      </c>
      <c r="E82" s="436">
        <v>986963</v>
      </c>
      <c r="F82" s="436">
        <v>137823</v>
      </c>
      <c r="G82" s="436">
        <v>212695</v>
      </c>
      <c r="H82" s="436">
        <v>0</v>
      </c>
      <c r="I82" s="436">
        <v>2299000</v>
      </c>
      <c r="J82" s="436">
        <v>108500</v>
      </c>
      <c r="K82" s="436">
        <v>1178000</v>
      </c>
      <c r="L82" s="470"/>
      <c r="M82" s="436">
        <v>157173</v>
      </c>
      <c r="N82" s="436">
        <v>0</v>
      </c>
      <c r="O82" s="436">
        <v>0</v>
      </c>
      <c r="P82" s="432">
        <f t="shared" si="15"/>
        <v>4438903</v>
      </c>
      <c r="Q82" s="436">
        <v>2472956</v>
      </c>
      <c r="R82" s="436">
        <v>1200210</v>
      </c>
      <c r="S82" s="436">
        <v>0</v>
      </c>
      <c r="T82" s="436">
        <v>0</v>
      </c>
      <c r="U82" s="436">
        <v>0</v>
      </c>
      <c r="V82" s="436">
        <v>0</v>
      </c>
      <c r="W82" s="436">
        <v>0</v>
      </c>
      <c r="X82" s="436">
        <v>137919</v>
      </c>
      <c r="Y82" s="436">
        <v>20000</v>
      </c>
      <c r="Z82" s="436">
        <v>607818</v>
      </c>
      <c r="AA82" s="436">
        <v>0</v>
      </c>
      <c r="AB82" s="436">
        <v>0</v>
      </c>
      <c r="AC82" s="436">
        <v>1103314</v>
      </c>
      <c r="AD82" s="436">
        <v>14923</v>
      </c>
      <c r="AE82" s="436">
        <v>2070196</v>
      </c>
      <c r="AF82" s="436">
        <v>38125</v>
      </c>
      <c r="AG82" s="436">
        <v>33003</v>
      </c>
      <c r="AH82" s="436">
        <v>653741</v>
      </c>
      <c r="AI82" s="436">
        <v>114655</v>
      </c>
      <c r="AJ82" s="436">
        <v>0</v>
      </c>
      <c r="AK82" s="436">
        <v>0</v>
      </c>
      <c r="AL82" s="436">
        <v>351067</v>
      </c>
      <c r="AM82" s="470">
        <v>59879</v>
      </c>
    </row>
    <row r="83" spans="1:39" s="155" customFormat="1" x14ac:dyDescent="0.2">
      <c r="A83" s="168">
        <v>29</v>
      </c>
      <c r="B83" s="408">
        <v>176748</v>
      </c>
      <c r="C83" s="410" t="s">
        <v>3205</v>
      </c>
      <c r="D83" s="432">
        <f t="shared" si="12"/>
        <v>3631010</v>
      </c>
      <c r="E83" s="436">
        <v>1152376</v>
      </c>
      <c r="F83" s="436">
        <v>196612</v>
      </c>
      <c r="G83" s="436">
        <v>174291</v>
      </c>
      <c r="H83" s="436">
        <v>0</v>
      </c>
      <c r="I83" s="436">
        <v>1347000</v>
      </c>
      <c r="J83" s="436">
        <v>108500</v>
      </c>
      <c r="K83" s="436">
        <v>976000</v>
      </c>
      <c r="L83" s="470"/>
      <c r="M83" s="436">
        <v>47134</v>
      </c>
      <c r="N83" s="436">
        <v>0</v>
      </c>
      <c r="O83" s="436">
        <v>0</v>
      </c>
      <c r="P83" s="432">
        <f t="shared" si="15"/>
        <v>3717020</v>
      </c>
      <c r="Q83" s="436">
        <v>1418283</v>
      </c>
      <c r="R83" s="436">
        <v>914025</v>
      </c>
      <c r="S83" s="436">
        <v>0</v>
      </c>
      <c r="T83" s="436">
        <v>0</v>
      </c>
      <c r="U83" s="436">
        <v>38329</v>
      </c>
      <c r="V83" s="436">
        <v>0</v>
      </c>
      <c r="W83" s="436">
        <v>0</v>
      </c>
      <c r="X83" s="436">
        <v>366645</v>
      </c>
      <c r="Y83" s="436">
        <v>3000</v>
      </c>
      <c r="Z83" s="436">
        <v>976738</v>
      </c>
      <c r="AA83" s="436">
        <v>0</v>
      </c>
      <c r="AB83" s="436">
        <v>0</v>
      </c>
      <c r="AC83" s="436">
        <v>811338</v>
      </c>
      <c r="AD83" s="436">
        <v>61165</v>
      </c>
      <c r="AE83" s="436">
        <v>1038340</v>
      </c>
      <c r="AF83" s="436">
        <v>26461</v>
      </c>
      <c r="AG83" s="436">
        <v>105062</v>
      </c>
      <c r="AH83" s="436">
        <v>455559</v>
      </c>
      <c r="AI83" s="436">
        <v>266522</v>
      </c>
      <c r="AJ83" s="436">
        <v>129968</v>
      </c>
      <c r="AK83" s="436">
        <v>0</v>
      </c>
      <c r="AL83" s="436">
        <v>795821</v>
      </c>
      <c r="AM83" s="470">
        <v>26784</v>
      </c>
    </row>
    <row r="84" spans="1:39" s="155" customFormat="1" x14ac:dyDescent="0.2">
      <c r="A84" s="168">
        <v>30</v>
      </c>
      <c r="B84" s="408">
        <v>176793</v>
      </c>
      <c r="C84" s="410" t="s">
        <v>3146</v>
      </c>
      <c r="D84" s="432">
        <f t="shared" si="12"/>
        <v>5662018</v>
      </c>
      <c r="E84" s="436">
        <v>1312154</v>
      </c>
      <c r="F84" s="436">
        <v>190165</v>
      </c>
      <c r="G84" s="436">
        <v>185451</v>
      </c>
      <c r="H84" s="436">
        <v>0</v>
      </c>
      <c r="I84" s="436">
        <v>1515000</v>
      </c>
      <c r="J84" s="436">
        <v>108500</v>
      </c>
      <c r="K84" s="436">
        <v>944000</v>
      </c>
      <c r="L84" s="470"/>
      <c r="M84" s="436">
        <v>1295995</v>
      </c>
      <c r="N84" s="436">
        <v>486369</v>
      </c>
      <c r="O84" s="436">
        <v>0</v>
      </c>
      <c r="P84" s="432">
        <f t="shared" si="15"/>
        <v>5739658</v>
      </c>
      <c r="Q84" s="436">
        <v>1970132</v>
      </c>
      <c r="R84" s="436">
        <v>762231</v>
      </c>
      <c r="S84" s="436">
        <v>12830</v>
      </c>
      <c r="T84" s="436">
        <v>0</v>
      </c>
      <c r="U84" s="436">
        <v>0</v>
      </c>
      <c r="V84" s="436">
        <v>0</v>
      </c>
      <c r="W84" s="436">
        <v>347831</v>
      </c>
      <c r="X84" s="436">
        <v>309650</v>
      </c>
      <c r="Y84" s="436">
        <v>99000</v>
      </c>
      <c r="Z84" s="436">
        <v>1805760</v>
      </c>
      <c r="AA84" s="436">
        <v>437724</v>
      </c>
      <c r="AB84" s="436">
        <v>-5500</v>
      </c>
      <c r="AC84" s="436">
        <v>1004554</v>
      </c>
      <c r="AD84" s="436">
        <v>118092</v>
      </c>
      <c r="AE84" s="436">
        <v>1327983</v>
      </c>
      <c r="AF84" s="436">
        <v>68484</v>
      </c>
      <c r="AG84" s="436">
        <v>134587</v>
      </c>
      <c r="AH84" s="436">
        <v>309650</v>
      </c>
      <c r="AI84" s="436">
        <v>756015</v>
      </c>
      <c r="AJ84" s="436">
        <v>23663</v>
      </c>
      <c r="AK84" s="436">
        <v>0</v>
      </c>
      <c r="AL84" s="436">
        <v>1950628</v>
      </c>
      <c r="AM84" s="470">
        <v>46002</v>
      </c>
    </row>
    <row r="85" spans="1:39" s="155" customFormat="1" x14ac:dyDescent="0.2">
      <c r="A85" s="168">
        <v>31</v>
      </c>
      <c r="B85" s="408">
        <v>176855</v>
      </c>
      <c r="C85" s="410" t="s">
        <v>3206</v>
      </c>
      <c r="D85" s="432">
        <f t="shared" si="12"/>
        <v>4448730</v>
      </c>
      <c r="E85" s="436">
        <v>895871</v>
      </c>
      <c r="F85" s="436">
        <v>251536</v>
      </c>
      <c r="G85" s="436">
        <v>185123</v>
      </c>
      <c r="H85" s="436">
        <v>0</v>
      </c>
      <c r="I85" s="436">
        <v>1100983</v>
      </c>
      <c r="J85" s="436">
        <v>108500</v>
      </c>
      <c r="K85" s="436">
        <v>929000</v>
      </c>
      <c r="L85" s="470"/>
      <c r="M85" s="436">
        <v>1406176</v>
      </c>
      <c r="N85" s="436">
        <v>0</v>
      </c>
      <c r="O85" s="436">
        <v>8200</v>
      </c>
      <c r="P85" s="432">
        <f t="shared" si="15"/>
        <v>3935606</v>
      </c>
      <c r="Q85" s="436">
        <v>1331931</v>
      </c>
      <c r="R85" s="436">
        <v>415678</v>
      </c>
      <c r="S85" s="436">
        <v>0</v>
      </c>
      <c r="T85" s="436">
        <v>0</v>
      </c>
      <c r="U85" s="436">
        <v>0</v>
      </c>
      <c r="V85" s="436">
        <v>0</v>
      </c>
      <c r="W85" s="436">
        <v>0</v>
      </c>
      <c r="X85" s="436">
        <v>213867</v>
      </c>
      <c r="Y85" s="436">
        <v>0</v>
      </c>
      <c r="Z85" s="436">
        <v>1974130</v>
      </c>
      <c r="AA85" s="436">
        <v>0</v>
      </c>
      <c r="AB85" s="436">
        <v>0</v>
      </c>
      <c r="AC85" s="436">
        <v>607683</v>
      </c>
      <c r="AD85" s="436">
        <v>42810</v>
      </c>
      <c r="AE85" s="436">
        <v>1089690</v>
      </c>
      <c r="AF85" s="436">
        <v>0</v>
      </c>
      <c r="AG85" s="436">
        <v>46992</v>
      </c>
      <c r="AH85" s="436">
        <v>397122</v>
      </c>
      <c r="AI85" s="436">
        <v>74713</v>
      </c>
      <c r="AJ85" s="436">
        <v>23545</v>
      </c>
      <c r="AK85" s="436">
        <v>0</v>
      </c>
      <c r="AL85" s="436">
        <v>1648704</v>
      </c>
      <c r="AM85" s="470">
        <v>4347</v>
      </c>
    </row>
    <row r="86" spans="1:39" s="155" customFormat="1" x14ac:dyDescent="0.2">
      <c r="A86" s="168">
        <v>32</v>
      </c>
      <c r="B86" s="408">
        <v>176891</v>
      </c>
      <c r="C86" s="410" t="s">
        <v>3207</v>
      </c>
      <c r="D86" s="432">
        <f t="shared" si="12"/>
        <v>3196399</v>
      </c>
      <c r="E86" s="436">
        <v>776514</v>
      </c>
      <c r="F86" s="436">
        <v>148028</v>
      </c>
      <c r="G86" s="436">
        <v>207771</v>
      </c>
      <c r="H86" s="436">
        <v>0</v>
      </c>
      <c r="I86" s="436">
        <v>1007000</v>
      </c>
      <c r="J86" s="436">
        <v>108500</v>
      </c>
      <c r="K86" s="436">
        <v>1040000</v>
      </c>
      <c r="L86" s="470"/>
      <c r="M86" s="436">
        <v>71014</v>
      </c>
      <c r="N86" s="436">
        <v>193371</v>
      </c>
      <c r="O86" s="436">
        <v>0</v>
      </c>
      <c r="P86" s="432">
        <f t="shared" si="15"/>
        <v>2892298</v>
      </c>
      <c r="Q86" s="436">
        <v>1142617</v>
      </c>
      <c r="R86" s="436">
        <v>394591</v>
      </c>
      <c r="S86" s="436">
        <v>0</v>
      </c>
      <c r="T86" s="436">
        <v>0</v>
      </c>
      <c r="U86" s="436">
        <v>4718</v>
      </c>
      <c r="V86" s="436">
        <v>0</v>
      </c>
      <c r="W86" s="436">
        <v>252030</v>
      </c>
      <c r="X86" s="436">
        <v>157417</v>
      </c>
      <c r="Y86" s="436">
        <v>0</v>
      </c>
      <c r="Z86" s="436">
        <v>940925</v>
      </c>
      <c r="AA86" s="436">
        <v>0</v>
      </c>
      <c r="AB86" s="436">
        <v>0</v>
      </c>
      <c r="AC86" s="436">
        <v>442002</v>
      </c>
      <c r="AD86" s="436">
        <v>26341</v>
      </c>
      <c r="AE86" s="436">
        <v>1078165</v>
      </c>
      <c r="AF86" s="436">
        <v>0</v>
      </c>
      <c r="AG86" s="436">
        <v>293813</v>
      </c>
      <c r="AH86" s="436">
        <v>240778</v>
      </c>
      <c r="AI86" s="436">
        <v>69873</v>
      </c>
      <c r="AJ86" s="436">
        <v>13392</v>
      </c>
      <c r="AK86" s="436">
        <v>0</v>
      </c>
      <c r="AL86" s="436">
        <v>727934</v>
      </c>
      <c r="AM86" s="470"/>
    </row>
    <row r="87" spans="1:39" s="155" customFormat="1" x14ac:dyDescent="0.2">
      <c r="A87" s="168">
        <v>33</v>
      </c>
      <c r="B87" s="408">
        <v>176944</v>
      </c>
      <c r="C87" s="410" t="s">
        <v>3208</v>
      </c>
      <c r="D87" s="432">
        <f t="shared" si="12"/>
        <v>5685340</v>
      </c>
      <c r="E87" s="436">
        <v>1024563</v>
      </c>
      <c r="F87" s="436">
        <v>420132</v>
      </c>
      <c r="G87" s="436">
        <v>167398</v>
      </c>
      <c r="H87" s="436">
        <v>0</v>
      </c>
      <c r="I87" s="436">
        <v>3533945</v>
      </c>
      <c r="J87" s="436">
        <v>108500</v>
      </c>
      <c r="K87" s="436">
        <v>980000</v>
      </c>
      <c r="L87" s="470"/>
      <c r="M87" s="436">
        <v>38332</v>
      </c>
      <c r="N87" s="436">
        <v>0</v>
      </c>
      <c r="O87" s="436">
        <v>0</v>
      </c>
      <c r="P87" s="432">
        <f t="shared" si="15"/>
        <v>5827736</v>
      </c>
      <c r="Q87" s="436">
        <v>3822888</v>
      </c>
      <c r="R87" s="436">
        <v>1081783</v>
      </c>
      <c r="S87" s="436">
        <v>0</v>
      </c>
      <c r="T87" s="436">
        <v>0</v>
      </c>
      <c r="U87" s="436">
        <v>0</v>
      </c>
      <c r="V87" s="436">
        <v>0</v>
      </c>
      <c r="W87" s="436">
        <v>0</v>
      </c>
      <c r="X87" s="436">
        <v>170180</v>
      </c>
      <c r="Y87" s="436">
        <v>0</v>
      </c>
      <c r="Z87" s="436">
        <v>769668</v>
      </c>
      <c r="AA87" s="436">
        <v>0</v>
      </c>
      <c r="AB87" s="436">
        <v>-16783</v>
      </c>
      <c r="AC87" s="436">
        <v>1867927</v>
      </c>
      <c r="AD87" s="436">
        <v>32952</v>
      </c>
      <c r="AE87" s="436">
        <v>3072374</v>
      </c>
      <c r="AF87" s="436">
        <v>0</v>
      </c>
      <c r="AG87" s="436">
        <v>120783</v>
      </c>
      <c r="AH87" s="436">
        <v>529691</v>
      </c>
      <c r="AI87" s="436">
        <v>41505</v>
      </c>
      <c r="AJ87" s="436">
        <v>0</v>
      </c>
      <c r="AK87" s="436">
        <v>0</v>
      </c>
      <c r="AL87" s="436">
        <v>162504</v>
      </c>
      <c r="AM87" s="470"/>
    </row>
    <row r="88" spans="1:39" s="155" customFormat="1" x14ac:dyDescent="0.2">
      <c r="A88" s="168">
        <v>34</v>
      </c>
      <c r="B88" s="408">
        <v>178885</v>
      </c>
      <c r="C88" s="410" t="s">
        <v>2603</v>
      </c>
      <c r="D88" s="432">
        <f t="shared" si="12"/>
        <v>3995446</v>
      </c>
      <c r="E88" s="436">
        <v>603293</v>
      </c>
      <c r="F88" s="436">
        <v>63835</v>
      </c>
      <c r="G88" s="436">
        <v>237312</v>
      </c>
      <c r="H88" s="436">
        <v>0</v>
      </c>
      <c r="I88" s="436">
        <v>668000</v>
      </c>
      <c r="J88" s="436">
        <v>128500</v>
      </c>
      <c r="K88" s="436">
        <v>1138000</v>
      </c>
      <c r="L88" s="470"/>
      <c r="M88" s="436">
        <v>1173018</v>
      </c>
      <c r="N88" s="436">
        <v>251635</v>
      </c>
      <c r="O88" s="436">
        <v>33000</v>
      </c>
      <c r="P88" s="432">
        <f t="shared" si="15"/>
        <v>3432212</v>
      </c>
      <c r="Q88" s="436">
        <v>1032080</v>
      </c>
      <c r="R88" s="436">
        <v>547025</v>
      </c>
      <c r="S88" s="436">
        <v>0</v>
      </c>
      <c r="T88" s="436">
        <v>0</v>
      </c>
      <c r="U88" s="436">
        <v>4862</v>
      </c>
      <c r="V88" s="436">
        <v>2442</v>
      </c>
      <c r="W88" s="436">
        <v>310426</v>
      </c>
      <c r="X88" s="436">
        <v>190223</v>
      </c>
      <c r="Y88" s="436">
        <v>10000</v>
      </c>
      <c r="Z88" s="436">
        <v>1400006</v>
      </c>
      <c r="AA88" s="436">
        <v>0</v>
      </c>
      <c r="AB88" s="436">
        <v>-64852</v>
      </c>
      <c r="AC88" s="436">
        <v>1929431</v>
      </c>
      <c r="AD88" s="436">
        <v>44627</v>
      </c>
      <c r="AE88" s="436">
        <v>502257</v>
      </c>
      <c r="AF88" s="436">
        <v>0</v>
      </c>
      <c r="AG88" s="436">
        <v>108628</v>
      </c>
      <c r="AH88" s="436">
        <v>297978</v>
      </c>
      <c r="AI88" s="436">
        <v>334687</v>
      </c>
      <c r="AJ88" s="436">
        <v>11368</v>
      </c>
      <c r="AK88" s="436">
        <v>0</v>
      </c>
      <c r="AL88" s="436">
        <v>203236</v>
      </c>
      <c r="AM88" s="470"/>
    </row>
    <row r="89" spans="1:39" s="155" customFormat="1" x14ac:dyDescent="0.2">
      <c r="A89" s="168">
        <v>35</v>
      </c>
      <c r="B89" s="408">
        <v>177003</v>
      </c>
      <c r="C89" s="410" t="s">
        <v>3209</v>
      </c>
      <c r="D89" s="432">
        <f t="shared" si="12"/>
        <v>3634227</v>
      </c>
      <c r="E89" s="436">
        <v>648213</v>
      </c>
      <c r="F89" s="436">
        <v>122841</v>
      </c>
      <c r="G89" s="436">
        <v>174291</v>
      </c>
      <c r="H89" s="436">
        <v>0</v>
      </c>
      <c r="I89" s="436">
        <v>1406771</v>
      </c>
      <c r="J89" s="436">
        <v>108500</v>
      </c>
      <c r="K89" s="436">
        <v>927000</v>
      </c>
      <c r="L89" s="470"/>
      <c r="M89" s="436">
        <v>474738</v>
      </c>
      <c r="N89" s="436">
        <v>67005</v>
      </c>
      <c r="O89" s="436">
        <v>2000</v>
      </c>
      <c r="P89" s="432">
        <f t="shared" si="15"/>
        <v>3390926</v>
      </c>
      <c r="Q89" s="436">
        <v>1515847</v>
      </c>
      <c r="R89" s="436">
        <v>453254</v>
      </c>
      <c r="S89" s="436">
        <v>0</v>
      </c>
      <c r="T89" s="436">
        <v>0</v>
      </c>
      <c r="U89" s="436">
        <v>22000</v>
      </c>
      <c r="V89" s="436">
        <v>0</v>
      </c>
      <c r="W89" s="436">
        <v>231656</v>
      </c>
      <c r="X89" s="436">
        <v>285406</v>
      </c>
      <c r="Y89" s="436">
        <v>6600</v>
      </c>
      <c r="Z89" s="436">
        <v>876163</v>
      </c>
      <c r="AA89" s="436">
        <v>0</v>
      </c>
      <c r="AB89" s="436">
        <v>0</v>
      </c>
      <c r="AC89" s="436">
        <v>439709</v>
      </c>
      <c r="AD89" s="436">
        <v>0</v>
      </c>
      <c r="AE89" s="436">
        <v>1617038</v>
      </c>
      <c r="AF89" s="436">
        <v>17450</v>
      </c>
      <c r="AG89" s="436">
        <v>317498</v>
      </c>
      <c r="AH89" s="436">
        <v>365087</v>
      </c>
      <c r="AI89" s="436">
        <v>279180</v>
      </c>
      <c r="AJ89" s="436">
        <v>19344</v>
      </c>
      <c r="AK89" s="436">
        <v>0</v>
      </c>
      <c r="AL89" s="436">
        <v>335620</v>
      </c>
      <c r="AM89" s="470"/>
    </row>
    <row r="90" spans="1:39" s="155" customFormat="1" x14ac:dyDescent="0.2">
      <c r="A90" s="168">
        <v>36</v>
      </c>
      <c r="B90" s="408">
        <v>178947</v>
      </c>
      <c r="C90" s="410" t="s">
        <v>3210</v>
      </c>
      <c r="D90" s="432">
        <f t="shared" si="12"/>
        <v>3131081</v>
      </c>
      <c r="E90" s="436">
        <v>681804</v>
      </c>
      <c r="F90" s="436">
        <v>64695</v>
      </c>
      <c r="G90" s="436">
        <v>248144</v>
      </c>
      <c r="H90" s="436">
        <v>0</v>
      </c>
      <c r="I90" s="436">
        <v>817000</v>
      </c>
      <c r="J90" s="436">
        <v>108500</v>
      </c>
      <c r="K90" s="436">
        <v>1162000</v>
      </c>
      <c r="L90" s="470"/>
      <c r="M90" s="436">
        <v>155617</v>
      </c>
      <c r="N90" s="436">
        <v>206160</v>
      </c>
      <c r="O90" s="436">
        <v>0</v>
      </c>
      <c r="P90" s="432">
        <f t="shared" si="15"/>
        <v>2540475</v>
      </c>
      <c r="Q90" s="436">
        <v>1125328</v>
      </c>
      <c r="R90" s="436">
        <v>574912</v>
      </c>
      <c r="S90" s="436">
        <v>0</v>
      </c>
      <c r="T90" s="436">
        <v>0</v>
      </c>
      <c r="U90" s="436">
        <v>0</v>
      </c>
      <c r="V90" s="436">
        <v>3994</v>
      </c>
      <c r="W90" s="436">
        <v>0</v>
      </c>
      <c r="X90" s="436">
        <v>67361</v>
      </c>
      <c r="Y90" s="436">
        <v>0</v>
      </c>
      <c r="Z90" s="436">
        <v>775572</v>
      </c>
      <c r="AA90" s="436">
        <v>0</v>
      </c>
      <c r="AB90" s="436">
        <v>-6692</v>
      </c>
      <c r="AC90" s="436">
        <v>573250</v>
      </c>
      <c r="AD90" s="436">
        <v>23945</v>
      </c>
      <c r="AE90" s="436">
        <v>892309</v>
      </c>
      <c r="AF90" s="436">
        <v>0</v>
      </c>
      <c r="AG90" s="436">
        <v>8036</v>
      </c>
      <c r="AH90" s="436">
        <v>170186</v>
      </c>
      <c r="AI90" s="436">
        <v>122570</v>
      </c>
      <c r="AJ90" s="436">
        <v>38985</v>
      </c>
      <c r="AK90" s="436">
        <v>0</v>
      </c>
      <c r="AL90" s="436">
        <v>711194</v>
      </c>
      <c r="AM90" s="470"/>
    </row>
    <row r="91" spans="1:39" s="155" customFormat="1" x14ac:dyDescent="0.2">
      <c r="A91" s="168">
        <v>37</v>
      </c>
      <c r="B91" s="408">
        <v>177101</v>
      </c>
      <c r="C91" s="410" t="s">
        <v>3211</v>
      </c>
      <c r="D91" s="432">
        <f t="shared" si="12"/>
        <v>3635181</v>
      </c>
      <c r="E91" s="436">
        <v>689403</v>
      </c>
      <c r="F91" s="436">
        <v>141648</v>
      </c>
      <c r="G91" s="436">
        <v>231404</v>
      </c>
      <c r="H91" s="436">
        <v>0</v>
      </c>
      <c r="I91" s="436">
        <v>1595856</v>
      </c>
      <c r="J91" s="436">
        <v>108500</v>
      </c>
      <c r="K91" s="436">
        <v>1107000</v>
      </c>
      <c r="L91" s="470"/>
      <c r="M91" s="436">
        <v>49375</v>
      </c>
      <c r="N91" s="436">
        <v>85047</v>
      </c>
      <c r="O91" s="436">
        <v>0</v>
      </c>
      <c r="P91" s="432">
        <f t="shared" si="15"/>
        <v>3342818</v>
      </c>
      <c r="Q91" s="436">
        <v>2006611</v>
      </c>
      <c r="R91" s="436">
        <v>776323</v>
      </c>
      <c r="S91" s="436">
        <v>0</v>
      </c>
      <c r="T91" s="436">
        <v>0</v>
      </c>
      <c r="U91" s="436">
        <v>0</v>
      </c>
      <c r="V91" s="436">
        <v>0</v>
      </c>
      <c r="W91" s="436">
        <v>87984</v>
      </c>
      <c r="X91" s="436">
        <v>163018</v>
      </c>
      <c r="Y91" s="436">
        <v>0</v>
      </c>
      <c r="Z91" s="436">
        <v>308882</v>
      </c>
      <c r="AA91" s="436">
        <v>0</v>
      </c>
      <c r="AB91" s="436">
        <v>0</v>
      </c>
      <c r="AC91" s="436">
        <v>792698</v>
      </c>
      <c r="AD91" s="436">
        <v>26534</v>
      </c>
      <c r="AE91" s="436">
        <v>1333719</v>
      </c>
      <c r="AF91" s="436">
        <v>15606</v>
      </c>
      <c r="AG91" s="436">
        <v>201428</v>
      </c>
      <c r="AH91" s="436">
        <v>339421</v>
      </c>
      <c r="AI91" s="436">
        <v>177985</v>
      </c>
      <c r="AJ91" s="436">
        <v>12973</v>
      </c>
      <c r="AK91" s="436">
        <v>0</v>
      </c>
      <c r="AL91" s="436">
        <v>442454</v>
      </c>
      <c r="AM91" s="470"/>
    </row>
    <row r="92" spans="1:39" s="155" customFormat="1" x14ac:dyDescent="0.2">
      <c r="A92" s="168">
        <v>38</v>
      </c>
      <c r="B92" s="408">
        <v>178910</v>
      </c>
      <c r="C92" s="410" t="s">
        <v>111</v>
      </c>
      <c r="D92" s="432">
        <f t="shared" si="12"/>
        <v>4609960</v>
      </c>
      <c r="E92" s="436">
        <v>539406</v>
      </c>
      <c r="F92" s="436">
        <v>60823</v>
      </c>
      <c r="G92" s="436">
        <v>251098</v>
      </c>
      <c r="H92" s="436">
        <v>0</v>
      </c>
      <c r="I92" s="436">
        <v>1193735</v>
      </c>
      <c r="J92" s="436">
        <v>108500</v>
      </c>
      <c r="K92" s="436">
        <v>1629130</v>
      </c>
      <c r="L92" s="470"/>
      <c r="M92" s="436">
        <v>955432</v>
      </c>
      <c r="N92" s="436">
        <v>183757</v>
      </c>
      <c r="O92" s="436">
        <v>0</v>
      </c>
      <c r="P92" s="432">
        <f t="shared" si="15"/>
        <v>3588023</v>
      </c>
      <c r="Q92" s="436">
        <v>1348893</v>
      </c>
      <c r="R92" s="436">
        <v>524399</v>
      </c>
      <c r="S92" s="436">
        <v>0</v>
      </c>
      <c r="T92" s="436">
        <v>0</v>
      </c>
      <c r="U92" s="436">
        <v>3825</v>
      </c>
      <c r="V92" s="436">
        <v>0</v>
      </c>
      <c r="W92" s="436">
        <v>122489</v>
      </c>
      <c r="X92" s="436">
        <v>170556</v>
      </c>
      <c r="Y92" s="436">
        <v>0</v>
      </c>
      <c r="Z92" s="436">
        <v>1423386</v>
      </c>
      <c r="AA92" s="436">
        <v>0</v>
      </c>
      <c r="AB92" s="436">
        <v>-5525</v>
      </c>
      <c r="AC92" s="436">
        <v>496587</v>
      </c>
      <c r="AD92" s="436">
        <v>44047</v>
      </c>
      <c r="AE92" s="436">
        <v>887966</v>
      </c>
      <c r="AF92" s="436">
        <v>0</v>
      </c>
      <c r="AG92" s="436">
        <v>239340</v>
      </c>
      <c r="AH92" s="436">
        <v>365792</v>
      </c>
      <c r="AI92" s="436">
        <v>598820</v>
      </c>
      <c r="AJ92" s="436">
        <v>47145</v>
      </c>
      <c r="AK92" s="436">
        <v>0</v>
      </c>
      <c r="AL92" s="436">
        <v>908326</v>
      </c>
      <c r="AM92" s="470"/>
    </row>
    <row r="93" spans="1:39" s="155" customFormat="1" x14ac:dyDescent="0.2">
      <c r="A93" s="168">
        <v>39</v>
      </c>
      <c r="B93" s="408">
        <v>177236</v>
      </c>
      <c r="C93" s="410" t="s">
        <v>3212</v>
      </c>
      <c r="D93" s="432">
        <f t="shared" si="12"/>
        <v>5778024</v>
      </c>
      <c r="E93" s="436">
        <v>1462863</v>
      </c>
      <c r="F93" s="436">
        <v>240828</v>
      </c>
      <c r="G93" s="436">
        <v>445878</v>
      </c>
      <c r="H93" s="436">
        <v>0</v>
      </c>
      <c r="I93" s="436">
        <v>2852900</v>
      </c>
      <c r="J93" s="436">
        <v>108500</v>
      </c>
      <c r="K93" s="436">
        <v>1196000</v>
      </c>
      <c r="L93" s="470"/>
      <c r="M93" s="436">
        <v>157761</v>
      </c>
      <c r="N93" s="436">
        <v>0</v>
      </c>
      <c r="O93" s="436">
        <v>0</v>
      </c>
      <c r="P93" s="432">
        <f t="shared" si="15"/>
        <v>5247183</v>
      </c>
      <c r="Q93" s="436">
        <v>3014031</v>
      </c>
      <c r="R93" s="436">
        <v>1065580</v>
      </c>
      <c r="S93" s="436">
        <v>10000</v>
      </c>
      <c r="T93" s="436">
        <v>0</v>
      </c>
      <c r="U93" s="436">
        <v>0</v>
      </c>
      <c r="V93" s="436">
        <v>360000</v>
      </c>
      <c r="W93" s="436">
        <v>7778</v>
      </c>
      <c r="X93" s="436">
        <v>557546</v>
      </c>
      <c r="Y93" s="436">
        <v>15000</v>
      </c>
      <c r="Z93" s="436">
        <v>223560</v>
      </c>
      <c r="AA93" s="436">
        <v>0</v>
      </c>
      <c r="AB93" s="436">
        <v>-6312</v>
      </c>
      <c r="AC93" s="436">
        <v>758402</v>
      </c>
      <c r="AD93" s="436">
        <v>575846</v>
      </c>
      <c r="AE93" s="436">
        <v>2106688</v>
      </c>
      <c r="AF93" s="436">
        <v>42951</v>
      </c>
      <c r="AG93" s="436">
        <v>260190</v>
      </c>
      <c r="AH93" s="436">
        <v>984331</v>
      </c>
      <c r="AI93" s="436">
        <v>212166</v>
      </c>
      <c r="AJ93" s="436">
        <v>36009</v>
      </c>
      <c r="AK93" s="436">
        <v>0</v>
      </c>
      <c r="AL93" s="436">
        <v>270600</v>
      </c>
      <c r="AM93" s="470"/>
    </row>
    <row r="94" spans="1:39" s="155" customFormat="1" x14ac:dyDescent="0.2">
      <c r="A94" s="168">
        <v>40</v>
      </c>
      <c r="B94" s="408">
        <v>178894</v>
      </c>
      <c r="C94" s="410" t="s">
        <v>3213</v>
      </c>
      <c r="D94" s="432">
        <f t="shared" si="12"/>
        <v>4370889</v>
      </c>
      <c r="E94" s="436">
        <v>631434</v>
      </c>
      <c r="F94" s="436">
        <v>96117</v>
      </c>
      <c r="G94" s="436">
        <v>230419</v>
      </c>
      <c r="H94" s="436">
        <v>0</v>
      </c>
      <c r="I94" s="436">
        <v>1744000</v>
      </c>
      <c r="J94" s="436">
        <v>108500</v>
      </c>
      <c r="K94" s="436">
        <v>1149000</v>
      </c>
      <c r="L94" s="470"/>
      <c r="M94" s="436">
        <v>211972</v>
      </c>
      <c r="N94" s="436">
        <v>525983</v>
      </c>
      <c r="O94" s="436">
        <v>0</v>
      </c>
      <c r="P94" s="432">
        <f t="shared" si="15"/>
        <v>4057967</v>
      </c>
      <c r="Q94" s="436">
        <v>1920778</v>
      </c>
      <c r="R94" s="436">
        <v>903637</v>
      </c>
      <c r="S94" s="436">
        <v>0</v>
      </c>
      <c r="T94" s="436">
        <v>0</v>
      </c>
      <c r="U94" s="436">
        <v>0</v>
      </c>
      <c r="V94" s="436">
        <v>0</v>
      </c>
      <c r="W94" s="436">
        <v>389330</v>
      </c>
      <c r="X94" s="436">
        <v>124702</v>
      </c>
      <c r="Y94" s="436">
        <v>28000</v>
      </c>
      <c r="Z94" s="436">
        <v>700359</v>
      </c>
      <c r="AA94" s="436">
        <v>0</v>
      </c>
      <c r="AB94" s="436">
        <v>-8839</v>
      </c>
      <c r="AC94" s="436">
        <v>606906</v>
      </c>
      <c r="AD94" s="436">
        <v>31928</v>
      </c>
      <c r="AE94" s="436">
        <v>1504712</v>
      </c>
      <c r="AF94" s="436">
        <v>321227</v>
      </c>
      <c r="AG94" s="436">
        <v>427269</v>
      </c>
      <c r="AH94" s="436">
        <v>383611</v>
      </c>
      <c r="AI94" s="436">
        <v>105165</v>
      </c>
      <c r="AJ94" s="436">
        <v>111869</v>
      </c>
      <c r="AK94" s="436">
        <v>0</v>
      </c>
      <c r="AL94" s="436">
        <v>556280</v>
      </c>
      <c r="AM94" s="470">
        <v>9000</v>
      </c>
    </row>
    <row r="95" spans="1:39" s="155" customFormat="1" x14ac:dyDescent="0.2">
      <c r="A95" s="168">
        <v>41</v>
      </c>
      <c r="B95" s="408">
        <v>177263</v>
      </c>
      <c r="C95" s="410" t="s">
        <v>3214</v>
      </c>
      <c r="D95" s="432">
        <f t="shared" si="12"/>
        <v>4946457</v>
      </c>
      <c r="E95" s="436">
        <v>612072</v>
      </c>
      <c r="F95" s="436">
        <v>83651</v>
      </c>
      <c r="G95" s="436">
        <v>220572</v>
      </c>
      <c r="H95" s="436">
        <v>0</v>
      </c>
      <c r="I95" s="436">
        <v>1598794</v>
      </c>
      <c r="J95" s="436">
        <v>128500</v>
      </c>
      <c r="K95" s="436">
        <v>1150000</v>
      </c>
      <c r="L95" s="436"/>
      <c r="M95" s="436">
        <v>1121101</v>
      </c>
      <c r="N95" s="436">
        <v>335990</v>
      </c>
      <c r="O95" s="436">
        <v>0</v>
      </c>
      <c r="P95" s="432">
        <f t="shared" si="15"/>
        <v>4899805</v>
      </c>
      <c r="Q95" s="436">
        <v>1670590</v>
      </c>
      <c r="R95" s="436">
        <v>1472961</v>
      </c>
      <c r="S95" s="436">
        <v>0</v>
      </c>
      <c r="T95" s="436">
        <v>0</v>
      </c>
      <c r="U95" s="436">
        <v>0</v>
      </c>
      <c r="V95" s="436">
        <v>5098</v>
      </c>
      <c r="W95" s="436">
        <v>207700</v>
      </c>
      <c r="X95" s="436">
        <v>308239</v>
      </c>
      <c r="Y95" s="436">
        <v>7363</v>
      </c>
      <c r="Z95" s="436">
        <v>1256149</v>
      </c>
      <c r="AA95" s="436">
        <v>0</v>
      </c>
      <c r="AB95" s="436">
        <v>-28295</v>
      </c>
      <c r="AC95" s="436">
        <v>632489</v>
      </c>
      <c r="AD95" s="436">
        <v>0</v>
      </c>
      <c r="AE95" s="436">
        <v>1245019</v>
      </c>
      <c r="AF95" s="436">
        <v>0</v>
      </c>
      <c r="AG95" s="436">
        <v>91430</v>
      </c>
      <c r="AH95" s="436">
        <v>498307</v>
      </c>
      <c r="AI95" s="436">
        <v>165459</v>
      </c>
      <c r="AJ95" s="436">
        <v>0</v>
      </c>
      <c r="AK95" s="436">
        <v>0</v>
      </c>
      <c r="AL95" s="436">
        <v>2267101</v>
      </c>
      <c r="AM95" s="436"/>
    </row>
    <row r="96" spans="1:39" s="155" customFormat="1" x14ac:dyDescent="0.2">
      <c r="A96" s="168">
        <v>42</v>
      </c>
      <c r="B96" s="408">
        <v>178901</v>
      </c>
      <c r="C96" s="410" t="s">
        <v>2545</v>
      </c>
      <c r="D96" s="432">
        <f t="shared" si="12"/>
        <v>5209766</v>
      </c>
      <c r="E96" s="436">
        <v>766501</v>
      </c>
      <c r="F96" s="436">
        <v>84852</v>
      </c>
      <c r="G96" s="436">
        <v>207771</v>
      </c>
      <c r="H96" s="436">
        <v>0</v>
      </c>
      <c r="I96" s="436">
        <v>1141000</v>
      </c>
      <c r="J96" s="436">
        <v>148700</v>
      </c>
      <c r="K96" s="436">
        <v>1046000</v>
      </c>
      <c r="L96" s="436"/>
      <c r="M96" s="436">
        <v>1665918</v>
      </c>
      <c r="N96" s="436">
        <v>420447</v>
      </c>
      <c r="O96" s="436">
        <v>21200</v>
      </c>
      <c r="P96" s="432">
        <f t="shared" si="15"/>
        <v>4821264</v>
      </c>
      <c r="Q96" s="436">
        <v>1379740</v>
      </c>
      <c r="R96" s="436">
        <v>719672</v>
      </c>
      <c r="S96" s="436">
        <v>0</v>
      </c>
      <c r="T96" s="436">
        <v>0</v>
      </c>
      <c r="U96" s="436">
        <v>76577</v>
      </c>
      <c r="V96" s="436">
        <v>199804</v>
      </c>
      <c r="W96" s="436">
        <v>0</v>
      </c>
      <c r="X96" s="436">
        <v>259472</v>
      </c>
      <c r="Y96" s="436">
        <v>5625</v>
      </c>
      <c r="Z96" s="436">
        <v>2180374</v>
      </c>
      <c r="AA96" s="436">
        <v>0</v>
      </c>
      <c r="AB96" s="436">
        <v>0</v>
      </c>
      <c r="AC96" s="436">
        <v>714981</v>
      </c>
      <c r="AD96" s="436">
        <v>199602</v>
      </c>
      <c r="AE96" s="436">
        <v>1025356</v>
      </c>
      <c r="AF96" s="436">
        <v>0</v>
      </c>
      <c r="AG96" s="436">
        <v>41437</v>
      </c>
      <c r="AH96" s="436">
        <v>386599</v>
      </c>
      <c r="AI96" s="436">
        <v>1591731</v>
      </c>
      <c r="AJ96" s="436">
        <v>31683</v>
      </c>
      <c r="AK96" s="436">
        <v>0</v>
      </c>
      <c r="AL96" s="436">
        <v>829875</v>
      </c>
      <c r="AM96" s="436"/>
    </row>
    <row r="97" spans="1:39" s="155" customFormat="1" x14ac:dyDescent="0.2">
      <c r="A97" s="168">
        <v>43</v>
      </c>
      <c r="B97" s="408">
        <v>177352</v>
      </c>
      <c r="C97" s="410" t="s">
        <v>3215</v>
      </c>
      <c r="D97" s="432">
        <f t="shared" si="12"/>
        <v>4550848</v>
      </c>
      <c r="E97" s="436">
        <v>1325336</v>
      </c>
      <c r="F97" s="436">
        <v>357764</v>
      </c>
      <c r="G97" s="436">
        <v>135888</v>
      </c>
      <c r="H97" s="436">
        <v>0</v>
      </c>
      <c r="I97" s="436">
        <v>1836008</v>
      </c>
      <c r="J97" s="436">
        <v>148700</v>
      </c>
      <c r="K97" s="436">
        <v>752000</v>
      </c>
      <c r="L97" s="436"/>
      <c r="M97" s="436">
        <v>151596</v>
      </c>
      <c r="N97" s="436">
        <v>337208</v>
      </c>
      <c r="O97" s="436">
        <v>0</v>
      </c>
      <c r="P97" s="432">
        <f t="shared" si="15"/>
        <v>3997032</v>
      </c>
      <c r="Q97" s="436">
        <v>1985313</v>
      </c>
      <c r="R97" s="436">
        <v>992236</v>
      </c>
      <c r="S97" s="436">
        <v>0</v>
      </c>
      <c r="T97" s="436">
        <v>0</v>
      </c>
      <c r="U97" s="436">
        <v>0</v>
      </c>
      <c r="V97" s="436">
        <v>0</v>
      </c>
      <c r="W97" s="436">
        <v>414665</v>
      </c>
      <c r="X97" s="436">
        <v>220366</v>
      </c>
      <c r="Y97" s="436">
        <v>0</v>
      </c>
      <c r="Z97" s="436">
        <v>387452</v>
      </c>
      <c r="AA97" s="436">
        <v>0</v>
      </c>
      <c r="AB97" s="436">
        <v>-3000</v>
      </c>
      <c r="AC97" s="436">
        <v>910112</v>
      </c>
      <c r="AD97" s="436">
        <v>447996</v>
      </c>
      <c r="AE97" s="436">
        <v>1757179</v>
      </c>
      <c r="AF97" s="436">
        <v>0</v>
      </c>
      <c r="AG97" s="436">
        <v>31087</v>
      </c>
      <c r="AH97" s="436">
        <v>235019</v>
      </c>
      <c r="AI97" s="436">
        <v>308241</v>
      </c>
      <c r="AJ97" s="436">
        <v>179000</v>
      </c>
      <c r="AK97" s="436">
        <v>0</v>
      </c>
      <c r="AL97" s="436">
        <v>128398</v>
      </c>
      <c r="AM97" s="436"/>
    </row>
    <row r="98" spans="1:39" s="155" customFormat="1" x14ac:dyDescent="0.2">
      <c r="A98" s="168">
        <v>44</v>
      </c>
      <c r="B98" s="408">
        <v>177405</v>
      </c>
      <c r="C98" s="410" t="s">
        <v>3216</v>
      </c>
      <c r="D98" s="432">
        <f t="shared" si="12"/>
        <v>4664796</v>
      </c>
      <c r="E98" s="436">
        <v>1045091</v>
      </c>
      <c r="F98" s="436">
        <v>114524</v>
      </c>
      <c r="G98" s="436">
        <v>225496</v>
      </c>
      <c r="H98" s="436">
        <v>0</v>
      </c>
      <c r="I98" s="436">
        <v>1780000</v>
      </c>
      <c r="J98" s="436">
        <v>108500</v>
      </c>
      <c r="K98" s="436">
        <v>1146000</v>
      </c>
      <c r="L98" s="436"/>
      <c r="M98" s="436">
        <v>402259</v>
      </c>
      <c r="N98" s="436">
        <v>182946</v>
      </c>
      <c r="O98" s="436">
        <v>0</v>
      </c>
      <c r="P98" s="432">
        <f t="shared" si="15"/>
        <v>4653267</v>
      </c>
      <c r="Q98" s="436">
        <v>1947921</v>
      </c>
      <c r="R98" s="436">
        <v>1529024</v>
      </c>
      <c r="S98" s="436">
        <v>0</v>
      </c>
      <c r="T98" s="436">
        <v>0</v>
      </c>
      <c r="U98" s="436">
        <v>0</v>
      </c>
      <c r="V98" s="436">
        <v>0</v>
      </c>
      <c r="W98" s="436">
        <v>391870</v>
      </c>
      <c r="X98" s="436">
        <v>462059</v>
      </c>
      <c r="Y98" s="436">
        <v>16425</v>
      </c>
      <c r="Z98" s="436">
        <v>306899</v>
      </c>
      <c r="AA98" s="436">
        <v>0</v>
      </c>
      <c r="AB98" s="436">
        <v>-931</v>
      </c>
      <c r="AC98" s="436">
        <v>1000562</v>
      </c>
      <c r="AD98" s="436">
        <v>62902</v>
      </c>
      <c r="AE98" s="436">
        <v>1606847</v>
      </c>
      <c r="AF98" s="436">
        <v>22715</v>
      </c>
      <c r="AG98" s="436">
        <v>298940</v>
      </c>
      <c r="AH98" s="436">
        <v>659806</v>
      </c>
      <c r="AI98" s="436">
        <v>382706</v>
      </c>
      <c r="AJ98" s="436">
        <v>27182</v>
      </c>
      <c r="AK98" s="436">
        <v>0</v>
      </c>
      <c r="AL98" s="436">
        <v>141701</v>
      </c>
      <c r="AM98" s="436">
        <v>449906</v>
      </c>
    </row>
    <row r="99" spans="1:39" s="155" customFormat="1" x14ac:dyDescent="0.2">
      <c r="A99" s="168">
        <v>45</v>
      </c>
      <c r="B99" s="408">
        <v>178956</v>
      </c>
      <c r="C99" s="410" t="s">
        <v>3217</v>
      </c>
      <c r="D99" s="432">
        <f t="shared" si="12"/>
        <v>2894588</v>
      </c>
      <c r="E99" s="436">
        <v>755088</v>
      </c>
      <c r="F99" s="436">
        <v>125513</v>
      </c>
      <c r="G99" s="436">
        <v>207771</v>
      </c>
      <c r="H99" s="436">
        <v>0</v>
      </c>
      <c r="I99" s="436">
        <v>918000</v>
      </c>
      <c r="J99" s="436">
        <v>108500</v>
      </c>
      <c r="K99" s="436">
        <v>1029000</v>
      </c>
      <c r="L99" s="436"/>
      <c r="M99" s="436">
        <v>84000</v>
      </c>
      <c r="N99" s="436">
        <v>0</v>
      </c>
      <c r="O99" s="436">
        <v>0</v>
      </c>
      <c r="P99" s="432">
        <f t="shared" si="15"/>
        <v>2196253</v>
      </c>
      <c r="Q99" s="436">
        <v>1232251</v>
      </c>
      <c r="R99" s="436">
        <v>727285</v>
      </c>
      <c r="S99" s="436">
        <v>0</v>
      </c>
      <c r="T99" s="436">
        <v>0</v>
      </c>
      <c r="U99" s="436">
        <v>0</v>
      </c>
      <c r="V99" s="436">
        <v>0</v>
      </c>
      <c r="W99" s="436">
        <v>0</v>
      </c>
      <c r="X99" s="436">
        <v>134327</v>
      </c>
      <c r="Y99" s="436">
        <v>95000</v>
      </c>
      <c r="Z99" s="436">
        <v>7390</v>
      </c>
      <c r="AA99" s="436">
        <v>0</v>
      </c>
      <c r="AB99" s="436">
        <v>0</v>
      </c>
      <c r="AC99" s="436">
        <v>788144</v>
      </c>
      <c r="AD99" s="436">
        <v>24438</v>
      </c>
      <c r="AE99" s="436">
        <v>711000</v>
      </c>
      <c r="AF99" s="436">
        <v>25946</v>
      </c>
      <c r="AG99" s="436">
        <v>132043</v>
      </c>
      <c r="AH99" s="436">
        <v>267444</v>
      </c>
      <c r="AI99" s="436">
        <v>82902</v>
      </c>
      <c r="AJ99" s="436">
        <v>84753</v>
      </c>
      <c r="AK99" s="436">
        <v>0</v>
      </c>
      <c r="AL99" s="436">
        <v>79583</v>
      </c>
      <c r="AM99" s="436"/>
    </row>
    <row r="100" spans="1:39" s="155" customFormat="1" x14ac:dyDescent="0.2">
      <c r="A100" s="168">
        <v>46</v>
      </c>
      <c r="B100" s="408">
        <v>177469</v>
      </c>
      <c r="C100" s="410" t="s">
        <v>3218</v>
      </c>
      <c r="D100" s="432">
        <f t="shared" si="12"/>
        <v>6191003</v>
      </c>
      <c r="E100" s="436">
        <v>616977</v>
      </c>
      <c r="F100" s="436">
        <v>134151</v>
      </c>
      <c r="G100" s="436">
        <v>243220</v>
      </c>
      <c r="H100" s="436">
        <v>0</v>
      </c>
      <c r="I100" s="436">
        <v>1480901</v>
      </c>
      <c r="J100" s="436">
        <v>108500</v>
      </c>
      <c r="K100" s="436">
        <v>1186000</v>
      </c>
      <c r="L100" s="436"/>
      <c r="M100" s="436">
        <v>1515688</v>
      </c>
      <c r="N100" s="436">
        <v>1282937</v>
      </c>
      <c r="O100" s="436">
        <v>0</v>
      </c>
      <c r="P100" s="432">
        <f t="shared" si="15"/>
        <v>5860240</v>
      </c>
      <c r="Q100" s="436">
        <v>1594339</v>
      </c>
      <c r="R100" s="436">
        <v>866199</v>
      </c>
      <c r="S100" s="436">
        <v>0</v>
      </c>
      <c r="T100" s="436">
        <v>0</v>
      </c>
      <c r="U100" s="436">
        <v>33000</v>
      </c>
      <c r="V100" s="436">
        <v>0</v>
      </c>
      <c r="W100" s="436">
        <v>1477356</v>
      </c>
      <c r="X100" s="436">
        <v>230513</v>
      </c>
      <c r="Y100" s="436">
        <v>0</v>
      </c>
      <c r="Z100" s="436">
        <v>1658833</v>
      </c>
      <c r="AA100" s="436">
        <v>0</v>
      </c>
      <c r="AB100" s="436">
        <v>0</v>
      </c>
      <c r="AC100" s="436">
        <v>616396</v>
      </c>
      <c r="AD100" s="436">
        <v>4142</v>
      </c>
      <c r="AE100" s="436">
        <v>1263304</v>
      </c>
      <c r="AF100" s="436">
        <v>42874</v>
      </c>
      <c r="AG100" s="436">
        <v>52373</v>
      </c>
      <c r="AH100" s="436">
        <v>582600</v>
      </c>
      <c r="AI100" s="436">
        <v>156112</v>
      </c>
      <c r="AJ100" s="436">
        <v>399280</v>
      </c>
      <c r="AK100" s="436">
        <v>0</v>
      </c>
      <c r="AL100" s="436">
        <v>2743159</v>
      </c>
      <c r="AM100" s="436"/>
    </row>
    <row r="101" spans="1:39" s="155" customFormat="1" x14ac:dyDescent="0.2">
      <c r="A101" s="168">
        <v>47</v>
      </c>
      <c r="B101" s="408">
        <v>177557</v>
      </c>
      <c r="C101" s="410" t="s">
        <v>3219</v>
      </c>
      <c r="D101" s="432">
        <f t="shared" si="12"/>
        <v>4656704</v>
      </c>
      <c r="E101" s="436">
        <v>1156540</v>
      </c>
      <c r="F101" s="436">
        <v>145654</v>
      </c>
      <c r="G101" s="436">
        <v>236203</v>
      </c>
      <c r="H101" s="436">
        <v>0</v>
      </c>
      <c r="I101" s="436">
        <v>2217265</v>
      </c>
      <c r="J101" s="436">
        <v>128500</v>
      </c>
      <c r="K101" s="436">
        <v>1015000</v>
      </c>
      <c r="L101" s="436"/>
      <c r="M101" s="436">
        <v>35942</v>
      </c>
      <c r="N101" s="436">
        <v>103457</v>
      </c>
      <c r="O101" s="436">
        <v>0</v>
      </c>
      <c r="P101" s="432">
        <f t="shared" si="15"/>
        <v>3987355</v>
      </c>
      <c r="Q101" s="436">
        <v>2272404</v>
      </c>
      <c r="R101" s="436">
        <v>1016780</v>
      </c>
      <c r="S101" s="436">
        <v>0</v>
      </c>
      <c r="T101" s="436">
        <v>0</v>
      </c>
      <c r="U101" s="436">
        <v>0</v>
      </c>
      <c r="V101" s="436">
        <v>0</v>
      </c>
      <c r="W101" s="436">
        <v>227977</v>
      </c>
      <c r="X101" s="436">
        <v>380699</v>
      </c>
      <c r="Y101" s="436">
        <v>0</v>
      </c>
      <c r="Z101" s="436">
        <v>93997</v>
      </c>
      <c r="AA101" s="436">
        <v>0</v>
      </c>
      <c r="AB101" s="436">
        <v>-4502</v>
      </c>
      <c r="AC101" s="436">
        <v>881730</v>
      </c>
      <c r="AD101" s="436">
        <v>125175</v>
      </c>
      <c r="AE101" s="436">
        <v>1772325</v>
      </c>
      <c r="AF101" s="436">
        <v>0</v>
      </c>
      <c r="AG101" s="436">
        <v>244883</v>
      </c>
      <c r="AH101" s="436">
        <v>584297</v>
      </c>
      <c r="AI101" s="436">
        <v>168931</v>
      </c>
      <c r="AJ101" s="436">
        <v>0</v>
      </c>
      <c r="AK101" s="436">
        <v>0</v>
      </c>
      <c r="AL101" s="436">
        <v>210014</v>
      </c>
      <c r="AM101" s="436"/>
    </row>
    <row r="102" spans="1:39" s="155" customFormat="1" x14ac:dyDescent="0.2">
      <c r="A102" s="168">
        <v>48</v>
      </c>
      <c r="B102" s="408">
        <v>177600</v>
      </c>
      <c r="C102" s="410" t="s">
        <v>3220</v>
      </c>
      <c r="D102" s="432">
        <f t="shared" si="12"/>
        <v>6791891</v>
      </c>
      <c r="E102" s="436">
        <v>2178303</v>
      </c>
      <c r="F102" s="436">
        <v>392363</v>
      </c>
      <c r="G102" s="436">
        <v>298297</v>
      </c>
      <c r="H102" s="436">
        <v>0</v>
      </c>
      <c r="I102" s="436">
        <v>2786000</v>
      </c>
      <c r="J102" s="436">
        <v>108500</v>
      </c>
      <c r="K102" s="436">
        <v>774000</v>
      </c>
      <c r="L102" s="436"/>
      <c r="M102" s="436">
        <v>120467</v>
      </c>
      <c r="N102" s="436">
        <v>807021</v>
      </c>
      <c r="O102" s="436">
        <v>17600</v>
      </c>
      <c r="P102" s="432">
        <f t="shared" si="15"/>
        <v>5063004</v>
      </c>
      <c r="Q102" s="436">
        <v>3052065</v>
      </c>
      <c r="R102" s="436">
        <v>1201960</v>
      </c>
      <c r="S102" s="436">
        <v>0</v>
      </c>
      <c r="T102" s="436">
        <v>0</v>
      </c>
      <c r="U102" s="436">
        <v>0</v>
      </c>
      <c r="V102" s="436">
        <v>0</v>
      </c>
      <c r="W102" s="436">
        <v>0</v>
      </c>
      <c r="X102" s="436">
        <v>378538</v>
      </c>
      <c r="Y102" s="436">
        <v>38957</v>
      </c>
      <c r="Z102" s="436">
        <v>391484</v>
      </c>
      <c r="AA102" s="436">
        <v>0</v>
      </c>
      <c r="AB102" s="436">
        <v>0</v>
      </c>
      <c r="AC102" s="436">
        <v>1027170</v>
      </c>
      <c r="AD102" s="436">
        <v>32539</v>
      </c>
      <c r="AE102" s="436">
        <v>2187797</v>
      </c>
      <c r="AF102" s="436">
        <v>46344</v>
      </c>
      <c r="AG102" s="436">
        <v>223917</v>
      </c>
      <c r="AH102" s="436">
        <v>834757</v>
      </c>
      <c r="AI102" s="436">
        <v>117013</v>
      </c>
      <c r="AJ102" s="436">
        <v>181581</v>
      </c>
      <c r="AK102" s="436">
        <v>0</v>
      </c>
      <c r="AL102" s="436">
        <v>234066</v>
      </c>
      <c r="AM102" s="436">
        <v>177820</v>
      </c>
    </row>
    <row r="103" spans="1:39" s="155" customFormat="1" x14ac:dyDescent="0.2">
      <c r="A103" s="168">
        <v>49</v>
      </c>
      <c r="B103" s="408">
        <v>177655</v>
      </c>
      <c r="C103" s="410" t="s">
        <v>3221</v>
      </c>
      <c r="D103" s="432">
        <f t="shared" si="12"/>
        <v>7684890</v>
      </c>
      <c r="E103" s="436">
        <v>1142986</v>
      </c>
      <c r="F103" s="436">
        <v>261058</v>
      </c>
      <c r="G103" s="436">
        <v>405896</v>
      </c>
      <c r="H103" s="436">
        <v>0</v>
      </c>
      <c r="I103" s="436">
        <v>3928986</v>
      </c>
      <c r="J103" s="436">
        <v>128500</v>
      </c>
      <c r="K103" s="436">
        <v>1968350</v>
      </c>
      <c r="L103" s="436"/>
      <c r="M103" s="436">
        <v>163096</v>
      </c>
      <c r="N103" s="436">
        <v>327750</v>
      </c>
      <c r="O103" s="436">
        <v>25222</v>
      </c>
      <c r="P103" s="432">
        <f t="shared" si="15"/>
        <v>6590217</v>
      </c>
      <c r="Q103" s="436">
        <v>4124466</v>
      </c>
      <c r="R103" s="436">
        <v>1615849</v>
      </c>
      <c r="S103" s="436">
        <v>0</v>
      </c>
      <c r="T103" s="436">
        <v>0</v>
      </c>
      <c r="U103" s="436">
        <v>0</v>
      </c>
      <c r="V103" s="436">
        <v>308000</v>
      </c>
      <c r="W103" s="436">
        <v>0</v>
      </c>
      <c r="X103" s="436">
        <v>460229</v>
      </c>
      <c r="Y103" s="436">
        <v>0</v>
      </c>
      <c r="Z103" s="436">
        <v>88005</v>
      </c>
      <c r="AA103" s="436">
        <v>0</v>
      </c>
      <c r="AB103" s="436">
        <v>-6332</v>
      </c>
      <c r="AC103" s="436">
        <v>1938674</v>
      </c>
      <c r="AD103" s="436">
        <v>0</v>
      </c>
      <c r="AE103" s="436">
        <v>3169986</v>
      </c>
      <c r="AF103" s="436">
        <v>46472</v>
      </c>
      <c r="AG103" s="436">
        <v>0</v>
      </c>
      <c r="AH103" s="436">
        <v>904230</v>
      </c>
      <c r="AI103" s="436">
        <v>168421</v>
      </c>
      <c r="AJ103" s="436">
        <v>140450</v>
      </c>
      <c r="AK103" s="436">
        <v>0</v>
      </c>
      <c r="AL103" s="436">
        <v>221984</v>
      </c>
      <c r="AM103" s="436"/>
    </row>
    <row r="104" spans="1:39" s="155" customFormat="1" x14ac:dyDescent="0.2">
      <c r="A104" s="168">
        <v>50</v>
      </c>
      <c r="B104" s="408">
        <v>177726</v>
      </c>
      <c r="C104" s="410" t="s">
        <v>3222</v>
      </c>
      <c r="D104" s="432">
        <f t="shared" si="12"/>
        <v>5148098</v>
      </c>
      <c r="E104" s="436">
        <v>1503398</v>
      </c>
      <c r="F104" s="436">
        <v>178081</v>
      </c>
      <c r="G104" s="436">
        <v>166255</v>
      </c>
      <c r="H104" s="436">
        <v>0</v>
      </c>
      <c r="I104" s="436">
        <v>873707</v>
      </c>
      <c r="J104" s="436">
        <v>108500</v>
      </c>
      <c r="K104" s="436">
        <v>613000</v>
      </c>
      <c r="L104" s="436"/>
      <c r="M104" s="436">
        <v>2049493</v>
      </c>
      <c r="N104" s="436">
        <v>0</v>
      </c>
      <c r="O104" s="436">
        <v>0</v>
      </c>
      <c r="P104" s="432">
        <f t="shared" si="15"/>
        <v>5083475</v>
      </c>
      <c r="Q104" s="436">
        <v>1239384</v>
      </c>
      <c r="R104" s="436">
        <v>1126106</v>
      </c>
      <c r="S104" s="436">
        <v>57950</v>
      </c>
      <c r="T104" s="436">
        <v>0</v>
      </c>
      <c r="U104" s="436">
        <v>4862</v>
      </c>
      <c r="V104" s="436">
        <v>0</v>
      </c>
      <c r="W104" s="436">
        <v>0</v>
      </c>
      <c r="X104" s="436">
        <v>130362</v>
      </c>
      <c r="Y104" s="436">
        <v>59216</v>
      </c>
      <c r="Z104" s="436">
        <v>818829</v>
      </c>
      <c r="AA104" s="436">
        <v>1657996</v>
      </c>
      <c r="AB104" s="436">
        <v>-11230</v>
      </c>
      <c r="AC104" s="436">
        <v>902458</v>
      </c>
      <c r="AD104" s="436">
        <v>0</v>
      </c>
      <c r="AE104" s="436">
        <v>746386</v>
      </c>
      <c r="AF104" s="436">
        <v>25341</v>
      </c>
      <c r="AG104" s="436">
        <v>390286</v>
      </c>
      <c r="AH104" s="436">
        <v>356023</v>
      </c>
      <c r="AI104" s="436">
        <v>207738</v>
      </c>
      <c r="AJ104" s="436">
        <v>123070</v>
      </c>
      <c r="AK104" s="436">
        <v>0</v>
      </c>
      <c r="AL104" s="436">
        <v>2302461</v>
      </c>
      <c r="AM104" s="436">
        <v>29712</v>
      </c>
    </row>
    <row r="105" spans="1:39" s="155" customFormat="1" x14ac:dyDescent="0.2">
      <c r="A105" s="168">
        <v>51</v>
      </c>
      <c r="B105" s="408">
        <v>177762</v>
      </c>
      <c r="C105" s="410" t="s">
        <v>3223</v>
      </c>
      <c r="D105" s="432">
        <f t="shared" si="12"/>
        <v>9759519</v>
      </c>
      <c r="E105" s="436">
        <v>1184862</v>
      </c>
      <c r="F105" s="436">
        <v>207943</v>
      </c>
      <c r="G105" s="436">
        <v>145735</v>
      </c>
      <c r="H105" s="436">
        <v>0</v>
      </c>
      <c r="I105" s="436">
        <v>1113554</v>
      </c>
      <c r="J105" s="436">
        <v>108500</v>
      </c>
      <c r="K105" s="436">
        <v>795000</v>
      </c>
      <c r="L105" s="436"/>
      <c r="M105" s="436">
        <v>1502312</v>
      </c>
      <c r="N105" s="436">
        <v>5055291</v>
      </c>
      <c r="O105" s="436">
        <v>0</v>
      </c>
      <c r="P105" s="432">
        <f t="shared" si="15"/>
        <v>10160479</v>
      </c>
      <c r="Q105" s="436">
        <v>1468678</v>
      </c>
      <c r="R105" s="436">
        <v>678250</v>
      </c>
      <c r="S105" s="436">
        <v>45000</v>
      </c>
      <c r="T105" s="436">
        <v>0</v>
      </c>
      <c r="U105" s="436">
        <v>0</v>
      </c>
      <c r="V105" s="436">
        <v>0</v>
      </c>
      <c r="W105" s="436">
        <v>6282253</v>
      </c>
      <c r="X105" s="436">
        <v>208473</v>
      </c>
      <c r="Y105" s="436">
        <v>0</v>
      </c>
      <c r="Z105" s="436">
        <v>1416225</v>
      </c>
      <c r="AA105" s="436">
        <v>61600</v>
      </c>
      <c r="AB105" s="436">
        <v>0</v>
      </c>
      <c r="AC105" s="436">
        <v>744561</v>
      </c>
      <c r="AD105" s="436">
        <v>0</v>
      </c>
      <c r="AE105" s="436">
        <v>974984</v>
      </c>
      <c r="AF105" s="436">
        <v>51383</v>
      </c>
      <c r="AG105" s="436">
        <v>161006</v>
      </c>
      <c r="AH105" s="436">
        <v>223195</v>
      </c>
      <c r="AI105" s="436">
        <v>6740491</v>
      </c>
      <c r="AJ105" s="436">
        <v>0</v>
      </c>
      <c r="AK105" s="436">
        <v>0</v>
      </c>
      <c r="AL105" s="436">
        <v>1264859</v>
      </c>
      <c r="AM105" s="436"/>
    </row>
    <row r="106" spans="1:39" s="155" customFormat="1" x14ac:dyDescent="0.2">
      <c r="A106" s="168">
        <v>52</v>
      </c>
      <c r="B106" s="408">
        <v>178965</v>
      </c>
      <c r="C106" s="410" t="s">
        <v>3224</v>
      </c>
      <c r="D106" s="432">
        <f t="shared" si="12"/>
        <v>4010129</v>
      </c>
      <c r="E106" s="436">
        <v>514653</v>
      </c>
      <c r="F106" s="436">
        <v>78863</v>
      </c>
      <c r="G106" s="436">
        <v>266853</v>
      </c>
      <c r="H106" s="436">
        <v>0</v>
      </c>
      <c r="I106" s="436">
        <v>1340000</v>
      </c>
      <c r="J106" s="436">
        <v>108500</v>
      </c>
      <c r="K106" s="436">
        <v>1268000</v>
      </c>
      <c r="L106" s="436"/>
      <c r="M106" s="436">
        <v>585390</v>
      </c>
      <c r="N106" s="436">
        <v>193586</v>
      </c>
      <c r="O106" s="436">
        <v>0</v>
      </c>
      <c r="P106" s="432">
        <f t="shared" si="15"/>
        <v>5372046</v>
      </c>
      <c r="Q106" s="436">
        <v>1601919</v>
      </c>
      <c r="R106" s="436">
        <v>552534</v>
      </c>
      <c r="S106" s="436">
        <v>0</v>
      </c>
      <c r="T106" s="436">
        <v>0</v>
      </c>
      <c r="U106" s="436">
        <v>0</v>
      </c>
      <c r="V106" s="436">
        <v>0</v>
      </c>
      <c r="W106" s="436">
        <v>1107918</v>
      </c>
      <c r="X106" s="436">
        <v>81785</v>
      </c>
      <c r="Y106" s="436">
        <v>7900</v>
      </c>
      <c r="Z106" s="436">
        <v>2019990</v>
      </c>
      <c r="AA106" s="436">
        <v>0</v>
      </c>
      <c r="AB106" s="436">
        <v>0</v>
      </c>
      <c r="AC106" s="436">
        <v>866856</v>
      </c>
      <c r="AD106" s="436">
        <v>23366</v>
      </c>
      <c r="AE106" s="436">
        <v>1593466</v>
      </c>
      <c r="AF106" s="436">
        <v>0</v>
      </c>
      <c r="AG106" s="436">
        <v>36056</v>
      </c>
      <c r="AH106" s="436">
        <v>238280</v>
      </c>
      <c r="AI106" s="436">
        <v>1414259</v>
      </c>
      <c r="AJ106" s="436">
        <v>37452</v>
      </c>
      <c r="AK106" s="436">
        <v>0</v>
      </c>
      <c r="AL106" s="436">
        <v>1162311</v>
      </c>
      <c r="AM106" s="436"/>
    </row>
    <row r="107" spans="1:39" s="155" customFormat="1" x14ac:dyDescent="0.2">
      <c r="A107" s="168">
        <v>53</v>
      </c>
      <c r="B107" s="408">
        <v>177799</v>
      </c>
      <c r="C107" s="410" t="s">
        <v>3225</v>
      </c>
      <c r="D107" s="432">
        <f t="shared" si="12"/>
        <v>5731545</v>
      </c>
      <c r="E107" s="436">
        <v>1197384</v>
      </c>
      <c r="F107" s="436">
        <v>184551</v>
      </c>
      <c r="G107" s="436">
        <v>241024</v>
      </c>
      <c r="H107" s="436">
        <v>0</v>
      </c>
      <c r="I107" s="436">
        <v>1817864</v>
      </c>
      <c r="J107" s="436">
        <v>108500</v>
      </c>
      <c r="K107" s="436">
        <v>1011000</v>
      </c>
      <c r="L107" s="436"/>
      <c r="M107" s="436">
        <v>424075</v>
      </c>
      <c r="N107" s="436">
        <v>1172722</v>
      </c>
      <c r="O107" s="436">
        <v>0</v>
      </c>
      <c r="P107" s="432">
        <f t="shared" si="15"/>
        <v>4962784</v>
      </c>
      <c r="Q107" s="436">
        <v>1880782</v>
      </c>
      <c r="R107" s="436">
        <v>915661</v>
      </c>
      <c r="S107" s="436">
        <v>0</v>
      </c>
      <c r="T107" s="436">
        <v>0</v>
      </c>
      <c r="U107" s="436">
        <v>0</v>
      </c>
      <c r="V107" s="436">
        <v>0</v>
      </c>
      <c r="W107" s="436">
        <v>1130302</v>
      </c>
      <c r="X107" s="436">
        <v>556064</v>
      </c>
      <c r="Y107" s="436">
        <v>10000</v>
      </c>
      <c r="Z107" s="436">
        <v>470480</v>
      </c>
      <c r="AA107" s="436">
        <v>0</v>
      </c>
      <c r="AB107" s="436">
        <v>-505</v>
      </c>
      <c r="AC107" s="436">
        <v>719156</v>
      </c>
      <c r="AD107" s="436">
        <v>37400</v>
      </c>
      <c r="AE107" s="436">
        <v>2200687</v>
      </c>
      <c r="AF107" s="436">
        <v>0</v>
      </c>
      <c r="AG107" s="436">
        <v>51646</v>
      </c>
      <c r="AH107" s="436">
        <v>556064</v>
      </c>
      <c r="AI107" s="436">
        <v>303905</v>
      </c>
      <c r="AJ107" s="436">
        <v>73898</v>
      </c>
      <c r="AK107" s="436">
        <v>0</v>
      </c>
      <c r="AL107" s="436">
        <v>964028</v>
      </c>
      <c r="AM107" s="436">
        <v>56000</v>
      </c>
    </row>
    <row r="108" spans="1:39" s="155" customFormat="1" x14ac:dyDescent="0.2">
      <c r="A108" s="168">
        <v>54</v>
      </c>
      <c r="B108" s="408">
        <v>177842</v>
      </c>
      <c r="C108" s="410" t="s">
        <v>3226</v>
      </c>
      <c r="D108" s="432">
        <f t="shared" si="12"/>
        <v>6126634</v>
      </c>
      <c r="E108" s="436">
        <v>1815999</v>
      </c>
      <c r="F108" s="436">
        <v>468673</v>
      </c>
      <c r="G108" s="436">
        <v>349829</v>
      </c>
      <c r="H108" s="436">
        <v>0</v>
      </c>
      <c r="I108" s="436">
        <v>2317756</v>
      </c>
      <c r="J108" s="436">
        <v>148700</v>
      </c>
      <c r="K108" s="436">
        <v>995000</v>
      </c>
      <c r="L108" s="436"/>
      <c r="M108" s="436">
        <v>516523</v>
      </c>
      <c r="N108" s="436">
        <v>331656</v>
      </c>
      <c r="O108" s="436">
        <v>1000</v>
      </c>
      <c r="P108" s="432">
        <f t="shared" si="15"/>
        <v>6950373</v>
      </c>
      <c r="Q108" s="436">
        <v>2674432</v>
      </c>
      <c r="R108" s="436">
        <v>1836174</v>
      </c>
      <c r="S108" s="436">
        <v>0</v>
      </c>
      <c r="T108" s="436">
        <v>0</v>
      </c>
      <c r="U108" s="436">
        <v>129411</v>
      </c>
      <c r="V108" s="436">
        <v>0</v>
      </c>
      <c r="W108" s="436">
        <v>0</v>
      </c>
      <c r="X108" s="436">
        <v>313777</v>
      </c>
      <c r="Y108" s="436">
        <v>0</v>
      </c>
      <c r="Z108" s="436">
        <v>1996579</v>
      </c>
      <c r="AA108" s="436">
        <v>0</v>
      </c>
      <c r="AB108" s="436">
        <v>0</v>
      </c>
      <c r="AC108" s="436">
        <v>1440409</v>
      </c>
      <c r="AD108" s="436">
        <v>79115</v>
      </c>
      <c r="AE108" s="436">
        <v>1834990</v>
      </c>
      <c r="AF108" s="436">
        <v>13133</v>
      </c>
      <c r="AG108" s="436">
        <v>78279</v>
      </c>
      <c r="AH108" s="436">
        <v>693918</v>
      </c>
      <c r="AI108" s="436">
        <v>1694453</v>
      </c>
      <c r="AJ108" s="436">
        <v>65862</v>
      </c>
      <c r="AK108" s="436">
        <v>0</v>
      </c>
      <c r="AL108" s="436">
        <v>1050214</v>
      </c>
      <c r="AM108" s="436"/>
    </row>
    <row r="109" spans="1:39" s="155" customFormat="1" x14ac:dyDescent="0.2">
      <c r="A109" s="168">
        <v>55</v>
      </c>
      <c r="B109" s="408">
        <v>177879</v>
      </c>
      <c r="C109" s="410" t="s">
        <v>3227</v>
      </c>
      <c r="D109" s="432">
        <f t="shared" si="12"/>
        <v>5427424</v>
      </c>
      <c r="E109" s="436">
        <v>690120</v>
      </c>
      <c r="F109" s="436">
        <v>78898</v>
      </c>
      <c r="G109" s="436">
        <v>250113</v>
      </c>
      <c r="H109" s="436">
        <v>0</v>
      </c>
      <c r="I109" s="436">
        <v>1401823</v>
      </c>
      <c r="J109" s="436">
        <v>128500</v>
      </c>
      <c r="K109" s="436">
        <v>1208000</v>
      </c>
      <c r="L109" s="436"/>
      <c r="M109" s="436">
        <v>1827926</v>
      </c>
      <c r="N109" s="436">
        <v>171055</v>
      </c>
      <c r="O109" s="436">
        <v>0</v>
      </c>
      <c r="P109" s="432">
        <f t="shared" si="15"/>
        <v>5531802</v>
      </c>
      <c r="Q109" s="436">
        <v>1619327</v>
      </c>
      <c r="R109" s="436">
        <v>562697</v>
      </c>
      <c r="S109" s="436">
        <v>0</v>
      </c>
      <c r="T109" s="436">
        <v>0</v>
      </c>
      <c r="U109" s="436">
        <v>0</v>
      </c>
      <c r="V109" s="436">
        <v>0</v>
      </c>
      <c r="W109" s="436">
        <v>8355</v>
      </c>
      <c r="X109" s="436">
        <v>228858</v>
      </c>
      <c r="Y109" s="436">
        <v>20160</v>
      </c>
      <c r="Z109" s="436">
        <v>3096631</v>
      </c>
      <c r="AA109" s="436">
        <v>0</v>
      </c>
      <c r="AB109" s="436">
        <v>-4226</v>
      </c>
      <c r="AC109" s="436">
        <v>577628</v>
      </c>
      <c r="AD109" s="436">
        <v>35953</v>
      </c>
      <c r="AE109" s="436">
        <v>1309325</v>
      </c>
      <c r="AF109" s="436">
        <v>20359</v>
      </c>
      <c r="AG109" s="436">
        <v>18951</v>
      </c>
      <c r="AH109" s="436">
        <v>340887</v>
      </c>
      <c r="AI109" s="436">
        <v>319041</v>
      </c>
      <c r="AJ109" s="436">
        <v>0</v>
      </c>
      <c r="AK109" s="436">
        <v>0</v>
      </c>
      <c r="AL109" s="436">
        <v>2909658</v>
      </c>
      <c r="AM109" s="436"/>
    </row>
    <row r="110" spans="1:39" s="155" customFormat="1" x14ac:dyDescent="0.2">
      <c r="A110" s="168">
        <v>56</v>
      </c>
      <c r="B110" s="408">
        <v>177986</v>
      </c>
      <c r="C110" s="410" t="s">
        <v>3228</v>
      </c>
      <c r="D110" s="432">
        <f t="shared" si="12"/>
        <v>5303683</v>
      </c>
      <c r="E110" s="436">
        <v>1271443</v>
      </c>
      <c r="F110" s="436">
        <v>248756</v>
      </c>
      <c r="G110" s="436">
        <v>255437</v>
      </c>
      <c r="H110" s="436">
        <v>0</v>
      </c>
      <c r="I110" s="436">
        <v>2050944</v>
      </c>
      <c r="J110" s="436">
        <v>108500</v>
      </c>
      <c r="K110" s="436">
        <v>897000</v>
      </c>
      <c r="L110" s="436"/>
      <c r="M110" s="436">
        <v>975796</v>
      </c>
      <c r="N110" s="436">
        <v>0</v>
      </c>
      <c r="O110" s="436">
        <v>0</v>
      </c>
      <c r="P110" s="432">
        <f t="shared" si="15"/>
        <v>5610446</v>
      </c>
      <c r="Q110" s="436">
        <v>2505439</v>
      </c>
      <c r="R110" s="436">
        <v>1082132</v>
      </c>
      <c r="S110" s="436">
        <v>0</v>
      </c>
      <c r="T110" s="436">
        <v>0</v>
      </c>
      <c r="U110" s="436">
        <v>0</v>
      </c>
      <c r="V110" s="436">
        <v>0</v>
      </c>
      <c r="W110" s="436">
        <v>0</v>
      </c>
      <c r="X110" s="436">
        <v>414491</v>
      </c>
      <c r="Y110" s="436">
        <v>0</v>
      </c>
      <c r="Z110" s="436">
        <v>1616984</v>
      </c>
      <c r="AA110" s="436">
        <v>0</v>
      </c>
      <c r="AB110" s="436">
        <v>-8600</v>
      </c>
      <c r="AC110" s="436">
        <v>1462915</v>
      </c>
      <c r="AD110" s="436">
        <v>0</v>
      </c>
      <c r="AE110" s="436">
        <v>1541811</v>
      </c>
      <c r="AF110" s="436">
        <v>0</v>
      </c>
      <c r="AG110" s="436">
        <v>123069</v>
      </c>
      <c r="AH110" s="436">
        <v>671883</v>
      </c>
      <c r="AI110" s="436">
        <v>383682</v>
      </c>
      <c r="AJ110" s="436">
        <v>80240</v>
      </c>
      <c r="AK110" s="436">
        <v>0</v>
      </c>
      <c r="AL110" s="436">
        <v>1282924</v>
      </c>
      <c r="AM110" s="436">
        <v>63922</v>
      </c>
    </row>
    <row r="111" spans="1:39" s="155" customFormat="1" x14ac:dyDescent="0.2">
      <c r="A111" s="168">
        <v>57</v>
      </c>
      <c r="B111" s="408">
        <v>178046</v>
      </c>
      <c r="C111" s="410" t="s">
        <v>3229</v>
      </c>
      <c r="D111" s="432">
        <f t="shared" si="12"/>
        <v>5487299</v>
      </c>
      <c r="E111" s="436">
        <v>927532</v>
      </c>
      <c r="F111" s="436">
        <v>152779</v>
      </c>
      <c r="G111" s="436">
        <v>209740</v>
      </c>
      <c r="H111" s="436">
        <v>0</v>
      </c>
      <c r="I111" s="436">
        <v>1837000</v>
      </c>
      <c r="J111" s="436">
        <v>128500</v>
      </c>
      <c r="K111" s="436">
        <v>1060000</v>
      </c>
      <c r="L111" s="436"/>
      <c r="M111" s="436">
        <v>1337088</v>
      </c>
      <c r="N111" s="436">
        <v>197179</v>
      </c>
      <c r="O111" s="436">
        <v>0</v>
      </c>
      <c r="P111" s="432">
        <f t="shared" si="15"/>
        <v>5458833</v>
      </c>
      <c r="Q111" s="436">
        <v>2200423</v>
      </c>
      <c r="R111" s="436">
        <v>767514</v>
      </c>
      <c r="S111" s="436">
        <v>0</v>
      </c>
      <c r="T111" s="436">
        <v>0</v>
      </c>
      <c r="U111" s="436">
        <v>0</v>
      </c>
      <c r="V111" s="436">
        <v>313450</v>
      </c>
      <c r="W111" s="436">
        <v>191771</v>
      </c>
      <c r="X111" s="436">
        <v>282091</v>
      </c>
      <c r="Y111" s="436">
        <v>0</v>
      </c>
      <c r="Z111" s="436">
        <v>1703584</v>
      </c>
      <c r="AA111" s="436">
        <v>0</v>
      </c>
      <c r="AB111" s="436">
        <v>0</v>
      </c>
      <c r="AC111" s="436">
        <v>1182139</v>
      </c>
      <c r="AD111" s="436">
        <v>318493</v>
      </c>
      <c r="AE111" s="436">
        <v>1644383</v>
      </c>
      <c r="AF111" s="436">
        <v>0</v>
      </c>
      <c r="AG111" s="436">
        <v>90390</v>
      </c>
      <c r="AH111" s="436">
        <v>296036</v>
      </c>
      <c r="AI111" s="436">
        <v>26248</v>
      </c>
      <c r="AJ111" s="436">
        <v>32460</v>
      </c>
      <c r="AK111" s="436">
        <v>0</v>
      </c>
      <c r="AL111" s="436">
        <v>1868684</v>
      </c>
      <c r="AM111" s="436"/>
    </row>
    <row r="112" spans="1:39" s="155" customFormat="1" x14ac:dyDescent="0.2">
      <c r="A112" s="168">
        <v>58</v>
      </c>
      <c r="B112" s="408">
        <v>178117</v>
      </c>
      <c r="C112" s="410" t="s">
        <v>3230</v>
      </c>
      <c r="D112" s="432">
        <f t="shared" si="12"/>
        <v>6133488</v>
      </c>
      <c r="E112" s="436">
        <v>1756829</v>
      </c>
      <c r="F112" s="436">
        <v>616694</v>
      </c>
      <c r="G112" s="436">
        <v>198025</v>
      </c>
      <c r="H112" s="436">
        <v>0</v>
      </c>
      <c r="I112" s="436">
        <v>2139910</v>
      </c>
      <c r="J112" s="436">
        <v>108500</v>
      </c>
      <c r="K112" s="436">
        <v>678000</v>
      </c>
      <c r="L112" s="436"/>
      <c r="M112" s="436">
        <v>1450249</v>
      </c>
      <c r="N112" s="436">
        <v>0</v>
      </c>
      <c r="O112" s="436">
        <v>0</v>
      </c>
      <c r="P112" s="432">
        <f t="shared" si="15"/>
        <v>5492393</v>
      </c>
      <c r="Q112" s="436">
        <v>2210706</v>
      </c>
      <c r="R112" s="436">
        <v>1193483</v>
      </c>
      <c r="S112" s="436">
        <v>0</v>
      </c>
      <c r="T112" s="436">
        <v>0</v>
      </c>
      <c r="U112" s="436">
        <v>28767</v>
      </c>
      <c r="V112" s="436">
        <v>0</v>
      </c>
      <c r="W112" s="436">
        <v>0</v>
      </c>
      <c r="X112" s="436">
        <v>492518</v>
      </c>
      <c r="Y112" s="436">
        <v>7573</v>
      </c>
      <c r="Z112" s="436">
        <v>1561652</v>
      </c>
      <c r="AA112" s="436">
        <v>0</v>
      </c>
      <c r="AB112" s="436">
        <v>-2306</v>
      </c>
      <c r="AC112" s="436">
        <v>844034</v>
      </c>
      <c r="AD112" s="436">
        <v>153970</v>
      </c>
      <c r="AE112" s="436">
        <v>1789660</v>
      </c>
      <c r="AF112" s="436">
        <v>0</v>
      </c>
      <c r="AG112" s="436">
        <v>39495</v>
      </c>
      <c r="AH112" s="436">
        <v>518979</v>
      </c>
      <c r="AI112" s="436">
        <v>1161079</v>
      </c>
      <c r="AJ112" s="436">
        <v>871693</v>
      </c>
      <c r="AK112" s="436">
        <v>0</v>
      </c>
      <c r="AL112" s="436">
        <v>113483</v>
      </c>
      <c r="AM112" s="436"/>
    </row>
    <row r="113" spans="1:39" s="155" customFormat="1" x14ac:dyDescent="0.2">
      <c r="A113" s="168">
        <v>59</v>
      </c>
      <c r="B113" s="408">
        <v>178180</v>
      </c>
      <c r="C113" s="410" t="s">
        <v>3231</v>
      </c>
      <c r="D113" s="432">
        <f t="shared" si="12"/>
        <v>6023585</v>
      </c>
      <c r="E113" s="436">
        <v>1594610</v>
      </c>
      <c r="F113" s="436">
        <v>268840</v>
      </c>
      <c r="G113" s="436">
        <v>257065</v>
      </c>
      <c r="H113" s="436">
        <v>0</v>
      </c>
      <c r="I113" s="436">
        <v>2389000</v>
      </c>
      <c r="J113" s="436">
        <v>148700</v>
      </c>
      <c r="K113" s="436">
        <v>937000</v>
      </c>
      <c r="L113" s="436"/>
      <c r="M113" s="436">
        <v>586248</v>
      </c>
      <c r="N113" s="436">
        <v>368027</v>
      </c>
      <c r="O113" s="436">
        <v>0</v>
      </c>
      <c r="P113" s="432">
        <f t="shared" si="15"/>
        <v>6023584</v>
      </c>
      <c r="Q113" s="436">
        <v>2642220</v>
      </c>
      <c r="R113" s="436">
        <v>1784925</v>
      </c>
      <c r="S113" s="436">
        <v>0</v>
      </c>
      <c r="T113" s="436">
        <v>0</v>
      </c>
      <c r="U113" s="436">
        <v>0</v>
      </c>
      <c r="V113" s="436">
        <v>0</v>
      </c>
      <c r="W113" s="436">
        <v>1085035</v>
      </c>
      <c r="X113" s="436">
        <v>472076</v>
      </c>
      <c r="Y113" s="436">
        <v>39328</v>
      </c>
      <c r="Z113" s="436">
        <v>0</v>
      </c>
      <c r="AA113" s="436">
        <v>0</v>
      </c>
      <c r="AB113" s="436">
        <v>0</v>
      </c>
      <c r="AC113" s="436">
        <v>1356159</v>
      </c>
      <c r="AD113" s="436">
        <v>12503</v>
      </c>
      <c r="AE113" s="436">
        <v>1843000</v>
      </c>
      <c r="AF113" s="436">
        <v>25328</v>
      </c>
      <c r="AG113" s="436">
        <v>99997</v>
      </c>
      <c r="AH113" s="436">
        <v>706449</v>
      </c>
      <c r="AI113" s="436">
        <v>357776</v>
      </c>
      <c r="AJ113" s="436">
        <v>192455</v>
      </c>
      <c r="AK113" s="436">
        <v>0</v>
      </c>
      <c r="AL113" s="436">
        <v>1247487</v>
      </c>
      <c r="AM113" s="436">
        <v>182430</v>
      </c>
    </row>
    <row r="114" spans="1:39" s="155" customFormat="1" x14ac:dyDescent="0.2">
      <c r="A114" s="168">
        <v>60</v>
      </c>
      <c r="B114" s="408">
        <v>178279</v>
      </c>
      <c r="C114" s="410" t="s">
        <v>3232</v>
      </c>
      <c r="D114" s="432">
        <f t="shared" si="12"/>
        <v>4409555</v>
      </c>
      <c r="E114" s="436">
        <v>942610</v>
      </c>
      <c r="F114" s="436">
        <v>145064</v>
      </c>
      <c r="G114" s="436">
        <v>189062</v>
      </c>
      <c r="H114" s="436">
        <v>0</v>
      </c>
      <c r="I114" s="436">
        <v>922980</v>
      </c>
      <c r="J114" s="436">
        <v>108500</v>
      </c>
      <c r="K114" s="436">
        <v>996000</v>
      </c>
      <c r="L114" s="436"/>
      <c r="M114" s="436">
        <v>329608</v>
      </c>
      <c r="N114" s="436">
        <v>1109857</v>
      </c>
      <c r="O114" s="436">
        <v>0</v>
      </c>
      <c r="P114" s="432">
        <f t="shared" si="15"/>
        <v>4347663</v>
      </c>
      <c r="Q114" s="436">
        <v>1245385</v>
      </c>
      <c r="R114" s="436">
        <v>1110377</v>
      </c>
      <c r="S114" s="436">
        <v>0</v>
      </c>
      <c r="T114" s="436">
        <v>0</v>
      </c>
      <c r="U114" s="436">
        <v>24000</v>
      </c>
      <c r="V114" s="436">
        <v>215000</v>
      </c>
      <c r="W114" s="436">
        <v>1376079</v>
      </c>
      <c r="X114" s="436">
        <v>189855</v>
      </c>
      <c r="Y114" s="436">
        <v>4900</v>
      </c>
      <c r="Z114" s="436">
        <v>182067</v>
      </c>
      <c r="AA114" s="436">
        <v>0</v>
      </c>
      <c r="AB114" s="436">
        <v>0</v>
      </c>
      <c r="AC114" s="436">
        <v>1100793</v>
      </c>
      <c r="AD114" s="436">
        <v>197207</v>
      </c>
      <c r="AE114" s="436">
        <v>814426</v>
      </c>
      <c r="AF114" s="436">
        <v>14921</v>
      </c>
      <c r="AG114" s="436">
        <v>132817</v>
      </c>
      <c r="AH114" s="436">
        <v>213855</v>
      </c>
      <c r="AI114" s="436">
        <v>1182469</v>
      </c>
      <c r="AJ114" s="436">
        <v>3499</v>
      </c>
      <c r="AK114" s="436">
        <v>0</v>
      </c>
      <c r="AL114" s="436">
        <v>652676</v>
      </c>
      <c r="AM114" s="436">
        <v>35000</v>
      </c>
    </row>
    <row r="115" spans="1:39" s="155" customFormat="1" x14ac:dyDescent="0.2">
      <c r="A115" s="168">
        <v>61</v>
      </c>
      <c r="B115" s="408">
        <v>178313</v>
      </c>
      <c r="C115" s="410" t="s">
        <v>3233</v>
      </c>
      <c r="D115" s="432">
        <f t="shared" si="12"/>
        <v>2885214</v>
      </c>
      <c r="E115" s="436">
        <v>617823</v>
      </c>
      <c r="F115" s="436">
        <v>101341</v>
      </c>
      <c r="G115" s="436">
        <v>229434</v>
      </c>
      <c r="H115" s="436">
        <v>0</v>
      </c>
      <c r="I115" s="436">
        <v>1007000</v>
      </c>
      <c r="J115" s="436">
        <v>108500</v>
      </c>
      <c r="K115" s="436">
        <v>1132000</v>
      </c>
      <c r="L115" s="436"/>
      <c r="M115" s="436">
        <v>19891</v>
      </c>
      <c r="N115" s="436">
        <v>0</v>
      </c>
      <c r="O115" s="436">
        <v>0</v>
      </c>
      <c r="P115" s="432">
        <f t="shared" si="15"/>
        <v>2239091</v>
      </c>
      <c r="Q115" s="436">
        <v>1331019</v>
      </c>
      <c r="R115" s="436">
        <v>606477</v>
      </c>
      <c r="S115" s="436">
        <v>0</v>
      </c>
      <c r="T115" s="436">
        <v>0</v>
      </c>
      <c r="U115" s="436">
        <v>0</v>
      </c>
      <c r="V115" s="436">
        <v>0</v>
      </c>
      <c r="W115" s="436">
        <v>0</v>
      </c>
      <c r="X115" s="436">
        <v>155836</v>
      </c>
      <c r="Y115" s="436">
        <v>0</v>
      </c>
      <c r="Z115" s="436">
        <v>147317</v>
      </c>
      <c r="AA115" s="436">
        <v>0</v>
      </c>
      <c r="AB115" s="436">
        <v>-1558</v>
      </c>
      <c r="AC115" s="436">
        <v>706395</v>
      </c>
      <c r="AD115" s="436">
        <v>33194</v>
      </c>
      <c r="AE115" s="436">
        <v>751880</v>
      </c>
      <c r="AF115" s="436">
        <v>0</v>
      </c>
      <c r="AG115" s="436">
        <v>43139</v>
      </c>
      <c r="AH115" s="436">
        <v>345462</v>
      </c>
      <c r="AI115" s="436">
        <v>73965</v>
      </c>
      <c r="AJ115" s="436">
        <v>49837</v>
      </c>
      <c r="AK115" s="436">
        <v>0</v>
      </c>
      <c r="AL115" s="436">
        <v>235219</v>
      </c>
      <c r="AM115" s="436"/>
    </row>
    <row r="116" spans="1:39" s="155" customFormat="1" x14ac:dyDescent="0.2">
      <c r="A116" s="168">
        <v>62</v>
      </c>
      <c r="B116" s="408">
        <v>178377</v>
      </c>
      <c r="C116" s="410" t="s">
        <v>1053</v>
      </c>
      <c r="D116" s="432">
        <f t="shared" si="12"/>
        <v>13724304</v>
      </c>
      <c r="E116" s="436">
        <v>2871754</v>
      </c>
      <c r="F116" s="436">
        <v>864435</v>
      </c>
      <c r="G116" s="436">
        <v>459087</v>
      </c>
      <c r="H116" s="436">
        <v>0</v>
      </c>
      <c r="I116" s="436">
        <v>6019064</v>
      </c>
      <c r="J116" s="436">
        <v>128500</v>
      </c>
      <c r="K116" s="436">
        <v>964000</v>
      </c>
      <c r="L116" s="436"/>
      <c r="M116" s="436">
        <v>1868231</v>
      </c>
      <c r="N116" s="436">
        <v>1872755</v>
      </c>
      <c r="O116" s="436">
        <v>0</v>
      </c>
      <c r="P116" s="432">
        <f t="shared" si="15"/>
        <v>13641860</v>
      </c>
      <c r="Q116" s="436">
        <v>5860946</v>
      </c>
      <c r="R116" s="436">
        <v>2694046</v>
      </c>
      <c r="S116" s="436">
        <v>22700</v>
      </c>
      <c r="T116" s="436">
        <v>0</v>
      </c>
      <c r="U116" s="436">
        <v>0</v>
      </c>
      <c r="V116" s="436">
        <v>0</v>
      </c>
      <c r="W116" s="436">
        <v>1786177</v>
      </c>
      <c r="X116" s="436">
        <v>701408</v>
      </c>
      <c r="Y116" s="436">
        <v>0</v>
      </c>
      <c r="Z116" s="436">
        <v>2491788</v>
      </c>
      <c r="AA116" s="436">
        <v>90720</v>
      </c>
      <c r="AB116" s="436">
        <v>-5925</v>
      </c>
      <c r="AC116" s="436">
        <v>1282249</v>
      </c>
      <c r="AD116" s="436">
        <v>64364</v>
      </c>
      <c r="AE116" s="436">
        <v>7268532</v>
      </c>
      <c r="AF116" s="436">
        <v>16260</v>
      </c>
      <c r="AG116" s="436">
        <v>87595</v>
      </c>
      <c r="AH116" s="436">
        <v>819493</v>
      </c>
      <c r="AI116" s="436">
        <v>852598</v>
      </c>
      <c r="AJ116" s="436">
        <v>143755</v>
      </c>
      <c r="AK116" s="436">
        <v>0</v>
      </c>
      <c r="AL116" s="436">
        <v>2713993</v>
      </c>
      <c r="AM116" s="436">
        <v>393021</v>
      </c>
    </row>
    <row r="117" spans="1:39" s="155" customFormat="1" x14ac:dyDescent="0.2">
      <c r="A117" s="168">
        <v>63</v>
      </c>
      <c r="B117" s="408">
        <v>178475</v>
      </c>
      <c r="C117" s="410" t="s">
        <v>3234</v>
      </c>
      <c r="D117" s="432">
        <f t="shared" si="12"/>
        <v>4315021</v>
      </c>
      <c r="E117" s="436">
        <v>719022</v>
      </c>
      <c r="F117" s="436">
        <v>94513</v>
      </c>
      <c r="G117" s="436">
        <v>257990</v>
      </c>
      <c r="H117" s="436">
        <v>0</v>
      </c>
      <c r="I117" s="436">
        <v>1450000</v>
      </c>
      <c r="J117" s="436">
        <v>108500</v>
      </c>
      <c r="K117" s="436">
        <v>1288000</v>
      </c>
      <c r="L117" s="436"/>
      <c r="M117" s="436">
        <v>173793</v>
      </c>
      <c r="N117" s="436">
        <v>575706</v>
      </c>
      <c r="O117" s="436">
        <v>0</v>
      </c>
      <c r="P117" s="432">
        <f t="shared" si="15"/>
        <v>3761748</v>
      </c>
      <c r="Q117" s="436">
        <v>1582752</v>
      </c>
      <c r="R117" s="436">
        <v>679948</v>
      </c>
      <c r="S117" s="436">
        <v>0</v>
      </c>
      <c r="T117" s="436">
        <v>0</v>
      </c>
      <c r="U117" s="436">
        <v>0</v>
      </c>
      <c r="V117" s="436">
        <v>0</v>
      </c>
      <c r="W117" s="436">
        <v>1041517</v>
      </c>
      <c r="X117" s="436">
        <v>251690</v>
      </c>
      <c r="Y117" s="436">
        <v>20000</v>
      </c>
      <c r="Z117" s="436">
        <v>185841</v>
      </c>
      <c r="AA117" s="436">
        <v>0</v>
      </c>
      <c r="AB117" s="436">
        <v>0</v>
      </c>
      <c r="AC117" s="436">
        <v>654076</v>
      </c>
      <c r="AD117" s="436">
        <v>18915</v>
      </c>
      <c r="AE117" s="436">
        <v>1634096</v>
      </c>
      <c r="AF117" s="436">
        <v>0</v>
      </c>
      <c r="AG117" s="436">
        <v>73438</v>
      </c>
      <c r="AH117" s="436">
        <v>290036</v>
      </c>
      <c r="AI117" s="436">
        <v>73127</v>
      </c>
      <c r="AJ117" s="436">
        <v>3541</v>
      </c>
      <c r="AK117" s="436">
        <v>0</v>
      </c>
      <c r="AL117" s="436">
        <v>928220</v>
      </c>
      <c r="AM117" s="436">
        <v>86299</v>
      </c>
    </row>
    <row r="118" spans="1:39" s="155" customFormat="1" x14ac:dyDescent="0.2">
      <c r="A118" s="168">
        <v>64</v>
      </c>
      <c r="B118" s="408">
        <v>178545</v>
      </c>
      <c r="C118" s="410" t="s">
        <v>3235</v>
      </c>
      <c r="D118" s="432">
        <f t="shared" ref="D118:D122" si="16">E118+SUM(H118:O118)</f>
        <v>4465631</v>
      </c>
      <c r="E118" s="436">
        <v>993036</v>
      </c>
      <c r="F118" s="436">
        <v>174804</v>
      </c>
      <c r="G118" s="436">
        <v>189062</v>
      </c>
      <c r="H118" s="436">
        <v>0</v>
      </c>
      <c r="I118" s="436">
        <v>2075533</v>
      </c>
      <c r="J118" s="436">
        <v>108500</v>
      </c>
      <c r="K118" s="436">
        <v>1020000</v>
      </c>
      <c r="L118" s="436"/>
      <c r="M118" s="436">
        <v>166044</v>
      </c>
      <c r="N118" s="436">
        <v>102518</v>
      </c>
      <c r="O118" s="436">
        <v>0</v>
      </c>
      <c r="P118" s="432">
        <f t="shared" si="15"/>
        <v>4425773</v>
      </c>
      <c r="Q118" s="436">
        <v>2356388</v>
      </c>
      <c r="R118" s="436">
        <v>1061506</v>
      </c>
      <c r="S118" s="436">
        <v>0</v>
      </c>
      <c r="T118" s="436">
        <v>0</v>
      </c>
      <c r="U118" s="436">
        <v>0</v>
      </c>
      <c r="V118" s="436">
        <v>0</v>
      </c>
      <c r="W118" s="436">
        <v>134337</v>
      </c>
      <c r="X118" s="436">
        <v>363883</v>
      </c>
      <c r="Y118" s="436">
        <v>0</v>
      </c>
      <c r="Z118" s="436">
        <v>517756</v>
      </c>
      <c r="AA118" s="436">
        <v>0</v>
      </c>
      <c r="AB118" s="436">
        <v>-8097</v>
      </c>
      <c r="AC118" s="436">
        <v>866658</v>
      </c>
      <c r="AD118" s="436">
        <v>67031</v>
      </c>
      <c r="AE118" s="436">
        <v>1818196</v>
      </c>
      <c r="AF118" s="436">
        <v>25673</v>
      </c>
      <c r="AG118" s="436">
        <v>260123</v>
      </c>
      <c r="AH118" s="436">
        <v>476711</v>
      </c>
      <c r="AI118" s="436">
        <v>448320</v>
      </c>
      <c r="AJ118" s="436">
        <v>0</v>
      </c>
      <c r="AK118" s="436">
        <v>0</v>
      </c>
      <c r="AL118" s="436">
        <v>407961</v>
      </c>
      <c r="AM118" s="436">
        <v>55100</v>
      </c>
    </row>
    <row r="119" spans="1:39" s="155" customFormat="1" x14ac:dyDescent="0.2">
      <c r="A119" s="168">
        <v>65</v>
      </c>
      <c r="B119" s="408">
        <v>178607</v>
      </c>
      <c r="C119" s="410" t="s">
        <v>3034</v>
      </c>
      <c r="D119" s="432">
        <f t="shared" si="16"/>
        <v>7229733</v>
      </c>
      <c r="E119" s="436">
        <v>3559951</v>
      </c>
      <c r="F119" s="436">
        <v>918703</v>
      </c>
      <c r="G119" s="436">
        <v>397305</v>
      </c>
      <c r="H119" s="436">
        <v>0</v>
      </c>
      <c r="I119" s="436">
        <v>2269000</v>
      </c>
      <c r="J119" s="436">
        <v>148700</v>
      </c>
      <c r="K119" s="436">
        <v>717000</v>
      </c>
      <c r="L119" s="436"/>
      <c r="M119" s="436">
        <v>161469</v>
      </c>
      <c r="N119" s="436">
        <v>373613</v>
      </c>
      <c r="O119" s="436">
        <v>0</v>
      </c>
      <c r="P119" s="432">
        <f t="shared" ref="P119:P122" si="17">IF(SUM(Q119:AB119)=SUM(AC119:AM119),SUM(Q119:AB119),"  EROARE ART/CAP")</f>
        <v>6509589</v>
      </c>
      <c r="Q119" s="436">
        <v>2698553</v>
      </c>
      <c r="R119" s="436">
        <v>1491788</v>
      </c>
      <c r="S119" s="436">
        <v>0</v>
      </c>
      <c r="T119" s="436">
        <v>0</v>
      </c>
      <c r="U119" s="436">
        <v>0</v>
      </c>
      <c r="V119" s="436">
        <v>0</v>
      </c>
      <c r="W119" s="436">
        <v>548614</v>
      </c>
      <c r="X119" s="436">
        <v>345248</v>
      </c>
      <c r="Y119" s="436">
        <v>14000</v>
      </c>
      <c r="Z119" s="436">
        <v>1412331</v>
      </c>
      <c r="AA119" s="436">
        <v>0</v>
      </c>
      <c r="AB119" s="436">
        <v>-945</v>
      </c>
      <c r="AC119" s="436">
        <v>1462805</v>
      </c>
      <c r="AD119" s="436">
        <v>117990</v>
      </c>
      <c r="AE119" s="436">
        <v>1658478</v>
      </c>
      <c r="AF119" s="436">
        <v>65599</v>
      </c>
      <c r="AG119" s="436">
        <v>528005</v>
      </c>
      <c r="AH119" s="436">
        <v>791586</v>
      </c>
      <c r="AI119" s="436">
        <v>316897</v>
      </c>
      <c r="AJ119" s="436">
        <v>0</v>
      </c>
      <c r="AK119" s="436">
        <v>0</v>
      </c>
      <c r="AL119" s="436">
        <v>1568229</v>
      </c>
      <c r="AM119" s="436"/>
    </row>
    <row r="120" spans="1:39" s="155" customFormat="1" x14ac:dyDescent="0.2">
      <c r="A120" s="168">
        <v>66</v>
      </c>
      <c r="B120" s="408">
        <v>178689</v>
      </c>
      <c r="C120" s="410" t="s">
        <v>3236</v>
      </c>
      <c r="D120" s="432">
        <f t="shared" si="16"/>
        <v>6693523</v>
      </c>
      <c r="E120" s="436">
        <v>1040928</v>
      </c>
      <c r="F120" s="436">
        <v>211881</v>
      </c>
      <c r="G120" s="436">
        <v>159521</v>
      </c>
      <c r="H120" s="436">
        <v>0</v>
      </c>
      <c r="I120" s="436">
        <v>1654517</v>
      </c>
      <c r="J120" s="436">
        <v>128500</v>
      </c>
      <c r="K120" s="436">
        <v>925000</v>
      </c>
      <c r="L120" s="436"/>
      <c r="M120" s="436">
        <v>1409362</v>
      </c>
      <c r="N120" s="436">
        <v>1514016</v>
      </c>
      <c r="O120" s="436">
        <v>21200</v>
      </c>
      <c r="P120" s="432">
        <f t="shared" si="17"/>
        <v>6067005</v>
      </c>
      <c r="Q120" s="436">
        <v>1894335</v>
      </c>
      <c r="R120" s="436">
        <v>913723</v>
      </c>
      <c r="S120" s="436">
        <v>0</v>
      </c>
      <c r="T120" s="436">
        <v>0</v>
      </c>
      <c r="U120" s="436">
        <v>0</v>
      </c>
      <c r="V120" s="436">
        <v>190000</v>
      </c>
      <c r="W120" s="436">
        <v>1676399</v>
      </c>
      <c r="X120" s="436">
        <v>309968</v>
      </c>
      <c r="Y120" s="436">
        <v>24950</v>
      </c>
      <c r="Z120" s="436">
        <v>1098263</v>
      </c>
      <c r="AA120" s="436">
        <v>0</v>
      </c>
      <c r="AB120" s="436">
        <v>-40633</v>
      </c>
      <c r="AC120" s="436">
        <v>1369558</v>
      </c>
      <c r="AD120" s="436">
        <v>0</v>
      </c>
      <c r="AE120" s="436">
        <v>3050475</v>
      </c>
      <c r="AF120" s="436">
        <v>0</v>
      </c>
      <c r="AG120" s="436">
        <v>127611</v>
      </c>
      <c r="AH120" s="436">
        <v>497332</v>
      </c>
      <c r="AI120" s="436">
        <v>141509</v>
      </c>
      <c r="AJ120" s="436">
        <v>12950</v>
      </c>
      <c r="AK120" s="436">
        <v>0</v>
      </c>
      <c r="AL120" s="436">
        <v>867570</v>
      </c>
      <c r="AM120" s="436"/>
    </row>
    <row r="121" spans="1:39" s="155" customFormat="1" x14ac:dyDescent="0.2">
      <c r="A121" s="168">
        <v>67</v>
      </c>
      <c r="B121" s="408">
        <v>178750</v>
      </c>
      <c r="C121" s="410" t="s">
        <v>3237</v>
      </c>
      <c r="D121" s="432">
        <f t="shared" si="16"/>
        <v>6167220</v>
      </c>
      <c r="E121" s="436">
        <v>633717</v>
      </c>
      <c r="F121" s="436">
        <v>134644</v>
      </c>
      <c r="G121" s="436">
        <v>227465</v>
      </c>
      <c r="H121" s="436">
        <v>0</v>
      </c>
      <c r="I121" s="436">
        <v>2115000</v>
      </c>
      <c r="J121" s="436">
        <v>128500</v>
      </c>
      <c r="K121" s="436">
        <v>1185000</v>
      </c>
      <c r="L121" s="436"/>
      <c r="M121" s="436">
        <v>1925453</v>
      </c>
      <c r="N121" s="436">
        <v>179550</v>
      </c>
      <c r="O121" s="436">
        <v>0</v>
      </c>
      <c r="P121" s="432">
        <f t="shared" si="17"/>
        <v>6220631</v>
      </c>
      <c r="Q121" s="436">
        <v>2200426</v>
      </c>
      <c r="R121" s="436">
        <v>584746</v>
      </c>
      <c r="S121" s="436">
        <v>0</v>
      </c>
      <c r="T121" s="436">
        <v>0</v>
      </c>
      <c r="U121" s="436">
        <v>49500</v>
      </c>
      <c r="V121" s="436">
        <v>0</v>
      </c>
      <c r="W121" s="436">
        <v>234360</v>
      </c>
      <c r="X121" s="436">
        <v>399019</v>
      </c>
      <c r="Y121" s="436">
        <v>1986</v>
      </c>
      <c r="Z121" s="436">
        <v>2754611</v>
      </c>
      <c r="AA121" s="436">
        <v>0</v>
      </c>
      <c r="AB121" s="436">
        <v>-4017</v>
      </c>
      <c r="AC121" s="436">
        <v>611421</v>
      </c>
      <c r="AD121" s="436">
        <v>31769</v>
      </c>
      <c r="AE121" s="436">
        <v>1660610</v>
      </c>
      <c r="AF121" s="436">
        <v>31085</v>
      </c>
      <c r="AG121" s="436">
        <v>388417</v>
      </c>
      <c r="AH121" s="436">
        <v>613292</v>
      </c>
      <c r="AI121" s="436">
        <v>383603</v>
      </c>
      <c r="AJ121" s="436">
        <v>16277</v>
      </c>
      <c r="AK121" s="436">
        <v>0</v>
      </c>
      <c r="AL121" s="436">
        <v>2484157</v>
      </c>
      <c r="AM121" s="436"/>
    </row>
    <row r="122" spans="1:39" s="155" customFormat="1" x14ac:dyDescent="0.2">
      <c r="A122" s="168">
        <v>68</v>
      </c>
      <c r="B122" s="408">
        <v>178821</v>
      </c>
      <c r="C122" s="410" t="s">
        <v>3238</v>
      </c>
      <c r="D122" s="432">
        <f t="shared" si="16"/>
        <v>8291676</v>
      </c>
      <c r="E122" s="436">
        <v>2717009</v>
      </c>
      <c r="F122" s="436">
        <v>500685</v>
      </c>
      <c r="G122" s="436">
        <v>719521</v>
      </c>
      <c r="H122" s="436">
        <v>0</v>
      </c>
      <c r="I122" s="436">
        <v>3419886</v>
      </c>
      <c r="J122" s="436">
        <v>148700</v>
      </c>
      <c r="K122" s="436">
        <v>1326000</v>
      </c>
      <c r="L122" s="436"/>
      <c r="M122" s="436">
        <v>274006</v>
      </c>
      <c r="N122" s="436">
        <v>404925</v>
      </c>
      <c r="O122" s="436">
        <v>1150</v>
      </c>
      <c r="P122" s="432">
        <f t="shared" si="17"/>
        <v>7670448</v>
      </c>
      <c r="Q122" s="436">
        <v>3856295</v>
      </c>
      <c r="R122" s="436">
        <v>1840417</v>
      </c>
      <c r="S122" s="436">
        <v>0</v>
      </c>
      <c r="T122" s="436">
        <v>0</v>
      </c>
      <c r="U122" s="436">
        <v>81390</v>
      </c>
      <c r="V122" s="436">
        <v>0</v>
      </c>
      <c r="W122" s="436">
        <v>268517</v>
      </c>
      <c r="X122" s="436">
        <v>572810</v>
      </c>
      <c r="Y122" s="436">
        <v>13813</v>
      </c>
      <c r="Z122" s="436">
        <v>1037206</v>
      </c>
      <c r="AA122" s="436">
        <v>0</v>
      </c>
      <c r="AB122" s="436">
        <v>0</v>
      </c>
      <c r="AC122" s="436">
        <v>1906043</v>
      </c>
      <c r="AD122" s="436">
        <v>0</v>
      </c>
      <c r="AE122" s="436">
        <v>2976367</v>
      </c>
      <c r="AF122" s="436">
        <v>0</v>
      </c>
      <c r="AG122" s="436">
        <v>490382</v>
      </c>
      <c r="AH122" s="436">
        <v>843682</v>
      </c>
      <c r="AI122" s="436">
        <v>977963</v>
      </c>
      <c r="AJ122" s="436">
        <v>0</v>
      </c>
      <c r="AK122" s="436">
        <v>0</v>
      </c>
      <c r="AL122" s="436">
        <v>476011</v>
      </c>
      <c r="AM122" s="436"/>
    </row>
    <row r="123" spans="1:39" s="155" customFormat="1" ht="12" hidden="1" x14ac:dyDescent="0.2">
      <c r="A123" s="168">
        <v>69</v>
      </c>
      <c r="B123" s="168"/>
      <c r="C123" s="172"/>
      <c r="D123" s="432">
        <f t="shared" ref="D123:D143" si="18">E123+SUM(H123:O123)</f>
        <v>0</v>
      </c>
      <c r="E123" s="431"/>
      <c r="F123" s="431"/>
      <c r="G123" s="431"/>
      <c r="H123" s="431"/>
      <c r="I123" s="431"/>
      <c r="J123" s="431"/>
      <c r="K123" s="431"/>
      <c r="L123" s="431"/>
      <c r="M123" s="431"/>
      <c r="N123" s="431"/>
      <c r="O123" s="431"/>
      <c r="P123" s="432">
        <f t="shared" ref="P123:P142" si="19">IF(SUM(Q123:AB123)=SUM(AC123:AM123),SUM(Q123:AB123),"  EROARE ART/CAP")</f>
        <v>0</v>
      </c>
      <c r="Q123" s="431"/>
      <c r="R123" s="431"/>
      <c r="S123" s="431"/>
      <c r="T123" s="431"/>
      <c r="U123" s="431"/>
      <c r="V123" s="431"/>
      <c r="W123" s="431"/>
      <c r="X123" s="431"/>
      <c r="Y123" s="431"/>
      <c r="Z123" s="468"/>
      <c r="AA123" s="431"/>
      <c r="AB123" s="431"/>
      <c r="AC123" s="468"/>
      <c r="AD123" s="431"/>
      <c r="AE123" s="431"/>
      <c r="AF123" s="431"/>
      <c r="AG123" s="431"/>
      <c r="AH123" s="431"/>
      <c r="AI123" s="468"/>
      <c r="AJ123" s="468"/>
      <c r="AK123" s="431"/>
      <c r="AL123" s="431"/>
      <c r="AM123" s="431"/>
    </row>
    <row r="124" spans="1:39" s="155" customFormat="1" ht="12" hidden="1" x14ac:dyDescent="0.2">
      <c r="A124" s="168">
        <v>70</v>
      </c>
      <c r="B124" s="168"/>
      <c r="C124" s="172"/>
      <c r="D124" s="432">
        <f t="shared" si="18"/>
        <v>0</v>
      </c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32">
        <f t="shared" si="19"/>
        <v>0</v>
      </c>
      <c r="Q124" s="431"/>
      <c r="R124" s="431"/>
      <c r="S124" s="431"/>
      <c r="T124" s="431"/>
      <c r="U124" s="431"/>
      <c r="V124" s="431"/>
      <c r="W124" s="431"/>
      <c r="X124" s="431"/>
      <c r="Y124" s="431"/>
      <c r="Z124" s="468"/>
      <c r="AA124" s="431"/>
      <c r="AB124" s="431"/>
      <c r="AC124" s="468"/>
      <c r="AD124" s="431"/>
      <c r="AE124" s="431"/>
      <c r="AF124" s="431"/>
      <c r="AG124" s="431"/>
      <c r="AH124" s="431"/>
      <c r="AI124" s="468"/>
      <c r="AJ124" s="468"/>
      <c r="AK124" s="431"/>
      <c r="AL124" s="431"/>
      <c r="AM124" s="431"/>
    </row>
    <row r="125" spans="1:39" s="155" customFormat="1" ht="12" hidden="1" x14ac:dyDescent="0.2">
      <c r="A125" s="168">
        <v>71</v>
      </c>
      <c r="B125" s="168"/>
      <c r="C125" s="172"/>
      <c r="D125" s="432">
        <f t="shared" si="18"/>
        <v>0</v>
      </c>
      <c r="E125" s="431"/>
      <c r="F125" s="431"/>
      <c r="G125" s="431"/>
      <c r="H125" s="431"/>
      <c r="I125" s="431"/>
      <c r="J125" s="431"/>
      <c r="K125" s="431"/>
      <c r="L125" s="431"/>
      <c r="M125" s="431"/>
      <c r="N125" s="431"/>
      <c r="O125" s="431"/>
      <c r="P125" s="432">
        <f t="shared" si="19"/>
        <v>0</v>
      </c>
      <c r="Q125" s="431"/>
      <c r="R125" s="431"/>
      <c r="S125" s="431"/>
      <c r="T125" s="431"/>
      <c r="U125" s="431"/>
      <c r="V125" s="431"/>
      <c r="W125" s="431"/>
      <c r="X125" s="431"/>
      <c r="Y125" s="431"/>
      <c r="Z125" s="468"/>
      <c r="AA125" s="431"/>
      <c r="AB125" s="431"/>
      <c r="AC125" s="468"/>
      <c r="AD125" s="431"/>
      <c r="AE125" s="431"/>
      <c r="AF125" s="431"/>
      <c r="AG125" s="431"/>
      <c r="AH125" s="431"/>
      <c r="AI125" s="468"/>
      <c r="AJ125" s="468"/>
      <c r="AK125" s="431"/>
      <c r="AL125" s="431"/>
      <c r="AM125" s="431"/>
    </row>
    <row r="126" spans="1:39" s="155" customFormat="1" ht="12" hidden="1" x14ac:dyDescent="0.2">
      <c r="A126" s="168">
        <v>72</v>
      </c>
      <c r="B126" s="168"/>
      <c r="C126" s="172"/>
      <c r="D126" s="432">
        <f t="shared" si="18"/>
        <v>0</v>
      </c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32">
        <f t="shared" si="19"/>
        <v>0</v>
      </c>
      <c r="Q126" s="431"/>
      <c r="R126" s="431"/>
      <c r="S126" s="431"/>
      <c r="T126" s="431"/>
      <c r="U126" s="431"/>
      <c r="V126" s="431"/>
      <c r="W126" s="431"/>
      <c r="X126" s="431"/>
      <c r="Y126" s="431"/>
      <c r="Z126" s="468"/>
      <c r="AA126" s="431"/>
      <c r="AB126" s="431"/>
      <c r="AC126" s="468"/>
      <c r="AD126" s="431"/>
      <c r="AE126" s="431"/>
      <c r="AF126" s="431"/>
      <c r="AG126" s="431"/>
      <c r="AH126" s="431"/>
      <c r="AI126" s="468"/>
      <c r="AJ126" s="468"/>
      <c r="AK126" s="431"/>
      <c r="AL126" s="431"/>
      <c r="AM126" s="431"/>
    </row>
    <row r="127" spans="1:39" s="155" customFormat="1" ht="12" hidden="1" x14ac:dyDescent="0.2">
      <c r="A127" s="168">
        <v>73</v>
      </c>
      <c r="B127" s="168"/>
      <c r="C127" s="172"/>
      <c r="D127" s="432">
        <f t="shared" si="18"/>
        <v>0</v>
      </c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32">
        <f t="shared" si="19"/>
        <v>0</v>
      </c>
      <c r="Q127" s="431"/>
      <c r="R127" s="431"/>
      <c r="S127" s="431"/>
      <c r="T127" s="431"/>
      <c r="U127" s="431"/>
      <c r="V127" s="431"/>
      <c r="W127" s="431"/>
      <c r="X127" s="431"/>
      <c r="Y127" s="431"/>
      <c r="Z127" s="468"/>
      <c r="AA127" s="431"/>
      <c r="AB127" s="431"/>
      <c r="AC127" s="468"/>
      <c r="AD127" s="431"/>
      <c r="AE127" s="431"/>
      <c r="AF127" s="431"/>
      <c r="AG127" s="431"/>
      <c r="AH127" s="431"/>
      <c r="AI127" s="468"/>
      <c r="AJ127" s="468"/>
      <c r="AK127" s="431"/>
      <c r="AL127" s="431"/>
      <c r="AM127" s="431"/>
    </row>
    <row r="128" spans="1:39" s="155" customFormat="1" ht="12" hidden="1" x14ac:dyDescent="0.2">
      <c r="A128" s="168">
        <v>74</v>
      </c>
      <c r="B128" s="168"/>
      <c r="C128" s="172"/>
      <c r="D128" s="432">
        <f t="shared" si="18"/>
        <v>0</v>
      </c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32">
        <f t="shared" si="19"/>
        <v>0</v>
      </c>
      <c r="Q128" s="431"/>
      <c r="R128" s="431"/>
      <c r="S128" s="431"/>
      <c r="T128" s="431"/>
      <c r="U128" s="431"/>
      <c r="V128" s="431"/>
      <c r="W128" s="431"/>
      <c r="X128" s="431"/>
      <c r="Y128" s="431"/>
      <c r="Z128" s="468"/>
      <c r="AA128" s="431"/>
      <c r="AB128" s="431"/>
      <c r="AC128" s="468"/>
      <c r="AD128" s="431"/>
      <c r="AE128" s="431"/>
      <c r="AF128" s="431"/>
      <c r="AG128" s="431"/>
      <c r="AH128" s="431"/>
      <c r="AI128" s="468"/>
      <c r="AJ128" s="468"/>
      <c r="AK128" s="431"/>
      <c r="AL128" s="431"/>
      <c r="AM128" s="431"/>
    </row>
    <row r="129" spans="1:39" s="155" customFormat="1" ht="12" hidden="1" x14ac:dyDescent="0.2">
      <c r="A129" s="168">
        <v>75</v>
      </c>
      <c r="B129" s="168"/>
      <c r="C129" s="172"/>
      <c r="D129" s="432">
        <f t="shared" si="18"/>
        <v>0</v>
      </c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32">
        <f t="shared" si="19"/>
        <v>0</v>
      </c>
      <c r="Q129" s="431"/>
      <c r="R129" s="431"/>
      <c r="S129" s="431"/>
      <c r="T129" s="431"/>
      <c r="U129" s="431"/>
      <c r="V129" s="431"/>
      <c r="W129" s="431"/>
      <c r="X129" s="431"/>
      <c r="Y129" s="431"/>
      <c r="Z129" s="468"/>
      <c r="AA129" s="431"/>
      <c r="AB129" s="431"/>
      <c r="AC129" s="468"/>
      <c r="AD129" s="431"/>
      <c r="AE129" s="431"/>
      <c r="AF129" s="431"/>
      <c r="AG129" s="431"/>
      <c r="AH129" s="431"/>
      <c r="AI129" s="468"/>
      <c r="AJ129" s="468"/>
      <c r="AK129" s="431"/>
      <c r="AL129" s="431"/>
      <c r="AM129" s="431"/>
    </row>
    <row r="130" spans="1:39" s="155" customFormat="1" ht="12" hidden="1" x14ac:dyDescent="0.2">
      <c r="A130" s="168">
        <v>76</v>
      </c>
      <c r="B130" s="168"/>
      <c r="C130" s="172"/>
      <c r="D130" s="432">
        <f t="shared" si="18"/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32">
        <f t="shared" si="19"/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</row>
    <row r="131" spans="1:39" s="155" customFormat="1" ht="12" hidden="1" x14ac:dyDescent="0.2">
      <c r="A131" s="168">
        <v>77</v>
      </c>
      <c r="B131" s="168"/>
      <c r="C131" s="172"/>
      <c r="D131" s="432">
        <f t="shared" si="18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2">
        <f t="shared" si="19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</row>
    <row r="132" spans="1:39" s="155" customFormat="1" ht="12" hidden="1" x14ac:dyDescent="0.2">
      <c r="A132" s="168">
        <v>78</v>
      </c>
      <c r="B132" s="168"/>
      <c r="C132" s="172"/>
      <c r="D132" s="432">
        <f t="shared" si="18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2">
        <f t="shared" si="19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</row>
    <row r="133" spans="1:39" s="155" customFormat="1" ht="12" hidden="1" x14ac:dyDescent="0.2">
      <c r="A133" s="168">
        <v>79</v>
      </c>
      <c r="B133" s="168"/>
      <c r="C133" s="172"/>
      <c r="D133" s="432">
        <f t="shared" si="18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si="19"/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155" customFormat="1" ht="12" hidden="1" x14ac:dyDescent="0.2">
      <c r="A134" s="168">
        <v>80</v>
      </c>
      <c r="B134" s="168"/>
      <c r="C134" s="172"/>
      <c r="D134" s="432">
        <f t="shared" si="18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si="19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155" customFormat="1" ht="12" hidden="1" x14ac:dyDescent="0.2">
      <c r="A135" s="168">
        <v>81</v>
      </c>
      <c r="B135" s="168"/>
      <c r="C135" s="172"/>
      <c r="D135" s="432">
        <f t="shared" si="18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19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155" customFormat="1" ht="12" hidden="1" x14ac:dyDescent="0.2">
      <c r="A136" s="168">
        <v>82</v>
      </c>
      <c r="B136" s="168"/>
      <c r="C136" s="172"/>
      <c r="D136" s="432">
        <f t="shared" si="18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19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155" customFormat="1" ht="12" hidden="1" x14ac:dyDescent="0.2">
      <c r="A137" s="168">
        <v>83</v>
      </c>
      <c r="B137" s="168"/>
      <c r="C137" s="172"/>
      <c r="D137" s="432">
        <f t="shared" si="18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19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68"/>
      <c r="C138" s="172"/>
      <c r="D138" s="432">
        <f t="shared" si="18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9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68"/>
      <c r="C139" s="172"/>
      <c r="D139" s="432">
        <f t="shared" si="18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9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68"/>
      <c r="C140" s="172"/>
      <c r="D140" s="432">
        <f t="shared" si="18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9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173"/>
      <c r="D141" s="432">
        <f t="shared" si="18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9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8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9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8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50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315"/>
  <sheetViews>
    <sheetView zoomScaleNormal="100" workbookViewId="0">
      <selection activeCell="E156" sqref="E156"/>
    </sheetView>
  </sheetViews>
  <sheetFormatPr defaultRowHeight="12.75" x14ac:dyDescent="0.2"/>
  <cols>
    <col min="1" max="1" width="3.140625" customWidth="1"/>
    <col min="2" max="2" width="8.140625" customWidth="1"/>
    <col min="3" max="3" width="17.42578125" customWidth="1"/>
    <col min="4" max="5" width="12" customWidth="1"/>
    <col min="6" max="6" width="11" customWidth="1"/>
    <col min="7" max="7" width="11.5703125" customWidth="1"/>
    <col min="8" max="8" width="9.7109375" customWidth="1"/>
    <col min="9" max="9" width="11.42578125" customWidth="1"/>
    <col min="10" max="10" width="10" customWidth="1"/>
    <col min="11" max="11" width="11.5703125" customWidth="1"/>
    <col min="12" max="12" width="7.28515625" customWidth="1"/>
    <col min="13" max="13" width="10.85546875" customWidth="1"/>
    <col min="14" max="14" width="10.5703125" customWidth="1"/>
    <col min="15" max="15" width="9" customWidth="1"/>
    <col min="16" max="16" width="11.42578125" customWidth="1"/>
    <col min="17" max="18" width="10.85546875" customWidth="1"/>
    <col min="19" max="19" width="9.5703125" customWidth="1"/>
    <col min="20" max="20" width="8.5703125" customWidth="1"/>
    <col min="21" max="21" width="11" customWidth="1"/>
    <col min="22" max="22" width="9.28515625" customWidth="1"/>
    <col min="23" max="23" width="10.42578125" customWidth="1"/>
    <col min="24" max="24" width="9.7109375" customWidth="1"/>
    <col min="25" max="25" width="8.5703125" customWidth="1"/>
    <col min="26" max="26" width="10.85546875" customWidth="1"/>
    <col min="27" max="27" width="10.5703125" customWidth="1"/>
    <col min="28" max="28" width="10.140625" customWidth="1"/>
    <col min="29" max="29" width="11.5703125" customWidth="1"/>
    <col min="30" max="30" width="11" customWidth="1"/>
    <col min="31" max="31" width="10.85546875" customWidth="1"/>
    <col min="32" max="32" width="10.28515625" customWidth="1"/>
    <col min="33" max="33" width="10.5703125" customWidth="1"/>
    <col min="34" max="35" width="10.7109375" customWidth="1"/>
    <col min="36" max="36" width="10" customWidth="1"/>
    <col min="37" max="37" width="8.42578125" customWidth="1"/>
    <col min="38" max="38" width="11.7109375" customWidth="1"/>
    <col min="39" max="39" width="9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977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x14ac:dyDescent="0.2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3" t="s">
        <v>11</v>
      </c>
      <c r="M9" s="670" t="s">
        <v>12</v>
      </c>
      <c r="N9" s="679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4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5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s="155" customFormat="1" ht="13.5" customHeight="1" x14ac:dyDescent="0.2">
      <c r="A14" s="153" t="s">
        <v>70</v>
      </c>
      <c r="B14" s="154"/>
      <c r="C14" s="202"/>
      <c r="D14" s="432">
        <f>E14+SUM(H14:O14)</f>
        <v>8068359583</v>
      </c>
      <c r="E14" s="432">
        <f>SUM(E15,E16,E33,E54)</f>
        <v>6543603955</v>
      </c>
      <c r="F14" s="432">
        <f t="shared" ref="F14:O14" si="0">SUM(F15,F16,F33,F54)</f>
        <v>4528503614</v>
      </c>
      <c r="G14" s="432">
        <f t="shared" si="0"/>
        <v>491462803</v>
      </c>
      <c r="H14" s="432">
        <f t="shared" si="0"/>
        <v>0</v>
      </c>
      <c r="I14" s="432">
        <f t="shared" si="0"/>
        <v>1139191746</v>
      </c>
      <c r="J14" s="432">
        <f t="shared" si="0"/>
        <v>0</v>
      </c>
      <c r="K14" s="432">
        <f t="shared" si="0"/>
        <v>31549080</v>
      </c>
      <c r="L14" s="432">
        <f t="shared" si="0"/>
        <v>0</v>
      </c>
      <c r="M14" s="432">
        <f t="shared" si="0"/>
        <v>319340644</v>
      </c>
      <c r="N14" s="432">
        <f t="shared" si="0"/>
        <v>32342585</v>
      </c>
      <c r="O14" s="432">
        <f t="shared" si="0"/>
        <v>2331573</v>
      </c>
      <c r="P14" s="432">
        <f>IF(SUM(Q14:AB14)=SUM(AC14:AM14),SUM(Q14:AB14),"  EROARE ART/CAP")</f>
        <v>7554718474</v>
      </c>
      <c r="Q14" s="432">
        <f t="shared" ref="Q14:AM14" si="1">Q15+Q16+Q33+Q54</f>
        <v>1261372850</v>
      </c>
      <c r="R14" s="432">
        <f t="shared" si="1"/>
        <v>2073483121</v>
      </c>
      <c r="S14" s="432">
        <f t="shared" si="1"/>
        <v>232762359</v>
      </c>
      <c r="T14" s="432">
        <f t="shared" si="1"/>
        <v>1256732320</v>
      </c>
      <c r="U14" s="432">
        <f t="shared" si="1"/>
        <v>643463005</v>
      </c>
      <c r="V14" s="432">
        <f t="shared" si="1"/>
        <v>45212930</v>
      </c>
      <c r="W14" s="432">
        <f t="shared" si="1"/>
        <v>195051855</v>
      </c>
      <c r="X14" s="432">
        <f t="shared" si="1"/>
        <v>379482220</v>
      </c>
      <c r="Y14" s="432">
        <f t="shared" si="1"/>
        <v>126641360</v>
      </c>
      <c r="Z14" s="432">
        <f t="shared" si="1"/>
        <v>1010891367</v>
      </c>
      <c r="AA14" s="432">
        <f t="shared" si="1"/>
        <v>379926404</v>
      </c>
      <c r="AB14" s="432">
        <f t="shared" si="1"/>
        <v>-50301317</v>
      </c>
      <c r="AC14" s="432">
        <f t="shared" si="1"/>
        <v>740099179</v>
      </c>
      <c r="AD14" s="432">
        <f t="shared" si="1"/>
        <v>175475370</v>
      </c>
      <c r="AE14" s="432">
        <f t="shared" si="1"/>
        <v>1543044116</v>
      </c>
      <c r="AF14" s="432">
        <f t="shared" si="1"/>
        <v>294722524</v>
      </c>
      <c r="AG14" s="432">
        <f t="shared" si="1"/>
        <v>865467673</v>
      </c>
      <c r="AH14" s="432">
        <f t="shared" si="1"/>
        <v>754402091</v>
      </c>
      <c r="AI14" s="432">
        <f t="shared" si="1"/>
        <v>522650251</v>
      </c>
      <c r="AJ14" s="432">
        <f t="shared" si="1"/>
        <v>639474305</v>
      </c>
      <c r="AK14" s="432">
        <f t="shared" si="1"/>
        <v>788270710</v>
      </c>
      <c r="AL14" s="432">
        <f t="shared" si="1"/>
        <v>1227478629</v>
      </c>
      <c r="AM14" s="432">
        <f t="shared" si="1"/>
        <v>3633626</v>
      </c>
    </row>
    <row r="15" spans="1:39" s="155" customFormat="1" ht="12.75" customHeight="1" x14ac:dyDescent="0.2">
      <c r="A15" s="156" t="s">
        <v>71</v>
      </c>
      <c r="B15" s="157"/>
      <c r="C15" s="158"/>
      <c r="D15" s="432">
        <f>E15+SUM(H15:O15)</f>
        <v>0</v>
      </c>
      <c r="E15" s="434"/>
      <c r="F15" s="434"/>
      <c r="G15" s="434"/>
      <c r="H15" s="434"/>
      <c r="I15" s="434"/>
      <c r="J15" s="434"/>
      <c r="K15" s="434"/>
      <c r="L15" s="434"/>
      <c r="M15" s="434"/>
      <c r="N15" s="434"/>
      <c r="O15" s="434"/>
      <c r="P15" s="432">
        <f t="shared" ref="P15:P78" si="2">IF(SUM(Q15:AB15)=SUM(AC15:AM15),SUM(Q15:AB15),"  EROARE ART/CAP")</f>
        <v>0</v>
      </c>
      <c r="Q15" s="431"/>
      <c r="R15" s="434"/>
      <c r="S15" s="434"/>
      <c r="T15" s="434"/>
      <c r="U15" s="434"/>
      <c r="V15" s="434"/>
      <c r="W15" s="434"/>
      <c r="X15" s="469"/>
      <c r="Y15" s="434"/>
      <c r="Z15" s="431"/>
      <c r="AA15" s="431"/>
      <c r="AB15" s="431"/>
      <c r="AC15" s="445"/>
      <c r="AD15" s="431"/>
      <c r="AE15" s="434"/>
      <c r="AF15" s="434"/>
      <c r="AG15" s="434"/>
      <c r="AH15" s="434"/>
      <c r="AI15" s="434"/>
      <c r="AJ15" s="434"/>
      <c r="AK15" s="434"/>
      <c r="AL15" s="434"/>
      <c r="AM15" s="434"/>
    </row>
    <row r="16" spans="1:39" s="155" customFormat="1" ht="12" x14ac:dyDescent="0.2">
      <c r="A16" s="156" t="s">
        <v>72</v>
      </c>
      <c r="B16" s="157"/>
      <c r="C16" s="159"/>
      <c r="D16" s="432">
        <f>E16+SUM(H16:O16)</f>
        <v>8068359583</v>
      </c>
      <c r="E16" s="433">
        <f>SUM(E18:E32)</f>
        <v>6543603955</v>
      </c>
      <c r="F16" s="433">
        <f t="shared" ref="F16:O16" si="3">SUM(F18:F32)</f>
        <v>4528503614</v>
      </c>
      <c r="G16" s="433">
        <f t="shared" si="3"/>
        <v>491462803</v>
      </c>
      <c r="H16" s="433">
        <f t="shared" si="3"/>
        <v>0</v>
      </c>
      <c r="I16" s="433">
        <f t="shared" si="3"/>
        <v>1139191746</v>
      </c>
      <c r="J16" s="433">
        <f t="shared" si="3"/>
        <v>0</v>
      </c>
      <c r="K16" s="433">
        <f t="shared" si="3"/>
        <v>31549080</v>
      </c>
      <c r="L16" s="433">
        <f t="shared" si="3"/>
        <v>0</v>
      </c>
      <c r="M16" s="433">
        <f t="shared" si="3"/>
        <v>319340644</v>
      </c>
      <c r="N16" s="433">
        <f t="shared" si="3"/>
        <v>32342585</v>
      </c>
      <c r="O16" s="433">
        <f t="shared" si="3"/>
        <v>2331573</v>
      </c>
      <c r="P16" s="432">
        <f t="shared" si="2"/>
        <v>7554718474</v>
      </c>
      <c r="Q16" s="432">
        <f>SUM(Q18:Q32)</f>
        <v>1261372850</v>
      </c>
      <c r="R16" s="432">
        <f t="shared" ref="R16:AM16" si="4">SUM(R18:R32)</f>
        <v>2073483121</v>
      </c>
      <c r="S16" s="432">
        <f t="shared" si="4"/>
        <v>232762359</v>
      </c>
      <c r="T16" s="432">
        <f t="shared" si="4"/>
        <v>1256732320</v>
      </c>
      <c r="U16" s="432">
        <f t="shared" si="4"/>
        <v>643463005</v>
      </c>
      <c r="V16" s="432">
        <f t="shared" si="4"/>
        <v>45212930</v>
      </c>
      <c r="W16" s="432">
        <f t="shared" si="4"/>
        <v>195051855</v>
      </c>
      <c r="X16" s="432">
        <f t="shared" si="4"/>
        <v>379482220</v>
      </c>
      <c r="Y16" s="432">
        <f t="shared" si="4"/>
        <v>126641360</v>
      </c>
      <c r="Z16" s="432">
        <f t="shared" si="4"/>
        <v>1010891367</v>
      </c>
      <c r="AA16" s="432">
        <f t="shared" si="4"/>
        <v>379926404</v>
      </c>
      <c r="AB16" s="432">
        <f t="shared" si="4"/>
        <v>-50301317</v>
      </c>
      <c r="AC16" s="432">
        <f t="shared" si="4"/>
        <v>740099179</v>
      </c>
      <c r="AD16" s="432">
        <f t="shared" si="4"/>
        <v>175475370</v>
      </c>
      <c r="AE16" s="432">
        <f t="shared" si="4"/>
        <v>1543044116</v>
      </c>
      <c r="AF16" s="432">
        <f t="shared" si="4"/>
        <v>294722524</v>
      </c>
      <c r="AG16" s="432">
        <f t="shared" si="4"/>
        <v>865467673</v>
      </c>
      <c r="AH16" s="432">
        <f t="shared" si="4"/>
        <v>754402091</v>
      </c>
      <c r="AI16" s="432">
        <f t="shared" si="4"/>
        <v>522650251</v>
      </c>
      <c r="AJ16" s="432">
        <f t="shared" si="4"/>
        <v>639474305</v>
      </c>
      <c r="AK16" s="432">
        <f t="shared" si="4"/>
        <v>788270710</v>
      </c>
      <c r="AL16" s="432">
        <f t="shared" si="4"/>
        <v>1227478629</v>
      </c>
      <c r="AM16" s="432">
        <f t="shared" si="4"/>
        <v>3633626</v>
      </c>
    </row>
    <row r="17" spans="1:39" s="155" customFormat="1" ht="22.5" x14ac:dyDescent="0.2">
      <c r="A17" s="277" t="s">
        <v>2306</v>
      </c>
      <c r="B17" s="279" t="s">
        <v>74</v>
      </c>
      <c r="C17" s="278"/>
      <c r="D17" s="432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</row>
    <row r="18" spans="1:39" s="155" customFormat="1" ht="12" x14ac:dyDescent="0.2">
      <c r="A18" s="146">
        <v>1</v>
      </c>
      <c r="B18" s="608">
        <v>179141</v>
      </c>
      <c r="C18" s="609" t="s">
        <v>3302</v>
      </c>
      <c r="D18" s="610">
        <f t="shared" ref="D18:D23" si="5">E18+SUM(H18:O18)</f>
        <v>1163389607</v>
      </c>
      <c r="E18" s="611">
        <v>935730160</v>
      </c>
      <c r="F18" s="611">
        <v>549190768</v>
      </c>
      <c r="G18" s="611">
        <v>11343972</v>
      </c>
      <c r="H18" s="611">
        <v>0</v>
      </c>
      <c r="I18" s="611">
        <v>198130814</v>
      </c>
      <c r="J18" s="611">
        <v>0</v>
      </c>
      <c r="K18" s="611">
        <v>0</v>
      </c>
      <c r="L18" s="611"/>
      <c r="M18" s="611">
        <v>27716702</v>
      </c>
      <c r="N18" s="611">
        <v>1771049</v>
      </c>
      <c r="O18" s="611">
        <v>40882</v>
      </c>
      <c r="P18" s="610">
        <f t="shared" ref="P18:P24" si="6">IF(SUM(Q18:AB18)=SUM(AC18:AM18),SUM(Q18:AB18),"  EROARE ART/CAP")</f>
        <v>1058862169</v>
      </c>
      <c r="Q18" s="612">
        <v>214564248</v>
      </c>
      <c r="R18" s="612">
        <v>542620114</v>
      </c>
      <c r="S18" s="612">
        <v>25840772</v>
      </c>
      <c r="T18" s="612">
        <v>0</v>
      </c>
      <c r="U18" s="612"/>
      <c r="V18" s="613">
        <v>374627</v>
      </c>
      <c r="W18" s="613">
        <v>234034</v>
      </c>
      <c r="X18" s="613">
        <v>52914049</v>
      </c>
      <c r="Y18" s="613">
        <v>7441757</v>
      </c>
      <c r="Z18" s="613">
        <v>105842846</v>
      </c>
      <c r="AA18" s="613">
        <v>119202494</v>
      </c>
      <c r="AB18" s="613">
        <v>-10172772</v>
      </c>
      <c r="AC18" s="612">
        <v>87765829</v>
      </c>
      <c r="AD18" s="614">
        <v>31928069</v>
      </c>
      <c r="AE18" s="614">
        <v>384246166</v>
      </c>
      <c r="AF18" s="614">
        <v>37974083</v>
      </c>
      <c r="AG18" s="614">
        <v>103587389</v>
      </c>
      <c r="AH18" s="614">
        <v>113375729</v>
      </c>
      <c r="AI18" s="614">
        <v>135258922</v>
      </c>
      <c r="AJ18" s="614">
        <v>153425807</v>
      </c>
      <c r="AK18" s="614">
        <v>13504</v>
      </c>
      <c r="AL18" s="614">
        <v>10912044</v>
      </c>
      <c r="AM18" s="615">
        <v>374627</v>
      </c>
    </row>
    <row r="19" spans="1:39" s="155" customFormat="1" ht="12" x14ac:dyDescent="0.2">
      <c r="A19" s="146">
        <v>2</v>
      </c>
      <c r="B19" s="608">
        <v>179150</v>
      </c>
      <c r="C19" s="616" t="s">
        <v>3303</v>
      </c>
      <c r="D19" s="610">
        <f t="shared" si="5"/>
        <v>839671337</v>
      </c>
      <c r="E19" s="611">
        <v>513881986</v>
      </c>
      <c r="F19" s="611">
        <v>258728445</v>
      </c>
      <c r="G19" s="611">
        <v>23996471</v>
      </c>
      <c r="H19" s="611">
        <v>0</v>
      </c>
      <c r="I19" s="611">
        <v>272941660</v>
      </c>
      <c r="J19" s="611">
        <v>0</v>
      </c>
      <c r="K19" s="611">
        <v>0</v>
      </c>
      <c r="L19" s="611"/>
      <c r="M19" s="611">
        <v>49951518</v>
      </c>
      <c r="N19" s="611">
        <v>2896173</v>
      </c>
      <c r="O19" s="611"/>
      <c r="P19" s="610">
        <f t="shared" si="6"/>
        <v>784037345</v>
      </c>
      <c r="Q19" s="612">
        <v>240198255</v>
      </c>
      <c r="R19" s="612">
        <v>280001560</v>
      </c>
      <c r="S19" s="612">
        <v>10529724</v>
      </c>
      <c r="T19" s="612">
        <v>0</v>
      </c>
      <c r="U19" s="612">
        <v>4860994</v>
      </c>
      <c r="V19" s="613"/>
      <c r="W19" s="613">
        <v>53933800</v>
      </c>
      <c r="X19" s="613">
        <v>82514906</v>
      </c>
      <c r="Y19" s="613">
        <v>36353113</v>
      </c>
      <c r="Z19" s="613">
        <v>55240118</v>
      </c>
      <c r="AA19" s="613">
        <v>31625258</v>
      </c>
      <c r="AB19" s="613">
        <v>-11220383</v>
      </c>
      <c r="AC19" s="614">
        <v>34444178</v>
      </c>
      <c r="AD19" s="614">
        <v>32213391</v>
      </c>
      <c r="AE19" s="614">
        <v>299666035</v>
      </c>
      <c r="AF19" s="614">
        <v>2606454</v>
      </c>
      <c r="AG19" s="614">
        <v>117133922</v>
      </c>
      <c r="AH19" s="614">
        <v>135525164</v>
      </c>
      <c r="AI19" s="614">
        <v>15220941</v>
      </c>
      <c r="AJ19" s="614">
        <v>111343912</v>
      </c>
      <c r="AK19" s="614">
        <v>0</v>
      </c>
      <c r="AL19" s="614">
        <v>35883348</v>
      </c>
      <c r="AM19" s="615"/>
    </row>
    <row r="20" spans="1:39" s="155" customFormat="1" ht="12" x14ac:dyDescent="0.2">
      <c r="A20" s="146">
        <v>3</v>
      </c>
      <c r="B20" s="608">
        <v>179169</v>
      </c>
      <c r="C20" s="617" t="s">
        <v>3304</v>
      </c>
      <c r="D20" s="610">
        <f t="shared" si="5"/>
        <v>764341084</v>
      </c>
      <c r="E20" s="611">
        <v>513434102</v>
      </c>
      <c r="F20" s="611">
        <v>196166055</v>
      </c>
      <c r="G20" s="611">
        <v>103968267</v>
      </c>
      <c r="H20" s="611">
        <v>0</v>
      </c>
      <c r="I20" s="611">
        <v>174157617</v>
      </c>
      <c r="J20" s="611">
        <v>0</v>
      </c>
      <c r="K20" s="611">
        <v>0</v>
      </c>
      <c r="L20" s="611"/>
      <c r="M20" s="611">
        <v>74760506</v>
      </c>
      <c r="N20" s="611">
        <v>1988859</v>
      </c>
      <c r="O20" s="611"/>
      <c r="P20" s="610">
        <f t="shared" si="6"/>
        <v>764481444</v>
      </c>
      <c r="Q20" s="612">
        <v>173114807</v>
      </c>
      <c r="R20" s="612">
        <v>366600802</v>
      </c>
      <c r="S20" s="612">
        <v>18936350</v>
      </c>
      <c r="T20" s="612"/>
      <c r="U20" s="612">
        <v>25325220</v>
      </c>
      <c r="V20" s="612"/>
      <c r="W20" s="612">
        <v>7324737</v>
      </c>
      <c r="X20" s="612">
        <v>68413663</v>
      </c>
      <c r="Y20" s="612">
        <v>12170703</v>
      </c>
      <c r="Z20" s="612">
        <v>76112404</v>
      </c>
      <c r="AA20" s="612">
        <v>36431903</v>
      </c>
      <c r="AB20" s="612">
        <v>-19949145</v>
      </c>
      <c r="AC20" s="612">
        <v>64549245</v>
      </c>
      <c r="AD20" s="612">
        <v>17070826</v>
      </c>
      <c r="AE20" s="612">
        <v>267440872</v>
      </c>
      <c r="AF20" s="612">
        <v>24402</v>
      </c>
      <c r="AG20" s="612">
        <v>98783218</v>
      </c>
      <c r="AH20" s="612">
        <v>116345636</v>
      </c>
      <c r="AI20" s="612">
        <v>22872894</v>
      </c>
      <c r="AJ20" s="612">
        <v>155856937</v>
      </c>
      <c r="AK20" s="612"/>
      <c r="AL20" s="612">
        <v>21537414</v>
      </c>
      <c r="AM20" s="618"/>
    </row>
    <row r="21" spans="1:39" s="155" customFormat="1" ht="12" x14ac:dyDescent="0.2">
      <c r="A21" s="146">
        <v>4</v>
      </c>
      <c r="B21" s="608">
        <v>179178</v>
      </c>
      <c r="C21" s="617" t="s">
        <v>3305</v>
      </c>
      <c r="D21" s="610">
        <f t="shared" si="5"/>
        <v>522135102</v>
      </c>
      <c r="E21" s="611">
        <v>331006652</v>
      </c>
      <c r="F21" s="611">
        <v>117259499</v>
      </c>
      <c r="G21" s="611">
        <v>73535419</v>
      </c>
      <c r="H21" s="611">
        <v>0</v>
      </c>
      <c r="I21" s="611">
        <v>166302487</v>
      </c>
      <c r="J21" s="611">
        <v>0</v>
      </c>
      <c r="K21" s="611">
        <v>0</v>
      </c>
      <c r="L21" s="611"/>
      <c r="M21" s="611">
        <v>23973069</v>
      </c>
      <c r="N21" s="611">
        <v>837894</v>
      </c>
      <c r="O21" s="611">
        <v>15000</v>
      </c>
      <c r="P21" s="610">
        <f t="shared" si="6"/>
        <v>502582782</v>
      </c>
      <c r="Q21" s="612">
        <v>208908373</v>
      </c>
      <c r="R21" s="612">
        <v>163878254</v>
      </c>
      <c r="S21" s="612">
        <v>14169460</v>
      </c>
      <c r="T21" s="612"/>
      <c r="U21" s="612"/>
      <c r="V21" s="612"/>
      <c r="W21" s="612">
        <v>553195</v>
      </c>
      <c r="X21" s="612">
        <v>49397461</v>
      </c>
      <c r="Y21" s="612">
        <v>12136298</v>
      </c>
      <c r="Z21" s="612">
        <v>34729974</v>
      </c>
      <c r="AA21" s="612">
        <v>19882196</v>
      </c>
      <c r="AB21" s="612">
        <v>-1072429</v>
      </c>
      <c r="AC21" s="612">
        <v>57655221</v>
      </c>
      <c r="AD21" s="612">
        <v>16148199</v>
      </c>
      <c r="AE21" s="612">
        <v>186260382</v>
      </c>
      <c r="AF21" s="612">
        <v>665283</v>
      </c>
      <c r="AG21" s="612">
        <v>43574838</v>
      </c>
      <c r="AH21" s="612">
        <v>108092534</v>
      </c>
      <c r="AI21" s="612">
        <v>14371925</v>
      </c>
      <c r="AJ21" s="612">
        <v>44730243</v>
      </c>
      <c r="AK21" s="612"/>
      <c r="AL21" s="612">
        <v>31084157</v>
      </c>
      <c r="AM21" s="618"/>
    </row>
    <row r="22" spans="1:39" s="155" customFormat="1" ht="12" x14ac:dyDescent="0.2">
      <c r="A22" s="146">
        <v>5</v>
      </c>
      <c r="B22" s="608">
        <v>179187</v>
      </c>
      <c r="C22" s="617" t="s">
        <v>3306</v>
      </c>
      <c r="D22" s="610">
        <f t="shared" si="5"/>
        <v>461525239</v>
      </c>
      <c r="E22" s="611">
        <v>283539609</v>
      </c>
      <c r="F22" s="611">
        <v>127314953</v>
      </c>
      <c r="G22" s="611">
        <v>59876838</v>
      </c>
      <c r="H22" s="611">
        <v>0</v>
      </c>
      <c r="I22" s="611">
        <v>129865168</v>
      </c>
      <c r="J22" s="611">
        <v>0</v>
      </c>
      <c r="K22" s="611">
        <v>13545000</v>
      </c>
      <c r="L22" s="611"/>
      <c r="M22" s="611">
        <v>34350016</v>
      </c>
      <c r="N22" s="611">
        <v>186705</v>
      </c>
      <c r="O22" s="611">
        <v>38741</v>
      </c>
      <c r="P22" s="610">
        <f t="shared" si="6"/>
        <v>346233090</v>
      </c>
      <c r="Q22" s="612">
        <v>140358141</v>
      </c>
      <c r="R22" s="612">
        <v>59910237</v>
      </c>
      <c r="S22" s="612">
        <v>26167959</v>
      </c>
      <c r="T22" s="612"/>
      <c r="U22" s="612"/>
      <c r="V22" s="612"/>
      <c r="W22" s="612">
        <v>1054726</v>
      </c>
      <c r="X22" s="612">
        <v>60395584</v>
      </c>
      <c r="Y22" s="612">
        <v>8189960</v>
      </c>
      <c r="Z22" s="612">
        <v>50589071</v>
      </c>
      <c r="AA22" s="612"/>
      <c r="AB22" s="612">
        <v>-432588</v>
      </c>
      <c r="AC22" s="612">
        <v>54296078</v>
      </c>
      <c r="AD22" s="612">
        <v>14529092</v>
      </c>
      <c r="AE22" s="612">
        <v>135850542</v>
      </c>
      <c r="AF22" s="612">
        <v>46114</v>
      </c>
      <c r="AG22" s="612">
        <v>12429584</v>
      </c>
      <c r="AH22" s="612">
        <v>83118226</v>
      </c>
      <c r="AI22" s="612">
        <v>36287619</v>
      </c>
      <c r="AJ22" s="612"/>
      <c r="AK22" s="612"/>
      <c r="AL22" s="612">
        <v>9675835</v>
      </c>
      <c r="AM22" s="618"/>
    </row>
    <row r="23" spans="1:39" s="155" customFormat="1" ht="12" x14ac:dyDescent="0.2">
      <c r="A23" s="146">
        <v>6</v>
      </c>
      <c r="B23" s="608">
        <v>179196</v>
      </c>
      <c r="C23" s="617" t="s">
        <v>3307</v>
      </c>
      <c r="D23" s="610">
        <f t="shared" si="5"/>
        <v>721939944</v>
      </c>
      <c r="E23" s="611">
        <v>483937001</v>
      </c>
      <c r="F23" s="611">
        <v>155530178</v>
      </c>
      <c r="G23" s="611">
        <v>95888422</v>
      </c>
      <c r="H23" s="611">
        <v>0</v>
      </c>
      <c r="I23" s="611">
        <v>182788000</v>
      </c>
      <c r="J23" s="611">
        <v>0</v>
      </c>
      <c r="K23" s="611">
        <v>18004080</v>
      </c>
      <c r="L23" s="611"/>
      <c r="M23" s="611">
        <v>34925563</v>
      </c>
      <c r="N23" s="611">
        <v>2285300</v>
      </c>
      <c r="O23" s="611"/>
      <c r="P23" s="610">
        <f t="shared" si="6"/>
        <v>722431234</v>
      </c>
      <c r="Q23" s="612">
        <v>200266950</v>
      </c>
      <c r="R23" s="612">
        <v>201176986</v>
      </c>
      <c r="S23" s="612">
        <v>18723066</v>
      </c>
      <c r="T23" s="612">
        <v>3764320</v>
      </c>
      <c r="U23" s="612">
        <v>32335000</v>
      </c>
      <c r="V23" s="612">
        <v>3175215</v>
      </c>
      <c r="W23" s="612">
        <v>65476914</v>
      </c>
      <c r="X23" s="612">
        <v>65005169</v>
      </c>
      <c r="Y23" s="612">
        <v>9100061</v>
      </c>
      <c r="Z23" s="612">
        <v>74991290</v>
      </c>
      <c r="AA23" s="612">
        <v>50842106</v>
      </c>
      <c r="AB23" s="612">
        <v>-2425843</v>
      </c>
      <c r="AC23" s="612">
        <v>115049192</v>
      </c>
      <c r="AD23" s="612">
        <v>18155233</v>
      </c>
      <c r="AE23" s="612">
        <v>193009052</v>
      </c>
      <c r="AF23" s="612"/>
      <c r="AG23" s="612">
        <v>63791058</v>
      </c>
      <c r="AH23" s="612">
        <v>147054726</v>
      </c>
      <c r="AI23" s="612">
        <v>82422006</v>
      </c>
      <c r="AJ23" s="612">
        <v>62776408</v>
      </c>
      <c r="AK23" s="612"/>
      <c r="AL23" s="612">
        <v>40173559</v>
      </c>
      <c r="AM23" s="618"/>
    </row>
    <row r="24" spans="1:39" s="155" customFormat="1" ht="12" x14ac:dyDescent="0.2">
      <c r="A24" s="146">
        <v>7</v>
      </c>
      <c r="B24" s="608">
        <v>179132</v>
      </c>
      <c r="C24" s="617" t="s">
        <v>3308</v>
      </c>
      <c r="D24" s="610">
        <v>3595357270</v>
      </c>
      <c r="E24" s="611">
        <v>3482074445</v>
      </c>
      <c r="F24" s="611">
        <v>3124313716</v>
      </c>
      <c r="G24" s="611">
        <v>122853414</v>
      </c>
      <c r="H24" s="611">
        <v>0</v>
      </c>
      <c r="I24" s="611">
        <v>15006000</v>
      </c>
      <c r="J24" s="611">
        <v>0</v>
      </c>
      <c r="K24" s="611">
        <v>0</v>
      </c>
      <c r="L24" s="611"/>
      <c r="M24" s="611">
        <v>73663270</v>
      </c>
      <c r="N24" s="611">
        <v>22376605</v>
      </c>
      <c r="O24" s="611">
        <v>2236950</v>
      </c>
      <c r="P24" s="610">
        <f t="shared" si="6"/>
        <v>3376090410</v>
      </c>
      <c r="Q24" s="612">
        <v>83962076</v>
      </c>
      <c r="R24" s="612">
        <v>459295168</v>
      </c>
      <c r="S24" s="612">
        <v>118395028</v>
      </c>
      <c r="T24" s="612">
        <v>1252968000</v>
      </c>
      <c r="U24" s="612">
        <v>580941791</v>
      </c>
      <c r="V24" s="612">
        <v>41663088</v>
      </c>
      <c r="W24" s="612">
        <v>66474449</v>
      </c>
      <c r="X24" s="612">
        <v>841388</v>
      </c>
      <c r="Y24" s="612">
        <v>41249468</v>
      </c>
      <c r="Z24" s="612">
        <v>613385664</v>
      </c>
      <c r="AA24" s="612">
        <v>121942447</v>
      </c>
      <c r="AB24" s="612">
        <v>-5028157</v>
      </c>
      <c r="AC24" s="612">
        <v>326339436</v>
      </c>
      <c r="AD24" s="612">
        <v>45430560</v>
      </c>
      <c r="AE24" s="612">
        <v>76571067</v>
      </c>
      <c r="AF24" s="612">
        <v>253406188</v>
      </c>
      <c r="AG24" s="612">
        <v>426167664</v>
      </c>
      <c r="AH24" s="612">
        <v>50890076</v>
      </c>
      <c r="AI24" s="612">
        <v>216215944</v>
      </c>
      <c r="AJ24" s="612">
        <v>111340998</v>
      </c>
      <c r="AK24" s="612">
        <v>788257206</v>
      </c>
      <c r="AL24" s="612">
        <v>1078212272</v>
      </c>
      <c r="AM24" s="618">
        <v>3258999</v>
      </c>
    </row>
    <row r="25" spans="1:39" s="155" customFormat="1" ht="12" hidden="1" x14ac:dyDescent="0.2">
      <c r="A25" s="146">
        <v>8</v>
      </c>
      <c r="B25" s="146"/>
      <c r="C25" s="206"/>
      <c r="D25" s="432">
        <f t="shared" ref="D25:D41" si="7">E25+SUM(H25:O25)</f>
        <v>0</v>
      </c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2">
        <f t="shared" si="2"/>
        <v>0</v>
      </c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</row>
    <row r="26" spans="1:39" s="155" customFormat="1" ht="12" hidden="1" x14ac:dyDescent="0.2">
      <c r="A26" s="146">
        <v>9</v>
      </c>
      <c r="B26" s="146"/>
      <c r="C26" s="206"/>
      <c r="D26" s="432">
        <f t="shared" si="7"/>
        <v>0</v>
      </c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2">
        <f t="shared" si="2"/>
        <v>0</v>
      </c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</row>
    <row r="27" spans="1:39" s="155" customFormat="1" ht="12" hidden="1" x14ac:dyDescent="0.2">
      <c r="A27" s="146">
        <v>10</v>
      </c>
      <c r="B27" s="146"/>
      <c r="C27" s="206"/>
      <c r="D27" s="432">
        <f t="shared" si="7"/>
        <v>0</v>
      </c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2">
        <f t="shared" si="2"/>
        <v>0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</row>
    <row r="28" spans="1:39" s="155" customFormat="1" ht="12" hidden="1" x14ac:dyDescent="0.2">
      <c r="A28" s="146">
        <v>11</v>
      </c>
      <c r="B28" s="146"/>
      <c r="C28" s="206"/>
      <c r="D28" s="432">
        <f t="shared" si="7"/>
        <v>0</v>
      </c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2">
        <f t="shared" si="2"/>
        <v>0</v>
      </c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5"/>
      <c r="AC28" s="435"/>
      <c r="AD28" s="435"/>
      <c r="AE28" s="435"/>
      <c r="AF28" s="435"/>
      <c r="AG28" s="435"/>
      <c r="AH28" s="435"/>
      <c r="AI28" s="435"/>
      <c r="AJ28" s="435"/>
      <c r="AK28" s="435"/>
      <c r="AL28" s="435"/>
      <c r="AM28" s="435"/>
    </row>
    <row r="29" spans="1:39" s="155" customFormat="1" ht="12" hidden="1" x14ac:dyDescent="0.2">
      <c r="A29" s="146">
        <v>12</v>
      </c>
      <c r="B29" s="146"/>
      <c r="C29" s="206"/>
      <c r="D29" s="432">
        <f t="shared" si="7"/>
        <v>0</v>
      </c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2">
        <f t="shared" si="2"/>
        <v>0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</row>
    <row r="30" spans="1:39" s="155" customFormat="1" ht="12" hidden="1" x14ac:dyDescent="0.2">
      <c r="A30" s="146">
        <v>13</v>
      </c>
      <c r="B30" s="146"/>
      <c r="C30" s="206"/>
      <c r="D30" s="432">
        <f t="shared" si="7"/>
        <v>0</v>
      </c>
      <c r="E30" s="434"/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2">
        <f t="shared" si="2"/>
        <v>0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</row>
    <row r="31" spans="1:39" s="155" customFormat="1" ht="12" hidden="1" x14ac:dyDescent="0.2">
      <c r="A31" s="146">
        <v>14</v>
      </c>
      <c r="B31" s="146"/>
      <c r="C31" s="206"/>
      <c r="D31" s="432">
        <f t="shared" si="7"/>
        <v>0</v>
      </c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2">
        <f t="shared" si="2"/>
        <v>0</v>
      </c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  <c r="AE31" s="435"/>
      <c r="AF31" s="435"/>
      <c r="AG31" s="435"/>
      <c r="AH31" s="435"/>
      <c r="AI31" s="435"/>
      <c r="AJ31" s="435"/>
      <c r="AK31" s="435"/>
      <c r="AL31" s="435"/>
      <c r="AM31" s="435"/>
    </row>
    <row r="32" spans="1:39" s="155" customFormat="1" ht="12" hidden="1" x14ac:dyDescent="0.2">
      <c r="A32" s="146">
        <v>15</v>
      </c>
      <c r="B32" s="146"/>
      <c r="C32" s="207"/>
      <c r="D32" s="432">
        <f t="shared" si="7"/>
        <v>0</v>
      </c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2">
        <f t="shared" si="2"/>
        <v>0</v>
      </c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</row>
    <row r="33" spans="1:39" s="155" customFormat="1" ht="12" hidden="1" x14ac:dyDescent="0.2">
      <c r="A33" s="164" t="s">
        <v>75</v>
      </c>
      <c r="B33" s="164"/>
      <c r="C33" s="208"/>
      <c r="D33" s="432">
        <f t="shared" si="7"/>
        <v>0</v>
      </c>
      <c r="E33" s="432">
        <f>SUM(E34:E53)</f>
        <v>0</v>
      </c>
      <c r="F33" s="432">
        <f t="shared" ref="F33:O33" si="8">SUM(F34:F53)</f>
        <v>0</v>
      </c>
      <c r="G33" s="432">
        <f t="shared" si="8"/>
        <v>0</v>
      </c>
      <c r="H33" s="432">
        <f t="shared" si="8"/>
        <v>0</v>
      </c>
      <c r="I33" s="432">
        <f t="shared" si="8"/>
        <v>0</v>
      </c>
      <c r="J33" s="432">
        <f t="shared" si="8"/>
        <v>0</v>
      </c>
      <c r="K33" s="432">
        <f t="shared" si="8"/>
        <v>0</v>
      </c>
      <c r="L33" s="432">
        <f t="shared" si="8"/>
        <v>0</v>
      </c>
      <c r="M33" s="432">
        <f t="shared" si="8"/>
        <v>0</v>
      </c>
      <c r="N33" s="432">
        <f t="shared" si="8"/>
        <v>0</v>
      </c>
      <c r="O33" s="432">
        <f t="shared" si="8"/>
        <v>0</v>
      </c>
      <c r="P33" s="432">
        <f t="shared" si="2"/>
        <v>0</v>
      </c>
      <c r="Q33" s="432">
        <f>SUM(Q34:Q53)</f>
        <v>0</v>
      </c>
      <c r="R33" s="432">
        <f t="shared" ref="R33:AM33" si="9">SUM(R34:R53)</f>
        <v>0</v>
      </c>
      <c r="S33" s="432">
        <f t="shared" si="9"/>
        <v>0</v>
      </c>
      <c r="T33" s="432">
        <f t="shared" si="9"/>
        <v>0</v>
      </c>
      <c r="U33" s="432">
        <f t="shared" si="9"/>
        <v>0</v>
      </c>
      <c r="V33" s="432">
        <f t="shared" si="9"/>
        <v>0</v>
      </c>
      <c r="W33" s="432">
        <f t="shared" si="9"/>
        <v>0</v>
      </c>
      <c r="X33" s="432">
        <f t="shared" si="9"/>
        <v>0</v>
      </c>
      <c r="Y33" s="432">
        <f t="shared" si="9"/>
        <v>0</v>
      </c>
      <c r="Z33" s="432">
        <f t="shared" si="9"/>
        <v>0</v>
      </c>
      <c r="AA33" s="432">
        <f t="shared" si="9"/>
        <v>0</v>
      </c>
      <c r="AB33" s="432">
        <f t="shared" si="9"/>
        <v>0</v>
      </c>
      <c r="AC33" s="432">
        <f t="shared" si="9"/>
        <v>0</v>
      </c>
      <c r="AD33" s="432">
        <f t="shared" si="9"/>
        <v>0</v>
      </c>
      <c r="AE33" s="432">
        <f t="shared" si="9"/>
        <v>0</v>
      </c>
      <c r="AF33" s="432">
        <f t="shared" si="9"/>
        <v>0</v>
      </c>
      <c r="AG33" s="432">
        <f t="shared" si="9"/>
        <v>0</v>
      </c>
      <c r="AH33" s="432">
        <f t="shared" si="9"/>
        <v>0</v>
      </c>
      <c r="AI33" s="432">
        <f t="shared" si="9"/>
        <v>0</v>
      </c>
      <c r="AJ33" s="432">
        <f t="shared" si="9"/>
        <v>0</v>
      </c>
      <c r="AK33" s="432">
        <f t="shared" si="9"/>
        <v>0</v>
      </c>
      <c r="AL33" s="432">
        <f t="shared" si="9"/>
        <v>0</v>
      </c>
      <c r="AM33" s="432">
        <f t="shared" si="9"/>
        <v>0</v>
      </c>
    </row>
    <row r="34" spans="1:39" s="155" customFormat="1" ht="12" hidden="1" x14ac:dyDescent="0.2">
      <c r="A34" s="146">
        <v>1</v>
      </c>
      <c r="B34" s="146"/>
      <c r="C34" s="172"/>
      <c r="D34" s="432">
        <f t="shared" si="7"/>
        <v>0</v>
      </c>
      <c r="E34" s="435"/>
      <c r="F34" s="435"/>
      <c r="G34" s="435"/>
      <c r="H34" s="435"/>
      <c r="I34" s="435"/>
      <c r="J34" s="435"/>
      <c r="K34" s="435"/>
      <c r="L34" s="435"/>
      <c r="M34" s="435"/>
      <c r="N34" s="435"/>
      <c r="O34" s="435"/>
      <c r="P34" s="432">
        <f t="shared" si="2"/>
        <v>0</v>
      </c>
      <c r="Q34" s="435"/>
      <c r="R34" s="435"/>
      <c r="S34" s="435"/>
      <c r="T34" s="435"/>
      <c r="U34" s="435"/>
      <c r="V34" s="431"/>
      <c r="W34" s="431"/>
      <c r="X34" s="431"/>
      <c r="Y34" s="431"/>
      <c r="Z34" s="431"/>
      <c r="AA34" s="431"/>
      <c r="AB34" s="431"/>
      <c r="AC34" s="445"/>
      <c r="AD34" s="431"/>
      <c r="AE34" s="435"/>
      <c r="AF34" s="435"/>
      <c r="AG34" s="435"/>
      <c r="AH34" s="435"/>
      <c r="AI34" s="435"/>
      <c r="AJ34" s="435"/>
      <c r="AK34" s="435"/>
      <c r="AL34" s="435"/>
      <c r="AM34" s="435"/>
    </row>
    <row r="35" spans="1:39" s="155" customFormat="1" ht="12" hidden="1" x14ac:dyDescent="0.2">
      <c r="A35" s="146">
        <v>2</v>
      </c>
      <c r="B35" s="146"/>
      <c r="C35" s="172"/>
      <c r="D35" s="432">
        <f t="shared" si="7"/>
        <v>0</v>
      </c>
      <c r="E35" s="435"/>
      <c r="F35" s="435"/>
      <c r="G35" s="435"/>
      <c r="H35" s="435"/>
      <c r="I35" s="435"/>
      <c r="J35" s="435"/>
      <c r="K35" s="435"/>
      <c r="L35" s="435"/>
      <c r="M35" s="435"/>
      <c r="N35" s="435"/>
      <c r="O35" s="435"/>
      <c r="P35" s="432">
        <f t="shared" si="2"/>
        <v>0</v>
      </c>
      <c r="Q35" s="435"/>
      <c r="R35" s="435"/>
      <c r="S35" s="435"/>
      <c r="T35" s="435"/>
      <c r="U35" s="435"/>
      <c r="V35" s="431"/>
      <c r="W35" s="431"/>
      <c r="X35" s="431"/>
      <c r="Y35" s="431"/>
      <c r="Z35" s="431"/>
      <c r="AA35" s="431"/>
      <c r="AB35" s="431"/>
      <c r="AC35" s="445"/>
      <c r="AD35" s="435"/>
      <c r="AE35" s="435"/>
      <c r="AF35" s="435"/>
      <c r="AG35" s="435"/>
      <c r="AH35" s="435"/>
      <c r="AI35" s="435"/>
      <c r="AJ35" s="435"/>
      <c r="AK35" s="435"/>
      <c r="AL35" s="435"/>
      <c r="AM35" s="435"/>
    </row>
    <row r="36" spans="1:39" s="155" customFormat="1" ht="12" hidden="1" x14ac:dyDescent="0.2">
      <c r="A36" s="146">
        <v>3</v>
      </c>
      <c r="B36" s="146"/>
      <c r="C36" s="172"/>
      <c r="D36" s="432">
        <f t="shared" si="7"/>
        <v>0</v>
      </c>
      <c r="E36" s="435"/>
      <c r="F36" s="435"/>
      <c r="G36" s="435"/>
      <c r="H36" s="435"/>
      <c r="I36" s="435"/>
      <c r="J36" s="435"/>
      <c r="K36" s="435"/>
      <c r="L36" s="435"/>
      <c r="M36" s="435"/>
      <c r="N36" s="435"/>
      <c r="O36" s="435"/>
      <c r="P36" s="432">
        <f t="shared" si="2"/>
        <v>0</v>
      </c>
      <c r="Q36" s="435"/>
      <c r="R36" s="435"/>
      <c r="S36" s="435"/>
      <c r="T36" s="435"/>
      <c r="U36" s="435"/>
      <c r="V36" s="431"/>
      <c r="W36" s="431"/>
      <c r="X36" s="431"/>
      <c r="Y36" s="431"/>
      <c r="Z36" s="431"/>
      <c r="AA36" s="431"/>
      <c r="AB36" s="431"/>
      <c r="AC36" s="445"/>
      <c r="AD36" s="435"/>
      <c r="AE36" s="435"/>
      <c r="AF36" s="435"/>
      <c r="AG36" s="435"/>
      <c r="AH36" s="435"/>
      <c r="AI36" s="435"/>
      <c r="AJ36" s="435"/>
      <c r="AK36" s="435"/>
      <c r="AL36" s="435"/>
      <c r="AM36" s="435"/>
    </row>
    <row r="37" spans="1:39" s="155" customFormat="1" ht="12" hidden="1" x14ac:dyDescent="0.2">
      <c r="A37" s="146">
        <v>4</v>
      </c>
      <c r="B37" s="146"/>
      <c r="C37" s="172"/>
      <c r="D37" s="432">
        <f t="shared" si="7"/>
        <v>0</v>
      </c>
      <c r="E37" s="435"/>
      <c r="F37" s="435"/>
      <c r="G37" s="435"/>
      <c r="H37" s="435"/>
      <c r="I37" s="435"/>
      <c r="J37" s="435"/>
      <c r="K37" s="435"/>
      <c r="L37" s="435"/>
      <c r="M37" s="435"/>
      <c r="N37" s="435"/>
      <c r="O37" s="435"/>
      <c r="P37" s="432">
        <f t="shared" si="2"/>
        <v>0</v>
      </c>
      <c r="Q37" s="435"/>
      <c r="R37" s="435"/>
      <c r="S37" s="435"/>
      <c r="T37" s="435"/>
      <c r="U37" s="435"/>
      <c r="V37" s="431"/>
      <c r="W37" s="431"/>
      <c r="X37" s="431"/>
      <c r="Y37" s="431"/>
      <c r="Z37" s="431"/>
      <c r="AA37" s="431"/>
      <c r="AB37" s="431"/>
      <c r="AC37" s="445"/>
      <c r="AD37" s="435"/>
      <c r="AE37" s="435"/>
      <c r="AF37" s="435"/>
      <c r="AG37" s="435"/>
      <c r="AH37" s="435"/>
      <c r="AI37" s="435"/>
      <c r="AJ37" s="435"/>
      <c r="AK37" s="435"/>
      <c r="AL37" s="435"/>
      <c r="AM37" s="435"/>
    </row>
    <row r="38" spans="1:39" s="155" customFormat="1" ht="12" hidden="1" x14ac:dyDescent="0.2">
      <c r="A38" s="146">
        <v>5</v>
      </c>
      <c r="B38" s="146"/>
      <c r="C38" s="172"/>
      <c r="D38" s="432">
        <f t="shared" si="7"/>
        <v>0</v>
      </c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2">
        <f t="shared" si="2"/>
        <v>0</v>
      </c>
      <c r="Q38" s="435"/>
      <c r="R38" s="435"/>
      <c r="S38" s="435"/>
      <c r="T38" s="435"/>
      <c r="U38" s="435"/>
      <c r="V38" s="431"/>
      <c r="W38" s="431"/>
      <c r="X38" s="431"/>
      <c r="Y38" s="431"/>
      <c r="Z38" s="435"/>
      <c r="AA38" s="431"/>
      <c r="AB38" s="431"/>
      <c r="AC38" s="445"/>
      <c r="AD38" s="435"/>
      <c r="AE38" s="435"/>
      <c r="AF38" s="435"/>
      <c r="AG38" s="435"/>
      <c r="AH38" s="435"/>
      <c r="AI38" s="435"/>
      <c r="AJ38" s="435"/>
      <c r="AK38" s="435"/>
      <c r="AL38" s="435"/>
      <c r="AM38" s="435"/>
    </row>
    <row r="39" spans="1:39" s="155" customFormat="1" ht="12" hidden="1" x14ac:dyDescent="0.2">
      <c r="A39" s="146">
        <v>6</v>
      </c>
      <c r="B39" s="146"/>
      <c r="C39" s="172"/>
      <c r="D39" s="432">
        <f t="shared" si="7"/>
        <v>0</v>
      </c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2">
        <f t="shared" si="2"/>
        <v>0</v>
      </c>
      <c r="Q39" s="435"/>
      <c r="R39" s="435"/>
      <c r="S39" s="435"/>
      <c r="T39" s="435"/>
      <c r="U39" s="435"/>
      <c r="V39" s="431"/>
      <c r="W39" s="431"/>
      <c r="X39" s="431"/>
      <c r="Y39" s="431"/>
      <c r="Z39" s="435"/>
      <c r="AA39" s="431"/>
      <c r="AB39" s="431"/>
      <c r="AC39" s="44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</row>
    <row r="40" spans="1:39" s="155" customFormat="1" ht="12" hidden="1" x14ac:dyDescent="0.2">
      <c r="A40" s="146">
        <v>7</v>
      </c>
      <c r="B40" s="146"/>
      <c r="C40" s="182"/>
      <c r="D40" s="432">
        <f t="shared" si="7"/>
        <v>0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2">
        <f t="shared" si="2"/>
        <v>0</v>
      </c>
      <c r="Q40" s="435"/>
      <c r="R40" s="435"/>
      <c r="S40" s="435"/>
      <c r="T40" s="435"/>
      <c r="U40" s="435"/>
      <c r="V40" s="431"/>
      <c r="W40" s="431"/>
      <c r="X40" s="431"/>
      <c r="Y40" s="431"/>
      <c r="Z40" s="435"/>
      <c r="AA40" s="431"/>
      <c r="AB40" s="431"/>
      <c r="AC40" s="44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</row>
    <row r="41" spans="1:39" s="155" customFormat="1" ht="12" hidden="1" x14ac:dyDescent="0.2">
      <c r="A41" s="146">
        <v>8</v>
      </c>
      <c r="B41" s="146"/>
      <c r="C41" s="173"/>
      <c r="D41" s="432">
        <f t="shared" si="7"/>
        <v>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2">
        <f t="shared" si="2"/>
        <v>0</v>
      </c>
      <c r="Q41" s="435"/>
      <c r="R41" s="435"/>
      <c r="S41" s="435"/>
      <c r="T41" s="435"/>
      <c r="U41" s="435"/>
      <c r="V41" s="431"/>
      <c r="W41" s="431"/>
      <c r="X41" s="431"/>
      <c r="Y41" s="431"/>
      <c r="Z41" s="445"/>
      <c r="AA41" s="431"/>
      <c r="AB41" s="431"/>
      <c r="AC41" s="44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</row>
    <row r="42" spans="1:39" s="155" customFormat="1" ht="12" hidden="1" x14ac:dyDescent="0.2">
      <c r="A42" s="146">
        <v>9</v>
      </c>
      <c r="B42" s="146"/>
      <c r="C42" s="206"/>
      <c r="D42" s="432">
        <v>0</v>
      </c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2">
        <f t="shared" si="2"/>
        <v>0</v>
      </c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5"/>
      <c r="AG42" s="435"/>
      <c r="AH42" s="435"/>
      <c r="AI42" s="435"/>
      <c r="AJ42" s="435"/>
      <c r="AK42" s="435"/>
      <c r="AL42" s="435"/>
      <c r="AM42" s="435"/>
    </row>
    <row r="43" spans="1:39" s="155" customFormat="1" ht="12" hidden="1" x14ac:dyDescent="0.2">
      <c r="A43" s="146">
        <v>10</v>
      </c>
      <c r="B43" s="146"/>
      <c r="C43" s="206"/>
      <c r="D43" s="432">
        <v>0</v>
      </c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2">
        <f t="shared" si="2"/>
        <v>0</v>
      </c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</row>
    <row r="44" spans="1:39" s="155" customFormat="1" ht="12" hidden="1" x14ac:dyDescent="0.2">
      <c r="A44" s="146">
        <v>11</v>
      </c>
      <c r="B44" s="146"/>
      <c r="C44" s="206"/>
      <c r="D44" s="432">
        <v>0</v>
      </c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2">
        <f t="shared" si="2"/>
        <v>0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</row>
    <row r="45" spans="1:39" s="155" customFormat="1" ht="12" hidden="1" x14ac:dyDescent="0.2">
      <c r="A45" s="146">
        <v>12</v>
      </c>
      <c r="B45" s="146"/>
      <c r="C45" s="206"/>
      <c r="D45" s="432">
        <v>0</v>
      </c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2">
        <f t="shared" si="2"/>
        <v>0</v>
      </c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</row>
    <row r="46" spans="1:39" s="155" customFormat="1" ht="12" hidden="1" x14ac:dyDescent="0.2">
      <c r="A46" s="146">
        <v>13</v>
      </c>
      <c r="B46" s="146"/>
      <c r="C46" s="206"/>
      <c r="D46" s="432">
        <v>0</v>
      </c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2">
        <f t="shared" si="2"/>
        <v>0</v>
      </c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  <c r="AL46" s="435"/>
      <c r="AM46" s="435"/>
    </row>
    <row r="47" spans="1:39" s="155" customFormat="1" ht="12" hidden="1" x14ac:dyDescent="0.2">
      <c r="A47" s="146">
        <v>14</v>
      </c>
      <c r="B47" s="146"/>
      <c r="C47" s="206"/>
      <c r="D47" s="432">
        <v>0</v>
      </c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2">
        <f t="shared" si="2"/>
        <v>0</v>
      </c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  <c r="AL47" s="435"/>
      <c r="AM47" s="435"/>
    </row>
    <row r="48" spans="1:39" s="155" customFormat="1" ht="12" hidden="1" x14ac:dyDescent="0.2">
      <c r="A48" s="146">
        <v>15</v>
      </c>
      <c r="B48" s="146"/>
      <c r="C48" s="206"/>
      <c r="D48" s="432">
        <v>0</v>
      </c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2">
        <f t="shared" si="2"/>
        <v>0</v>
      </c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</row>
    <row r="49" spans="1:39" s="155" customFormat="1" ht="12" hidden="1" x14ac:dyDescent="0.2">
      <c r="A49" s="146">
        <v>16</v>
      </c>
      <c r="B49" s="146"/>
      <c r="C49" s="206"/>
      <c r="D49" s="432">
        <v>0</v>
      </c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2">
        <f t="shared" si="2"/>
        <v>0</v>
      </c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</row>
    <row r="50" spans="1:39" s="155" customFormat="1" ht="12" hidden="1" x14ac:dyDescent="0.2">
      <c r="A50" s="146">
        <v>17</v>
      </c>
      <c r="B50" s="146"/>
      <c r="C50" s="206"/>
      <c r="D50" s="432">
        <v>0</v>
      </c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2">
        <f t="shared" si="2"/>
        <v>0</v>
      </c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  <c r="AL50" s="435"/>
      <c r="AM50" s="435"/>
    </row>
    <row r="51" spans="1:39" s="155" customFormat="1" ht="12" hidden="1" x14ac:dyDescent="0.2">
      <c r="A51" s="146">
        <v>18</v>
      </c>
      <c r="B51" s="146"/>
      <c r="C51" s="206"/>
      <c r="D51" s="432">
        <v>0</v>
      </c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2">
        <f t="shared" si="2"/>
        <v>0</v>
      </c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</row>
    <row r="52" spans="1:39" s="155" customFormat="1" ht="12" hidden="1" x14ac:dyDescent="0.2">
      <c r="A52" s="146">
        <v>19</v>
      </c>
      <c r="B52" s="146"/>
      <c r="C52" s="207"/>
      <c r="D52" s="432">
        <v>0</v>
      </c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2">
        <f t="shared" si="2"/>
        <v>0</v>
      </c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</row>
    <row r="53" spans="1:39" s="155" customFormat="1" ht="12" hidden="1" x14ac:dyDescent="0.2">
      <c r="A53" s="146">
        <v>20</v>
      </c>
      <c r="B53" s="146"/>
      <c r="C53" s="207"/>
      <c r="D53" s="432">
        <v>0</v>
      </c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2">
        <f t="shared" si="2"/>
        <v>0</v>
      </c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</row>
    <row r="54" spans="1:39" s="155" customFormat="1" ht="12.75" hidden="1" customHeight="1" x14ac:dyDescent="0.2">
      <c r="A54" s="164" t="s">
        <v>76</v>
      </c>
      <c r="B54" s="164"/>
      <c r="C54" s="208"/>
      <c r="D54" s="432">
        <f t="shared" ref="D54:D117" si="10">E54+SUM(H54:O54)</f>
        <v>0</v>
      </c>
      <c r="E54" s="432">
        <f>SUM(E55:E143)</f>
        <v>0</v>
      </c>
      <c r="F54" s="432">
        <f t="shared" ref="F54:O54" si="11">SUM(F55:F143)</f>
        <v>0</v>
      </c>
      <c r="G54" s="432">
        <f t="shared" si="11"/>
        <v>0</v>
      </c>
      <c r="H54" s="432">
        <f t="shared" si="11"/>
        <v>0</v>
      </c>
      <c r="I54" s="432">
        <f t="shared" si="11"/>
        <v>0</v>
      </c>
      <c r="J54" s="432">
        <f t="shared" si="11"/>
        <v>0</v>
      </c>
      <c r="K54" s="432">
        <f t="shared" si="11"/>
        <v>0</v>
      </c>
      <c r="L54" s="432">
        <f t="shared" si="11"/>
        <v>0</v>
      </c>
      <c r="M54" s="432">
        <f t="shared" si="11"/>
        <v>0</v>
      </c>
      <c r="N54" s="432">
        <f t="shared" si="11"/>
        <v>0</v>
      </c>
      <c r="O54" s="432">
        <f t="shared" si="11"/>
        <v>0</v>
      </c>
      <c r="P54" s="432">
        <f t="shared" si="2"/>
        <v>0</v>
      </c>
      <c r="Q54" s="432">
        <f>SUM(Q55:Q143)</f>
        <v>0</v>
      </c>
      <c r="R54" s="432">
        <f t="shared" ref="R54:AM54" si="12">SUM(R55:R143)</f>
        <v>0</v>
      </c>
      <c r="S54" s="432">
        <f t="shared" si="12"/>
        <v>0</v>
      </c>
      <c r="T54" s="432">
        <f t="shared" si="12"/>
        <v>0</v>
      </c>
      <c r="U54" s="432">
        <f t="shared" si="12"/>
        <v>0</v>
      </c>
      <c r="V54" s="432">
        <f t="shared" si="12"/>
        <v>0</v>
      </c>
      <c r="W54" s="432">
        <f t="shared" si="12"/>
        <v>0</v>
      </c>
      <c r="X54" s="432">
        <f t="shared" si="12"/>
        <v>0</v>
      </c>
      <c r="Y54" s="432">
        <f t="shared" si="12"/>
        <v>0</v>
      </c>
      <c r="Z54" s="432">
        <f t="shared" si="12"/>
        <v>0</v>
      </c>
      <c r="AA54" s="432">
        <f t="shared" si="12"/>
        <v>0</v>
      </c>
      <c r="AB54" s="432">
        <f t="shared" si="12"/>
        <v>0</v>
      </c>
      <c r="AC54" s="432">
        <f t="shared" si="12"/>
        <v>0</v>
      </c>
      <c r="AD54" s="432">
        <f t="shared" si="12"/>
        <v>0</v>
      </c>
      <c r="AE54" s="432">
        <f t="shared" si="12"/>
        <v>0</v>
      </c>
      <c r="AF54" s="432">
        <f t="shared" si="12"/>
        <v>0</v>
      </c>
      <c r="AG54" s="432">
        <f t="shared" si="12"/>
        <v>0</v>
      </c>
      <c r="AH54" s="432">
        <f t="shared" si="12"/>
        <v>0</v>
      </c>
      <c r="AI54" s="432">
        <f t="shared" si="12"/>
        <v>0</v>
      </c>
      <c r="AJ54" s="432">
        <f t="shared" si="12"/>
        <v>0</v>
      </c>
      <c r="AK54" s="432">
        <f t="shared" si="12"/>
        <v>0</v>
      </c>
      <c r="AL54" s="432">
        <f>SUM(AL55:AL143)</f>
        <v>0</v>
      </c>
      <c r="AM54" s="432">
        <f t="shared" si="12"/>
        <v>0</v>
      </c>
    </row>
    <row r="55" spans="1:39" s="155" customFormat="1" ht="12" hidden="1" x14ac:dyDescent="0.2">
      <c r="A55" s="168">
        <v>1</v>
      </c>
      <c r="B55" s="168"/>
      <c r="C55" s="172"/>
      <c r="D55" s="432">
        <f t="shared" si="10"/>
        <v>0</v>
      </c>
      <c r="E55" s="434"/>
      <c r="F55" s="434"/>
      <c r="G55" s="434"/>
      <c r="H55" s="434"/>
      <c r="I55" s="434"/>
      <c r="J55" s="434"/>
      <c r="K55" s="434"/>
      <c r="L55" s="434"/>
      <c r="M55" s="434"/>
      <c r="N55" s="434"/>
      <c r="O55" s="434"/>
      <c r="P55" s="432">
        <f t="shared" si="2"/>
        <v>0</v>
      </c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1"/>
      <c r="AC55" s="469"/>
      <c r="AD55" s="434"/>
      <c r="AE55" s="434"/>
      <c r="AF55" s="434"/>
      <c r="AG55" s="434"/>
      <c r="AH55" s="434"/>
      <c r="AI55" s="469"/>
      <c r="AJ55" s="469"/>
      <c r="AK55" s="434"/>
      <c r="AL55" s="434"/>
      <c r="AM55" s="434"/>
    </row>
    <row r="56" spans="1:39" s="155" customFormat="1" ht="12" hidden="1" x14ac:dyDescent="0.2">
      <c r="A56" s="168">
        <v>2</v>
      </c>
      <c r="B56" s="168"/>
      <c r="C56" s="172"/>
      <c r="D56" s="432">
        <f t="shared" si="10"/>
        <v>0</v>
      </c>
      <c r="E56" s="434"/>
      <c r="F56" s="434"/>
      <c r="G56" s="434"/>
      <c r="H56" s="434"/>
      <c r="I56" s="434"/>
      <c r="J56" s="434"/>
      <c r="K56" s="434"/>
      <c r="L56" s="434"/>
      <c r="M56" s="434"/>
      <c r="N56" s="434"/>
      <c r="O56" s="434"/>
      <c r="P56" s="432">
        <f t="shared" si="2"/>
        <v>0</v>
      </c>
      <c r="Q56" s="431"/>
      <c r="R56" s="431"/>
      <c r="S56" s="431"/>
      <c r="T56" s="431"/>
      <c r="U56" s="431"/>
      <c r="V56" s="431"/>
      <c r="W56" s="431"/>
      <c r="X56" s="431"/>
      <c r="Y56" s="431"/>
      <c r="Z56" s="468"/>
      <c r="AA56" s="431"/>
      <c r="AB56" s="431"/>
      <c r="AC56" s="469"/>
      <c r="AD56" s="434"/>
      <c r="AE56" s="434"/>
      <c r="AF56" s="434"/>
      <c r="AG56" s="434"/>
      <c r="AH56" s="434"/>
      <c r="AI56" s="469"/>
      <c r="AJ56" s="469"/>
      <c r="AK56" s="434"/>
      <c r="AL56" s="434"/>
      <c r="AM56" s="434"/>
    </row>
    <row r="57" spans="1:39" s="155" customFormat="1" ht="12" hidden="1" x14ac:dyDescent="0.2">
      <c r="A57" s="168">
        <v>3</v>
      </c>
      <c r="B57" s="168"/>
      <c r="C57" s="182"/>
      <c r="D57" s="432">
        <f t="shared" si="10"/>
        <v>0</v>
      </c>
      <c r="E57" s="434"/>
      <c r="F57" s="434"/>
      <c r="G57" s="434"/>
      <c r="H57" s="434"/>
      <c r="I57" s="434"/>
      <c r="J57" s="434"/>
      <c r="K57" s="434"/>
      <c r="L57" s="434"/>
      <c r="M57" s="434"/>
      <c r="N57" s="434"/>
      <c r="O57" s="434"/>
      <c r="P57" s="432">
        <f t="shared" si="2"/>
        <v>0</v>
      </c>
      <c r="Q57" s="431"/>
      <c r="R57" s="431"/>
      <c r="S57" s="431"/>
      <c r="T57" s="431"/>
      <c r="U57" s="431"/>
      <c r="V57" s="431"/>
      <c r="W57" s="431"/>
      <c r="X57" s="431"/>
      <c r="Y57" s="431"/>
      <c r="Z57" s="431"/>
      <c r="AA57" s="431"/>
      <c r="AB57" s="431"/>
      <c r="AC57" s="468"/>
      <c r="AD57" s="431"/>
      <c r="AE57" s="431"/>
      <c r="AF57" s="431"/>
      <c r="AG57" s="431"/>
      <c r="AH57" s="431"/>
      <c r="AI57" s="468"/>
      <c r="AJ57" s="468"/>
      <c r="AK57" s="431"/>
      <c r="AL57" s="431"/>
      <c r="AM57" s="431"/>
    </row>
    <row r="58" spans="1:39" s="155" customFormat="1" ht="12" hidden="1" x14ac:dyDescent="0.2">
      <c r="A58" s="168">
        <v>4</v>
      </c>
      <c r="B58" s="168"/>
      <c r="C58" s="172"/>
      <c r="D58" s="432">
        <f t="shared" si="10"/>
        <v>0</v>
      </c>
      <c r="E58" s="434"/>
      <c r="F58" s="434"/>
      <c r="G58" s="434"/>
      <c r="H58" s="434"/>
      <c r="I58" s="434"/>
      <c r="J58" s="434"/>
      <c r="K58" s="434"/>
      <c r="L58" s="434"/>
      <c r="M58" s="434"/>
      <c r="N58" s="434"/>
      <c r="O58" s="434"/>
      <c r="P58" s="432">
        <f t="shared" si="2"/>
        <v>0</v>
      </c>
      <c r="Q58" s="431"/>
      <c r="R58" s="431"/>
      <c r="S58" s="431"/>
      <c r="T58" s="431"/>
      <c r="U58" s="431"/>
      <c r="V58" s="431"/>
      <c r="W58" s="431"/>
      <c r="X58" s="431"/>
      <c r="Y58" s="431"/>
      <c r="Z58" s="468"/>
      <c r="AA58" s="431"/>
      <c r="AB58" s="431"/>
      <c r="AC58" s="469"/>
      <c r="AD58" s="434"/>
      <c r="AE58" s="434"/>
      <c r="AF58" s="434"/>
      <c r="AG58" s="434"/>
      <c r="AH58" s="434"/>
      <c r="AI58" s="469"/>
      <c r="AJ58" s="469"/>
      <c r="AK58" s="434"/>
      <c r="AL58" s="434"/>
      <c r="AM58" s="434"/>
    </row>
    <row r="59" spans="1:39" s="155" customFormat="1" ht="12" hidden="1" x14ac:dyDescent="0.2">
      <c r="A59" s="168">
        <v>5</v>
      </c>
      <c r="B59" s="168"/>
      <c r="C59" s="172"/>
      <c r="D59" s="432">
        <f t="shared" si="10"/>
        <v>0</v>
      </c>
      <c r="E59" s="434"/>
      <c r="F59" s="434"/>
      <c r="G59" s="434"/>
      <c r="H59" s="434"/>
      <c r="I59" s="434"/>
      <c r="J59" s="434"/>
      <c r="K59" s="434"/>
      <c r="L59" s="434"/>
      <c r="M59" s="434"/>
      <c r="N59" s="434"/>
      <c r="O59" s="434"/>
      <c r="P59" s="432">
        <f t="shared" si="2"/>
        <v>0</v>
      </c>
      <c r="Q59" s="431"/>
      <c r="R59" s="431"/>
      <c r="S59" s="431"/>
      <c r="T59" s="431"/>
      <c r="U59" s="431"/>
      <c r="V59" s="431"/>
      <c r="W59" s="431"/>
      <c r="X59" s="431"/>
      <c r="Y59" s="431"/>
      <c r="Z59" s="468"/>
      <c r="AA59" s="431"/>
      <c r="AB59" s="431"/>
      <c r="AC59" s="469"/>
      <c r="AD59" s="434"/>
      <c r="AE59" s="434"/>
      <c r="AF59" s="434"/>
      <c r="AG59" s="434"/>
      <c r="AH59" s="434"/>
      <c r="AI59" s="469"/>
      <c r="AJ59" s="469"/>
      <c r="AK59" s="434"/>
      <c r="AL59" s="434"/>
      <c r="AM59" s="434"/>
    </row>
    <row r="60" spans="1:39" s="155" customFormat="1" ht="12" hidden="1" x14ac:dyDescent="0.2">
      <c r="A60" s="168">
        <v>6</v>
      </c>
      <c r="B60" s="168"/>
      <c r="C60" s="172"/>
      <c r="D60" s="432">
        <f t="shared" si="10"/>
        <v>0</v>
      </c>
      <c r="E60" s="434"/>
      <c r="F60" s="434"/>
      <c r="G60" s="434"/>
      <c r="H60" s="434"/>
      <c r="I60" s="434"/>
      <c r="J60" s="434"/>
      <c r="K60" s="434"/>
      <c r="L60" s="434"/>
      <c r="M60" s="469"/>
      <c r="N60" s="469"/>
      <c r="O60" s="434"/>
      <c r="P60" s="432">
        <f t="shared" si="2"/>
        <v>0</v>
      </c>
      <c r="Q60" s="431"/>
      <c r="R60" s="431"/>
      <c r="S60" s="431"/>
      <c r="T60" s="431"/>
      <c r="U60" s="431"/>
      <c r="V60" s="431"/>
      <c r="W60" s="431"/>
      <c r="X60" s="431"/>
      <c r="Y60" s="431"/>
      <c r="Z60" s="468"/>
      <c r="AA60" s="431"/>
      <c r="AB60" s="431"/>
      <c r="AC60" s="469"/>
      <c r="AD60" s="434"/>
      <c r="AE60" s="434"/>
      <c r="AF60" s="434"/>
      <c r="AG60" s="434"/>
      <c r="AH60" s="434"/>
      <c r="AI60" s="469"/>
      <c r="AJ60" s="469"/>
      <c r="AK60" s="434"/>
      <c r="AL60" s="434"/>
      <c r="AM60" s="434"/>
    </row>
    <row r="61" spans="1:39" s="155" customFormat="1" ht="12" hidden="1" x14ac:dyDescent="0.2">
      <c r="A61" s="168">
        <v>7</v>
      </c>
      <c r="B61" s="168"/>
      <c r="C61" s="172"/>
      <c r="D61" s="432">
        <f t="shared" si="10"/>
        <v>0</v>
      </c>
      <c r="E61" s="434"/>
      <c r="F61" s="434"/>
      <c r="G61" s="434"/>
      <c r="H61" s="434"/>
      <c r="I61" s="434"/>
      <c r="J61" s="434"/>
      <c r="K61" s="434"/>
      <c r="L61" s="434"/>
      <c r="M61" s="434"/>
      <c r="N61" s="434"/>
      <c r="O61" s="434"/>
      <c r="P61" s="432">
        <f t="shared" si="2"/>
        <v>0</v>
      </c>
      <c r="Q61" s="431"/>
      <c r="R61" s="431"/>
      <c r="S61" s="431"/>
      <c r="T61" s="431"/>
      <c r="U61" s="431"/>
      <c r="V61" s="431"/>
      <c r="W61" s="431"/>
      <c r="X61" s="431"/>
      <c r="Y61" s="431"/>
      <c r="Z61" s="468"/>
      <c r="AA61" s="431"/>
      <c r="AB61" s="431"/>
      <c r="AC61" s="469"/>
      <c r="AD61" s="434"/>
      <c r="AE61" s="434"/>
      <c r="AF61" s="434"/>
      <c r="AG61" s="434"/>
      <c r="AH61" s="434"/>
      <c r="AI61" s="469"/>
      <c r="AJ61" s="469"/>
      <c r="AK61" s="434"/>
      <c r="AL61" s="434"/>
      <c r="AM61" s="434"/>
    </row>
    <row r="62" spans="1:39" s="155" customFormat="1" ht="12" hidden="1" x14ac:dyDescent="0.2">
      <c r="A62" s="168">
        <v>8</v>
      </c>
      <c r="B62" s="168"/>
      <c r="C62" s="172"/>
      <c r="D62" s="432">
        <f t="shared" si="10"/>
        <v>0</v>
      </c>
      <c r="E62" s="434"/>
      <c r="F62" s="434"/>
      <c r="G62" s="434"/>
      <c r="H62" s="434"/>
      <c r="I62" s="434"/>
      <c r="J62" s="434"/>
      <c r="K62" s="434"/>
      <c r="L62" s="434"/>
      <c r="M62" s="434"/>
      <c r="N62" s="434"/>
      <c r="O62" s="434"/>
      <c r="P62" s="432">
        <f t="shared" si="2"/>
        <v>0</v>
      </c>
      <c r="Q62" s="431"/>
      <c r="R62" s="431"/>
      <c r="S62" s="431"/>
      <c r="T62" s="431"/>
      <c r="U62" s="431"/>
      <c r="V62" s="431"/>
      <c r="W62" s="431"/>
      <c r="X62" s="431"/>
      <c r="Y62" s="431"/>
      <c r="Z62" s="468"/>
      <c r="AA62" s="431"/>
      <c r="AB62" s="431"/>
      <c r="AC62" s="469"/>
      <c r="AD62" s="434"/>
      <c r="AE62" s="434"/>
      <c r="AF62" s="434"/>
      <c r="AG62" s="434"/>
      <c r="AH62" s="434"/>
      <c r="AI62" s="469"/>
      <c r="AJ62" s="469"/>
      <c r="AK62" s="434"/>
      <c r="AL62" s="434"/>
      <c r="AM62" s="434"/>
    </row>
    <row r="63" spans="1:39" s="155" customFormat="1" ht="12" hidden="1" x14ac:dyDescent="0.2">
      <c r="A63" s="168">
        <v>9</v>
      </c>
      <c r="B63" s="168"/>
      <c r="C63" s="172"/>
      <c r="D63" s="432">
        <f t="shared" si="10"/>
        <v>0</v>
      </c>
      <c r="E63" s="434"/>
      <c r="F63" s="434"/>
      <c r="G63" s="434"/>
      <c r="H63" s="434"/>
      <c r="I63" s="434"/>
      <c r="J63" s="434"/>
      <c r="K63" s="434"/>
      <c r="L63" s="434"/>
      <c r="M63" s="434"/>
      <c r="N63" s="434"/>
      <c r="O63" s="434"/>
      <c r="P63" s="432">
        <f t="shared" si="2"/>
        <v>0</v>
      </c>
      <c r="Q63" s="431"/>
      <c r="R63" s="431"/>
      <c r="S63" s="431"/>
      <c r="T63" s="431"/>
      <c r="U63" s="431"/>
      <c r="V63" s="431"/>
      <c r="W63" s="431"/>
      <c r="X63" s="431"/>
      <c r="Y63" s="431"/>
      <c r="Z63" s="468"/>
      <c r="AA63" s="431"/>
      <c r="AB63" s="431"/>
      <c r="AC63" s="469"/>
      <c r="AD63" s="434"/>
      <c r="AE63" s="434"/>
      <c r="AF63" s="434"/>
      <c r="AG63" s="434"/>
      <c r="AH63" s="434"/>
      <c r="AI63" s="469"/>
      <c r="AJ63" s="469"/>
      <c r="AK63" s="434"/>
      <c r="AL63" s="434"/>
      <c r="AM63" s="434"/>
    </row>
    <row r="64" spans="1:39" s="155" customFormat="1" ht="12" hidden="1" x14ac:dyDescent="0.2">
      <c r="A64" s="168">
        <v>10</v>
      </c>
      <c r="B64" s="168"/>
      <c r="C64" s="172"/>
      <c r="D64" s="432">
        <f t="shared" si="10"/>
        <v>0</v>
      </c>
      <c r="E64" s="434"/>
      <c r="F64" s="434"/>
      <c r="G64" s="434"/>
      <c r="H64" s="434"/>
      <c r="I64" s="434"/>
      <c r="J64" s="434"/>
      <c r="K64" s="434"/>
      <c r="L64" s="434"/>
      <c r="M64" s="434"/>
      <c r="N64" s="434"/>
      <c r="O64" s="434"/>
      <c r="P64" s="432">
        <f t="shared" si="2"/>
        <v>0</v>
      </c>
      <c r="Q64" s="431"/>
      <c r="R64" s="431"/>
      <c r="S64" s="431"/>
      <c r="T64" s="431"/>
      <c r="U64" s="431"/>
      <c r="V64" s="431"/>
      <c r="W64" s="431"/>
      <c r="X64" s="431"/>
      <c r="Y64" s="431"/>
      <c r="Z64" s="468"/>
      <c r="AA64" s="431"/>
      <c r="AB64" s="431"/>
      <c r="AC64" s="469"/>
      <c r="AD64" s="434"/>
      <c r="AE64" s="434"/>
      <c r="AF64" s="434"/>
      <c r="AG64" s="434"/>
      <c r="AH64" s="434"/>
      <c r="AI64" s="469"/>
      <c r="AJ64" s="469"/>
      <c r="AK64" s="434"/>
      <c r="AL64" s="434"/>
      <c r="AM64" s="434"/>
    </row>
    <row r="65" spans="1:39" s="155" customFormat="1" ht="12" hidden="1" x14ac:dyDescent="0.2">
      <c r="A65" s="168">
        <v>11</v>
      </c>
      <c r="B65" s="168"/>
      <c r="C65" s="172"/>
      <c r="D65" s="432">
        <f t="shared" si="10"/>
        <v>0</v>
      </c>
      <c r="E65" s="434"/>
      <c r="F65" s="434"/>
      <c r="G65" s="434"/>
      <c r="H65" s="434"/>
      <c r="I65" s="434"/>
      <c r="J65" s="434"/>
      <c r="K65" s="434"/>
      <c r="L65" s="434"/>
      <c r="M65" s="434"/>
      <c r="N65" s="434"/>
      <c r="O65" s="434"/>
      <c r="P65" s="432">
        <f t="shared" si="2"/>
        <v>0</v>
      </c>
      <c r="Q65" s="431"/>
      <c r="R65" s="431"/>
      <c r="S65" s="431"/>
      <c r="T65" s="431"/>
      <c r="U65" s="431"/>
      <c r="V65" s="431"/>
      <c r="W65" s="431"/>
      <c r="X65" s="431"/>
      <c r="Y65" s="431"/>
      <c r="Z65" s="468"/>
      <c r="AA65" s="431"/>
      <c r="AB65" s="431"/>
      <c r="AC65" s="469"/>
      <c r="AD65" s="434"/>
      <c r="AE65" s="434"/>
      <c r="AF65" s="434"/>
      <c r="AG65" s="434"/>
      <c r="AH65" s="434"/>
      <c r="AI65" s="469"/>
      <c r="AJ65" s="469"/>
      <c r="AK65" s="434"/>
      <c r="AL65" s="434"/>
      <c r="AM65" s="434"/>
    </row>
    <row r="66" spans="1:39" s="155" customFormat="1" ht="12" hidden="1" x14ac:dyDescent="0.2">
      <c r="A66" s="168">
        <v>12</v>
      </c>
      <c r="B66" s="168"/>
      <c r="C66" s="172"/>
      <c r="D66" s="432">
        <f t="shared" si="10"/>
        <v>0</v>
      </c>
      <c r="E66" s="434"/>
      <c r="F66" s="434"/>
      <c r="G66" s="434"/>
      <c r="H66" s="434"/>
      <c r="I66" s="434"/>
      <c r="J66" s="434"/>
      <c r="K66" s="434"/>
      <c r="L66" s="434"/>
      <c r="M66" s="434"/>
      <c r="N66" s="434"/>
      <c r="O66" s="434"/>
      <c r="P66" s="432">
        <f t="shared" si="2"/>
        <v>0</v>
      </c>
      <c r="Q66" s="431"/>
      <c r="R66" s="431"/>
      <c r="S66" s="431"/>
      <c r="T66" s="431"/>
      <c r="U66" s="431"/>
      <c r="V66" s="431"/>
      <c r="W66" s="431"/>
      <c r="X66" s="431"/>
      <c r="Y66" s="431"/>
      <c r="Z66" s="468"/>
      <c r="AA66" s="431"/>
      <c r="AB66" s="431"/>
      <c r="AC66" s="469"/>
      <c r="AD66" s="434"/>
      <c r="AE66" s="434"/>
      <c r="AF66" s="434"/>
      <c r="AG66" s="434"/>
      <c r="AH66" s="434"/>
      <c r="AI66" s="469"/>
      <c r="AJ66" s="469"/>
      <c r="AK66" s="434"/>
      <c r="AL66" s="434"/>
      <c r="AM66" s="434"/>
    </row>
    <row r="67" spans="1:39" s="155" customFormat="1" ht="12" hidden="1" x14ac:dyDescent="0.2">
      <c r="A67" s="168">
        <v>13</v>
      </c>
      <c r="B67" s="168"/>
      <c r="C67" s="172"/>
      <c r="D67" s="432">
        <f t="shared" si="10"/>
        <v>0</v>
      </c>
      <c r="E67" s="434"/>
      <c r="F67" s="434"/>
      <c r="G67" s="434"/>
      <c r="H67" s="434"/>
      <c r="I67" s="434"/>
      <c r="J67" s="434"/>
      <c r="K67" s="434"/>
      <c r="L67" s="434"/>
      <c r="M67" s="434"/>
      <c r="N67" s="434"/>
      <c r="O67" s="434"/>
      <c r="P67" s="432">
        <f t="shared" si="2"/>
        <v>0</v>
      </c>
      <c r="Q67" s="431"/>
      <c r="R67" s="468"/>
      <c r="S67" s="431"/>
      <c r="T67" s="431"/>
      <c r="U67" s="431"/>
      <c r="V67" s="431"/>
      <c r="W67" s="431"/>
      <c r="X67" s="431"/>
      <c r="Y67" s="431"/>
      <c r="Z67" s="468"/>
      <c r="AA67" s="431"/>
      <c r="AB67" s="431"/>
      <c r="AC67" s="469"/>
      <c r="AD67" s="434"/>
      <c r="AE67" s="434"/>
      <c r="AF67" s="434"/>
      <c r="AG67" s="434"/>
      <c r="AH67" s="434"/>
      <c r="AI67" s="469"/>
      <c r="AJ67" s="469"/>
      <c r="AK67" s="434"/>
      <c r="AL67" s="434"/>
      <c r="AM67" s="434"/>
    </row>
    <row r="68" spans="1:39" s="155" customFormat="1" ht="12" hidden="1" x14ac:dyDescent="0.2">
      <c r="A68" s="168">
        <v>14</v>
      </c>
      <c r="B68" s="168"/>
      <c r="C68" s="182"/>
      <c r="D68" s="432">
        <f t="shared" si="10"/>
        <v>0</v>
      </c>
      <c r="E68" s="434"/>
      <c r="F68" s="434"/>
      <c r="G68" s="434"/>
      <c r="H68" s="434"/>
      <c r="I68" s="434"/>
      <c r="J68" s="434"/>
      <c r="K68" s="434"/>
      <c r="L68" s="434"/>
      <c r="M68" s="434"/>
      <c r="N68" s="434"/>
      <c r="O68" s="434"/>
      <c r="P68" s="432">
        <f t="shared" si="2"/>
        <v>0</v>
      </c>
      <c r="Q68" s="431"/>
      <c r="R68" s="468"/>
      <c r="S68" s="431"/>
      <c r="T68" s="431"/>
      <c r="U68" s="431"/>
      <c r="V68" s="431"/>
      <c r="W68" s="431"/>
      <c r="X68" s="431"/>
      <c r="Y68" s="431"/>
      <c r="Z68" s="468"/>
      <c r="AA68" s="431"/>
      <c r="AB68" s="431"/>
      <c r="AC68" s="469"/>
      <c r="AD68" s="434"/>
      <c r="AE68" s="434"/>
      <c r="AF68" s="434"/>
      <c r="AG68" s="434"/>
      <c r="AH68" s="434"/>
      <c r="AI68" s="469"/>
      <c r="AJ68" s="469"/>
      <c r="AK68" s="434"/>
      <c r="AL68" s="434"/>
      <c r="AM68" s="434"/>
    </row>
    <row r="69" spans="1:39" s="155" customFormat="1" ht="12" hidden="1" x14ac:dyDescent="0.2">
      <c r="A69" s="168">
        <v>15</v>
      </c>
      <c r="B69" s="168"/>
      <c r="C69" s="172"/>
      <c r="D69" s="432">
        <f t="shared" si="10"/>
        <v>0</v>
      </c>
      <c r="E69" s="434"/>
      <c r="F69" s="434"/>
      <c r="G69" s="434"/>
      <c r="H69" s="434"/>
      <c r="I69" s="434"/>
      <c r="J69" s="434"/>
      <c r="K69" s="434"/>
      <c r="L69" s="434"/>
      <c r="M69" s="434"/>
      <c r="N69" s="434"/>
      <c r="O69" s="434"/>
      <c r="P69" s="432">
        <f t="shared" si="2"/>
        <v>0</v>
      </c>
      <c r="Q69" s="431"/>
      <c r="R69" s="431"/>
      <c r="S69" s="431"/>
      <c r="T69" s="431"/>
      <c r="U69" s="431"/>
      <c r="V69" s="431"/>
      <c r="W69" s="431"/>
      <c r="X69" s="431"/>
      <c r="Y69" s="431"/>
      <c r="Z69" s="468"/>
      <c r="AA69" s="431"/>
      <c r="AB69" s="431"/>
      <c r="AC69" s="469"/>
      <c r="AD69" s="434"/>
      <c r="AE69" s="434"/>
      <c r="AF69" s="434"/>
      <c r="AG69" s="434"/>
      <c r="AH69" s="434"/>
      <c r="AI69" s="469"/>
      <c r="AJ69" s="469"/>
      <c r="AK69" s="434"/>
      <c r="AL69" s="434"/>
      <c r="AM69" s="434"/>
    </row>
    <row r="70" spans="1:39" s="155" customFormat="1" ht="12" hidden="1" x14ac:dyDescent="0.2">
      <c r="A70" s="168">
        <v>16</v>
      </c>
      <c r="B70" s="168"/>
      <c r="C70" s="172"/>
      <c r="D70" s="432">
        <f t="shared" si="10"/>
        <v>0</v>
      </c>
      <c r="E70" s="434"/>
      <c r="F70" s="434"/>
      <c r="G70" s="434"/>
      <c r="H70" s="434"/>
      <c r="I70" s="434"/>
      <c r="J70" s="434"/>
      <c r="K70" s="434"/>
      <c r="L70" s="434"/>
      <c r="M70" s="434"/>
      <c r="N70" s="434"/>
      <c r="O70" s="434"/>
      <c r="P70" s="432">
        <f t="shared" si="2"/>
        <v>0</v>
      </c>
      <c r="Q70" s="431"/>
      <c r="R70" s="431"/>
      <c r="S70" s="431"/>
      <c r="T70" s="431"/>
      <c r="U70" s="431"/>
      <c r="V70" s="431"/>
      <c r="W70" s="431"/>
      <c r="X70" s="431"/>
      <c r="Y70" s="431"/>
      <c r="Z70" s="468"/>
      <c r="AA70" s="431"/>
      <c r="AB70" s="431"/>
      <c r="AC70" s="469"/>
      <c r="AD70" s="434"/>
      <c r="AE70" s="434"/>
      <c r="AF70" s="434"/>
      <c r="AG70" s="434"/>
      <c r="AH70" s="434"/>
      <c r="AI70" s="469"/>
      <c r="AJ70" s="469"/>
      <c r="AK70" s="434"/>
      <c r="AL70" s="434"/>
      <c r="AM70" s="434"/>
    </row>
    <row r="71" spans="1:39" s="155" customFormat="1" ht="12" hidden="1" x14ac:dyDescent="0.2">
      <c r="A71" s="168">
        <v>17</v>
      </c>
      <c r="B71" s="168"/>
      <c r="C71" s="172"/>
      <c r="D71" s="432">
        <f t="shared" si="10"/>
        <v>0</v>
      </c>
      <c r="E71" s="434"/>
      <c r="F71" s="434"/>
      <c r="G71" s="434"/>
      <c r="H71" s="434"/>
      <c r="I71" s="434"/>
      <c r="J71" s="434"/>
      <c r="K71" s="434"/>
      <c r="L71" s="434"/>
      <c r="M71" s="434"/>
      <c r="N71" s="434"/>
      <c r="O71" s="434"/>
      <c r="P71" s="432">
        <f t="shared" si="2"/>
        <v>0</v>
      </c>
      <c r="Q71" s="431"/>
      <c r="R71" s="431"/>
      <c r="S71" s="431"/>
      <c r="T71" s="431"/>
      <c r="U71" s="431"/>
      <c r="V71" s="431"/>
      <c r="W71" s="431"/>
      <c r="X71" s="431"/>
      <c r="Y71" s="431"/>
      <c r="Z71" s="468"/>
      <c r="AA71" s="431"/>
      <c r="AB71" s="431"/>
      <c r="AC71" s="469"/>
      <c r="AD71" s="434"/>
      <c r="AE71" s="434"/>
      <c r="AF71" s="434"/>
      <c r="AG71" s="434"/>
      <c r="AH71" s="434"/>
      <c r="AI71" s="469"/>
      <c r="AJ71" s="469"/>
      <c r="AK71" s="434"/>
      <c r="AL71" s="434"/>
      <c r="AM71" s="434"/>
    </row>
    <row r="72" spans="1:39" s="155" customFormat="1" ht="12" hidden="1" x14ac:dyDescent="0.2">
      <c r="A72" s="168">
        <v>18</v>
      </c>
      <c r="B72" s="168"/>
      <c r="C72" s="172"/>
      <c r="D72" s="432">
        <f t="shared" si="10"/>
        <v>0</v>
      </c>
      <c r="E72" s="434"/>
      <c r="F72" s="434"/>
      <c r="G72" s="434"/>
      <c r="H72" s="434"/>
      <c r="I72" s="434"/>
      <c r="J72" s="434"/>
      <c r="K72" s="434"/>
      <c r="L72" s="434"/>
      <c r="M72" s="434"/>
      <c r="N72" s="434"/>
      <c r="O72" s="434"/>
      <c r="P72" s="432">
        <f t="shared" si="2"/>
        <v>0</v>
      </c>
      <c r="Q72" s="431"/>
      <c r="R72" s="431"/>
      <c r="S72" s="431"/>
      <c r="T72" s="431"/>
      <c r="U72" s="431"/>
      <c r="V72" s="431"/>
      <c r="W72" s="431"/>
      <c r="X72" s="431"/>
      <c r="Y72" s="431"/>
      <c r="Z72" s="468"/>
      <c r="AA72" s="431"/>
      <c r="AB72" s="431"/>
      <c r="AC72" s="469"/>
      <c r="AD72" s="434"/>
      <c r="AE72" s="434"/>
      <c r="AF72" s="434"/>
      <c r="AG72" s="434"/>
      <c r="AH72" s="434"/>
      <c r="AI72" s="469"/>
      <c r="AJ72" s="469"/>
      <c r="AK72" s="434"/>
      <c r="AL72" s="434"/>
      <c r="AM72" s="434"/>
    </row>
    <row r="73" spans="1:39" s="155" customFormat="1" ht="12" hidden="1" x14ac:dyDescent="0.2">
      <c r="A73" s="168">
        <v>19</v>
      </c>
      <c r="B73" s="168"/>
      <c r="C73" s="172"/>
      <c r="D73" s="432">
        <f t="shared" si="10"/>
        <v>0</v>
      </c>
      <c r="E73" s="434"/>
      <c r="F73" s="434"/>
      <c r="G73" s="434"/>
      <c r="H73" s="434"/>
      <c r="I73" s="434"/>
      <c r="J73" s="434"/>
      <c r="K73" s="434"/>
      <c r="L73" s="434"/>
      <c r="M73" s="434"/>
      <c r="N73" s="434"/>
      <c r="O73" s="434"/>
      <c r="P73" s="432">
        <f t="shared" si="2"/>
        <v>0</v>
      </c>
      <c r="Q73" s="431"/>
      <c r="R73" s="431"/>
      <c r="S73" s="431"/>
      <c r="T73" s="431"/>
      <c r="U73" s="431"/>
      <c r="V73" s="431"/>
      <c r="W73" s="431"/>
      <c r="X73" s="431"/>
      <c r="Y73" s="431"/>
      <c r="Z73" s="468"/>
      <c r="AA73" s="431"/>
      <c r="AB73" s="431"/>
      <c r="AC73" s="469"/>
      <c r="AD73" s="434"/>
      <c r="AE73" s="434"/>
      <c r="AF73" s="434"/>
      <c r="AG73" s="434"/>
      <c r="AH73" s="434"/>
      <c r="AI73" s="469"/>
      <c r="AJ73" s="469"/>
      <c r="AK73" s="434"/>
      <c r="AL73" s="434"/>
      <c r="AM73" s="434"/>
    </row>
    <row r="74" spans="1:39" s="155" customFormat="1" ht="12" hidden="1" x14ac:dyDescent="0.2">
      <c r="A74" s="168">
        <v>20</v>
      </c>
      <c r="B74" s="168"/>
      <c r="C74" s="172"/>
      <c r="D74" s="432">
        <f t="shared" si="10"/>
        <v>0</v>
      </c>
      <c r="E74" s="434"/>
      <c r="F74" s="434"/>
      <c r="G74" s="434"/>
      <c r="H74" s="434"/>
      <c r="I74" s="434"/>
      <c r="J74" s="434"/>
      <c r="K74" s="434"/>
      <c r="L74" s="434"/>
      <c r="M74" s="434"/>
      <c r="N74" s="434"/>
      <c r="O74" s="434"/>
      <c r="P74" s="432">
        <f t="shared" si="2"/>
        <v>0</v>
      </c>
      <c r="Q74" s="431"/>
      <c r="R74" s="431"/>
      <c r="S74" s="431"/>
      <c r="T74" s="431"/>
      <c r="U74" s="431"/>
      <c r="V74" s="431"/>
      <c r="W74" s="431"/>
      <c r="X74" s="431"/>
      <c r="Y74" s="431"/>
      <c r="Z74" s="468"/>
      <c r="AA74" s="431"/>
      <c r="AB74" s="431"/>
      <c r="AC74" s="469"/>
      <c r="AD74" s="434"/>
      <c r="AE74" s="434"/>
      <c r="AF74" s="434"/>
      <c r="AG74" s="434"/>
      <c r="AH74" s="434"/>
      <c r="AI74" s="469"/>
      <c r="AJ74" s="469"/>
      <c r="AK74" s="434"/>
      <c r="AL74" s="434"/>
      <c r="AM74" s="434"/>
    </row>
    <row r="75" spans="1:39" s="155" customFormat="1" ht="12" hidden="1" x14ac:dyDescent="0.2">
      <c r="A75" s="168">
        <v>21</v>
      </c>
      <c r="B75" s="168"/>
      <c r="C75" s="172"/>
      <c r="D75" s="432">
        <f t="shared" si="10"/>
        <v>0</v>
      </c>
      <c r="E75" s="434"/>
      <c r="F75" s="434"/>
      <c r="G75" s="434"/>
      <c r="H75" s="434"/>
      <c r="I75" s="434"/>
      <c r="J75" s="434"/>
      <c r="K75" s="434"/>
      <c r="L75" s="434"/>
      <c r="M75" s="434"/>
      <c r="N75" s="434"/>
      <c r="O75" s="434"/>
      <c r="P75" s="432">
        <f t="shared" si="2"/>
        <v>0</v>
      </c>
      <c r="Q75" s="431"/>
      <c r="R75" s="431"/>
      <c r="S75" s="431"/>
      <c r="T75" s="431"/>
      <c r="U75" s="431"/>
      <c r="V75" s="431"/>
      <c r="W75" s="431"/>
      <c r="X75" s="431"/>
      <c r="Y75" s="431"/>
      <c r="Z75" s="468"/>
      <c r="AA75" s="431"/>
      <c r="AB75" s="431"/>
      <c r="AC75" s="469"/>
      <c r="AD75" s="434"/>
      <c r="AE75" s="434"/>
      <c r="AF75" s="434"/>
      <c r="AG75" s="434"/>
      <c r="AH75" s="434"/>
      <c r="AI75" s="469"/>
      <c r="AJ75" s="469"/>
      <c r="AK75" s="434"/>
      <c r="AL75" s="434"/>
      <c r="AM75" s="434"/>
    </row>
    <row r="76" spans="1:39" s="155" customFormat="1" ht="12" hidden="1" x14ac:dyDescent="0.2">
      <c r="A76" s="168">
        <v>22</v>
      </c>
      <c r="B76" s="168"/>
      <c r="C76" s="172"/>
      <c r="D76" s="432">
        <f t="shared" si="10"/>
        <v>0</v>
      </c>
      <c r="E76" s="434"/>
      <c r="F76" s="434"/>
      <c r="G76" s="434"/>
      <c r="H76" s="434"/>
      <c r="I76" s="434"/>
      <c r="J76" s="434"/>
      <c r="K76" s="434"/>
      <c r="L76" s="434"/>
      <c r="M76" s="434"/>
      <c r="N76" s="434"/>
      <c r="O76" s="434"/>
      <c r="P76" s="432">
        <f t="shared" si="2"/>
        <v>0</v>
      </c>
      <c r="Q76" s="431"/>
      <c r="R76" s="431"/>
      <c r="S76" s="431"/>
      <c r="T76" s="431"/>
      <c r="U76" s="431"/>
      <c r="V76" s="431"/>
      <c r="W76" s="431"/>
      <c r="X76" s="431"/>
      <c r="Y76" s="431"/>
      <c r="Z76" s="468"/>
      <c r="AA76" s="431"/>
      <c r="AB76" s="431"/>
      <c r="AC76" s="469"/>
      <c r="AD76" s="434"/>
      <c r="AE76" s="434"/>
      <c r="AF76" s="434"/>
      <c r="AG76" s="434"/>
      <c r="AH76" s="434"/>
      <c r="AI76" s="469"/>
      <c r="AJ76" s="469"/>
      <c r="AK76" s="434"/>
      <c r="AL76" s="434"/>
      <c r="AM76" s="434"/>
    </row>
    <row r="77" spans="1:39" s="155" customFormat="1" ht="12" hidden="1" x14ac:dyDescent="0.2">
      <c r="A77" s="168">
        <v>23</v>
      </c>
      <c r="B77" s="168"/>
      <c r="C77" s="172"/>
      <c r="D77" s="432">
        <f t="shared" si="10"/>
        <v>0</v>
      </c>
      <c r="E77" s="434"/>
      <c r="F77" s="434"/>
      <c r="G77" s="434"/>
      <c r="H77" s="434"/>
      <c r="I77" s="434"/>
      <c r="J77" s="434"/>
      <c r="K77" s="434"/>
      <c r="L77" s="434"/>
      <c r="M77" s="434"/>
      <c r="N77" s="434"/>
      <c r="O77" s="434"/>
      <c r="P77" s="432">
        <f t="shared" si="2"/>
        <v>0</v>
      </c>
      <c r="Q77" s="431"/>
      <c r="R77" s="431"/>
      <c r="S77" s="431"/>
      <c r="T77" s="431"/>
      <c r="U77" s="431"/>
      <c r="V77" s="431"/>
      <c r="W77" s="431"/>
      <c r="X77" s="431"/>
      <c r="Y77" s="431"/>
      <c r="Z77" s="468"/>
      <c r="AA77" s="431"/>
      <c r="AB77" s="431"/>
      <c r="AC77" s="469"/>
      <c r="AD77" s="434"/>
      <c r="AE77" s="434"/>
      <c r="AF77" s="434"/>
      <c r="AG77" s="434"/>
      <c r="AH77" s="434"/>
      <c r="AI77" s="469"/>
      <c r="AJ77" s="469"/>
      <c r="AK77" s="434"/>
      <c r="AL77" s="434"/>
      <c r="AM77" s="434"/>
    </row>
    <row r="78" spans="1:39" s="155" customFormat="1" ht="12" hidden="1" x14ac:dyDescent="0.2">
      <c r="A78" s="168">
        <v>24</v>
      </c>
      <c r="B78" s="168"/>
      <c r="C78" s="172"/>
      <c r="D78" s="432">
        <f t="shared" si="10"/>
        <v>0</v>
      </c>
      <c r="E78" s="434"/>
      <c r="F78" s="434"/>
      <c r="G78" s="434"/>
      <c r="H78" s="434"/>
      <c r="I78" s="434"/>
      <c r="J78" s="434"/>
      <c r="K78" s="434"/>
      <c r="L78" s="434"/>
      <c r="M78" s="434"/>
      <c r="N78" s="434"/>
      <c r="O78" s="434"/>
      <c r="P78" s="432">
        <f t="shared" si="2"/>
        <v>0</v>
      </c>
      <c r="Q78" s="431"/>
      <c r="R78" s="431"/>
      <c r="S78" s="431"/>
      <c r="T78" s="431"/>
      <c r="U78" s="431"/>
      <c r="V78" s="431"/>
      <c r="W78" s="431"/>
      <c r="X78" s="431"/>
      <c r="Y78" s="431"/>
      <c r="Z78" s="468"/>
      <c r="AA78" s="431"/>
      <c r="AB78" s="431"/>
      <c r="AC78" s="469"/>
      <c r="AD78" s="434"/>
      <c r="AE78" s="434"/>
      <c r="AF78" s="434"/>
      <c r="AG78" s="434"/>
      <c r="AH78" s="434"/>
      <c r="AI78" s="469"/>
      <c r="AJ78" s="469"/>
      <c r="AK78" s="434"/>
      <c r="AL78" s="434"/>
      <c r="AM78" s="434"/>
    </row>
    <row r="79" spans="1:39" s="155" customFormat="1" ht="12" hidden="1" x14ac:dyDescent="0.2">
      <c r="A79" s="168">
        <v>25</v>
      </c>
      <c r="B79" s="168"/>
      <c r="C79" s="172"/>
      <c r="D79" s="432">
        <f t="shared" si="10"/>
        <v>0</v>
      </c>
      <c r="E79" s="434"/>
      <c r="F79" s="434"/>
      <c r="G79" s="434"/>
      <c r="H79" s="434"/>
      <c r="I79" s="434"/>
      <c r="J79" s="434"/>
      <c r="K79" s="434"/>
      <c r="L79" s="434"/>
      <c r="M79" s="434"/>
      <c r="N79" s="434"/>
      <c r="O79" s="434"/>
      <c r="P79" s="432">
        <f t="shared" ref="P79:P142" si="13">IF(SUM(Q79:AB79)=SUM(AC79:AM79),SUM(Q79:AB79),"  EROARE ART/CAP")</f>
        <v>0</v>
      </c>
      <c r="Q79" s="431"/>
      <c r="R79" s="431"/>
      <c r="S79" s="431"/>
      <c r="T79" s="431"/>
      <c r="U79" s="431"/>
      <c r="V79" s="431"/>
      <c r="W79" s="431"/>
      <c r="X79" s="431"/>
      <c r="Y79" s="431"/>
      <c r="Z79" s="468"/>
      <c r="AA79" s="431"/>
      <c r="AB79" s="431"/>
      <c r="AC79" s="469"/>
      <c r="AD79" s="434"/>
      <c r="AE79" s="434"/>
      <c r="AF79" s="434"/>
      <c r="AG79" s="434"/>
      <c r="AH79" s="434"/>
      <c r="AI79" s="469"/>
      <c r="AJ79" s="469"/>
      <c r="AK79" s="434"/>
      <c r="AL79" s="434"/>
      <c r="AM79" s="434"/>
    </row>
    <row r="80" spans="1:39" s="155" customFormat="1" ht="12" hidden="1" x14ac:dyDescent="0.2">
      <c r="A80" s="168">
        <v>26</v>
      </c>
      <c r="B80" s="168"/>
      <c r="C80" s="172"/>
      <c r="D80" s="432">
        <f t="shared" si="10"/>
        <v>0</v>
      </c>
      <c r="E80" s="434"/>
      <c r="F80" s="434"/>
      <c r="G80" s="434"/>
      <c r="H80" s="434"/>
      <c r="I80" s="434"/>
      <c r="J80" s="434"/>
      <c r="K80" s="434"/>
      <c r="L80" s="434"/>
      <c r="M80" s="434"/>
      <c r="N80" s="434"/>
      <c r="O80" s="434"/>
      <c r="P80" s="432">
        <f t="shared" si="13"/>
        <v>0</v>
      </c>
      <c r="Q80" s="431"/>
      <c r="R80" s="431"/>
      <c r="S80" s="431"/>
      <c r="T80" s="431"/>
      <c r="U80" s="431"/>
      <c r="V80" s="431"/>
      <c r="W80" s="431"/>
      <c r="X80" s="431"/>
      <c r="Y80" s="431"/>
      <c r="Z80" s="468"/>
      <c r="AA80" s="431"/>
      <c r="AB80" s="431"/>
      <c r="AC80" s="469"/>
      <c r="AD80" s="434"/>
      <c r="AE80" s="434"/>
      <c r="AF80" s="434"/>
      <c r="AG80" s="434"/>
      <c r="AH80" s="434"/>
      <c r="AI80" s="469"/>
      <c r="AJ80" s="469"/>
      <c r="AK80" s="434"/>
      <c r="AL80" s="434"/>
      <c r="AM80" s="434"/>
    </row>
    <row r="81" spans="1:39" s="155" customFormat="1" ht="12" hidden="1" x14ac:dyDescent="0.2">
      <c r="A81" s="168">
        <v>27</v>
      </c>
      <c r="B81" s="168"/>
      <c r="C81" s="172"/>
      <c r="D81" s="432">
        <f t="shared" si="10"/>
        <v>0</v>
      </c>
      <c r="E81" s="434"/>
      <c r="F81" s="434"/>
      <c r="G81" s="434"/>
      <c r="H81" s="434"/>
      <c r="I81" s="434"/>
      <c r="J81" s="434"/>
      <c r="K81" s="434"/>
      <c r="L81" s="434"/>
      <c r="M81" s="434"/>
      <c r="N81" s="434"/>
      <c r="O81" s="434"/>
      <c r="P81" s="432">
        <f t="shared" si="13"/>
        <v>0</v>
      </c>
      <c r="Q81" s="431"/>
      <c r="R81" s="431"/>
      <c r="S81" s="431"/>
      <c r="T81" s="431"/>
      <c r="U81" s="431"/>
      <c r="V81" s="431"/>
      <c r="W81" s="431"/>
      <c r="X81" s="431"/>
      <c r="Y81" s="431"/>
      <c r="Z81" s="468"/>
      <c r="AA81" s="431"/>
      <c r="AB81" s="431"/>
      <c r="AC81" s="469"/>
      <c r="AD81" s="434"/>
      <c r="AE81" s="434"/>
      <c r="AF81" s="434"/>
      <c r="AG81" s="434"/>
      <c r="AH81" s="434"/>
      <c r="AI81" s="469"/>
      <c r="AJ81" s="469"/>
      <c r="AK81" s="434"/>
      <c r="AL81" s="434"/>
      <c r="AM81" s="434"/>
    </row>
    <row r="82" spans="1:39" s="155" customFormat="1" ht="12" hidden="1" x14ac:dyDescent="0.2">
      <c r="A82" s="168">
        <v>28</v>
      </c>
      <c r="B82" s="168"/>
      <c r="C82" s="172"/>
      <c r="D82" s="432">
        <f t="shared" si="10"/>
        <v>0</v>
      </c>
      <c r="E82" s="434"/>
      <c r="F82" s="434"/>
      <c r="G82" s="434"/>
      <c r="H82" s="434"/>
      <c r="I82" s="434"/>
      <c r="J82" s="434"/>
      <c r="K82" s="434"/>
      <c r="L82" s="434"/>
      <c r="M82" s="434"/>
      <c r="N82" s="434"/>
      <c r="O82" s="434"/>
      <c r="P82" s="432">
        <f t="shared" si="13"/>
        <v>0</v>
      </c>
      <c r="Q82" s="431"/>
      <c r="R82" s="431"/>
      <c r="S82" s="431"/>
      <c r="T82" s="431"/>
      <c r="U82" s="431"/>
      <c r="V82" s="431"/>
      <c r="W82" s="431"/>
      <c r="X82" s="431"/>
      <c r="Y82" s="431"/>
      <c r="Z82" s="468"/>
      <c r="AA82" s="431"/>
      <c r="AB82" s="431"/>
      <c r="AC82" s="469"/>
      <c r="AD82" s="434"/>
      <c r="AE82" s="434"/>
      <c r="AF82" s="434"/>
      <c r="AG82" s="434"/>
      <c r="AH82" s="434"/>
      <c r="AI82" s="469"/>
      <c r="AJ82" s="469"/>
      <c r="AK82" s="434"/>
      <c r="AL82" s="434"/>
      <c r="AM82" s="434"/>
    </row>
    <row r="83" spans="1:39" s="155" customFormat="1" ht="12" hidden="1" x14ac:dyDescent="0.2">
      <c r="A83" s="168">
        <v>29</v>
      </c>
      <c r="B83" s="168"/>
      <c r="C83" s="172"/>
      <c r="D83" s="432">
        <f t="shared" si="10"/>
        <v>0</v>
      </c>
      <c r="E83" s="434"/>
      <c r="F83" s="434"/>
      <c r="G83" s="434"/>
      <c r="H83" s="434"/>
      <c r="I83" s="434"/>
      <c r="J83" s="434"/>
      <c r="K83" s="434"/>
      <c r="L83" s="434"/>
      <c r="M83" s="434"/>
      <c r="N83" s="434"/>
      <c r="O83" s="434"/>
      <c r="P83" s="432">
        <f t="shared" si="13"/>
        <v>0</v>
      </c>
      <c r="Q83" s="431"/>
      <c r="R83" s="431"/>
      <c r="S83" s="431"/>
      <c r="T83" s="431"/>
      <c r="U83" s="431"/>
      <c r="V83" s="431"/>
      <c r="W83" s="431"/>
      <c r="X83" s="431"/>
      <c r="Y83" s="431"/>
      <c r="Z83" s="468"/>
      <c r="AA83" s="431"/>
      <c r="AB83" s="431"/>
      <c r="AC83" s="469"/>
      <c r="AD83" s="434"/>
      <c r="AE83" s="434"/>
      <c r="AF83" s="434"/>
      <c r="AG83" s="434"/>
      <c r="AH83" s="434"/>
      <c r="AI83" s="469"/>
      <c r="AJ83" s="469"/>
      <c r="AK83" s="434"/>
      <c r="AL83" s="434"/>
      <c r="AM83" s="434"/>
    </row>
    <row r="84" spans="1:39" s="155" customFormat="1" ht="12" hidden="1" x14ac:dyDescent="0.2">
      <c r="A84" s="168">
        <v>30</v>
      </c>
      <c r="B84" s="168"/>
      <c r="C84" s="172"/>
      <c r="D84" s="432">
        <f t="shared" si="10"/>
        <v>0</v>
      </c>
      <c r="E84" s="434"/>
      <c r="F84" s="434"/>
      <c r="G84" s="434"/>
      <c r="H84" s="434"/>
      <c r="I84" s="434"/>
      <c r="J84" s="434"/>
      <c r="K84" s="434"/>
      <c r="L84" s="434"/>
      <c r="M84" s="434"/>
      <c r="N84" s="434"/>
      <c r="O84" s="434"/>
      <c r="P84" s="432">
        <f t="shared" si="13"/>
        <v>0</v>
      </c>
      <c r="Q84" s="431"/>
      <c r="R84" s="431"/>
      <c r="S84" s="431"/>
      <c r="T84" s="431"/>
      <c r="U84" s="431"/>
      <c r="V84" s="431"/>
      <c r="W84" s="431"/>
      <c r="X84" s="431"/>
      <c r="Y84" s="431"/>
      <c r="Z84" s="468"/>
      <c r="AA84" s="431"/>
      <c r="AB84" s="431"/>
      <c r="AC84" s="469"/>
      <c r="AD84" s="434"/>
      <c r="AE84" s="434"/>
      <c r="AF84" s="434"/>
      <c r="AG84" s="434"/>
      <c r="AH84" s="434"/>
      <c r="AI84" s="469"/>
      <c r="AJ84" s="469"/>
      <c r="AK84" s="434"/>
      <c r="AL84" s="434"/>
      <c r="AM84" s="434"/>
    </row>
    <row r="85" spans="1:39" s="155" customFormat="1" ht="12" hidden="1" x14ac:dyDescent="0.2">
      <c r="A85" s="168">
        <v>31</v>
      </c>
      <c r="B85" s="168"/>
      <c r="C85" s="172"/>
      <c r="D85" s="432">
        <f t="shared" si="10"/>
        <v>0</v>
      </c>
      <c r="E85" s="434"/>
      <c r="F85" s="434"/>
      <c r="G85" s="434"/>
      <c r="H85" s="434"/>
      <c r="I85" s="434"/>
      <c r="J85" s="434"/>
      <c r="K85" s="434"/>
      <c r="L85" s="434"/>
      <c r="M85" s="434"/>
      <c r="N85" s="434"/>
      <c r="O85" s="434"/>
      <c r="P85" s="432">
        <f t="shared" si="13"/>
        <v>0</v>
      </c>
      <c r="Q85" s="431"/>
      <c r="R85" s="431"/>
      <c r="S85" s="431"/>
      <c r="T85" s="431"/>
      <c r="U85" s="431"/>
      <c r="V85" s="431"/>
      <c r="W85" s="431"/>
      <c r="X85" s="431"/>
      <c r="Y85" s="431"/>
      <c r="Z85" s="468"/>
      <c r="AA85" s="431"/>
      <c r="AB85" s="431"/>
      <c r="AC85" s="469"/>
      <c r="AD85" s="434"/>
      <c r="AE85" s="434"/>
      <c r="AF85" s="434"/>
      <c r="AG85" s="434"/>
      <c r="AH85" s="434"/>
      <c r="AI85" s="469"/>
      <c r="AJ85" s="469"/>
      <c r="AK85" s="434"/>
      <c r="AL85" s="434"/>
      <c r="AM85" s="434"/>
    </row>
    <row r="86" spans="1:39" s="155" customFormat="1" ht="12" hidden="1" x14ac:dyDescent="0.2">
      <c r="A86" s="168">
        <v>32</v>
      </c>
      <c r="B86" s="168"/>
      <c r="C86" s="172"/>
      <c r="D86" s="432">
        <f t="shared" si="10"/>
        <v>0</v>
      </c>
      <c r="E86" s="434"/>
      <c r="F86" s="434"/>
      <c r="G86" s="434"/>
      <c r="H86" s="434"/>
      <c r="I86" s="434"/>
      <c r="J86" s="434"/>
      <c r="K86" s="434"/>
      <c r="L86" s="434"/>
      <c r="M86" s="434"/>
      <c r="N86" s="434"/>
      <c r="O86" s="434"/>
      <c r="P86" s="432">
        <f t="shared" si="13"/>
        <v>0</v>
      </c>
      <c r="Q86" s="431"/>
      <c r="R86" s="431"/>
      <c r="S86" s="431"/>
      <c r="T86" s="431"/>
      <c r="U86" s="431"/>
      <c r="V86" s="431"/>
      <c r="W86" s="431"/>
      <c r="X86" s="431"/>
      <c r="Y86" s="431"/>
      <c r="Z86" s="468"/>
      <c r="AA86" s="431"/>
      <c r="AB86" s="431"/>
      <c r="AC86" s="469"/>
      <c r="AD86" s="434"/>
      <c r="AE86" s="434"/>
      <c r="AF86" s="434"/>
      <c r="AG86" s="434"/>
      <c r="AH86" s="434"/>
      <c r="AI86" s="469"/>
      <c r="AJ86" s="469"/>
      <c r="AK86" s="434"/>
      <c r="AL86" s="434"/>
      <c r="AM86" s="434"/>
    </row>
    <row r="87" spans="1:39" s="155" customFormat="1" ht="12" hidden="1" x14ac:dyDescent="0.2">
      <c r="A87" s="168">
        <v>33</v>
      </c>
      <c r="B87" s="168"/>
      <c r="C87" s="172"/>
      <c r="D87" s="432">
        <f t="shared" si="10"/>
        <v>0</v>
      </c>
      <c r="E87" s="434"/>
      <c r="F87" s="434"/>
      <c r="G87" s="434"/>
      <c r="H87" s="434"/>
      <c r="I87" s="434"/>
      <c r="J87" s="434"/>
      <c r="K87" s="434"/>
      <c r="L87" s="434"/>
      <c r="M87" s="434"/>
      <c r="N87" s="434"/>
      <c r="O87" s="434"/>
      <c r="P87" s="432">
        <f t="shared" si="13"/>
        <v>0</v>
      </c>
      <c r="Q87" s="431"/>
      <c r="R87" s="431"/>
      <c r="S87" s="431"/>
      <c r="T87" s="431"/>
      <c r="U87" s="431"/>
      <c r="V87" s="431"/>
      <c r="W87" s="431"/>
      <c r="X87" s="431"/>
      <c r="Y87" s="431"/>
      <c r="Z87" s="468"/>
      <c r="AA87" s="431"/>
      <c r="AB87" s="431"/>
      <c r="AC87" s="469"/>
      <c r="AD87" s="434"/>
      <c r="AE87" s="434"/>
      <c r="AF87" s="434"/>
      <c r="AG87" s="434"/>
      <c r="AH87" s="434"/>
      <c r="AI87" s="469"/>
      <c r="AJ87" s="469"/>
      <c r="AK87" s="434"/>
      <c r="AL87" s="434"/>
      <c r="AM87" s="434"/>
    </row>
    <row r="88" spans="1:39" s="155" customFormat="1" ht="12" hidden="1" x14ac:dyDescent="0.2">
      <c r="A88" s="168">
        <v>34</v>
      </c>
      <c r="B88" s="168"/>
      <c r="C88" s="172"/>
      <c r="D88" s="432">
        <f t="shared" si="10"/>
        <v>0</v>
      </c>
      <c r="E88" s="434"/>
      <c r="F88" s="434"/>
      <c r="G88" s="434"/>
      <c r="H88" s="434"/>
      <c r="I88" s="434"/>
      <c r="J88" s="434"/>
      <c r="K88" s="434"/>
      <c r="L88" s="434"/>
      <c r="M88" s="434"/>
      <c r="N88" s="434"/>
      <c r="O88" s="434"/>
      <c r="P88" s="432">
        <f t="shared" si="13"/>
        <v>0</v>
      </c>
      <c r="Q88" s="431"/>
      <c r="R88" s="431"/>
      <c r="S88" s="431"/>
      <c r="T88" s="431"/>
      <c r="U88" s="431"/>
      <c r="V88" s="431"/>
      <c r="W88" s="431"/>
      <c r="X88" s="431"/>
      <c r="Y88" s="431"/>
      <c r="Z88" s="468"/>
      <c r="AA88" s="431"/>
      <c r="AB88" s="431"/>
      <c r="AC88" s="469"/>
      <c r="AD88" s="434"/>
      <c r="AE88" s="434"/>
      <c r="AF88" s="434"/>
      <c r="AG88" s="434"/>
      <c r="AH88" s="434"/>
      <c r="AI88" s="469"/>
      <c r="AJ88" s="469"/>
      <c r="AK88" s="434"/>
      <c r="AL88" s="434"/>
      <c r="AM88" s="434"/>
    </row>
    <row r="89" spans="1:39" s="155" customFormat="1" ht="12" hidden="1" x14ac:dyDescent="0.2">
      <c r="A89" s="168">
        <v>35</v>
      </c>
      <c r="B89" s="168"/>
      <c r="C89" s="172"/>
      <c r="D89" s="432">
        <f t="shared" si="10"/>
        <v>0</v>
      </c>
      <c r="E89" s="434"/>
      <c r="F89" s="434"/>
      <c r="G89" s="434"/>
      <c r="H89" s="434"/>
      <c r="I89" s="434"/>
      <c r="J89" s="434"/>
      <c r="K89" s="434"/>
      <c r="L89" s="434"/>
      <c r="M89" s="434"/>
      <c r="N89" s="434"/>
      <c r="O89" s="434"/>
      <c r="P89" s="432">
        <f t="shared" si="13"/>
        <v>0</v>
      </c>
      <c r="Q89" s="431"/>
      <c r="R89" s="431"/>
      <c r="S89" s="431"/>
      <c r="T89" s="431"/>
      <c r="U89" s="431"/>
      <c r="V89" s="431"/>
      <c r="W89" s="431"/>
      <c r="X89" s="431"/>
      <c r="Y89" s="431"/>
      <c r="Z89" s="468"/>
      <c r="AA89" s="431"/>
      <c r="AB89" s="431"/>
      <c r="AC89" s="469"/>
      <c r="AD89" s="434"/>
      <c r="AE89" s="434"/>
      <c r="AF89" s="434"/>
      <c r="AG89" s="434"/>
      <c r="AH89" s="434"/>
      <c r="AI89" s="469"/>
      <c r="AJ89" s="469"/>
      <c r="AK89" s="434"/>
      <c r="AL89" s="434"/>
      <c r="AM89" s="434"/>
    </row>
    <row r="90" spans="1:39" s="155" customFormat="1" ht="12" hidden="1" x14ac:dyDescent="0.2">
      <c r="A90" s="168">
        <v>36</v>
      </c>
      <c r="B90" s="168"/>
      <c r="C90" s="172"/>
      <c r="D90" s="432">
        <f t="shared" si="10"/>
        <v>0</v>
      </c>
      <c r="E90" s="434"/>
      <c r="F90" s="434"/>
      <c r="G90" s="434"/>
      <c r="H90" s="434"/>
      <c r="I90" s="434"/>
      <c r="J90" s="434"/>
      <c r="K90" s="434"/>
      <c r="L90" s="434"/>
      <c r="M90" s="434"/>
      <c r="N90" s="434"/>
      <c r="O90" s="434"/>
      <c r="P90" s="432">
        <f t="shared" si="13"/>
        <v>0</v>
      </c>
      <c r="Q90" s="431"/>
      <c r="R90" s="431"/>
      <c r="S90" s="431"/>
      <c r="T90" s="431"/>
      <c r="U90" s="431"/>
      <c r="V90" s="431"/>
      <c r="W90" s="431"/>
      <c r="X90" s="431"/>
      <c r="Y90" s="431"/>
      <c r="Z90" s="468"/>
      <c r="AA90" s="431"/>
      <c r="AB90" s="431"/>
      <c r="AC90" s="469"/>
      <c r="AD90" s="434"/>
      <c r="AE90" s="434"/>
      <c r="AF90" s="434"/>
      <c r="AG90" s="434"/>
      <c r="AH90" s="434"/>
      <c r="AI90" s="469"/>
      <c r="AJ90" s="469"/>
      <c r="AK90" s="434"/>
      <c r="AL90" s="434"/>
      <c r="AM90" s="434"/>
    </row>
    <row r="91" spans="1:39" s="155" customFormat="1" ht="12" hidden="1" x14ac:dyDescent="0.2">
      <c r="A91" s="168">
        <v>37</v>
      </c>
      <c r="B91" s="168"/>
      <c r="C91" s="172"/>
      <c r="D91" s="432">
        <f t="shared" si="10"/>
        <v>0</v>
      </c>
      <c r="E91" s="434"/>
      <c r="F91" s="434"/>
      <c r="G91" s="434"/>
      <c r="H91" s="434"/>
      <c r="I91" s="434"/>
      <c r="J91" s="434"/>
      <c r="K91" s="434"/>
      <c r="L91" s="434"/>
      <c r="M91" s="434"/>
      <c r="N91" s="434"/>
      <c r="O91" s="434"/>
      <c r="P91" s="432">
        <f t="shared" si="13"/>
        <v>0</v>
      </c>
      <c r="Q91" s="431"/>
      <c r="R91" s="431"/>
      <c r="S91" s="431"/>
      <c r="T91" s="431"/>
      <c r="U91" s="431"/>
      <c r="V91" s="431"/>
      <c r="W91" s="431"/>
      <c r="X91" s="431"/>
      <c r="Y91" s="431"/>
      <c r="Z91" s="468"/>
      <c r="AA91" s="431"/>
      <c r="AB91" s="431"/>
      <c r="AC91" s="469"/>
      <c r="AD91" s="434"/>
      <c r="AE91" s="434"/>
      <c r="AF91" s="434"/>
      <c r="AG91" s="434"/>
      <c r="AH91" s="434"/>
      <c r="AI91" s="469"/>
      <c r="AJ91" s="469"/>
      <c r="AK91" s="434"/>
      <c r="AL91" s="434"/>
      <c r="AM91" s="434"/>
    </row>
    <row r="92" spans="1:39" s="155" customFormat="1" ht="12" hidden="1" x14ac:dyDescent="0.2">
      <c r="A92" s="168">
        <v>38</v>
      </c>
      <c r="B92" s="168"/>
      <c r="C92" s="172"/>
      <c r="D92" s="432">
        <f t="shared" si="10"/>
        <v>0</v>
      </c>
      <c r="E92" s="434"/>
      <c r="F92" s="434"/>
      <c r="G92" s="434"/>
      <c r="H92" s="434"/>
      <c r="I92" s="434"/>
      <c r="J92" s="434"/>
      <c r="K92" s="434"/>
      <c r="L92" s="434"/>
      <c r="M92" s="434"/>
      <c r="N92" s="434"/>
      <c r="O92" s="434"/>
      <c r="P92" s="432">
        <f t="shared" si="13"/>
        <v>0</v>
      </c>
      <c r="Q92" s="431"/>
      <c r="R92" s="431"/>
      <c r="S92" s="431"/>
      <c r="T92" s="431"/>
      <c r="U92" s="431"/>
      <c r="V92" s="431"/>
      <c r="W92" s="431"/>
      <c r="X92" s="431"/>
      <c r="Y92" s="431"/>
      <c r="Z92" s="468"/>
      <c r="AA92" s="431"/>
      <c r="AB92" s="431"/>
      <c r="AC92" s="469"/>
      <c r="AD92" s="434"/>
      <c r="AE92" s="434"/>
      <c r="AF92" s="434"/>
      <c r="AG92" s="434"/>
      <c r="AH92" s="434"/>
      <c r="AI92" s="469"/>
      <c r="AJ92" s="469"/>
      <c r="AK92" s="434"/>
      <c r="AL92" s="434"/>
      <c r="AM92" s="434"/>
    </row>
    <row r="93" spans="1:39" s="155" customFormat="1" ht="12" hidden="1" x14ac:dyDescent="0.2">
      <c r="A93" s="168">
        <v>39</v>
      </c>
      <c r="B93" s="168"/>
      <c r="C93" s="172"/>
      <c r="D93" s="432">
        <f t="shared" si="10"/>
        <v>0</v>
      </c>
      <c r="E93" s="434"/>
      <c r="F93" s="434"/>
      <c r="G93" s="434"/>
      <c r="H93" s="434"/>
      <c r="I93" s="434"/>
      <c r="J93" s="434"/>
      <c r="K93" s="434"/>
      <c r="L93" s="434"/>
      <c r="M93" s="434"/>
      <c r="N93" s="434"/>
      <c r="O93" s="434"/>
      <c r="P93" s="432">
        <f t="shared" si="13"/>
        <v>0</v>
      </c>
      <c r="Q93" s="431"/>
      <c r="R93" s="431"/>
      <c r="S93" s="431"/>
      <c r="T93" s="431"/>
      <c r="U93" s="431"/>
      <c r="V93" s="431"/>
      <c r="W93" s="431"/>
      <c r="X93" s="431"/>
      <c r="Y93" s="431"/>
      <c r="Z93" s="468"/>
      <c r="AA93" s="431"/>
      <c r="AB93" s="431"/>
      <c r="AC93" s="469"/>
      <c r="AD93" s="434"/>
      <c r="AE93" s="434"/>
      <c r="AF93" s="434"/>
      <c r="AG93" s="434"/>
      <c r="AH93" s="434"/>
      <c r="AI93" s="469"/>
      <c r="AJ93" s="469"/>
      <c r="AK93" s="434"/>
      <c r="AL93" s="434"/>
      <c r="AM93" s="434"/>
    </row>
    <row r="94" spans="1:39" s="155" customFormat="1" ht="12" hidden="1" x14ac:dyDescent="0.2">
      <c r="A94" s="168">
        <v>40</v>
      </c>
      <c r="B94" s="168"/>
      <c r="C94" s="172"/>
      <c r="D94" s="432">
        <f t="shared" si="10"/>
        <v>0</v>
      </c>
      <c r="E94" s="434"/>
      <c r="F94" s="434"/>
      <c r="G94" s="434"/>
      <c r="H94" s="434"/>
      <c r="I94" s="434"/>
      <c r="J94" s="434"/>
      <c r="K94" s="434"/>
      <c r="L94" s="434"/>
      <c r="M94" s="434"/>
      <c r="N94" s="434"/>
      <c r="O94" s="434"/>
      <c r="P94" s="432">
        <f t="shared" si="13"/>
        <v>0</v>
      </c>
      <c r="Q94" s="431"/>
      <c r="R94" s="431"/>
      <c r="S94" s="431"/>
      <c r="T94" s="431"/>
      <c r="U94" s="431"/>
      <c r="V94" s="431"/>
      <c r="W94" s="431"/>
      <c r="X94" s="431"/>
      <c r="Y94" s="431"/>
      <c r="Z94" s="468"/>
      <c r="AA94" s="431"/>
      <c r="AB94" s="431"/>
      <c r="AC94" s="469"/>
      <c r="AD94" s="434"/>
      <c r="AE94" s="434"/>
      <c r="AF94" s="434"/>
      <c r="AG94" s="434"/>
      <c r="AH94" s="434"/>
      <c r="AI94" s="469"/>
      <c r="AJ94" s="469"/>
      <c r="AK94" s="434"/>
      <c r="AL94" s="434"/>
      <c r="AM94" s="434"/>
    </row>
    <row r="95" spans="1:39" s="155" customFormat="1" ht="12" hidden="1" x14ac:dyDescent="0.2">
      <c r="A95" s="168">
        <v>41</v>
      </c>
      <c r="B95" s="168"/>
      <c r="C95" s="172"/>
      <c r="D95" s="432">
        <f t="shared" si="10"/>
        <v>0</v>
      </c>
      <c r="E95" s="431"/>
      <c r="F95" s="431"/>
      <c r="G95" s="431"/>
      <c r="H95" s="431"/>
      <c r="I95" s="431"/>
      <c r="J95" s="431"/>
      <c r="K95" s="431"/>
      <c r="L95" s="431"/>
      <c r="M95" s="431"/>
      <c r="N95" s="431"/>
      <c r="O95" s="431"/>
      <c r="P95" s="432">
        <f t="shared" si="13"/>
        <v>0</v>
      </c>
      <c r="Q95" s="431"/>
      <c r="R95" s="431"/>
      <c r="S95" s="431"/>
      <c r="T95" s="431"/>
      <c r="U95" s="431"/>
      <c r="V95" s="431"/>
      <c r="W95" s="431"/>
      <c r="X95" s="431"/>
      <c r="Y95" s="431"/>
      <c r="Z95" s="468"/>
      <c r="AA95" s="431"/>
      <c r="AB95" s="431"/>
      <c r="AC95" s="468"/>
      <c r="AD95" s="431"/>
      <c r="AE95" s="431"/>
      <c r="AF95" s="431"/>
      <c r="AG95" s="431"/>
      <c r="AH95" s="431"/>
      <c r="AI95" s="468"/>
      <c r="AJ95" s="468"/>
      <c r="AK95" s="431"/>
      <c r="AL95" s="431"/>
      <c r="AM95" s="431"/>
    </row>
    <row r="96" spans="1:39" s="155" customFormat="1" ht="12" hidden="1" x14ac:dyDescent="0.2">
      <c r="A96" s="168">
        <v>42</v>
      </c>
      <c r="B96" s="168"/>
      <c r="C96" s="172"/>
      <c r="D96" s="432">
        <f t="shared" si="10"/>
        <v>0</v>
      </c>
      <c r="E96" s="431"/>
      <c r="F96" s="431"/>
      <c r="G96" s="431"/>
      <c r="H96" s="431"/>
      <c r="I96" s="431"/>
      <c r="J96" s="431"/>
      <c r="K96" s="431"/>
      <c r="L96" s="431"/>
      <c r="M96" s="431"/>
      <c r="N96" s="431"/>
      <c r="O96" s="431"/>
      <c r="P96" s="432">
        <f t="shared" si="13"/>
        <v>0</v>
      </c>
      <c r="Q96" s="431"/>
      <c r="R96" s="431"/>
      <c r="S96" s="431"/>
      <c r="T96" s="431"/>
      <c r="U96" s="431"/>
      <c r="V96" s="431"/>
      <c r="W96" s="431"/>
      <c r="X96" s="431"/>
      <c r="Y96" s="431"/>
      <c r="Z96" s="468"/>
      <c r="AA96" s="431"/>
      <c r="AB96" s="431"/>
      <c r="AC96" s="468"/>
      <c r="AD96" s="431"/>
      <c r="AE96" s="431"/>
      <c r="AF96" s="431"/>
      <c r="AG96" s="431"/>
      <c r="AH96" s="431"/>
      <c r="AI96" s="468"/>
      <c r="AJ96" s="468"/>
      <c r="AK96" s="431"/>
      <c r="AL96" s="431"/>
      <c r="AM96" s="431"/>
    </row>
    <row r="97" spans="1:39" s="155" customFormat="1" ht="12" hidden="1" x14ac:dyDescent="0.2">
      <c r="A97" s="168">
        <v>43</v>
      </c>
      <c r="B97" s="168"/>
      <c r="C97" s="172"/>
      <c r="D97" s="432">
        <f t="shared" si="10"/>
        <v>0</v>
      </c>
      <c r="E97" s="431"/>
      <c r="F97" s="431"/>
      <c r="G97" s="431"/>
      <c r="H97" s="431"/>
      <c r="I97" s="431"/>
      <c r="J97" s="431"/>
      <c r="K97" s="431"/>
      <c r="L97" s="431"/>
      <c r="M97" s="431"/>
      <c r="N97" s="431"/>
      <c r="O97" s="431"/>
      <c r="P97" s="432">
        <f t="shared" si="13"/>
        <v>0</v>
      </c>
      <c r="Q97" s="431"/>
      <c r="R97" s="431"/>
      <c r="S97" s="431"/>
      <c r="T97" s="431"/>
      <c r="U97" s="431"/>
      <c r="V97" s="431"/>
      <c r="W97" s="431"/>
      <c r="X97" s="431"/>
      <c r="Y97" s="431"/>
      <c r="Z97" s="468"/>
      <c r="AA97" s="431"/>
      <c r="AB97" s="431"/>
      <c r="AC97" s="468"/>
      <c r="AD97" s="431"/>
      <c r="AE97" s="431"/>
      <c r="AF97" s="431"/>
      <c r="AG97" s="431"/>
      <c r="AH97" s="431"/>
      <c r="AI97" s="468"/>
      <c r="AJ97" s="468"/>
      <c r="AK97" s="431"/>
      <c r="AL97" s="431"/>
      <c r="AM97" s="431"/>
    </row>
    <row r="98" spans="1:39" s="155" customFormat="1" ht="12" hidden="1" x14ac:dyDescent="0.2">
      <c r="A98" s="168">
        <v>44</v>
      </c>
      <c r="B98" s="168"/>
      <c r="C98" s="172"/>
      <c r="D98" s="432">
        <f t="shared" si="10"/>
        <v>0</v>
      </c>
      <c r="E98" s="431"/>
      <c r="F98" s="431"/>
      <c r="G98" s="431"/>
      <c r="H98" s="431"/>
      <c r="I98" s="431"/>
      <c r="J98" s="431"/>
      <c r="K98" s="431"/>
      <c r="L98" s="431"/>
      <c r="M98" s="431"/>
      <c r="N98" s="431"/>
      <c r="O98" s="431"/>
      <c r="P98" s="432">
        <f t="shared" si="13"/>
        <v>0</v>
      </c>
      <c r="Q98" s="431"/>
      <c r="R98" s="431"/>
      <c r="S98" s="431"/>
      <c r="T98" s="431"/>
      <c r="U98" s="431"/>
      <c r="V98" s="431"/>
      <c r="W98" s="431"/>
      <c r="X98" s="431"/>
      <c r="Y98" s="431"/>
      <c r="Z98" s="468"/>
      <c r="AA98" s="431"/>
      <c r="AB98" s="431"/>
      <c r="AC98" s="468"/>
      <c r="AD98" s="431"/>
      <c r="AE98" s="431"/>
      <c r="AF98" s="431"/>
      <c r="AG98" s="431"/>
      <c r="AH98" s="431"/>
      <c r="AI98" s="468"/>
      <c r="AJ98" s="468"/>
      <c r="AK98" s="431"/>
      <c r="AL98" s="431"/>
      <c r="AM98" s="431"/>
    </row>
    <row r="99" spans="1:39" s="155" customFormat="1" ht="12" hidden="1" x14ac:dyDescent="0.2">
      <c r="A99" s="168">
        <v>45</v>
      </c>
      <c r="B99" s="168"/>
      <c r="C99" s="172"/>
      <c r="D99" s="432">
        <f t="shared" si="10"/>
        <v>0</v>
      </c>
      <c r="E99" s="431"/>
      <c r="F99" s="431"/>
      <c r="G99" s="431"/>
      <c r="H99" s="431"/>
      <c r="I99" s="431"/>
      <c r="J99" s="431"/>
      <c r="K99" s="431"/>
      <c r="L99" s="431"/>
      <c r="M99" s="431"/>
      <c r="N99" s="431"/>
      <c r="O99" s="431"/>
      <c r="P99" s="432">
        <f t="shared" si="13"/>
        <v>0</v>
      </c>
      <c r="Q99" s="431"/>
      <c r="R99" s="431"/>
      <c r="S99" s="431"/>
      <c r="T99" s="431"/>
      <c r="U99" s="431"/>
      <c r="V99" s="431"/>
      <c r="W99" s="431"/>
      <c r="X99" s="431"/>
      <c r="Y99" s="431"/>
      <c r="Z99" s="468"/>
      <c r="AA99" s="431"/>
      <c r="AB99" s="431"/>
      <c r="AC99" s="468"/>
      <c r="AD99" s="431"/>
      <c r="AE99" s="431"/>
      <c r="AF99" s="431"/>
      <c r="AG99" s="431"/>
      <c r="AH99" s="431"/>
      <c r="AI99" s="468"/>
      <c r="AJ99" s="468"/>
      <c r="AK99" s="431"/>
      <c r="AL99" s="431"/>
      <c r="AM99" s="431"/>
    </row>
    <row r="100" spans="1:39" s="155" customFormat="1" ht="12" hidden="1" x14ac:dyDescent="0.2">
      <c r="A100" s="168">
        <v>46</v>
      </c>
      <c r="B100" s="168"/>
      <c r="C100" s="172"/>
      <c r="D100" s="432">
        <f t="shared" si="10"/>
        <v>0</v>
      </c>
      <c r="E100" s="431"/>
      <c r="F100" s="431"/>
      <c r="G100" s="431"/>
      <c r="H100" s="431"/>
      <c r="I100" s="431"/>
      <c r="J100" s="431"/>
      <c r="K100" s="431"/>
      <c r="L100" s="431"/>
      <c r="M100" s="431"/>
      <c r="N100" s="431"/>
      <c r="O100" s="431"/>
      <c r="P100" s="432">
        <f t="shared" si="13"/>
        <v>0</v>
      </c>
      <c r="Q100" s="431"/>
      <c r="R100" s="431"/>
      <c r="S100" s="431"/>
      <c r="T100" s="431"/>
      <c r="U100" s="431"/>
      <c r="V100" s="431"/>
      <c r="W100" s="431"/>
      <c r="X100" s="431"/>
      <c r="Y100" s="431"/>
      <c r="Z100" s="468"/>
      <c r="AA100" s="431"/>
      <c r="AB100" s="431"/>
      <c r="AC100" s="468"/>
      <c r="AD100" s="431"/>
      <c r="AE100" s="431"/>
      <c r="AF100" s="431"/>
      <c r="AG100" s="431"/>
      <c r="AH100" s="431"/>
      <c r="AI100" s="468"/>
      <c r="AJ100" s="468"/>
      <c r="AK100" s="431"/>
      <c r="AL100" s="431"/>
      <c r="AM100" s="431"/>
    </row>
    <row r="101" spans="1:39" s="155" customFormat="1" ht="12" hidden="1" x14ac:dyDescent="0.2">
      <c r="A101" s="168">
        <v>47</v>
      </c>
      <c r="B101" s="168"/>
      <c r="C101" s="172"/>
      <c r="D101" s="432">
        <f t="shared" si="10"/>
        <v>0</v>
      </c>
      <c r="E101" s="431"/>
      <c r="F101" s="431"/>
      <c r="G101" s="431"/>
      <c r="H101" s="431"/>
      <c r="I101" s="431"/>
      <c r="J101" s="431"/>
      <c r="K101" s="431"/>
      <c r="L101" s="431"/>
      <c r="M101" s="431"/>
      <c r="N101" s="431"/>
      <c r="O101" s="431"/>
      <c r="P101" s="432">
        <f t="shared" si="13"/>
        <v>0</v>
      </c>
      <c r="Q101" s="431"/>
      <c r="R101" s="468"/>
      <c r="S101" s="431"/>
      <c r="T101" s="431"/>
      <c r="U101" s="431"/>
      <c r="V101" s="431"/>
      <c r="W101" s="431"/>
      <c r="X101" s="431"/>
      <c r="Y101" s="431"/>
      <c r="Z101" s="468"/>
      <c r="AA101" s="431"/>
      <c r="AB101" s="431"/>
      <c r="AC101" s="468"/>
      <c r="AD101" s="431"/>
      <c r="AE101" s="431"/>
      <c r="AF101" s="431"/>
      <c r="AG101" s="431"/>
      <c r="AH101" s="431"/>
      <c r="AI101" s="468"/>
      <c r="AJ101" s="468"/>
      <c r="AK101" s="431"/>
      <c r="AL101" s="431"/>
      <c r="AM101" s="431"/>
    </row>
    <row r="102" spans="1:39" s="155" customFormat="1" ht="12" hidden="1" x14ac:dyDescent="0.2">
      <c r="A102" s="168">
        <v>48</v>
      </c>
      <c r="B102" s="168"/>
      <c r="C102" s="172"/>
      <c r="D102" s="432">
        <f t="shared" si="10"/>
        <v>0</v>
      </c>
      <c r="E102" s="431"/>
      <c r="F102" s="431"/>
      <c r="G102" s="431"/>
      <c r="H102" s="431"/>
      <c r="I102" s="431"/>
      <c r="J102" s="431"/>
      <c r="K102" s="468"/>
      <c r="L102" s="431"/>
      <c r="M102" s="431"/>
      <c r="N102" s="431"/>
      <c r="O102" s="431"/>
      <c r="P102" s="432">
        <f t="shared" si="13"/>
        <v>0</v>
      </c>
      <c r="Q102" s="431"/>
      <c r="R102" s="431"/>
      <c r="S102" s="431"/>
      <c r="T102" s="431"/>
      <c r="U102" s="431"/>
      <c r="V102" s="431"/>
      <c r="W102" s="431"/>
      <c r="X102" s="431"/>
      <c r="Y102" s="431"/>
      <c r="Z102" s="468"/>
      <c r="AA102" s="431"/>
      <c r="AB102" s="431"/>
      <c r="AC102" s="468"/>
      <c r="AD102" s="431"/>
      <c r="AE102" s="431"/>
      <c r="AF102" s="431"/>
      <c r="AG102" s="431"/>
      <c r="AH102" s="431"/>
      <c r="AI102" s="468"/>
      <c r="AJ102" s="468"/>
      <c r="AK102" s="431"/>
      <c r="AL102" s="431"/>
      <c r="AM102" s="431"/>
    </row>
    <row r="103" spans="1:39" s="155" customFormat="1" ht="12" hidden="1" x14ac:dyDescent="0.2">
      <c r="A103" s="168">
        <v>49</v>
      </c>
      <c r="B103" s="168"/>
      <c r="C103" s="172"/>
      <c r="D103" s="432">
        <f t="shared" si="10"/>
        <v>0</v>
      </c>
      <c r="E103" s="431"/>
      <c r="F103" s="431"/>
      <c r="G103" s="431"/>
      <c r="H103" s="431"/>
      <c r="I103" s="431"/>
      <c r="J103" s="431"/>
      <c r="K103" s="431"/>
      <c r="L103" s="431"/>
      <c r="M103" s="431"/>
      <c r="N103" s="431"/>
      <c r="O103" s="431"/>
      <c r="P103" s="432">
        <f t="shared" si="13"/>
        <v>0</v>
      </c>
      <c r="Q103" s="431"/>
      <c r="R103" s="431"/>
      <c r="S103" s="431"/>
      <c r="T103" s="431"/>
      <c r="U103" s="431"/>
      <c r="V103" s="431"/>
      <c r="W103" s="431"/>
      <c r="X103" s="431"/>
      <c r="Y103" s="431"/>
      <c r="Z103" s="468"/>
      <c r="AA103" s="431"/>
      <c r="AB103" s="431"/>
      <c r="AC103" s="468"/>
      <c r="AD103" s="431"/>
      <c r="AE103" s="431"/>
      <c r="AF103" s="431"/>
      <c r="AG103" s="431"/>
      <c r="AH103" s="431"/>
      <c r="AI103" s="468"/>
      <c r="AJ103" s="468"/>
      <c r="AK103" s="431"/>
      <c r="AL103" s="431"/>
      <c r="AM103" s="431"/>
    </row>
    <row r="104" spans="1:39" s="155" customFormat="1" ht="12" hidden="1" x14ac:dyDescent="0.2">
      <c r="A104" s="168">
        <v>50</v>
      </c>
      <c r="B104" s="168"/>
      <c r="C104" s="172"/>
      <c r="D104" s="432">
        <f t="shared" si="10"/>
        <v>0</v>
      </c>
      <c r="E104" s="431"/>
      <c r="F104" s="431"/>
      <c r="G104" s="431"/>
      <c r="H104" s="431"/>
      <c r="I104" s="431"/>
      <c r="J104" s="431"/>
      <c r="K104" s="431"/>
      <c r="L104" s="431"/>
      <c r="M104" s="431"/>
      <c r="N104" s="431"/>
      <c r="O104" s="431"/>
      <c r="P104" s="432">
        <f t="shared" si="13"/>
        <v>0</v>
      </c>
      <c r="Q104" s="431"/>
      <c r="R104" s="431"/>
      <c r="S104" s="431"/>
      <c r="T104" s="431"/>
      <c r="U104" s="431"/>
      <c r="V104" s="431"/>
      <c r="W104" s="431"/>
      <c r="X104" s="431"/>
      <c r="Y104" s="431"/>
      <c r="Z104" s="468"/>
      <c r="AA104" s="431"/>
      <c r="AB104" s="431"/>
      <c r="AC104" s="468"/>
      <c r="AD104" s="431"/>
      <c r="AE104" s="431"/>
      <c r="AF104" s="431"/>
      <c r="AG104" s="431"/>
      <c r="AH104" s="431"/>
      <c r="AI104" s="468"/>
      <c r="AJ104" s="468"/>
      <c r="AK104" s="431"/>
      <c r="AL104" s="431"/>
      <c r="AM104" s="431"/>
    </row>
    <row r="105" spans="1:39" s="155" customFormat="1" ht="12" hidden="1" x14ac:dyDescent="0.2">
      <c r="A105" s="168">
        <v>51</v>
      </c>
      <c r="B105" s="168"/>
      <c r="C105" s="172"/>
      <c r="D105" s="432">
        <f t="shared" si="10"/>
        <v>0</v>
      </c>
      <c r="E105" s="431"/>
      <c r="F105" s="431"/>
      <c r="G105" s="431"/>
      <c r="H105" s="431"/>
      <c r="I105" s="431"/>
      <c r="J105" s="431"/>
      <c r="K105" s="431"/>
      <c r="L105" s="431"/>
      <c r="M105" s="431"/>
      <c r="N105" s="431"/>
      <c r="O105" s="431"/>
      <c r="P105" s="432">
        <f t="shared" si="13"/>
        <v>0</v>
      </c>
      <c r="Q105" s="431"/>
      <c r="R105" s="431"/>
      <c r="S105" s="431"/>
      <c r="T105" s="431"/>
      <c r="U105" s="431"/>
      <c r="V105" s="431"/>
      <c r="W105" s="431"/>
      <c r="X105" s="431"/>
      <c r="Y105" s="431"/>
      <c r="Z105" s="468"/>
      <c r="AA105" s="431"/>
      <c r="AB105" s="431"/>
      <c r="AC105" s="468"/>
      <c r="AD105" s="431"/>
      <c r="AE105" s="431"/>
      <c r="AF105" s="431"/>
      <c r="AG105" s="431"/>
      <c r="AH105" s="431"/>
      <c r="AI105" s="468"/>
      <c r="AJ105" s="468"/>
      <c r="AK105" s="431"/>
      <c r="AL105" s="431"/>
      <c r="AM105" s="431"/>
    </row>
    <row r="106" spans="1:39" s="155" customFormat="1" ht="12" hidden="1" x14ac:dyDescent="0.2">
      <c r="A106" s="168">
        <v>52</v>
      </c>
      <c r="B106" s="168"/>
      <c r="C106" s="172"/>
      <c r="D106" s="432">
        <f t="shared" si="10"/>
        <v>0</v>
      </c>
      <c r="E106" s="431"/>
      <c r="F106" s="431"/>
      <c r="G106" s="431"/>
      <c r="H106" s="431"/>
      <c r="I106" s="431"/>
      <c r="J106" s="431"/>
      <c r="K106" s="431"/>
      <c r="L106" s="431"/>
      <c r="M106" s="431"/>
      <c r="N106" s="431"/>
      <c r="O106" s="431"/>
      <c r="P106" s="432">
        <f t="shared" si="13"/>
        <v>0</v>
      </c>
      <c r="Q106" s="431"/>
      <c r="R106" s="431"/>
      <c r="S106" s="431"/>
      <c r="T106" s="431"/>
      <c r="U106" s="431"/>
      <c r="V106" s="431"/>
      <c r="W106" s="431"/>
      <c r="X106" s="431"/>
      <c r="Y106" s="431"/>
      <c r="Z106" s="468"/>
      <c r="AA106" s="431"/>
      <c r="AB106" s="431"/>
      <c r="AC106" s="468"/>
      <c r="AD106" s="431"/>
      <c r="AE106" s="431"/>
      <c r="AF106" s="431"/>
      <c r="AG106" s="431"/>
      <c r="AH106" s="431"/>
      <c r="AI106" s="468"/>
      <c r="AJ106" s="468"/>
      <c r="AK106" s="431"/>
      <c r="AL106" s="431"/>
      <c r="AM106" s="431"/>
    </row>
    <row r="107" spans="1:39" s="155" customFormat="1" ht="12" hidden="1" x14ac:dyDescent="0.2">
      <c r="A107" s="168">
        <v>53</v>
      </c>
      <c r="B107" s="168"/>
      <c r="C107" s="172"/>
      <c r="D107" s="432">
        <f t="shared" si="10"/>
        <v>0</v>
      </c>
      <c r="E107" s="431"/>
      <c r="F107" s="431"/>
      <c r="G107" s="431"/>
      <c r="H107" s="431"/>
      <c r="I107" s="431"/>
      <c r="J107" s="431"/>
      <c r="K107" s="431"/>
      <c r="L107" s="431"/>
      <c r="M107" s="431"/>
      <c r="N107" s="431"/>
      <c r="O107" s="431"/>
      <c r="P107" s="432">
        <f t="shared" si="13"/>
        <v>0</v>
      </c>
      <c r="Q107" s="431"/>
      <c r="R107" s="431"/>
      <c r="S107" s="431"/>
      <c r="T107" s="431"/>
      <c r="U107" s="431"/>
      <c r="V107" s="431"/>
      <c r="W107" s="431"/>
      <c r="X107" s="431"/>
      <c r="Y107" s="431"/>
      <c r="Z107" s="468"/>
      <c r="AA107" s="431"/>
      <c r="AB107" s="431"/>
      <c r="AC107" s="468"/>
      <c r="AD107" s="431"/>
      <c r="AE107" s="431"/>
      <c r="AF107" s="431"/>
      <c r="AG107" s="431"/>
      <c r="AH107" s="431"/>
      <c r="AI107" s="468"/>
      <c r="AJ107" s="468"/>
      <c r="AK107" s="431"/>
      <c r="AL107" s="431"/>
      <c r="AM107" s="431"/>
    </row>
    <row r="108" spans="1:39" s="155" customFormat="1" ht="12" hidden="1" x14ac:dyDescent="0.2">
      <c r="A108" s="168">
        <v>54</v>
      </c>
      <c r="B108" s="168"/>
      <c r="C108" s="182"/>
      <c r="D108" s="432">
        <f t="shared" si="10"/>
        <v>0</v>
      </c>
      <c r="E108" s="431"/>
      <c r="F108" s="431"/>
      <c r="G108" s="431"/>
      <c r="H108" s="431"/>
      <c r="I108" s="431"/>
      <c r="J108" s="431"/>
      <c r="K108" s="431"/>
      <c r="L108" s="431"/>
      <c r="M108" s="431"/>
      <c r="N108" s="431"/>
      <c r="O108" s="431"/>
      <c r="P108" s="432">
        <f t="shared" si="13"/>
        <v>0</v>
      </c>
      <c r="Q108" s="431"/>
      <c r="R108" s="431"/>
      <c r="S108" s="431"/>
      <c r="T108" s="431"/>
      <c r="U108" s="431"/>
      <c r="V108" s="431"/>
      <c r="W108" s="431"/>
      <c r="X108" s="431"/>
      <c r="Y108" s="431"/>
      <c r="Z108" s="468"/>
      <c r="AA108" s="431"/>
      <c r="AB108" s="431"/>
      <c r="AC108" s="468"/>
      <c r="AD108" s="431"/>
      <c r="AE108" s="431"/>
      <c r="AF108" s="431"/>
      <c r="AG108" s="431"/>
      <c r="AH108" s="431"/>
      <c r="AI108" s="468"/>
      <c r="AJ108" s="468"/>
      <c r="AK108" s="431"/>
      <c r="AL108" s="431"/>
      <c r="AM108" s="431"/>
    </row>
    <row r="109" spans="1:39" s="155" customFormat="1" ht="12" hidden="1" x14ac:dyDescent="0.2">
      <c r="A109" s="168">
        <v>55</v>
      </c>
      <c r="B109" s="168"/>
      <c r="C109" s="172"/>
      <c r="D109" s="432">
        <f t="shared" si="10"/>
        <v>0</v>
      </c>
      <c r="E109" s="431"/>
      <c r="F109" s="431"/>
      <c r="G109" s="431"/>
      <c r="H109" s="431"/>
      <c r="I109" s="431"/>
      <c r="J109" s="431"/>
      <c r="K109" s="431"/>
      <c r="L109" s="431"/>
      <c r="M109" s="431"/>
      <c r="N109" s="431"/>
      <c r="O109" s="431"/>
      <c r="P109" s="432">
        <f t="shared" si="13"/>
        <v>0</v>
      </c>
      <c r="Q109" s="431"/>
      <c r="R109" s="431"/>
      <c r="S109" s="431"/>
      <c r="T109" s="431"/>
      <c r="U109" s="431"/>
      <c r="V109" s="431"/>
      <c r="W109" s="431"/>
      <c r="X109" s="431"/>
      <c r="Y109" s="431"/>
      <c r="Z109" s="468"/>
      <c r="AA109" s="431"/>
      <c r="AB109" s="431"/>
      <c r="AC109" s="468"/>
      <c r="AD109" s="431"/>
      <c r="AE109" s="431"/>
      <c r="AF109" s="431"/>
      <c r="AG109" s="431"/>
      <c r="AH109" s="431"/>
      <c r="AI109" s="468"/>
      <c r="AJ109" s="468"/>
      <c r="AK109" s="431"/>
      <c r="AL109" s="431"/>
      <c r="AM109" s="431"/>
    </row>
    <row r="110" spans="1:39" s="155" customFormat="1" ht="12" hidden="1" x14ac:dyDescent="0.2">
      <c r="A110" s="168">
        <v>56</v>
      </c>
      <c r="B110" s="168"/>
      <c r="C110" s="172"/>
      <c r="D110" s="432">
        <f t="shared" si="10"/>
        <v>0</v>
      </c>
      <c r="E110" s="431"/>
      <c r="F110" s="431"/>
      <c r="G110" s="431"/>
      <c r="H110" s="431"/>
      <c r="I110" s="431"/>
      <c r="J110" s="431"/>
      <c r="K110" s="431"/>
      <c r="L110" s="431"/>
      <c r="M110" s="431"/>
      <c r="N110" s="431"/>
      <c r="O110" s="431"/>
      <c r="P110" s="432">
        <f t="shared" si="13"/>
        <v>0</v>
      </c>
      <c r="Q110" s="431"/>
      <c r="R110" s="431"/>
      <c r="S110" s="431"/>
      <c r="T110" s="431"/>
      <c r="U110" s="431"/>
      <c r="V110" s="431"/>
      <c r="W110" s="431"/>
      <c r="X110" s="431"/>
      <c r="Y110" s="431"/>
      <c r="Z110" s="468"/>
      <c r="AA110" s="431"/>
      <c r="AB110" s="431"/>
      <c r="AC110" s="468"/>
      <c r="AD110" s="431"/>
      <c r="AE110" s="431"/>
      <c r="AF110" s="431"/>
      <c r="AG110" s="431"/>
      <c r="AH110" s="431"/>
      <c r="AI110" s="468"/>
      <c r="AJ110" s="468"/>
      <c r="AK110" s="431"/>
      <c r="AL110" s="431"/>
      <c r="AM110" s="431"/>
    </row>
    <row r="111" spans="1:39" s="155" customFormat="1" ht="12" hidden="1" x14ac:dyDescent="0.2">
      <c r="A111" s="168">
        <v>57</v>
      </c>
      <c r="B111" s="168"/>
      <c r="C111" s="172"/>
      <c r="D111" s="432">
        <f t="shared" si="10"/>
        <v>0</v>
      </c>
      <c r="E111" s="431"/>
      <c r="F111" s="431"/>
      <c r="G111" s="431"/>
      <c r="H111" s="431"/>
      <c r="I111" s="431"/>
      <c r="J111" s="431"/>
      <c r="K111" s="431"/>
      <c r="L111" s="431"/>
      <c r="M111" s="431"/>
      <c r="N111" s="431"/>
      <c r="O111" s="431"/>
      <c r="P111" s="432">
        <f t="shared" si="13"/>
        <v>0</v>
      </c>
      <c r="Q111" s="431"/>
      <c r="R111" s="431"/>
      <c r="S111" s="431"/>
      <c r="T111" s="431"/>
      <c r="U111" s="431"/>
      <c r="V111" s="431"/>
      <c r="W111" s="431"/>
      <c r="X111" s="431"/>
      <c r="Y111" s="431"/>
      <c r="Z111" s="468"/>
      <c r="AA111" s="431"/>
      <c r="AB111" s="431"/>
      <c r="AC111" s="468"/>
      <c r="AD111" s="431"/>
      <c r="AE111" s="431"/>
      <c r="AF111" s="431"/>
      <c r="AG111" s="431"/>
      <c r="AH111" s="431"/>
      <c r="AI111" s="468"/>
      <c r="AJ111" s="468"/>
      <c r="AK111" s="431"/>
      <c r="AL111" s="431"/>
      <c r="AM111" s="431"/>
    </row>
    <row r="112" spans="1:39" s="155" customFormat="1" ht="12" hidden="1" x14ac:dyDescent="0.2">
      <c r="A112" s="168">
        <v>58</v>
      </c>
      <c r="B112" s="168"/>
      <c r="C112" s="172"/>
      <c r="D112" s="432">
        <f t="shared" si="10"/>
        <v>0</v>
      </c>
      <c r="E112" s="431"/>
      <c r="F112" s="431"/>
      <c r="G112" s="431"/>
      <c r="H112" s="431"/>
      <c r="I112" s="431"/>
      <c r="J112" s="431"/>
      <c r="K112" s="431"/>
      <c r="L112" s="431"/>
      <c r="M112" s="431"/>
      <c r="N112" s="431"/>
      <c r="O112" s="431"/>
      <c r="P112" s="432">
        <f t="shared" si="13"/>
        <v>0</v>
      </c>
      <c r="Q112" s="431"/>
      <c r="R112" s="468"/>
      <c r="S112" s="431"/>
      <c r="T112" s="431"/>
      <c r="U112" s="431"/>
      <c r="V112" s="431"/>
      <c r="W112" s="431"/>
      <c r="X112" s="431"/>
      <c r="Y112" s="431"/>
      <c r="Z112" s="468"/>
      <c r="AA112" s="431"/>
      <c r="AB112" s="431"/>
      <c r="AC112" s="468"/>
      <c r="AD112" s="431"/>
      <c r="AE112" s="431"/>
      <c r="AF112" s="431"/>
      <c r="AG112" s="431"/>
      <c r="AH112" s="431"/>
      <c r="AI112" s="468"/>
      <c r="AJ112" s="468"/>
      <c r="AK112" s="431"/>
      <c r="AL112" s="431"/>
      <c r="AM112" s="431"/>
    </row>
    <row r="113" spans="1:39" s="155" customFormat="1" ht="12" hidden="1" x14ac:dyDescent="0.2">
      <c r="A113" s="168">
        <v>59</v>
      </c>
      <c r="B113" s="168"/>
      <c r="C113" s="172"/>
      <c r="D113" s="432">
        <f t="shared" si="10"/>
        <v>0</v>
      </c>
      <c r="E113" s="431"/>
      <c r="F113" s="431"/>
      <c r="G113" s="431"/>
      <c r="H113" s="431"/>
      <c r="I113" s="431"/>
      <c r="J113" s="431"/>
      <c r="K113" s="431"/>
      <c r="L113" s="431"/>
      <c r="M113" s="431"/>
      <c r="N113" s="431"/>
      <c r="O113" s="431"/>
      <c r="P113" s="432">
        <f t="shared" si="13"/>
        <v>0</v>
      </c>
      <c r="Q113" s="431"/>
      <c r="R113" s="431"/>
      <c r="S113" s="431"/>
      <c r="T113" s="431"/>
      <c r="U113" s="431"/>
      <c r="V113" s="431"/>
      <c r="W113" s="431"/>
      <c r="X113" s="431"/>
      <c r="Y113" s="431"/>
      <c r="Z113" s="468"/>
      <c r="AA113" s="431"/>
      <c r="AB113" s="431"/>
      <c r="AC113" s="468"/>
      <c r="AD113" s="431"/>
      <c r="AE113" s="431"/>
      <c r="AF113" s="431"/>
      <c r="AG113" s="431"/>
      <c r="AH113" s="431"/>
      <c r="AI113" s="468"/>
      <c r="AJ113" s="468"/>
      <c r="AK113" s="431"/>
      <c r="AL113" s="431"/>
      <c r="AM113" s="431"/>
    </row>
    <row r="114" spans="1:39" s="155" customFormat="1" ht="12" hidden="1" x14ac:dyDescent="0.2">
      <c r="A114" s="168">
        <v>60</v>
      </c>
      <c r="B114" s="168"/>
      <c r="C114" s="182"/>
      <c r="D114" s="432">
        <f t="shared" si="10"/>
        <v>0</v>
      </c>
      <c r="E114" s="431"/>
      <c r="F114" s="431"/>
      <c r="G114" s="431"/>
      <c r="H114" s="431"/>
      <c r="I114" s="431"/>
      <c r="J114" s="431"/>
      <c r="K114" s="431"/>
      <c r="L114" s="431"/>
      <c r="M114" s="431"/>
      <c r="N114" s="431"/>
      <c r="O114" s="431"/>
      <c r="P114" s="432">
        <f t="shared" si="13"/>
        <v>0</v>
      </c>
      <c r="Q114" s="431"/>
      <c r="R114" s="431"/>
      <c r="S114" s="431"/>
      <c r="T114" s="431"/>
      <c r="U114" s="431"/>
      <c r="V114" s="431"/>
      <c r="W114" s="431"/>
      <c r="X114" s="431"/>
      <c r="Y114" s="431"/>
      <c r="Z114" s="468"/>
      <c r="AA114" s="431"/>
      <c r="AB114" s="431"/>
      <c r="AC114" s="468"/>
      <c r="AD114" s="431"/>
      <c r="AE114" s="431"/>
      <c r="AF114" s="431"/>
      <c r="AG114" s="431"/>
      <c r="AH114" s="431"/>
      <c r="AI114" s="468"/>
      <c r="AJ114" s="468"/>
      <c r="AK114" s="431"/>
      <c r="AL114" s="431"/>
      <c r="AM114" s="431"/>
    </row>
    <row r="115" spans="1:39" s="155" customFormat="1" ht="12" hidden="1" x14ac:dyDescent="0.2">
      <c r="A115" s="168">
        <v>61</v>
      </c>
      <c r="B115" s="168"/>
      <c r="C115" s="172"/>
      <c r="D115" s="432">
        <f t="shared" si="10"/>
        <v>0</v>
      </c>
      <c r="E115" s="431"/>
      <c r="F115" s="431"/>
      <c r="G115" s="431"/>
      <c r="H115" s="431"/>
      <c r="I115" s="431"/>
      <c r="J115" s="431"/>
      <c r="K115" s="431"/>
      <c r="L115" s="431"/>
      <c r="M115" s="431"/>
      <c r="N115" s="431"/>
      <c r="O115" s="431"/>
      <c r="P115" s="432">
        <f t="shared" si="13"/>
        <v>0</v>
      </c>
      <c r="Q115" s="431"/>
      <c r="R115" s="431"/>
      <c r="S115" s="431"/>
      <c r="T115" s="431"/>
      <c r="U115" s="431"/>
      <c r="V115" s="431"/>
      <c r="W115" s="431"/>
      <c r="X115" s="431"/>
      <c r="Y115" s="431"/>
      <c r="Z115" s="468"/>
      <c r="AA115" s="431"/>
      <c r="AB115" s="431"/>
      <c r="AC115" s="468"/>
      <c r="AD115" s="431"/>
      <c r="AE115" s="431"/>
      <c r="AF115" s="431"/>
      <c r="AG115" s="431"/>
      <c r="AH115" s="431"/>
      <c r="AI115" s="468"/>
      <c r="AJ115" s="468"/>
      <c r="AK115" s="431"/>
      <c r="AL115" s="431"/>
      <c r="AM115" s="431"/>
    </row>
    <row r="116" spans="1:39" s="155" customFormat="1" ht="12" hidden="1" x14ac:dyDescent="0.2">
      <c r="A116" s="168">
        <v>62</v>
      </c>
      <c r="B116" s="168"/>
      <c r="C116" s="172"/>
      <c r="D116" s="432">
        <f t="shared" si="10"/>
        <v>0</v>
      </c>
      <c r="E116" s="431"/>
      <c r="F116" s="431"/>
      <c r="G116" s="431"/>
      <c r="H116" s="431"/>
      <c r="I116" s="431"/>
      <c r="J116" s="431"/>
      <c r="K116" s="431"/>
      <c r="L116" s="431"/>
      <c r="M116" s="431"/>
      <c r="N116" s="431"/>
      <c r="O116" s="431"/>
      <c r="P116" s="432">
        <f t="shared" si="13"/>
        <v>0</v>
      </c>
      <c r="Q116" s="431"/>
      <c r="R116" s="431"/>
      <c r="S116" s="431"/>
      <c r="T116" s="431"/>
      <c r="U116" s="431"/>
      <c r="V116" s="431"/>
      <c r="W116" s="431"/>
      <c r="X116" s="431"/>
      <c r="Y116" s="431"/>
      <c r="Z116" s="468"/>
      <c r="AA116" s="431"/>
      <c r="AB116" s="431"/>
      <c r="AC116" s="468"/>
      <c r="AD116" s="431"/>
      <c r="AE116" s="431"/>
      <c r="AF116" s="431"/>
      <c r="AG116" s="431"/>
      <c r="AH116" s="431"/>
      <c r="AI116" s="468"/>
      <c r="AJ116" s="468"/>
      <c r="AK116" s="431"/>
      <c r="AL116" s="431"/>
      <c r="AM116" s="431"/>
    </row>
    <row r="117" spans="1:39" s="155" customFormat="1" ht="12" hidden="1" x14ac:dyDescent="0.2">
      <c r="A117" s="168">
        <v>63</v>
      </c>
      <c r="B117" s="168"/>
      <c r="C117" s="182"/>
      <c r="D117" s="432">
        <f t="shared" si="10"/>
        <v>0</v>
      </c>
      <c r="E117" s="431"/>
      <c r="F117" s="431"/>
      <c r="G117" s="431"/>
      <c r="H117" s="431"/>
      <c r="I117" s="431"/>
      <c r="J117" s="431"/>
      <c r="K117" s="431"/>
      <c r="L117" s="431"/>
      <c r="M117" s="431"/>
      <c r="N117" s="431"/>
      <c r="O117" s="431"/>
      <c r="P117" s="432">
        <f t="shared" si="13"/>
        <v>0</v>
      </c>
      <c r="Q117" s="431"/>
      <c r="R117" s="431"/>
      <c r="S117" s="431"/>
      <c r="T117" s="431"/>
      <c r="U117" s="431"/>
      <c r="V117" s="431"/>
      <c r="W117" s="431"/>
      <c r="X117" s="431"/>
      <c r="Y117" s="431"/>
      <c r="Z117" s="468"/>
      <c r="AA117" s="431"/>
      <c r="AB117" s="431"/>
      <c r="AC117" s="468"/>
      <c r="AD117" s="431"/>
      <c r="AE117" s="431"/>
      <c r="AF117" s="431"/>
      <c r="AG117" s="431"/>
      <c r="AH117" s="431"/>
      <c r="AI117" s="468"/>
      <c r="AJ117" s="468"/>
      <c r="AK117" s="431"/>
      <c r="AL117" s="431"/>
      <c r="AM117" s="431"/>
    </row>
    <row r="118" spans="1:39" s="155" customFormat="1" ht="12" hidden="1" x14ac:dyDescent="0.2">
      <c r="A118" s="168">
        <v>64</v>
      </c>
      <c r="B118" s="168"/>
      <c r="C118" s="172"/>
      <c r="D118" s="432">
        <f t="shared" ref="D118:D143" si="14">E118+SUM(H118:O118)</f>
        <v>0</v>
      </c>
      <c r="E118" s="431"/>
      <c r="F118" s="431"/>
      <c r="G118" s="431"/>
      <c r="H118" s="431"/>
      <c r="I118" s="431"/>
      <c r="J118" s="431"/>
      <c r="K118" s="431"/>
      <c r="L118" s="431"/>
      <c r="M118" s="431"/>
      <c r="N118" s="431"/>
      <c r="O118" s="431"/>
      <c r="P118" s="432">
        <f t="shared" si="13"/>
        <v>0</v>
      </c>
      <c r="Q118" s="431"/>
      <c r="R118" s="431"/>
      <c r="S118" s="431"/>
      <c r="T118" s="431"/>
      <c r="U118" s="431"/>
      <c r="V118" s="431"/>
      <c r="W118" s="431"/>
      <c r="X118" s="431"/>
      <c r="Y118" s="431"/>
      <c r="Z118" s="468"/>
      <c r="AA118" s="431"/>
      <c r="AB118" s="431"/>
      <c r="AC118" s="468"/>
      <c r="AD118" s="431"/>
      <c r="AE118" s="431"/>
      <c r="AF118" s="431"/>
      <c r="AG118" s="431"/>
      <c r="AH118" s="431"/>
      <c r="AI118" s="468"/>
      <c r="AJ118" s="468"/>
      <c r="AK118" s="431"/>
      <c r="AL118" s="431"/>
      <c r="AM118" s="431"/>
    </row>
    <row r="119" spans="1:39" s="155" customFormat="1" ht="12" hidden="1" x14ac:dyDescent="0.2">
      <c r="A119" s="168">
        <v>65</v>
      </c>
      <c r="B119" s="168"/>
      <c r="C119" s="172"/>
      <c r="D119" s="432">
        <f t="shared" si="14"/>
        <v>0</v>
      </c>
      <c r="E119" s="431"/>
      <c r="F119" s="431"/>
      <c r="G119" s="431"/>
      <c r="H119" s="431"/>
      <c r="I119" s="431"/>
      <c r="J119" s="431"/>
      <c r="K119" s="431"/>
      <c r="L119" s="431"/>
      <c r="M119" s="431"/>
      <c r="N119" s="431"/>
      <c r="O119" s="431"/>
      <c r="P119" s="432">
        <f t="shared" si="13"/>
        <v>0</v>
      </c>
      <c r="Q119" s="431"/>
      <c r="R119" s="431"/>
      <c r="S119" s="431"/>
      <c r="T119" s="431"/>
      <c r="U119" s="431"/>
      <c r="V119" s="431"/>
      <c r="W119" s="431"/>
      <c r="X119" s="431"/>
      <c r="Y119" s="431"/>
      <c r="Z119" s="468"/>
      <c r="AA119" s="431"/>
      <c r="AB119" s="431"/>
      <c r="AC119" s="468"/>
      <c r="AD119" s="431"/>
      <c r="AE119" s="431"/>
      <c r="AF119" s="431"/>
      <c r="AG119" s="431"/>
      <c r="AH119" s="431"/>
      <c r="AI119" s="468"/>
      <c r="AJ119" s="468"/>
      <c r="AK119" s="431"/>
      <c r="AL119" s="431"/>
      <c r="AM119" s="431"/>
    </row>
    <row r="120" spans="1:39" s="155" customFormat="1" ht="12" hidden="1" x14ac:dyDescent="0.2">
      <c r="A120" s="168">
        <v>66</v>
      </c>
      <c r="B120" s="168"/>
      <c r="C120" s="172"/>
      <c r="D120" s="432">
        <f t="shared" si="14"/>
        <v>0</v>
      </c>
      <c r="E120" s="431"/>
      <c r="F120" s="431"/>
      <c r="G120" s="431"/>
      <c r="H120" s="431"/>
      <c r="I120" s="431"/>
      <c r="J120" s="431"/>
      <c r="K120" s="431"/>
      <c r="L120" s="431"/>
      <c r="M120" s="431"/>
      <c r="N120" s="431"/>
      <c r="O120" s="431"/>
      <c r="P120" s="432">
        <f t="shared" si="13"/>
        <v>0</v>
      </c>
      <c r="Q120" s="431"/>
      <c r="R120" s="431"/>
      <c r="S120" s="431"/>
      <c r="T120" s="431"/>
      <c r="U120" s="431"/>
      <c r="V120" s="431"/>
      <c r="W120" s="431"/>
      <c r="X120" s="431"/>
      <c r="Y120" s="431"/>
      <c r="Z120" s="468"/>
      <c r="AA120" s="431"/>
      <c r="AB120" s="431"/>
      <c r="AC120" s="468"/>
      <c r="AD120" s="431"/>
      <c r="AE120" s="431"/>
      <c r="AF120" s="431"/>
      <c r="AG120" s="431"/>
      <c r="AH120" s="431"/>
      <c r="AI120" s="468"/>
      <c r="AJ120" s="468"/>
      <c r="AK120" s="431"/>
      <c r="AL120" s="431"/>
      <c r="AM120" s="431"/>
    </row>
    <row r="121" spans="1:39" s="155" customFormat="1" ht="12" hidden="1" x14ac:dyDescent="0.2">
      <c r="A121" s="168">
        <v>67</v>
      </c>
      <c r="B121" s="168"/>
      <c r="C121" s="172"/>
      <c r="D121" s="432">
        <f t="shared" si="14"/>
        <v>0</v>
      </c>
      <c r="E121" s="431"/>
      <c r="F121" s="431"/>
      <c r="G121" s="431"/>
      <c r="H121" s="431"/>
      <c r="I121" s="431"/>
      <c r="J121" s="431"/>
      <c r="K121" s="431"/>
      <c r="L121" s="431"/>
      <c r="M121" s="431"/>
      <c r="N121" s="431"/>
      <c r="O121" s="431"/>
      <c r="P121" s="432">
        <f t="shared" si="13"/>
        <v>0</v>
      </c>
      <c r="Q121" s="431"/>
      <c r="R121" s="431"/>
      <c r="S121" s="431"/>
      <c r="T121" s="431"/>
      <c r="U121" s="431"/>
      <c r="V121" s="431"/>
      <c r="W121" s="431"/>
      <c r="X121" s="431"/>
      <c r="Y121" s="431"/>
      <c r="Z121" s="468"/>
      <c r="AA121" s="431"/>
      <c r="AB121" s="431"/>
      <c r="AC121" s="468"/>
      <c r="AD121" s="431"/>
      <c r="AE121" s="431"/>
      <c r="AF121" s="431"/>
      <c r="AG121" s="431"/>
      <c r="AH121" s="431"/>
      <c r="AI121" s="468"/>
      <c r="AJ121" s="468"/>
      <c r="AK121" s="431"/>
      <c r="AL121" s="431"/>
      <c r="AM121" s="431"/>
    </row>
    <row r="122" spans="1:39" s="155" customFormat="1" ht="12" hidden="1" x14ac:dyDescent="0.2">
      <c r="A122" s="168">
        <v>68</v>
      </c>
      <c r="B122" s="168"/>
      <c r="C122" s="172"/>
      <c r="D122" s="432">
        <f t="shared" si="14"/>
        <v>0</v>
      </c>
      <c r="E122" s="431"/>
      <c r="F122" s="431"/>
      <c r="G122" s="431"/>
      <c r="H122" s="431"/>
      <c r="I122" s="431"/>
      <c r="J122" s="431"/>
      <c r="K122" s="431"/>
      <c r="L122" s="431"/>
      <c r="M122" s="431"/>
      <c r="N122" s="431"/>
      <c r="O122" s="431"/>
      <c r="P122" s="432">
        <f t="shared" si="13"/>
        <v>0</v>
      </c>
      <c r="Q122" s="431"/>
      <c r="R122" s="431"/>
      <c r="S122" s="431"/>
      <c r="T122" s="431"/>
      <c r="U122" s="431"/>
      <c r="V122" s="431"/>
      <c r="W122" s="431"/>
      <c r="X122" s="431"/>
      <c r="Y122" s="431"/>
      <c r="Z122" s="468"/>
      <c r="AA122" s="431"/>
      <c r="AB122" s="431"/>
      <c r="AC122" s="468"/>
      <c r="AD122" s="431"/>
      <c r="AE122" s="431"/>
      <c r="AF122" s="431"/>
      <c r="AG122" s="431"/>
      <c r="AH122" s="431"/>
      <c r="AI122" s="468"/>
      <c r="AJ122" s="468"/>
      <c r="AK122" s="431"/>
      <c r="AL122" s="431"/>
      <c r="AM122" s="431"/>
    </row>
    <row r="123" spans="1:39" s="155" customFormat="1" ht="12" hidden="1" x14ac:dyDescent="0.2">
      <c r="A123" s="168">
        <v>69</v>
      </c>
      <c r="B123" s="168"/>
      <c r="C123" s="172"/>
      <c r="D123" s="432">
        <f t="shared" si="14"/>
        <v>0</v>
      </c>
      <c r="E123" s="431"/>
      <c r="F123" s="431"/>
      <c r="G123" s="431"/>
      <c r="H123" s="431"/>
      <c r="I123" s="431"/>
      <c r="J123" s="431"/>
      <c r="K123" s="431"/>
      <c r="L123" s="431"/>
      <c r="M123" s="431"/>
      <c r="N123" s="431"/>
      <c r="O123" s="431"/>
      <c r="P123" s="432">
        <f t="shared" si="13"/>
        <v>0</v>
      </c>
      <c r="Q123" s="431"/>
      <c r="R123" s="431"/>
      <c r="S123" s="431"/>
      <c r="T123" s="431"/>
      <c r="U123" s="431"/>
      <c r="V123" s="431"/>
      <c r="W123" s="431"/>
      <c r="X123" s="431"/>
      <c r="Y123" s="431"/>
      <c r="Z123" s="468"/>
      <c r="AA123" s="431"/>
      <c r="AB123" s="431"/>
      <c r="AC123" s="468"/>
      <c r="AD123" s="431"/>
      <c r="AE123" s="431"/>
      <c r="AF123" s="431"/>
      <c r="AG123" s="431"/>
      <c r="AH123" s="431"/>
      <c r="AI123" s="468"/>
      <c r="AJ123" s="468"/>
      <c r="AK123" s="431"/>
      <c r="AL123" s="431"/>
      <c r="AM123" s="431"/>
    </row>
    <row r="124" spans="1:39" s="155" customFormat="1" ht="12" hidden="1" x14ac:dyDescent="0.2">
      <c r="A124" s="168">
        <v>70</v>
      </c>
      <c r="B124" s="168"/>
      <c r="C124" s="172"/>
      <c r="D124" s="432">
        <f t="shared" si="14"/>
        <v>0</v>
      </c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32">
        <f t="shared" si="13"/>
        <v>0</v>
      </c>
      <c r="Q124" s="431"/>
      <c r="R124" s="431"/>
      <c r="S124" s="431"/>
      <c r="T124" s="431"/>
      <c r="U124" s="431"/>
      <c r="V124" s="431"/>
      <c r="W124" s="431"/>
      <c r="X124" s="431"/>
      <c r="Y124" s="431"/>
      <c r="Z124" s="468"/>
      <c r="AA124" s="431"/>
      <c r="AB124" s="431"/>
      <c r="AC124" s="468"/>
      <c r="AD124" s="431"/>
      <c r="AE124" s="431"/>
      <c r="AF124" s="431"/>
      <c r="AG124" s="431"/>
      <c r="AH124" s="431"/>
      <c r="AI124" s="468"/>
      <c r="AJ124" s="468"/>
      <c r="AK124" s="431"/>
      <c r="AL124" s="431"/>
      <c r="AM124" s="431"/>
    </row>
    <row r="125" spans="1:39" s="155" customFormat="1" ht="12" hidden="1" x14ac:dyDescent="0.2">
      <c r="A125" s="168">
        <v>71</v>
      </c>
      <c r="B125" s="168"/>
      <c r="C125" s="172"/>
      <c r="D125" s="432">
        <f t="shared" si="14"/>
        <v>0</v>
      </c>
      <c r="E125" s="431"/>
      <c r="F125" s="431"/>
      <c r="G125" s="431"/>
      <c r="H125" s="431"/>
      <c r="I125" s="431"/>
      <c r="J125" s="431"/>
      <c r="K125" s="431"/>
      <c r="L125" s="431"/>
      <c r="M125" s="431"/>
      <c r="N125" s="431"/>
      <c r="O125" s="431"/>
      <c r="P125" s="432">
        <f t="shared" si="13"/>
        <v>0</v>
      </c>
      <c r="Q125" s="431"/>
      <c r="R125" s="431"/>
      <c r="S125" s="431"/>
      <c r="T125" s="431"/>
      <c r="U125" s="431"/>
      <c r="V125" s="431"/>
      <c r="W125" s="431"/>
      <c r="X125" s="431"/>
      <c r="Y125" s="431"/>
      <c r="Z125" s="468"/>
      <c r="AA125" s="431"/>
      <c r="AB125" s="431"/>
      <c r="AC125" s="468"/>
      <c r="AD125" s="431"/>
      <c r="AE125" s="431"/>
      <c r="AF125" s="431"/>
      <c r="AG125" s="431"/>
      <c r="AH125" s="431"/>
      <c r="AI125" s="468"/>
      <c r="AJ125" s="468"/>
      <c r="AK125" s="431"/>
      <c r="AL125" s="431"/>
      <c r="AM125" s="431"/>
    </row>
    <row r="126" spans="1:39" s="155" customFormat="1" ht="12" hidden="1" x14ac:dyDescent="0.2">
      <c r="A126" s="168">
        <v>72</v>
      </c>
      <c r="B126" s="168"/>
      <c r="C126" s="172"/>
      <c r="D126" s="432">
        <f t="shared" si="14"/>
        <v>0</v>
      </c>
      <c r="E126" s="431"/>
      <c r="F126" s="431"/>
      <c r="G126" s="431"/>
      <c r="H126" s="431"/>
      <c r="I126" s="431"/>
      <c r="J126" s="431"/>
      <c r="K126" s="431"/>
      <c r="L126" s="431"/>
      <c r="M126" s="431"/>
      <c r="N126" s="431"/>
      <c r="O126" s="431"/>
      <c r="P126" s="432">
        <f t="shared" si="13"/>
        <v>0</v>
      </c>
      <c r="Q126" s="431"/>
      <c r="R126" s="431"/>
      <c r="S126" s="431"/>
      <c r="T126" s="431"/>
      <c r="U126" s="431"/>
      <c r="V126" s="431"/>
      <c r="W126" s="431"/>
      <c r="X126" s="431"/>
      <c r="Y126" s="431"/>
      <c r="Z126" s="468"/>
      <c r="AA126" s="431"/>
      <c r="AB126" s="431"/>
      <c r="AC126" s="468"/>
      <c r="AD126" s="431"/>
      <c r="AE126" s="431"/>
      <c r="AF126" s="431"/>
      <c r="AG126" s="431"/>
      <c r="AH126" s="431"/>
      <c r="AI126" s="468"/>
      <c r="AJ126" s="468"/>
      <c r="AK126" s="431"/>
      <c r="AL126" s="431"/>
      <c r="AM126" s="431"/>
    </row>
    <row r="127" spans="1:39" s="155" customFormat="1" ht="12" hidden="1" x14ac:dyDescent="0.2">
      <c r="A127" s="168">
        <v>73</v>
      </c>
      <c r="B127" s="168"/>
      <c r="C127" s="172"/>
      <c r="D127" s="432">
        <f t="shared" si="14"/>
        <v>0</v>
      </c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32">
        <f t="shared" si="13"/>
        <v>0</v>
      </c>
      <c r="Q127" s="431"/>
      <c r="R127" s="431"/>
      <c r="S127" s="431"/>
      <c r="T127" s="431"/>
      <c r="U127" s="431"/>
      <c r="V127" s="431"/>
      <c r="W127" s="431"/>
      <c r="X127" s="431"/>
      <c r="Y127" s="431"/>
      <c r="Z127" s="468"/>
      <c r="AA127" s="431"/>
      <c r="AB127" s="431"/>
      <c r="AC127" s="468"/>
      <c r="AD127" s="431"/>
      <c r="AE127" s="431"/>
      <c r="AF127" s="431"/>
      <c r="AG127" s="431"/>
      <c r="AH127" s="431"/>
      <c r="AI127" s="468"/>
      <c r="AJ127" s="468"/>
      <c r="AK127" s="431"/>
      <c r="AL127" s="431"/>
      <c r="AM127" s="431"/>
    </row>
    <row r="128" spans="1:39" s="155" customFormat="1" ht="12" hidden="1" x14ac:dyDescent="0.2">
      <c r="A128" s="168">
        <v>74</v>
      </c>
      <c r="B128" s="168"/>
      <c r="C128" s="172"/>
      <c r="D128" s="432">
        <f t="shared" si="14"/>
        <v>0</v>
      </c>
      <c r="E128" s="431"/>
      <c r="F128" s="431"/>
      <c r="G128" s="431"/>
      <c r="H128" s="431"/>
      <c r="I128" s="431"/>
      <c r="J128" s="431"/>
      <c r="K128" s="431"/>
      <c r="L128" s="431"/>
      <c r="M128" s="431"/>
      <c r="N128" s="431"/>
      <c r="O128" s="431"/>
      <c r="P128" s="432">
        <f t="shared" si="13"/>
        <v>0</v>
      </c>
      <c r="Q128" s="431"/>
      <c r="R128" s="431"/>
      <c r="S128" s="431"/>
      <c r="T128" s="431"/>
      <c r="U128" s="431"/>
      <c r="V128" s="431"/>
      <c r="W128" s="431"/>
      <c r="X128" s="431"/>
      <c r="Y128" s="431"/>
      <c r="Z128" s="468"/>
      <c r="AA128" s="431"/>
      <c r="AB128" s="431"/>
      <c r="AC128" s="468"/>
      <c r="AD128" s="431"/>
      <c r="AE128" s="431"/>
      <c r="AF128" s="431"/>
      <c r="AG128" s="431"/>
      <c r="AH128" s="431"/>
      <c r="AI128" s="468"/>
      <c r="AJ128" s="468"/>
      <c r="AK128" s="431"/>
      <c r="AL128" s="431"/>
      <c r="AM128" s="431"/>
    </row>
    <row r="129" spans="1:39" s="155" customFormat="1" ht="12" hidden="1" x14ac:dyDescent="0.2">
      <c r="A129" s="168">
        <v>75</v>
      </c>
      <c r="B129" s="168"/>
      <c r="C129" s="172"/>
      <c r="D129" s="432">
        <f t="shared" si="14"/>
        <v>0</v>
      </c>
      <c r="E129" s="431"/>
      <c r="F129" s="431"/>
      <c r="G129" s="431"/>
      <c r="H129" s="431"/>
      <c r="I129" s="431"/>
      <c r="J129" s="431"/>
      <c r="K129" s="431"/>
      <c r="L129" s="431"/>
      <c r="M129" s="431"/>
      <c r="N129" s="431"/>
      <c r="O129" s="431"/>
      <c r="P129" s="432">
        <f t="shared" si="13"/>
        <v>0</v>
      </c>
      <c r="Q129" s="431"/>
      <c r="R129" s="431"/>
      <c r="S129" s="431"/>
      <c r="T129" s="431"/>
      <c r="U129" s="431"/>
      <c r="V129" s="431"/>
      <c r="W129" s="431"/>
      <c r="X129" s="431"/>
      <c r="Y129" s="431"/>
      <c r="Z129" s="468"/>
      <c r="AA129" s="431"/>
      <c r="AB129" s="431"/>
      <c r="AC129" s="468"/>
      <c r="AD129" s="431"/>
      <c r="AE129" s="431"/>
      <c r="AF129" s="431"/>
      <c r="AG129" s="431"/>
      <c r="AH129" s="431"/>
      <c r="AI129" s="468"/>
      <c r="AJ129" s="468"/>
      <c r="AK129" s="431"/>
      <c r="AL129" s="431"/>
      <c r="AM129" s="431"/>
    </row>
    <row r="130" spans="1:39" s="155" customFormat="1" ht="12" hidden="1" x14ac:dyDescent="0.2">
      <c r="A130" s="168">
        <v>76</v>
      </c>
      <c r="B130" s="168"/>
      <c r="C130" s="172"/>
      <c r="D130" s="432">
        <f t="shared" si="14"/>
        <v>0</v>
      </c>
      <c r="E130" s="431"/>
      <c r="F130" s="431"/>
      <c r="G130" s="431"/>
      <c r="H130" s="431"/>
      <c r="I130" s="431"/>
      <c r="J130" s="431"/>
      <c r="K130" s="431"/>
      <c r="L130" s="431"/>
      <c r="M130" s="431"/>
      <c r="N130" s="431"/>
      <c r="O130" s="431"/>
      <c r="P130" s="432">
        <f t="shared" si="13"/>
        <v>0</v>
      </c>
      <c r="Q130" s="431"/>
      <c r="R130" s="431"/>
      <c r="S130" s="431"/>
      <c r="T130" s="431"/>
      <c r="U130" s="431"/>
      <c r="V130" s="431"/>
      <c r="W130" s="431"/>
      <c r="X130" s="431"/>
      <c r="Y130" s="431"/>
      <c r="Z130" s="431"/>
      <c r="AA130" s="431"/>
      <c r="AB130" s="431"/>
      <c r="AC130" s="468"/>
      <c r="AD130" s="431"/>
      <c r="AE130" s="431"/>
      <c r="AF130" s="431"/>
      <c r="AG130" s="431"/>
      <c r="AH130" s="431"/>
      <c r="AI130" s="468"/>
      <c r="AJ130" s="468"/>
      <c r="AK130" s="431"/>
      <c r="AL130" s="431"/>
      <c r="AM130" s="431"/>
    </row>
    <row r="131" spans="1:39" s="155" customFormat="1" ht="12" hidden="1" x14ac:dyDescent="0.2">
      <c r="A131" s="168">
        <v>77</v>
      </c>
      <c r="B131" s="168"/>
      <c r="C131" s="172"/>
      <c r="D131" s="432">
        <f t="shared" si="14"/>
        <v>0</v>
      </c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2">
        <f t="shared" si="13"/>
        <v>0</v>
      </c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1"/>
      <c r="AC131" s="468"/>
      <c r="AD131" s="431"/>
      <c r="AE131" s="431"/>
      <c r="AF131" s="431"/>
      <c r="AG131" s="431"/>
      <c r="AH131" s="431"/>
      <c r="AI131" s="468"/>
      <c r="AJ131" s="468"/>
      <c r="AK131" s="431"/>
      <c r="AL131" s="431"/>
      <c r="AM131" s="431"/>
    </row>
    <row r="132" spans="1:39" s="155" customFormat="1" ht="12" hidden="1" x14ac:dyDescent="0.2">
      <c r="A132" s="168">
        <v>78</v>
      </c>
      <c r="B132" s="168"/>
      <c r="C132" s="172"/>
      <c r="D132" s="432">
        <f t="shared" si="14"/>
        <v>0</v>
      </c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2">
        <f t="shared" si="13"/>
        <v>0</v>
      </c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68"/>
      <c r="AD132" s="431"/>
      <c r="AE132" s="431"/>
      <c r="AF132" s="431"/>
      <c r="AG132" s="431"/>
      <c r="AH132" s="431"/>
      <c r="AI132" s="468"/>
      <c r="AJ132" s="468"/>
      <c r="AK132" s="431"/>
      <c r="AL132" s="431"/>
      <c r="AM132" s="431"/>
    </row>
    <row r="133" spans="1:39" s="155" customFormat="1" ht="12" hidden="1" x14ac:dyDescent="0.2">
      <c r="A133" s="168">
        <v>79</v>
      </c>
      <c r="B133" s="168"/>
      <c r="C133" s="172"/>
      <c r="D133" s="432">
        <f t="shared" si="14"/>
        <v>0</v>
      </c>
      <c r="E133" s="431"/>
      <c r="F133" s="431"/>
      <c r="G133" s="431"/>
      <c r="H133" s="431"/>
      <c r="I133" s="431"/>
      <c r="J133" s="431"/>
      <c r="K133" s="431"/>
      <c r="L133" s="431"/>
      <c r="M133" s="431"/>
      <c r="N133" s="431"/>
      <c r="O133" s="431"/>
      <c r="P133" s="432">
        <f t="shared" si="13"/>
        <v>0</v>
      </c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1"/>
      <c r="AC133" s="468"/>
      <c r="AD133" s="431"/>
      <c r="AE133" s="431"/>
      <c r="AF133" s="431"/>
      <c r="AG133" s="431"/>
      <c r="AH133" s="431"/>
      <c r="AI133" s="468"/>
      <c r="AJ133" s="468"/>
      <c r="AK133" s="431"/>
      <c r="AL133" s="431"/>
      <c r="AM133" s="431"/>
    </row>
    <row r="134" spans="1:39" s="155" customFormat="1" ht="12" hidden="1" x14ac:dyDescent="0.2">
      <c r="A134" s="168">
        <v>80</v>
      </c>
      <c r="B134" s="168"/>
      <c r="C134" s="172"/>
      <c r="D134" s="432">
        <f t="shared" si="14"/>
        <v>0</v>
      </c>
      <c r="E134" s="431"/>
      <c r="F134" s="431"/>
      <c r="G134" s="431"/>
      <c r="H134" s="431"/>
      <c r="I134" s="431"/>
      <c r="J134" s="431"/>
      <c r="K134" s="431"/>
      <c r="L134" s="431"/>
      <c r="M134" s="431"/>
      <c r="N134" s="431"/>
      <c r="O134" s="431"/>
      <c r="P134" s="432">
        <f t="shared" si="13"/>
        <v>0</v>
      </c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68"/>
      <c r="AD134" s="431"/>
      <c r="AE134" s="431"/>
      <c r="AF134" s="431"/>
      <c r="AG134" s="431"/>
      <c r="AH134" s="431"/>
      <c r="AI134" s="468"/>
      <c r="AJ134" s="468"/>
      <c r="AK134" s="431"/>
      <c r="AL134" s="431"/>
      <c r="AM134" s="431"/>
    </row>
    <row r="135" spans="1:39" s="155" customFormat="1" ht="12" hidden="1" x14ac:dyDescent="0.2">
      <c r="A135" s="168">
        <v>81</v>
      </c>
      <c r="B135" s="168"/>
      <c r="C135" s="172"/>
      <c r="D135" s="432">
        <f t="shared" si="14"/>
        <v>0</v>
      </c>
      <c r="E135" s="431"/>
      <c r="F135" s="431"/>
      <c r="G135" s="431"/>
      <c r="H135" s="431"/>
      <c r="I135" s="431"/>
      <c r="J135" s="431"/>
      <c r="K135" s="431"/>
      <c r="L135" s="431"/>
      <c r="M135" s="431"/>
      <c r="N135" s="431"/>
      <c r="O135" s="431"/>
      <c r="P135" s="432">
        <f t="shared" si="13"/>
        <v>0</v>
      </c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1"/>
      <c r="AC135" s="468"/>
      <c r="AD135" s="431"/>
      <c r="AE135" s="431"/>
      <c r="AF135" s="431"/>
      <c r="AG135" s="431"/>
      <c r="AH135" s="431"/>
      <c r="AI135" s="468"/>
      <c r="AJ135" s="468"/>
      <c r="AK135" s="431"/>
      <c r="AL135" s="431"/>
      <c r="AM135" s="431"/>
    </row>
    <row r="136" spans="1:39" s="155" customFormat="1" ht="12" hidden="1" x14ac:dyDescent="0.2">
      <c r="A136" s="168">
        <v>82</v>
      </c>
      <c r="B136" s="168"/>
      <c r="C136" s="172"/>
      <c r="D136" s="432">
        <f t="shared" si="14"/>
        <v>0</v>
      </c>
      <c r="E136" s="431"/>
      <c r="F136" s="431"/>
      <c r="G136" s="431"/>
      <c r="H136" s="431"/>
      <c r="I136" s="431"/>
      <c r="J136" s="431"/>
      <c r="K136" s="431"/>
      <c r="L136" s="431"/>
      <c r="M136" s="431"/>
      <c r="N136" s="431"/>
      <c r="O136" s="431"/>
      <c r="P136" s="432">
        <f t="shared" si="13"/>
        <v>0</v>
      </c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1"/>
      <c r="AC136" s="468"/>
      <c r="AD136" s="431"/>
      <c r="AE136" s="431"/>
      <c r="AF136" s="431"/>
      <c r="AG136" s="431"/>
      <c r="AH136" s="431"/>
      <c r="AI136" s="468"/>
      <c r="AJ136" s="468"/>
      <c r="AK136" s="431"/>
      <c r="AL136" s="431"/>
      <c r="AM136" s="431"/>
    </row>
    <row r="137" spans="1:39" s="155" customFormat="1" ht="12" hidden="1" x14ac:dyDescent="0.2">
      <c r="A137" s="168">
        <v>83</v>
      </c>
      <c r="B137" s="168"/>
      <c r="C137" s="172"/>
      <c r="D137" s="432">
        <f t="shared" si="14"/>
        <v>0</v>
      </c>
      <c r="E137" s="431"/>
      <c r="F137" s="431"/>
      <c r="G137" s="431"/>
      <c r="H137" s="431"/>
      <c r="I137" s="431"/>
      <c r="J137" s="431"/>
      <c r="K137" s="431"/>
      <c r="L137" s="431"/>
      <c r="M137" s="431"/>
      <c r="N137" s="431"/>
      <c r="O137" s="431"/>
      <c r="P137" s="432">
        <f t="shared" si="13"/>
        <v>0</v>
      </c>
      <c r="Q137" s="431"/>
      <c r="R137" s="431"/>
      <c r="S137" s="431"/>
      <c r="T137" s="431"/>
      <c r="U137" s="431"/>
      <c r="V137" s="431"/>
      <c r="W137" s="431"/>
      <c r="X137" s="431"/>
      <c r="Y137" s="431"/>
      <c r="Z137" s="431"/>
      <c r="AA137" s="431"/>
      <c r="AB137" s="431"/>
      <c r="AC137" s="468"/>
      <c r="AD137" s="431"/>
      <c r="AE137" s="431"/>
      <c r="AF137" s="431"/>
      <c r="AG137" s="431"/>
      <c r="AH137" s="431"/>
      <c r="AI137" s="468"/>
      <c r="AJ137" s="468"/>
      <c r="AK137" s="431"/>
      <c r="AL137" s="431"/>
      <c r="AM137" s="431"/>
    </row>
    <row r="138" spans="1:39" s="155" customFormat="1" ht="12" hidden="1" x14ac:dyDescent="0.2">
      <c r="A138" s="168">
        <v>84</v>
      </c>
      <c r="B138" s="168"/>
      <c r="C138" s="172"/>
      <c r="D138" s="432">
        <f t="shared" si="14"/>
        <v>0</v>
      </c>
      <c r="E138" s="431"/>
      <c r="F138" s="431"/>
      <c r="G138" s="431"/>
      <c r="H138" s="431"/>
      <c r="I138" s="431"/>
      <c r="J138" s="431"/>
      <c r="K138" s="431"/>
      <c r="L138" s="431"/>
      <c r="M138" s="431"/>
      <c r="N138" s="431"/>
      <c r="O138" s="431"/>
      <c r="P138" s="432">
        <f t="shared" si="13"/>
        <v>0</v>
      </c>
      <c r="Q138" s="431"/>
      <c r="R138" s="431"/>
      <c r="S138" s="431"/>
      <c r="T138" s="431"/>
      <c r="U138" s="431"/>
      <c r="V138" s="431"/>
      <c r="W138" s="431"/>
      <c r="X138" s="431"/>
      <c r="Y138" s="431"/>
      <c r="Z138" s="431"/>
      <c r="AA138" s="431"/>
      <c r="AB138" s="431"/>
      <c r="AC138" s="468"/>
      <c r="AD138" s="431"/>
      <c r="AE138" s="431"/>
      <c r="AF138" s="431"/>
      <c r="AG138" s="431"/>
      <c r="AH138" s="431"/>
      <c r="AI138" s="468"/>
      <c r="AJ138" s="468"/>
      <c r="AK138" s="431"/>
      <c r="AL138" s="431"/>
      <c r="AM138" s="431"/>
    </row>
    <row r="139" spans="1:39" s="155" customFormat="1" ht="12" hidden="1" x14ac:dyDescent="0.2">
      <c r="A139" s="168">
        <v>85</v>
      </c>
      <c r="B139" s="168"/>
      <c r="C139" s="172"/>
      <c r="D139" s="432">
        <f t="shared" si="14"/>
        <v>0</v>
      </c>
      <c r="E139" s="431"/>
      <c r="F139" s="431"/>
      <c r="G139" s="431"/>
      <c r="H139" s="431"/>
      <c r="I139" s="431"/>
      <c r="J139" s="431"/>
      <c r="K139" s="431"/>
      <c r="L139" s="431"/>
      <c r="M139" s="431"/>
      <c r="N139" s="431"/>
      <c r="O139" s="431"/>
      <c r="P139" s="432">
        <f t="shared" si="13"/>
        <v>0</v>
      </c>
      <c r="Q139" s="431"/>
      <c r="R139" s="431"/>
      <c r="S139" s="431"/>
      <c r="T139" s="431"/>
      <c r="U139" s="431"/>
      <c r="V139" s="431"/>
      <c r="W139" s="431"/>
      <c r="X139" s="431"/>
      <c r="Y139" s="431"/>
      <c r="Z139" s="431"/>
      <c r="AA139" s="431"/>
      <c r="AB139" s="431"/>
      <c r="AC139" s="468"/>
      <c r="AD139" s="431"/>
      <c r="AE139" s="431"/>
      <c r="AF139" s="431"/>
      <c r="AG139" s="431"/>
      <c r="AH139" s="431"/>
      <c r="AI139" s="468"/>
      <c r="AJ139" s="468"/>
      <c r="AK139" s="431"/>
      <c r="AL139" s="431"/>
      <c r="AM139" s="468"/>
    </row>
    <row r="140" spans="1:39" s="155" customFormat="1" ht="12" hidden="1" x14ac:dyDescent="0.2">
      <c r="A140" s="168">
        <v>86</v>
      </c>
      <c r="B140" s="168"/>
      <c r="C140" s="172"/>
      <c r="D140" s="432">
        <f t="shared" si="14"/>
        <v>0</v>
      </c>
      <c r="E140" s="431"/>
      <c r="F140" s="431"/>
      <c r="G140" s="431"/>
      <c r="H140" s="431"/>
      <c r="I140" s="431"/>
      <c r="J140" s="431"/>
      <c r="K140" s="431"/>
      <c r="L140" s="431"/>
      <c r="M140" s="431"/>
      <c r="N140" s="431"/>
      <c r="O140" s="431"/>
      <c r="P140" s="432">
        <f t="shared" si="13"/>
        <v>0</v>
      </c>
      <c r="Q140" s="431"/>
      <c r="R140" s="431"/>
      <c r="S140" s="431"/>
      <c r="T140" s="431"/>
      <c r="U140" s="431"/>
      <c r="V140" s="431"/>
      <c r="W140" s="431"/>
      <c r="X140" s="431"/>
      <c r="Y140" s="431"/>
      <c r="Z140" s="431"/>
      <c r="AA140" s="431"/>
      <c r="AB140" s="431"/>
      <c r="AC140" s="468"/>
      <c r="AD140" s="431"/>
      <c r="AE140" s="431"/>
      <c r="AF140" s="431"/>
      <c r="AG140" s="431"/>
      <c r="AH140" s="431"/>
      <c r="AI140" s="468"/>
      <c r="AJ140" s="468"/>
      <c r="AK140" s="431"/>
      <c r="AL140" s="431"/>
      <c r="AM140" s="431"/>
    </row>
    <row r="141" spans="1:39" s="155" customFormat="1" ht="12" hidden="1" x14ac:dyDescent="0.2">
      <c r="A141" s="168">
        <v>87</v>
      </c>
      <c r="B141" s="168"/>
      <c r="C141" s="173"/>
      <c r="D141" s="432">
        <f t="shared" si="14"/>
        <v>0</v>
      </c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432">
        <f t="shared" si="13"/>
        <v>0</v>
      </c>
      <c r="Q141" s="431"/>
      <c r="R141" s="431"/>
      <c r="S141" s="431"/>
      <c r="T141" s="431"/>
      <c r="U141" s="431"/>
      <c r="V141" s="431"/>
      <c r="W141" s="431"/>
      <c r="X141" s="431"/>
      <c r="Y141" s="431"/>
      <c r="Z141" s="431"/>
      <c r="AA141" s="431"/>
      <c r="AB141" s="431"/>
      <c r="AC141" s="468"/>
      <c r="AD141" s="431"/>
      <c r="AE141" s="431"/>
      <c r="AF141" s="431"/>
      <c r="AG141" s="431"/>
      <c r="AH141" s="431"/>
      <c r="AI141" s="468"/>
      <c r="AJ141" s="468"/>
      <c r="AK141" s="431"/>
      <c r="AL141" s="431"/>
      <c r="AM141" s="431"/>
    </row>
    <row r="142" spans="1:39" s="155" customFormat="1" ht="12" hidden="1" x14ac:dyDescent="0.2">
      <c r="A142" s="168">
        <v>88</v>
      </c>
      <c r="B142" s="168"/>
      <c r="C142" s="173"/>
      <c r="D142" s="432">
        <f t="shared" si="14"/>
        <v>0</v>
      </c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432">
        <f t="shared" si="13"/>
        <v>0</v>
      </c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68"/>
      <c r="AD142" s="431"/>
      <c r="AE142" s="431"/>
      <c r="AF142" s="431"/>
      <c r="AG142" s="431"/>
      <c r="AH142" s="431"/>
      <c r="AI142" s="468"/>
      <c r="AJ142" s="468"/>
      <c r="AK142" s="431"/>
      <c r="AL142" s="431"/>
      <c r="AM142" s="431"/>
    </row>
    <row r="143" spans="1:39" s="155" customFormat="1" ht="12" hidden="1" x14ac:dyDescent="0.2">
      <c r="A143" s="168">
        <v>89</v>
      </c>
      <c r="B143" s="168"/>
      <c r="C143" s="173"/>
      <c r="D143" s="432">
        <f t="shared" si="14"/>
        <v>0</v>
      </c>
      <c r="E143" s="431"/>
      <c r="F143" s="431"/>
      <c r="G143" s="431"/>
      <c r="H143" s="431"/>
      <c r="I143" s="431"/>
      <c r="J143" s="431"/>
      <c r="K143" s="431"/>
      <c r="L143" s="431"/>
      <c r="M143" s="431"/>
      <c r="N143" s="431"/>
      <c r="O143" s="431"/>
      <c r="P143" s="432">
        <f>IF(SUM(Q143:AB143)=SUM(AC143:AM143),SUM(Q143:AB143),"  EROARE ART/CAP")</f>
        <v>0</v>
      </c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6"/>
      <c r="AB143" s="436"/>
      <c r="AC143" s="468"/>
      <c r="AD143" s="431"/>
      <c r="AE143" s="431"/>
      <c r="AF143" s="431"/>
      <c r="AG143" s="431"/>
      <c r="AH143" s="431"/>
      <c r="AI143" s="468"/>
      <c r="AJ143" s="468"/>
      <c r="AK143" s="431"/>
      <c r="AL143" s="431"/>
      <c r="AM143" s="431"/>
    </row>
    <row r="144" spans="1:39" s="155" customFormat="1" ht="11.25" x14ac:dyDescent="0.2"/>
    <row r="145" s="155" customFormat="1" ht="11.25" x14ac:dyDescent="0.2"/>
    <row r="146" s="155" customFormat="1" ht="11.25" x14ac:dyDescent="0.2"/>
    <row r="147" s="155" customFormat="1" ht="11.25" x14ac:dyDescent="0.2"/>
    <row r="148" s="155" customFormat="1" ht="11.25" x14ac:dyDescent="0.2"/>
    <row r="149" s="155" customFormat="1" ht="11.25" x14ac:dyDescent="0.2"/>
    <row r="150" s="155" customFormat="1" ht="11.25" x14ac:dyDescent="0.2"/>
    <row r="151" s="155" customFormat="1" ht="11.25" x14ac:dyDescent="0.2"/>
    <row r="152" s="155" customFormat="1" ht="11.25" x14ac:dyDescent="0.2"/>
    <row r="153" s="155" customFormat="1" ht="11.25" x14ac:dyDescent="0.2"/>
    <row r="154" s="155" customFormat="1" ht="11.25" x14ac:dyDescent="0.2"/>
    <row r="155" s="155" customFormat="1" ht="11.25" x14ac:dyDescent="0.2"/>
    <row r="156" s="155" customFormat="1" ht="11.25" x14ac:dyDescent="0.2"/>
    <row r="157" s="155" customFormat="1" ht="11.25" x14ac:dyDescent="0.2"/>
    <row r="158" s="155" customFormat="1" ht="11.25" x14ac:dyDescent="0.2"/>
    <row r="159" s="155" customFormat="1" ht="11.25" x14ac:dyDescent="0.2"/>
    <row r="160" s="155" customFormat="1" ht="11.25" x14ac:dyDescent="0.2"/>
    <row r="161" s="155" customFormat="1" ht="11.25" x14ac:dyDescent="0.2"/>
    <row r="162" s="155" customFormat="1" ht="11.25" x14ac:dyDescent="0.2"/>
    <row r="163" s="155" customFormat="1" ht="11.25" x14ac:dyDescent="0.2"/>
    <row r="164" s="155" customFormat="1" ht="11.25" x14ac:dyDescent="0.2"/>
    <row r="165" s="155" customFormat="1" ht="11.25" x14ac:dyDescent="0.2"/>
    <row r="166" s="155" customFormat="1" ht="11.25" x14ac:dyDescent="0.2"/>
    <row r="167" s="155" customFormat="1" ht="11.25" x14ac:dyDescent="0.2"/>
    <row r="168" s="155" customFormat="1" ht="11.25" x14ac:dyDescent="0.2"/>
    <row r="169" s="155" customFormat="1" ht="11.25" x14ac:dyDescent="0.2"/>
    <row r="170" s="155" customFormat="1" ht="11.25" x14ac:dyDescent="0.2"/>
    <row r="171" s="155" customFormat="1" ht="11.25" x14ac:dyDescent="0.2"/>
    <row r="172" s="155" customFormat="1" ht="11.25" x14ac:dyDescent="0.2"/>
    <row r="173" s="155" customFormat="1" ht="11.25" x14ac:dyDescent="0.2"/>
    <row r="174" s="155" customFormat="1" ht="11.25" x14ac:dyDescent="0.2"/>
    <row r="175" s="155" customFormat="1" ht="11.25" x14ac:dyDescent="0.2"/>
    <row r="176" s="155" customFormat="1" ht="11.25" x14ac:dyDescent="0.2"/>
    <row r="177" s="155" customFormat="1" ht="11.25" x14ac:dyDescent="0.2"/>
    <row r="178" s="155" customFormat="1" ht="11.25" x14ac:dyDescent="0.2"/>
    <row r="179" s="155" customFormat="1" ht="11.25" x14ac:dyDescent="0.2"/>
    <row r="180" s="155" customFormat="1" ht="11.25" x14ac:dyDescent="0.2"/>
    <row r="181" s="155" customFormat="1" ht="11.25" x14ac:dyDescent="0.2"/>
    <row r="182" s="155" customFormat="1" ht="11.25" x14ac:dyDescent="0.2"/>
    <row r="183" s="155" customFormat="1" ht="11.25" x14ac:dyDescent="0.2"/>
    <row r="184" s="155" customFormat="1" ht="11.25" x14ac:dyDescent="0.2"/>
    <row r="185" s="155" customFormat="1" ht="11.25" x14ac:dyDescent="0.2"/>
    <row r="186" s="155" customFormat="1" ht="11.25" x14ac:dyDescent="0.2"/>
    <row r="187" s="155" customFormat="1" ht="11.25" x14ac:dyDescent="0.2"/>
    <row r="188" s="155" customFormat="1" ht="11.25" x14ac:dyDescent="0.2"/>
    <row r="189" s="155" customFormat="1" ht="11.25" x14ac:dyDescent="0.2"/>
    <row r="190" s="155" customFormat="1" ht="11.25" x14ac:dyDescent="0.2"/>
    <row r="191" s="155" customFormat="1" ht="11.25" x14ac:dyDescent="0.2"/>
    <row r="192" s="155" customFormat="1" ht="11.25" x14ac:dyDescent="0.2"/>
    <row r="193" s="155" customFormat="1" ht="11.25" x14ac:dyDescent="0.2"/>
    <row r="194" s="155" customFormat="1" ht="11.25" x14ac:dyDescent="0.2"/>
    <row r="195" s="155" customFormat="1" ht="11.25" x14ac:dyDescent="0.2"/>
    <row r="196" s="155" customFormat="1" ht="11.25" x14ac:dyDescent="0.2"/>
    <row r="197" s="155" customFormat="1" ht="11.25" x14ac:dyDescent="0.2"/>
    <row r="198" s="155" customFormat="1" ht="11.25" x14ac:dyDescent="0.2"/>
    <row r="199" s="155" customFormat="1" ht="11.25" x14ac:dyDescent="0.2"/>
    <row r="200" s="155" customFormat="1" ht="11.25" x14ac:dyDescent="0.2"/>
    <row r="201" s="155" customFormat="1" ht="11.25" x14ac:dyDescent="0.2"/>
    <row r="202" s="155" customFormat="1" ht="11.25" x14ac:dyDescent="0.2"/>
    <row r="203" s="155" customFormat="1" ht="11.25" x14ac:dyDescent="0.2"/>
    <row r="204" s="155" customFormat="1" ht="11.25" x14ac:dyDescent="0.2"/>
    <row r="205" s="155" customFormat="1" ht="11.25" x14ac:dyDescent="0.2"/>
    <row r="206" s="155" customFormat="1" ht="11.25" x14ac:dyDescent="0.2"/>
    <row r="207" s="155" customFormat="1" ht="11.25" x14ac:dyDescent="0.2"/>
    <row r="208" s="155" customFormat="1" ht="11.25" x14ac:dyDescent="0.2"/>
    <row r="209" s="155" customFormat="1" ht="11.25" x14ac:dyDescent="0.2"/>
    <row r="210" s="155" customFormat="1" ht="11.25" x14ac:dyDescent="0.2"/>
    <row r="211" s="155" customFormat="1" ht="11.25" x14ac:dyDescent="0.2"/>
    <row r="212" s="155" customFormat="1" ht="11.25" x14ac:dyDescent="0.2"/>
    <row r="213" s="155" customFormat="1" ht="11.25" x14ac:dyDescent="0.2"/>
    <row r="214" s="155" customFormat="1" ht="11.25" x14ac:dyDescent="0.2"/>
    <row r="215" s="155" customFormat="1" ht="11.25" x14ac:dyDescent="0.2"/>
    <row r="216" s="155" customFormat="1" ht="11.25" x14ac:dyDescent="0.2"/>
    <row r="217" s="155" customFormat="1" ht="11.25" x14ac:dyDescent="0.2"/>
    <row r="218" s="155" customFormat="1" ht="11.25" x14ac:dyDescent="0.2"/>
    <row r="219" s="155" customFormat="1" ht="11.25" x14ac:dyDescent="0.2"/>
    <row r="220" s="155" customFormat="1" ht="11.25" x14ac:dyDescent="0.2"/>
    <row r="221" s="155" customFormat="1" ht="11.25" x14ac:dyDescent="0.2"/>
    <row r="222" s="155" customFormat="1" ht="11.25" x14ac:dyDescent="0.2"/>
    <row r="223" s="155" customFormat="1" ht="11.25" x14ac:dyDescent="0.2"/>
    <row r="224" s="155" customFormat="1" ht="11.25" x14ac:dyDescent="0.2"/>
    <row r="225" s="155" customFormat="1" ht="11.25" x14ac:dyDescent="0.2"/>
    <row r="226" s="155" customFormat="1" ht="11.25" x14ac:dyDescent="0.2"/>
    <row r="227" s="155" customFormat="1" ht="11.25" x14ac:dyDescent="0.2"/>
    <row r="228" s="155" customFormat="1" ht="11.25" x14ac:dyDescent="0.2"/>
    <row r="229" s="155" customFormat="1" ht="11.25" x14ac:dyDescent="0.2"/>
    <row r="230" s="155" customFormat="1" ht="11.25" x14ac:dyDescent="0.2"/>
    <row r="231" s="155" customFormat="1" ht="11.25" x14ac:dyDescent="0.2"/>
    <row r="232" s="155" customFormat="1" ht="11.25" x14ac:dyDescent="0.2"/>
    <row r="233" s="155" customFormat="1" ht="11.25" x14ac:dyDescent="0.2"/>
    <row r="234" s="155" customFormat="1" ht="11.25" x14ac:dyDescent="0.2"/>
    <row r="235" s="155" customFormat="1" ht="11.25" x14ac:dyDescent="0.2"/>
    <row r="236" s="155" customFormat="1" ht="11.25" x14ac:dyDescent="0.2"/>
    <row r="237" s="155" customFormat="1" ht="11.25" x14ac:dyDescent="0.2"/>
    <row r="238" s="155" customFormat="1" ht="11.25" x14ac:dyDescent="0.2"/>
    <row r="239" s="155" customFormat="1" ht="11.25" x14ac:dyDescent="0.2"/>
    <row r="240" s="155" customFormat="1" ht="11.25" x14ac:dyDescent="0.2"/>
    <row r="241" s="155" customFormat="1" ht="11.25" x14ac:dyDescent="0.2"/>
    <row r="242" s="155" customFormat="1" ht="11.25" x14ac:dyDescent="0.2"/>
    <row r="243" s="155" customFormat="1" ht="11.25" x14ac:dyDescent="0.2"/>
    <row r="244" s="155" customFormat="1" ht="11.25" x14ac:dyDescent="0.2"/>
    <row r="245" s="155" customFormat="1" ht="11.25" x14ac:dyDescent="0.2"/>
    <row r="246" s="155" customFormat="1" ht="11.25" x14ac:dyDescent="0.2"/>
    <row r="247" s="155" customFormat="1" ht="11.25" x14ac:dyDescent="0.2"/>
    <row r="248" s="155" customFormat="1" ht="11.25" x14ac:dyDescent="0.2"/>
    <row r="249" s="155" customFormat="1" ht="11.25" x14ac:dyDescent="0.2"/>
    <row r="250" s="155" customFormat="1" ht="11.25" x14ac:dyDescent="0.2"/>
    <row r="251" s="155" customFormat="1" ht="11.25" x14ac:dyDescent="0.2"/>
    <row r="252" s="155" customFormat="1" ht="11.25" x14ac:dyDescent="0.2"/>
    <row r="253" s="155" customFormat="1" ht="11.25" x14ac:dyDescent="0.2"/>
    <row r="254" s="155" customFormat="1" ht="11.25" x14ac:dyDescent="0.2"/>
    <row r="255" s="155" customFormat="1" ht="11.25" x14ac:dyDescent="0.2"/>
    <row r="256" s="155" customFormat="1" ht="11.25" x14ac:dyDescent="0.2"/>
    <row r="257" s="155" customFormat="1" ht="11.25" x14ac:dyDescent="0.2"/>
    <row r="258" s="155" customFormat="1" ht="11.25" x14ac:dyDescent="0.2"/>
    <row r="259" s="155" customFormat="1" ht="11.25" x14ac:dyDescent="0.2"/>
    <row r="260" s="155" customFormat="1" ht="11.25" x14ac:dyDescent="0.2"/>
    <row r="261" s="155" customFormat="1" ht="11.25" x14ac:dyDescent="0.2"/>
    <row r="262" s="155" customFormat="1" ht="11.25" x14ac:dyDescent="0.2"/>
    <row r="263" s="155" customFormat="1" ht="11.25" x14ac:dyDescent="0.2"/>
    <row r="264" s="155" customFormat="1" ht="11.25" x14ac:dyDescent="0.2"/>
    <row r="265" s="155" customFormat="1" ht="11.25" x14ac:dyDescent="0.2"/>
    <row r="266" s="155" customFormat="1" ht="11.25" x14ac:dyDescent="0.2"/>
    <row r="267" s="155" customFormat="1" ht="11.25" x14ac:dyDescent="0.2"/>
    <row r="268" s="155" customFormat="1" ht="11.25" x14ac:dyDescent="0.2"/>
    <row r="269" s="155" customFormat="1" ht="11.25" x14ac:dyDescent="0.2"/>
    <row r="270" s="155" customFormat="1" ht="11.25" x14ac:dyDescent="0.2"/>
    <row r="271" s="155" customFormat="1" ht="11.25" x14ac:dyDescent="0.2"/>
    <row r="272" s="155" customFormat="1" ht="11.25" x14ac:dyDescent="0.2"/>
    <row r="273" s="155" customFormat="1" ht="11.25" x14ac:dyDescent="0.2"/>
    <row r="274" s="155" customFormat="1" ht="11.25" x14ac:dyDescent="0.2"/>
    <row r="275" s="155" customFormat="1" ht="11.25" x14ac:dyDescent="0.2"/>
    <row r="276" s="155" customFormat="1" ht="11.25" x14ac:dyDescent="0.2"/>
    <row r="277" s="155" customFormat="1" ht="11.25" x14ac:dyDescent="0.2"/>
    <row r="278" s="155" customFormat="1" ht="11.25" x14ac:dyDescent="0.2"/>
    <row r="279" s="155" customFormat="1" ht="11.25" x14ac:dyDescent="0.2"/>
    <row r="280" s="155" customFormat="1" ht="11.25" x14ac:dyDescent="0.2"/>
    <row r="281" s="155" customFormat="1" ht="11.25" x14ac:dyDescent="0.2"/>
    <row r="282" s="155" customFormat="1" ht="11.25" x14ac:dyDescent="0.2"/>
    <row r="283" s="155" customFormat="1" ht="11.25" x14ac:dyDescent="0.2"/>
    <row r="284" s="155" customFormat="1" ht="11.25" x14ac:dyDescent="0.2"/>
    <row r="285" s="155" customFormat="1" ht="11.25" x14ac:dyDescent="0.2"/>
    <row r="286" s="155" customFormat="1" ht="11.25" x14ac:dyDescent="0.2"/>
    <row r="287" s="155" customFormat="1" ht="11.25" x14ac:dyDescent="0.2"/>
    <row r="288" s="155" customFormat="1" ht="11.25" x14ac:dyDescent="0.2"/>
    <row r="289" s="155" customFormat="1" ht="11.25" x14ac:dyDescent="0.2"/>
    <row r="290" s="155" customFormat="1" ht="11.25" x14ac:dyDescent="0.2"/>
    <row r="291" s="155" customFormat="1" ht="11.25" x14ac:dyDescent="0.2"/>
    <row r="292" s="155" customFormat="1" ht="11.25" x14ac:dyDescent="0.2"/>
    <row r="293" s="155" customFormat="1" ht="11.25" x14ac:dyDescent="0.2"/>
    <row r="294" s="155" customFormat="1" ht="11.25" x14ac:dyDescent="0.2"/>
    <row r="295" s="155" customFormat="1" ht="11.25" x14ac:dyDescent="0.2"/>
    <row r="296" s="155" customFormat="1" ht="11.25" x14ac:dyDescent="0.2"/>
    <row r="297" s="155" customFormat="1" ht="11.25" x14ac:dyDescent="0.2"/>
    <row r="298" s="155" customFormat="1" ht="11.25" x14ac:dyDescent="0.2"/>
    <row r="299" s="155" customFormat="1" ht="11.25" x14ac:dyDescent="0.2"/>
    <row r="300" s="155" customFormat="1" ht="11.25" x14ac:dyDescent="0.2"/>
    <row r="301" s="155" customFormat="1" ht="11.25" x14ac:dyDescent="0.2"/>
    <row r="302" s="155" customFormat="1" ht="11.25" x14ac:dyDescent="0.2"/>
    <row r="303" s="155" customFormat="1" ht="11.25" x14ac:dyDescent="0.2"/>
    <row r="304" s="155" customFormat="1" ht="11.25" x14ac:dyDescent="0.2"/>
    <row r="305" s="155" customFormat="1" ht="11.25" x14ac:dyDescent="0.2"/>
    <row r="306" s="155" customFormat="1" ht="11.25" x14ac:dyDescent="0.2"/>
    <row r="307" s="155" customFormat="1" ht="11.25" x14ac:dyDescent="0.2"/>
    <row r="308" s="155" customFormat="1" ht="11.25" x14ac:dyDescent="0.2"/>
    <row r="309" s="155" customFormat="1" ht="11.25" x14ac:dyDescent="0.2"/>
    <row r="310" s="155" customFormat="1" ht="11.25" x14ac:dyDescent="0.2"/>
    <row r="311" s="155" customFormat="1" ht="11.25" x14ac:dyDescent="0.2"/>
    <row r="312" s="155" customFormat="1" ht="11.25" x14ac:dyDescent="0.2"/>
    <row r="313" s="155" customFormat="1" ht="11.25" x14ac:dyDescent="0.2"/>
    <row r="314" s="155" customFormat="1" ht="11.25" x14ac:dyDescent="0.2"/>
    <row r="315" s="155" customFormat="1" ht="11.25" x14ac:dyDescent="0.2"/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43"/>
  <sheetViews>
    <sheetView zoomScaleNormal="100" workbookViewId="0">
      <selection activeCell="M37" sqref="M37"/>
    </sheetView>
  </sheetViews>
  <sheetFormatPr defaultRowHeight="12.75" x14ac:dyDescent="0.2"/>
  <cols>
    <col min="1" max="1" width="2.42578125" customWidth="1"/>
    <col min="2" max="2" width="5.42578125" customWidth="1"/>
    <col min="3" max="3" width="15.140625" customWidth="1"/>
    <col min="4" max="4" width="13" customWidth="1"/>
    <col min="5" max="5" width="13.85546875" customWidth="1"/>
    <col min="6" max="6" width="11.85546875" customWidth="1"/>
    <col min="7" max="7" width="13.28515625" customWidth="1"/>
    <col min="8" max="8" width="9.7109375" customWidth="1"/>
    <col min="9" max="9" width="12" customWidth="1"/>
    <col min="10" max="11" width="11.5703125" customWidth="1"/>
    <col min="12" max="12" width="10" customWidth="1"/>
    <col min="13" max="14" width="12" customWidth="1"/>
    <col min="15" max="15" width="10.28515625" customWidth="1"/>
    <col min="16" max="16" width="11.42578125" customWidth="1"/>
    <col min="17" max="18" width="10.85546875" customWidth="1"/>
    <col min="19" max="19" width="9.5703125" customWidth="1"/>
    <col min="20" max="20" width="12.28515625" customWidth="1"/>
    <col min="21" max="21" width="11.5703125" customWidth="1"/>
    <col min="22" max="22" width="10.28515625" customWidth="1"/>
    <col min="23" max="23" width="9" customWidth="1"/>
    <col min="24" max="24" width="9.7109375" customWidth="1"/>
    <col min="25" max="25" width="9.5703125" customWidth="1"/>
    <col min="26" max="26" width="12.140625" customWidth="1"/>
    <col min="27" max="27" width="9.85546875" customWidth="1"/>
    <col min="28" max="28" width="10.140625" customWidth="1"/>
    <col min="29" max="29" width="11.5703125" customWidth="1"/>
    <col min="30" max="30" width="11.42578125" customWidth="1"/>
    <col min="31" max="31" width="12.5703125" customWidth="1"/>
    <col min="32" max="32" width="11" customWidth="1"/>
    <col min="33" max="33" width="11.7109375" customWidth="1"/>
    <col min="34" max="34" width="10.7109375" customWidth="1"/>
    <col min="35" max="36" width="11.7109375" customWidth="1"/>
    <col min="37" max="37" width="9.85546875" customWidth="1"/>
    <col min="38" max="38" width="13.42578125" customWidth="1"/>
    <col min="39" max="39" width="10.85546875" customWidth="1"/>
  </cols>
  <sheetData>
    <row r="1" spans="1:39" s="55" customFormat="1" ht="15.75" x14ac:dyDescent="0.25">
      <c r="A1" s="53"/>
      <c r="B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6" t="s">
        <v>0</v>
      </c>
      <c r="AL1" s="56"/>
      <c r="AM1" s="53"/>
    </row>
    <row r="2" spans="1:39" s="55" customFormat="1" ht="15.75" x14ac:dyDescent="0.25">
      <c r="A2" s="53"/>
      <c r="B2" s="54" t="s">
        <v>1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s="55" customFormat="1" ht="15.75" x14ac:dyDescent="0.25">
      <c r="A3" s="53"/>
      <c r="B3" s="54" t="s">
        <v>77</v>
      </c>
      <c r="D3" s="5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s="55" customFormat="1" ht="15.75" x14ac:dyDescent="0.25">
      <c r="A4" s="53"/>
      <c r="B4" s="53"/>
      <c r="C4" s="54"/>
      <c r="D4" s="5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s="55" customFormat="1" ht="15.75" x14ac:dyDescent="0.25">
      <c r="A5" s="58"/>
      <c r="B5" s="58"/>
      <c r="D5" s="54"/>
      <c r="F5" s="54"/>
      <c r="H5" s="54"/>
      <c r="I5" s="54"/>
      <c r="J5" s="54"/>
      <c r="L5" s="59" t="s">
        <v>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</row>
    <row r="6" spans="1:39" s="55" customFormat="1" ht="15.75" x14ac:dyDescent="0.25">
      <c r="A6" s="58"/>
      <c r="B6" s="58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ht="13.5" thickBot="1" x14ac:dyDescent="0.25">
      <c r="A7" s="4"/>
      <c r="B7" s="4"/>
      <c r="C7" s="5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0" t="s">
        <v>3</v>
      </c>
    </row>
    <row r="8" spans="1:39" ht="7.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4"/>
      <c r="AI8" s="7"/>
      <c r="AJ8" s="7"/>
      <c r="AK8" s="4"/>
      <c r="AL8" s="4"/>
    </row>
    <row r="9" spans="1:39" s="78" customFormat="1" ht="16.5" customHeight="1" x14ac:dyDescent="0.2">
      <c r="A9" s="661" t="s">
        <v>4</v>
      </c>
      <c r="B9" s="662"/>
      <c r="C9" s="663"/>
      <c r="D9" s="73" t="s">
        <v>5</v>
      </c>
      <c r="E9" s="74" t="s">
        <v>6</v>
      </c>
      <c r="F9" s="75"/>
      <c r="G9" s="76"/>
      <c r="H9" s="670" t="s">
        <v>7</v>
      </c>
      <c r="I9" s="670" t="s">
        <v>8</v>
      </c>
      <c r="J9" s="670" t="s">
        <v>9</v>
      </c>
      <c r="K9" s="670" t="s">
        <v>10</v>
      </c>
      <c r="L9" s="670" t="s">
        <v>11</v>
      </c>
      <c r="M9" s="670" t="s">
        <v>12</v>
      </c>
      <c r="N9" s="713" t="s">
        <v>13</v>
      </c>
      <c r="O9" s="670" t="s">
        <v>14</v>
      </c>
      <c r="P9" s="73" t="s">
        <v>15</v>
      </c>
      <c r="Q9" s="682" t="s">
        <v>16</v>
      </c>
      <c r="R9" s="654"/>
      <c r="S9" s="654"/>
      <c r="T9" s="654"/>
      <c r="U9" s="654"/>
      <c r="V9" s="654"/>
      <c r="W9" s="654"/>
      <c r="X9" s="654"/>
      <c r="Y9" s="654"/>
      <c r="Z9" s="654"/>
      <c r="AA9" s="77"/>
      <c r="AB9" s="77"/>
      <c r="AC9" s="653" t="s">
        <v>17</v>
      </c>
      <c r="AD9" s="654"/>
      <c r="AE9" s="654"/>
      <c r="AF9" s="654"/>
      <c r="AG9" s="654"/>
      <c r="AH9" s="654"/>
      <c r="AI9" s="654"/>
      <c r="AJ9" s="654"/>
      <c r="AK9" s="654"/>
      <c r="AL9" s="654"/>
      <c r="AM9" s="655"/>
    </row>
    <row r="10" spans="1:39" s="78" customFormat="1" ht="10.5" customHeight="1" x14ac:dyDescent="0.2">
      <c r="A10" s="664"/>
      <c r="B10" s="665"/>
      <c r="C10" s="666"/>
      <c r="D10" s="79" t="s">
        <v>18</v>
      </c>
      <c r="E10" s="74"/>
      <c r="F10" s="659" t="s">
        <v>19</v>
      </c>
      <c r="G10" s="660"/>
      <c r="H10" s="671"/>
      <c r="I10" s="671"/>
      <c r="J10" s="671"/>
      <c r="K10" s="671"/>
      <c r="L10" s="671"/>
      <c r="M10" s="671"/>
      <c r="N10" s="680"/>
      <c r="O10" s="671"/>
      <c r="P10" s="79" t="s">
        <v>18</v>
      </c>
      <c r="Q10" s="683"/>
      <c r="R10" s="657"/>
      <c r="S10" s="657"/>
      <c r="T10" s="657"/>
      <c r="U10" s="657"/>
      <c r="V10" s="657"/>
      <c r="W10" s="657"/>
      <c r="X10" s="657"/>
      <c r="Y10" s="657"/>
      <c r="Z10" s="657"/>
      <c r="AA10" s="80"/>
      <c r="AB10" s="80"/>
      <c r="AC10" s="656"/>
      <c r="AD10" s="657"/>
      <c r="AE10" s="657"/>
      <c r="AF10" s="657"/>
      <c r="AG10" s="657"/>
      <c r="AH10" s="657"/>
      <c r="AI10" s="657"/>
      <c r="AJ10" s="657"/>
      <c r="AK10" s="657"/>
      <c r="AL10" s="657"/>
      <c r="AM10" s="658"/>
    </row>
    <row r="11" spans="1:39" s="78" customFormat="1" ht="90.75" customHeight="1" x14ac:dyDescent="0.2">
      <c r="A11" s="664"/>
      <c r="B11" s="665"/>
      <c r="C11" s="666"/>
      <c r="D11" s="81" t="s">
        <v>20</v>
      </c>
      <c r="E11" s="82" t="s">
        <v>21</v>
      </c>
      <c r="F11" s="83" t="s">
        <v>22</v>
      </c>
      <c r="G11" s="83" t="s">
        <v>23</v>
      </c>
      <c r="H11" s="672"/>
      <c r="I11" s="672"/>
      <c r="J11" s="672"/>
      <c r="K11" s="672"/>
      <c r="L11" s="672"/>
      <c r="M11" s="672"/>
      <c r="N11" s="681"/>
      <c r="O11" s="672"/>
      <c r="P11" s="81" t="s">
        <v>24</v>
      </c>
      <c r="Q11" s="83" t="s">
        <v>25</v>
      </c>
      <c r="R11" s="83" t="s">
        <v>26</v>
      </c>
      <c r="S11" s="83" t="s">
        <v>27</v>
      </c>
      <c r="T11" s="83" t="s">
        <v>12</v>
      </c>
      <c r="U11" s="83" t="s">
        <v>28</v>
      </c>
      <c r="V11" s="83" t="s">
        <v>29</v>
      </c>
      <c r="W11" s="85" t="s">
        <v>30</v>
      </c>
      <c r="X11" s="83" t="s">
        <v>31</v>
      </c>
      <c r="Y11" s="83" t="s">
        <v>32</v>
      </c>
      <c r="Z11" s="83" t="s">
        <v>33</v>
      </c>
      <c r="AA11" s="87" t="s">
        <v>34</v>
      </c>
      <c r="AB11" s="87" t="s">
        <v>35</v>
      </c>
      <c r="AC11" s="83" t="s">
        <v>36</v>
      </c>
      <c r="AD11" s="83" t="s">
        <v>37</v>
      </c>
      <c r="AE11" s="83" t="s">
        <v>38</v>
      </c>
      <c r="AF11" s="83" t="s">
        <v>39</v>
      </c>
      <c r="AG11" s="83" t="s">
        <v>40</v>
      </c>
      <c r="AH11" s="83" t="s">
        <v>41</v>
      </c>
      <c r="AI11" s="83" t="s">
        <v>42</v>
      </c>
      <c r="AJ11" s="83" t="s">
        <v>43</v>
      </c>
      <c r="AK11" s="83" t="s">
        <v>44</v>
      </c>
      <c r="AL11" s="83" t="s">
        <v>45</v>
      </c>
      <c r="AM11" s="84" t="s">
        <v>32</v>
      </c>
    </row>
    <row r="12" spans="1:39" s="66" customFormat="1" ht="11.25" x14ac:dyDescent="0.2">
      <c r="A12" s="667"/>
      <c r="B12" s="668"/>
      <c r="C12" s="669"/>
      <c r="D12" s="68" t="s">
        <v>46</v>
      </c>
      <c r="E12" s="69" t="s">
        <v>47</v>
      </c>
      <c r="F12" s="68" t="s">
        <v>48</v>
      </c>
      <c r="G12" s="68" t="s">
        <v>49</v>
      </c>
      <c r="H12" s="68" t="s">
        <v>50</v>
      </c>
      <c r="I12" s="68" t="s">
        <v>51</v>
      </c>
      <c r="J12" s="68" t="s">
        <v>52</v>
      </c>
      <c r="K12" s="68" t="s">
        <v>53</v>
      </c>
      <c r="L12" s="68" t="s">
        <v>54</v>
      </c>
      <c r="M12" s="69" t="s">
        <v>55</v>
      </c>
      <c r="N12" s="69" t="s">
        <v>79</v>
      </c>
      <c r="O12" s="69"/>
      <c r="P12" s="68" t="s">
        <v>56</v>
      </c>
      <c r="Q12" s="68" t="s">
        <v>57</v>
      </c>
      <c r="R12" s="69">
        <v>20</v>
      </c>
      <c r="S12" s="69">
        <v>30</v>
      </c>
      <c r="T12" s="68" t="s">
        <v>58</v>
      </c>
      <c r="U12" s="68">
        <v>51</v>
      </c>
      <c r="V12" s="68" t="s">
        <v>59</v>
      </c>
      <c r="W12" s="86" t="s">
        <v>80</v>
      </c>
      <c r="X12" s="68" t="s">
        <v>60</v>
      </c>
      <c r="Y12" s="69">
        <v>59</v>
      </c>
      <c r="Z12" s="69">
        <v>70</v>
      </c>
      <c r="AA12" s="88">
        <v>79</v>
      </c>
      <c r="AB12" s="88">
        <v>84</v>
      </c>
      <c r="AC12" s="68" t="s">
        <v>56</v>
      </c>
      <c r="AD12" s="68" t="s">
        <v>61</v>
      </c>
      <c r="AE12" s="68" t="s">
        <v>62</v>
      </c>
      <c r="AF12" s="68" t="s">
        <v>63</v>
      </c>
      <c r="AG12" s="68" t="s">
        <v>64</v>
      </c>
      <c r="AH12" s="68" t="s">
        <v>65</v>
      </c>
      <c r="AI12" s="68" t="s">
        <v>66</v>
      </c>
      <c r="AJ12" s="68" t="s">
        <v>78</v>
      </c>
      <c r="AK12" s="68" t="s">
        <v>67</v>
      </c>
      <c r="AL12" s="68" t="s">
        <v>68</v>
      </c>
      <c r="AM12" s="70"/>
    </row>
    <row r="13" spans="1:39" s="66" customFormat="1" ht="11.25" x14ac:dyDescent="0.2">
      <c r="A13" s="676" t="s">
        <v>69</v>
      </c>
      <c r="B13" s="677"/>
      <c r="C13" s="678"/>
      <c r="D13" s="67">
        <v>1</v>
      </c>
      <c r="E13" s="67">
        <v>2</v>
      </c>
      <c r="F13" s="67">
        <v>3</v>
      </c>
      <c r="G13" s="67">
        <v>4</v>
      </c>
      <c r="H13" s="67">
        <v>5</v>
      </c>
      <c r="I13" s="67">
        <v>6</v>
      </c>
      <c r="J13" s="67">
        <v>7</v>
      </c>
      <c r="K13" s="67">
        <v>8</v>
      </c>
      <c r="L13" s="67">
        <v>9</v>
      </c>
      <c r="M13" s="67">
        <v>10</v>
      </c>
      <c r="N13" s="67">
        <v>11</v>
      </c>
      <c r="O13" s="67">
        <v>12</v>
      </c>
      <c r="P13" s="67">
        <v>13</v>
      </c>
      <c r="Q13" s="67">
        <v>14</v>
      </c>
      <c r="R13" s="67">
        <v>15</v>
      </c>
      <c r="S13" s="67">
        <v>16</v>
      </c>
      <c r="T13" s="67">
        <v>17</v>
      </c>
      <c r="U13" s="67">
        <v>18</v>
      </c>
      <c r="V13" s="67">
        <v>19</v>
      </c>
      <c r="W13" s="67">
        <v>20</v>
      </c>
      <c r="X13" s="67">
        <v>21</v>
      </c>
      <c r="Y13" s="67">
        <v>22</v>
      </c>
      <c r="Z13" s="67">
        <v>23</v>
      </c>
      <c r="AA13" s="89">
        <v>24</v>
      </c>
      <c r="AB13" s="89">
        <v>25</v>
      </c>
      <c r="AC13" s="67">
        <v>26</v>
      </c>
      <c r="AD13" s="67">
        <v>27</v>
      </c>
      <c r="AE13" s="67">
        <v>28</v>
      </c>
      <c r="AF13" s="67">
        <v>29</v>
      </c>
      <c r="AG13" s="67">
        <v>30</v>
      </c>
      <c r="AH13" s="67">
        <v>31</v>
      </c>
      <c r="AI13" s="67">
        <v>32</v>
      </c>
      <c r="AJ13" s="67">
        <v>33</v>
      </c>
      <c r="AK13" s="67">
        <v>34</v>
      </c>
      <c r="AL13" s="67">
        <v>35</v>
      </c>
      <c r="AM13" s="71">
        <v>36</v>
      </c>
    </row>
    <row r="14" spans="1:39" ht="13.5" customHeight="1" x14ac:dyDescent="0.2">
      <c r="A14" s="61" t="s">
        <v>70</v>
      </c>
      <c r="B14" s="62"/>
      <c r="C14" s="12"/>
      <c r="D14" s="9">
        <f>E14+SUM(H14:O14)</f>
        <v>0</v>
      </c>
      <c r="E14" s="9">
        <f>SUM(E15,E16,E33,E54)</f>
        <v>0</v>
      </c>
      <c r="F14" s="9">
        <f t="shared" ref="F14:O14" si="0">SUM(F15,F16,F33,F54)</f>
        <v>0</v>
      </c>
      <c r="G14" s="9">
        <f t="shared" si="0"/>
        <v>0</v>
      </c>
      <c r="H14" s="9">
        <f t="shared" si="0"/>
        <v>0</v>
      </c>
      <c r="I14" s="9">
        <f t="shared" si="0"/>
        <v>0</v>
      </c>
      <c r="J14" s="9">
        <f t="shared" si="0"/>
        <v>0</v>
      </c>
      <c r="K14" s="9">
        <f t="shared" si="0"/>
        <v>0</v>
      </c>
      <c r="L14" s="9">
        <f t="shared" si="0"/>
        <v>0</v>
      </c>
      <c r="M14" s="9">
        <f t="shared" si="0"/>
        <v>0</v>
      </c>
      <c r="N14" s="9">
        <f t="shared" si="0"/>
        <v>0</v>
      </c>
      <c r="O14" s="9">
        <f t="shared" si="0"/>
        <v>0</v>
      </c>
      <c r="P14" s="9">
        <f>IF(SUM(Q14:AB14)=SUM(AC14:AM14),SUM(Q14:AB14),"  EROARE ART/CAP")</f>
        <v>0</v>
      </c>
      <c r="Q14" s="9">
        <f t="shared" ref="Q14:AM14" si="1">Q15+Q16+Q33+Q54</f>
        <v>0</v>
      </c>
      <c r="R14" s="9">
        <f t="shared" si="1"/>
        <v>0</v>
      </c>
      <c r="S14" s="9">
        <f t="shared" si="1"/>
        <v>0</v>
      </c>
      <c r="T14" s="9">
        <f t="shared" si="1"/>
        <v>0</v>
      </c>
      <c r="U14" s="9">
        <f t="shared" si="1"/>
        <v>0</v>
      </c>
      <c r="V14" s="9">
        <f t="shared" si="1"/>
        <v>0</v>
      </c>
      <c r="W14" s="9">
        <f t="shared" si="1"/>
        <v>0</v>
      </c>
      <c r="X14" s="9">
        <f t="shared" si="1"/>
        <v>0</v>
      </c>
      <c r="Y14" s="9">
        <f t="shared" si="1"/>
        <v>0</v>
      </c>
      <c r="Z14" s="9">
        <f t="shared" si="1"/>
        <v>0</v>
      </c>
      <c r="AA14" s="9">
        <f t="shared" si="1"/>
        <v>0</v>
      </c>
      <c r="AB14" s="9">
        <f t="shared" si="1"/>
        <v>0</v>
      </c>
      <c r="AC14" s="9">
        <f t="shared" si="1"/>
        <v>0</v>
      </c>
      <c r="AD14" s="9">
        <f t="shared" si="1"/>
        <v>0</v>
      </c>
      <c r="AE14" s="9">
        <f t="shared" si="1"/>
        <v>0</v>
      </c>
      <c r="AF14" s="9">
        <f t="shared" si="1"/>
        <v>0</v>
      </c>
      <c r="AG14" s="9">
        <f t="shared" si="1"/>
        <v>0</v>
      </c>
      <c r="AH14" s="9">
        <f t="shared" si="1"/>
        <v>0</v>
      </c>
      <c r="AI14" s="9">
        <f t="shared" si="1"/>
        <v>0</v>
      </c>
      <c r="AJ14" s="9">
        <f t="shared" si="1"/>
        <v>0</v>
      </c>
      <c r="AK14" s="9">
        <f t="shared" si="1"/>
        <v>0</v>
      </c>
      <c r="AL14" s="9">
        <f t="shared" si="1"/>
        <v>0</v>
      </c>
      <c r="AM14" s="72">
        <f t="shared" si="1"/>
        <v>0</v>
      </c>
    </row>
    <row r="15" spans="1:39" ht="12.75" customHeight="1" x14ac:dyDescent="0.2">
      <c r="A15" s="63" t="s">
        <v>71</v>
      </c>
      <c r="B15" s="64"/>
      <c r="C15" s="29"/>
      <c r="D15" s="11">
        <f>E15+SUM(H15:O15)</f>
        <v>0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1">
        <f t="shared" ref="P15:P78" si="2">IF(SUM(Q15:AB15)=SUM(AC15:AM15),SUM(Q15:AB15),"  EROARE ART/CAP")</f>
        <v>0</v>
      </c>
      <c r="Q15" s="32"/>
      <c r="R15" s="33"/>
      <c r="S15" s="33"/>
      <c r="T15" s="33"/>
      <c r="U15" s="33"/>
      <c r="V15" s="33"/>
      <c r="W15" s="33"/>
      <c r="X15" s="34"/>
      <c r="Y15" s="33"/>
      <c r="Z15" s="23"/>
      <c r="AA15" s="23"/>
      <c r="AB15" s="23"/>
      <c r="AC15" s="35"/>
      <c r="AD15" s="36"/>
      <c r="AE15" s="37"/>
      <c r="AF15" s="37"/>
      <c r="AG15" s="37"/>
      <c r="AH15" s="37"/>
      <c r="AI15" s="37"/>
      <c r="AJ15" s="37"/>
      <c r="AK15" s="37"/>
      <c r="AL15" s="37"/>
      <c r="AM15" s="37"/>
    </row>
    <row r="16" spans="1:39" x14ac:dyDescent="0.2">
      <c r="A16" s="63" t="s">
        <v>72</v>
      </c>
      <c r="B16" s="64"/>
      <c r="C16" s="30"/>
      <c r="D16" s="11">
        <f>E16+SUM(H16:O16)</f>
        <v>0</v>
      </c>
      <c r="E16" s="38">
        <f>SUM(E18:E32)</f>
        <v>0</v>
      </c>
      <c r="F16" s="38">
        <f t="shared" ref="F16:O16" si="3">SUM(F18:F32)</f>
        <v>0</v>
      </c>
      <c r="G16" s="38">
        <f t="shared" si="3"/>
        <v>0</v>
      </c>
      <c r="H16" s="38">
        <f t="shared" si="3"/>
        <v>0</v>
      </c>
      <c r="I16" s="38">
        <f t="shared" si="3"/>
        <v>0</v>
      </c>
      <c r="J16" s="38">
        <f t="shared" si="3"/>
        <v>0</v>
      </c>
      <c r="K16" s="38">
        <f t="shared" si="3"/>
        <v>0</v>
      </c>
      <c r="L16" s="38">
        <f t="shared" si="3"/>
        <v>0</v>
      </c>
      <c r="M16" s="38">
        <f t="shared" si="3"/>
        <v>0</v>
      </c>
      <c r="N16" s="38">
        <f t="shared" si="3"/>
        <v>0</v>
      </c>
      <c r="O16" s="38">
        <f t="shared" si="3"/>
        <v>0</v>
      </c>
      <c r="P16" s="11">
        <f t="shared" si="2"/>
        <v>0</v>
      </c>
      <c r="Q16" s="11">
        <f>SUM(Q18:Q32)</f>
        <v>0</v>
      </c>
      <c r="R16" s="11">
        <f t="shared" ref="R16:AM16" si="4">SUM(R18:R32)</f>
        <v>0</v>
      </c>
      <c r="S16" s="11">
        <f t="shared" si="4"/>
        <v>0</v>
      </c>
      <c r="T16" s="11">
        <f t="shared" si="4"/>
        <v>0</v>
      </c>
      <c r="U16" s="11">
        <f t="shared" si="4"/>
        <v>0</v>
      </c>
      <c r="V16" s="11">
        <f t="shared" si="4"/>
        <v>0</v>
      </c>
      <c r="W16" s="11">
        <f t="shared" si="4"/>
        <v>0</v>
      </c>
      <c r="X16" s="11">
        <f t="shared" si="4"/>
        <v>0</v>
      </c>
      <c r="Y16" s="11">
        <f t="shared" si="4"/>
        <v>0</v>
      </c>
      <c r="Z16" s="11">
        <f t="shared" si="4"/>
        <v>0</v>
      </c>
      <c r="AA16" s="11">
        <f t="shared" si="4"/>
        <v>0</v>
      </c>
      <c r="AB16" s="11">
        <f t="shared" si="4"/>
        <v>0</v>
      </c>
      <c r="AC16" s="11">
        <f t="shared" si="4"/>
        <v>0</v>
      </c>
      <c r="AD16" s="11">
        <f t="shared" si="4"/>
        <v>0</v>
      </c>
      <c r="AE16" s="11">
        <f t="shared" si="4"/>
        <v>0</v>
      </c>
      <c r="AF16" s="11">
        <f t="shared" si="4"/>
        <v>0</v>
      </c>
      <c r="AG16" s="11">
        <f t="shared" si="4"/>
        <v>0</v>
      </c>
      <c r="AH16" s="11">
        <f t="shared" si="4"/>
        <v>0</v>
      </c>
      <c r="AI16" s="11">
        <f t="shared" si="4"/>
        <v>0</v>
      </c>
      <c r="AJ16" s="11">
        <f t="shared" si="4"/>
        <v>0</v>
      </c>
      <c r="AK16" s="11">
        <f t="shared" si="4"/>
        <v>0</v>
      </c>
      <c r="AL16" s="11">
        <f t="shared" si="4"/>
        <v>0</v>
      </c>
      <c r="AM16" s="11">
        <f t="shared" si="4"/>
        <v>0</v>
      </c>
    </row>
    <row r="17" spans="1:39" ht="16.5" x14ac:dyDescent="0.2">
      <c r="A17" s="20" t="s">
        <v>73</v>
      </c>
      <c r="B17" s="20" t="s">
        <v>74</v>
      </c>
      <c r="C17" s="31"/>
      <c r="D17" s="42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</row>
    <row r="18" spans="1:39" x14ac:dyDescent="0.2">
      <c r="A18" s="21">
        <v>1</v>
      </c>
      <c r="B18" s="21"/>
      <c r="C18" s="19"/>
      <c r="D18" s="11">
        <f t="shared" ref="D18:D41" si="5">E18+SUM(H18:O18)</f>
        <v>0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1">
        <f t="shared" si="2"/>
        <v>0</v>
      </c>
      <c r="Q18" s="22"/>
      <c r="R18" s="22"/>
      <c r="S18" s="22"/>
      <c r="T18" s="22"/>
      <c r="U18" s="22"/>
      <c r="V18" s="23"/>
      <c r="W18" s="23"/>
      <c r="X18" s="23"/>
      <c r="Y18" s="23"/>
      <c r="Z18" s="23"/>
      <c r="AA18" s="23"/>
      <c r="AB18" s="23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</row>
    <row r="19" spans="1:39" x14ac:dyDescent="0.2">
      <c r="A19" s="21">
        <v>2</v>
      </c>
      <c r="B19" s="21"/>
      <c r="C19" s="25"/>
      <c r="D19" s="11">
        <f t="shared" si="5"/>
        <v>0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1">
        <f t="shared" si="2"/>
        <v>0</v>
      </c>
      <c r="Q19" s="22"/>
      <c r="R19" s="22"/>
      <c r="S19" s="22"/>
      <c r="T19" s="22"/>
      <c r="U19" s="22"/>
      <c r="V19" s="23"/>
      <c r="W19" s="23"/>
      <c r="X19" s="23"/>
      <c r="Y19" s="23"/>
      <c r="Z19" s="23"/>
      <c r="AA19" s="23"/>
      <c r="AB19" s="23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</row>
    <row r="20" spans="1:39" x14ac:dyDescent="0.2">
      <c r="A20" s="21">
        <v>3</v>
      </c>
      <c r="B20" s="21"/>
      <c r="C20" s="26"/>
      <c r="D20" s="11">
        <f t="shared" si="5"/>
        <v>0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11">
        <f t="shared" si="2"/>
        <v>0</v>
      </c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</row>
    <row r="21" spans="1:39" x14ac:dyDescent="0.2">
      <c r="A21" s="21">
        <v>4</v>
      </c>
      <c r="B21" s="21"/>
      <c r="C21" s="26"/>
      <c r="D21" s="11">
        <f t="shared" si="5"/>
        <v>0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11">
        <f t="shared" si="2"/>
        <v>0</v>
      </c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</row>
    <row r="22" spans="1:39" x14ac:dyDescent="0.2">
      <c r="A22" s="21">
        <v>5</v>
      </c>
      <c r="B22" s="21"/>
      <c r="C22" s="26"/>
      <c r="D22" s="11">
        <f t="shared" si="5"/>
        <v>0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11">
        <f t="shared" si="2"/>
        <v>0</v>
      </c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</row>
    <row r="23" spans="1:39" x14ac:dyDescent="0.2">
      <c r="A23" s="21">
        <v>6</v>
      </c>
      <c r="B23" s="21"/>
      <c r="C23" s="26"/>
      <c r="D23" s="11">
        <f t="shared" si="5"/>
        <v>0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11">
        <f t="shared" si="2"/>
        <v>0</v>
      </c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</row>
    <row r="24" spans="1:39" x14ac:dyDescent="0.2">
      <c r="A24" s="21">
        <v>7</v>
      </c>
      <c r="B24" s="21"/>
      <c r="C24" s="26"/>
      <c r="D24" s="11">
        <f t="shared" si="5"/>
        <v>0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11">
        <f t="shared" si="2"/>
        <v>0</v>
      </c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</row>
    <row r="25" spans="1:39" x14ac:dyDescent="0.2">
      <c r="A25" s="21">
        <v>8</v>
      </c>
      <c r="B25" s="21"/>
      <c r="C25" s="26"/>
      <c r="D25" s="11">
        <f t="shared" si="5"/>
        <v>0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11">
        <f t="shared" si="2"/>
        <v>0</v>
      </c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</row>
    <row r="26" spans="1:39" x14ac:dyDescent="0.2">
      <c r="A26" s="21">
        <v>9</v>
      </c>
      <c r="B26" s="21"/>
      <c r="C26" s="26"/>
      <c r="D26" s="11">
        <f t="shared" si="5"/>
        <v>0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11">
        <f t="shared" si="2"/>
        <v>0</v>
      </c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</row>
    <row r="27" spans="1:39" x14ac:dyDescent="0.2">
      <c r="A27" s="21">
        <v>10</v>
      </c>
      <c r="B27" s="21"/>
      <c r="C27" s="26"/>
      <c r="D27" s="11">
        <f t="shared" si="5"/>
        <v>0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11">
        <f t="shared" si="2"/>
        <v>0</v>
      </c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</row>
    <row r="28" spans="1:39" x14ac:dyDescent="0.2">
      <c r="A28" s="21">
        <v>11</v>
      </c>
      <c r="B28" s="21"/>
      <c r="C28" s="26"/>
      <c r="D28" s="11">
        <f t="shared" si="5"/>
        <v>0</v>
      </c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11">
        <f t="shared" si="2"/>
        <v>0</v>
      </c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</row>
    <row r="29" spans="1:39" x14ac:dyDescent="0.2">
      <c r="A29" s="21">
        <v>12</v>
      </c>
      <c r="B29" s="21"/>
      <c r="C29" s="26"/>
      <c r="D29" s="11">
        <f t="shared" si="5"/>
        <v>0</v>
      </c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11">
        <f t="shared" si="2"/>
        <v>0</v>
      </c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</row>
    <row r="30" spans="1:39" x14ac:dyDescent="0.2">
      <c r="A30" s="21">
        <v>13</v>
      </c>
      <c r="B30" s="21"/>
      <c r="C30" s="26"/>
      <c r="D30" s="11">
        <f t="shared" si="5"/>
        <v>0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11">
        <f t="shared" si="2"/>
        <v>0</v>
      </c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</row>
    <row r="31" spans="1:39" x14ac:dyDescent="0.2">
      <c r="A31" s="21">
        <v>14</v>
      </c>
      <c r="B31" s="21"/>
      <c r="C31" s="26"/>
      <c r="D31" s="11">
        <f t="shared" si="5"/>
        <v>0</v>
      </c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11">
        <f t="shared" si="2"/>
        <v>0</v>
      </c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</row>
    <row r="32" spans="1:39" x14ac:dyDescent="0.2">
      <c r="A32" s="21">
        <v>15</v>
      </c>
      <c r="B32" s="21"/>
      <c r="C32" s="44"/>
      <c r="D32" s="11">
        <f t="shared" si="5"/>
        <v>0</v>
      </c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11">
        <f t="shared" si="2"/>
        <v>0</v>
      </c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</row>
    <row r="33" spans="1:39" x14ac:dyDescent="0.2">
      <c r="A33" s="65" t="s">
        <v>75</v>
      </c>
      <c r="B33" s="8"/>
      <c r="C33" s="8"/>
      <c r="D33" s="11">
        <f t="shared" si="5"/>
        <v>0</v>
      </c>
      <c r="E33" s="11">
        <f>SUM(E34:E53)</f>
        <v>0</v>
      </c>
      <c r="F33" s="11">
        <f t="shared" ref="F33:O33" si="6">SUM(F34:F53)</f>
        <v>0</v>
      </c>
      <c r="G33" s="11">
        <f t="shared" si="6"/>
        <v>0</v>
      </c>
      <c r="H33" s="11">
        <f t="shared" si="6"/>
        <v>0</v>
      </c>
      <c r="I33" s="11">
        <f t="shared" si="6"/>
        <v>0</v>
      </c>
      <c r="J33" s="11">
        <f t="shared" si="6"/>
        <v>0</v>
      </c>
      <c r="K33" s="11">
        <f t="shared" si="6"/>
        <v>0</v>
      </c>
      <c r="L33" s="11">
        <f t="shared" si="6"/>
        <v>0</v>
      </c>
      <c r="M33" s="11">
        <f t="shared" si="6"/>
        <v>0</v>
      </c>
      <c r="N33" s="11">
        <f t="shared" si="6"/>
        <v>0</v>
      </c>
      <c r="O33" s="11">
        <f t="shared" si="6"/>
        <v>0</v>
      </c>
      <c r="P33" s="11">
        <f t="shared" si="2"/>
        <v>0</v>
      </c>
      <c r="Q33" s="11">
        <f>SUM(Q34:Q53)</f>
        <v>0</v>
      </c>
      <c r="R33" s="11">
        <f t="shared" ref="R33:AM33" si="7">SUM(R34:R53)</f>
        <v>0</v>
      </c>
      <c r="S33" s="11">
        <f t="shared" si="7"/>
        <v>0</v>
      </c>
      <c r="T33" s="11">
        <f t="shared" si="7"/>
        <v>0</v>
      </c>
      <c r="U33" s="11">
        <f t="shared" si="7"/>
        <v>0</v>
      </c>
      <c r="V33" s="11">
        <f t="shared" si="7"/>
        <v>0</v>
      </c>
      <c r="W33" s="11">
        <f t="shared" si="7"/>
        <v>0</v>
      </c>
      <c r="X33" s="11">
        <f t="shared" si="7"/>
        <v>0</v>
      </c>
      <c r="Y33" s="11">
        <f t="shared" si="7"/>
        <v>0</v>
      </c>
      <c r="Z33" s="11">
        <f t="shared" si="7"/>
        <v>0</v>
      </c>
      <c r="AA33" s="11">
        <f t="shared" si="7"/>
        <v>0</v>
      </c>
      <c r="AB33" s="11">
        <f t="shared" si="7"/>
        <v>0</v>
      </c>
      <c r="AC33" s="11">
        <f t="shared" si="7"/>
        <v>0</v>
      </c>
      <c r="AD33" s="11">
        <f t="shared" si="7"/>
        <v>0</v>
      </c>
      <c r="AE33" s="11">
        <f t="shared" si="7"/>
        <v>0</v>
      </c>
      <c r="AF33" s="11">
        <f t="shared" si="7"/>
        <v>0</v>
      </c>
      <c r="AG33" s="11">
        <f t="shared" si="7"/>
        <v>0</v>
      </c>
      <c r="AH33" s="11">
        <f t="shared" si="7"/>
        <v>0</v>
      </c>
      <c r="AI33" s="11">
        <f t="shared" si="7"/>
        <v>0</v>
      </c>
      <c r="AJ33" s="11">
        <f t="shared" si="7"/>
        <v>0</v>
      </c>
      <c r="AK33" s="11">
        <f t="shared" si="7"/>
        <v>0</v>
      </c>
      <c r="AL33" s="11">
        <f t="shared" si="7"/>
        <v>0</v>
      </c>
      <c r="AM33" s="11">
        <f t="shared" si="7"/>
        <v>0</v>
      </c>
    </row>
    <row r="34" spans="1:39" x14ac:dyDescent="0.2">
      <c r="A34" s="21">
        <v>1</v>
      </c>
      <c r="B34" s="21"/>
      <c r="C34" s="13"/>
      <c r="D34" s="11">
        <f t="shared" si="5"/>
        <v>0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1">
        <f t="shared" si="2"/>
        <v>0</v>
      </c>
      <c r="Q34" s="22"/>
      <c r="R34" s="22"/>
      <c r="S34" s="22"/>
      <c r="T34" s="22"/>
      <c r="U34" s="22"/>
      <c r="V34" s="39"/>
      <c r="W34" s="39"/>
      <c r="X34" s="23"/>
      <c r="Y34" s="23"/>
      <c r="Z34" s="23"/>
      <c r="AA34" s="23"/>
      <c r="AB34" s="23"/>
      <c r="AC34" s="35"/>
      <c r="AD34" s="40"/>
      <c r="AE34" s="41"/>
      <c r="AF34" s="41"/>
      <c r="AG34" s="41"/>
      <c r="AH34" s="41"/>
      <c r="AI34" s="41"/>
      <c r="AJ34" s="41"/>
      <c r="AK34" s="41"/>
      <c r="AL34" s="41"/>
      <c r="AM34" s="41"/>
    </row>
    <row r="35" spans="1:39" x14ac:dyDescent="0.2">
      <c r="A35" s="21">
        <v>2</v>
      </c>
      <c r="B35" s="21"/>
      <c r="C35" s="13"/>
      <c r="D35" s="11">
        <f t="shared" si="5"/>
        <v>0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1">
        <f t="shared" si="2"/>
        <v>0</v>
      </c>
      <c r="Q35" s="22"/>
      <c r="R35" s="22"/>
      <c r="S35" s="22"/>
      <c r="T35" s="22"/>
      <c r="U35" s="22"/>
      <c r="V35" s="39"/>
      <c r="W35" s="39"/>
      <c r="X35" s="23"/>
      <c r="Y35" s="23"/>
      <c r="Z35" s="23"/>
      <c r="AA35" s="23"/>
      <c r="AB35" s="23"/>
      <c r="AC35" s="35"/>
      <c r="AD35" s="41"/>
      <c r="AE35" s="41"/>
      <c r="AF35" s="41"/>
      <c r="AG35" s="41"/>
      <c r="AH35" s="41"/>
      <c r="AI35" s="41"/>
      <c r="AJ35" s="41"/>
      <c r="AK35" s="41"/>
      <c r="AL35" s="41"/>
      <c r="AM35" s="41"/>
    </row>
    <row r="36" spans="1:39" x14ac:dyDescent="0.2">
      <c r="A36" s="21">
        <v>3</v>
      </c>
      <c r="B36" s="21"/>
      <c r="C36" s="13"/>
      <c r="D36" s="11">
        <f t="shared" si="5"/>
        <v>0</v>
      </c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1">
        <f t="shared" si="2"/>
        <v>0</v>
      </c>
      <c r="Q36" s="22"/>
      <c r="R36" s="22"/>
      <c r="S36" s="22"/>
      <c r="T36" s="22"/>
      <c r="U36" s="22"/>
      <c r="V36" s="39"/>
      <c r="W36" s="39"/>
      <c r="X36" s="23"/>
      <c r="Y36" s="23"/>
      <c r="Z36" s="23"/>
      <c r="AA36" s="23"/>
      <c r="AB36" s="23"/>
      <c r="AC36" s="35"/>
      <c r="AD36" s="41"/>
      <c r="AE36" s="41"/>
      <c r="AF36" s="41"/>
      <c r="AG36" s="41"/>
      <c r="AH36" s="41"/>
      <c r="AI36" s="41"/>
      <c r="AJ36" s="41"/>
      <c r="AK36" s="41"/>
      <c r="AL36" s="41"/>
      <c r="AM36" s="41"/>
    </row>
    <row r="37" spans="1:39" x14ac:dyDescent="0.2">
      <c r="A37" s="21">
        <v>4</v>
      </c>
      <c r="B37" s="21"/>
      <c r="C37" s="13"/>
      <c r="D37" s="11">
        <f t="shared" si="5"/>
        <v>0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1">
        <f t="shared" si="2"/>
        <v>0</v>
      </c>
      <c r="Q37" s="22"/>
      <c r="R37" s="22"/>
      <c r="S37" s="22"/>
      <c r="T37" s="22"/>
      <c r="U37" s="22"/>
      <c r="V37" s="39"/>
      <c r="W37" s="39"/>
      <c r="X37" s="23"/>
      <c r="Y37" s="23"/>
      <c r="Z37" s="23"/>
      <c r="AA37" s="23"/>
      <c r="AB37" s="23"/>
      <c r="AC37" s="35"/>
      <c r="AD37" s="41"/>
      <c r="AE37" s="41"/>
      <c r="AF37" s="41"/>
      <c r="AG37" s="41"/>
      <c r="AH37" s="41"/>
      <c r="AI37" s="41"/>
      <c r="AJ37" s="41"/>
      <c r="AK37" s="41"/>
      <c r="AL37" s="41"/>
      <c r="AM37" s="41"/>
    </row>
    <row r="38" spans="1:39" x14ac:dyDescent="0.2">
      <c r="A38" s="21">
        <v>5</v>
      </c>
      <c r="B38" s="21"/>
      <c r="C38" s="13"/>
      <c r="D38" s="11">
        <f t="shared" si="5"/>
        <v>0</v>
      </c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1">
        <f t="shared" si="2"/>
        <v>0</v>
      </c>
      <c r="Q38" s="22"/>
      <c r="R38" s="22"/>
      <c r="S38" s="22"/>
      <c r="T38" s="22"/>
      <c r="U38" s="22"/>
      <c r="V38" s="39"/>
      <c r="W38" s="39"/>
      <c r="X38" s="23"/>
      <c r="Y38" s="23"/>
      <c r="Z38" s="22"/>
      <c r="AA38" s="23"/>
      <c r="AB38" s="23"/>
      <c r="AC38" s="35"/>
      <c r="AD38" s="41"/>
      <c r="AE38" s="41"/>
      <c r="AF38" s="41"/>
      <c r="AG38" s="41"/>
      <c r="AH38" s="41"/>
      <c r="AI38" s="41"/>
      <c r="AJ38" s="41"/>
      <c r="AK38" s="41"/>
      <c r="AL38" s="41"/>
      <c r="AM38" s="41"/>
    </row>
    <row r="39" spans="1:39" x14ac:dyDescent="0.2">
      <c r="A39" s="21">
        <v>6</v>
      </c>
      <c r="B39" s="21"/>
      <c r="C39" s="13"/>
      <c r="D39" s="11">
        <f t="shared" si="5"/>
        <v>0</v>
      </c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1">
        <f t="shared" si="2"/>
        <v>0</v>
      </c>
      <c r="Q39" s="22"/>
      <c r="R39" s="22"/>
      <c r="S39" s="22"/>
      <c r="T39" s="22"/>
      <c r="U39" s="22"/>
      <c r="V39" s="39"/>
      <c r="W39" s="39"/>
      <c r="X39" s="23"/>
      <c r="Y39" s="23"/>
      <c r="Z39" s="22"/>
      <c r="AA39" s="23"/>
      <c r="AB39" s="23"/>
      <c r="AC39" s="35"/>
      <c r="AD39" s="41"/>
      <c r="AE39" s="41"/>
      <c r="AF39" s="41"/>
      <c r="AG39" s="41"/>
      <c r="AH39" s="41"/>
      <c r="AI39" s="41"/>
      <c r="AJ39" s="41"/>
      <c r="AK39" s="41"/>
      <c r="AL39" s="41"/>
      <c r="AM39" s="41"/>
    </row>
    <row r="40" spans="1:39" x14ac:dyDescent="0.2">
      <c r="A40" s="21">
        <v>7</v>
      </c>
      <c r="B40" s="21"/>
      <c r="C40" s="15"/>
      <c r="D40" s="11">
        <f t="shared" si="5"/>
        <v>0</v>
      </c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1">
        <f t="shared" si="2"/>
        <v>0</v>
      </c>
      <c r="Q40" s="22"/>
      <c r="R40" s="22"/>
      <c r="S40" s="22"/>
      <c r="T40" s="22"/>
      <c r="U40" s="22"/>
      <c r="V40" s="39"/>
      <c r="W40" s="39"/>
      <c r="X40" s="23"/>
      <c r="Y40" s="23"/>
      <c r="Z40" s="22"/>
      <c r="AA40" s="23"/>
      <c r="AB40" s="23"/>
      <c r="AC40" s="35"/>
      <c r="AD40" s="41"/>
      <c r="AE40" s="41"/>
      <c r="AF40" s="41"/>
      <c r="AG40" s="41"/>
      <c r="AH40" s="41"/>
      <c r="AI40" s="41"/>
      <c r="AJ40" s="41"/>
      <c r="AK40" s="41"/>
      <c r="AL40" s="41"/>
      <c r="AM40" s="41"/>
    </row>
    <row r="41" spans="1:39" x14ac:dyDescent="0.2">
      <c r="A41" s="21">
        <v>8</v>
      </c>
      <c r="B41" s="21"/>
      <c r="C41" s="19"/>
      <c r="D41" s="11">
        <f t="shared" si="5"/>
        <v>0</v>
      </c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1">
        <f t="shared" si="2"/>
        <v>0</v>
      </c>
      <c r="Q41" s="22"/>
      <c r="R41" s="22"/>
      <c r="S41" s="22"/>
      <c r="T41" s="22"/>
      <c r="U41" s="22"/>
      <c r="V41" s="39"/>
      <c r="W41" s="39"/>
      <c r="X41" s="23"/>
      <c r="Y41" s="23"/>
      <c r="Z41" s="45"/>
      <c r="AA41" s="23"/>
      <c r="AB41" s="23"/>
      <c r="AC41" s="35"/>
      <c r="AD41" s="41"/>
      <c r="AE41" s="41"/>
      <c r="AF41" s="41"/>
      <c r="AG41" s="41"/>
      <c r="AH41" s="41"/>
      <c r="AI41" s="41"/>
      <c r="AJ41" s="41"/>
      <c r="AK41" s="41"/>
      <c r="AL41" s="41"/>
      <c r="AM41" s="41"/>
    </row>
    <row r="42" spans="1:39" x14ac:dyDescent="0.2">
      <c r="A42" s="21">
        <v>9</v>
      </c>
      <c r="B42" s="21"/>
      <c r="C42" s="26"/>
      <c r="D42" s="11">
        <v>0</v>
      </c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11">
        <f t="shared" si="2"/>
        <v>0</v>
      </c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</row>
    <row r="43" spans="1:39" x14ac:dyDescent="0.2">
      <c r="A43" s="21">
        <v>10</v>
      </c>
      <c r="B43" s="21"/>
      <c r="C43" s="26"/>
      <c r="D43" s="11">
        <v>0</v>
      </c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11">
        <f t="shared" si="2"/>
        <v>0</v>
      </c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</row>
    <row r="44" spans="1:39" x14ac:dyDescent="0.2">
      <c r="A44" s="21">
        <v>11</v>
      </c>
      <c r="B44" s="21"/>
      <c r="C44" s="26"/>
      <c r="D44" s="11">
        <v>0</v>
      </c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11">
        <f t="shared" si="2"/>
        <v>0</v>
      </c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</row>
    <row r="45" spans="1:39" x14ac:dyDescent="0.2">
      <c r="A45" s="21">
        <v>12</v>
      </c>
      <c r="B45" s="21"/>
      <c r="C45" s="26"/>
      <c r="D45" s="11">
        <v>0</v>
      </c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11">
        <f t="shared" si="2"/>
        <v>0</v>
      </c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</row>
    <row r="46" spans="1:39" x14ac:dyDescent="0.2">
      <c r="A46" s="21">
        <v>13</v>
      </c>
      <c r="B46" s="21"/>
      <c r="C46" s="26"/>
      <c r="D46" s="11">
        <v>0</v>
      </c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11">
        <f t="shared" si="2"/>
        <v>0</v>
      </c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</row>
    <row r="47" spans="1:39" x14ac:dyDescent="0.2">
      <c r="A47" s="21">
        <v>14</v>
      </c>
      <c r="B47" s="21"/>
      <c r="C47" s="26"/>
      <c r="D47" s="11">
        <v>0</v>
      </c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11">
        <f t="shared" si="2"/>
        <v>0</v>
      </c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</row>
    <row r="48" spans="1:39" x14ac:dyDescent="0.2">
      <c r="A48" s="21">
        <v>15</v>
      </c>
      <c r="B48" s="21"/>
      <c r="C48" s="26"/>
      <c r="D48" s="11">
        <v>0</v>
      </c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11">
        <f t="shared" si="2"/>
        <v>0</v>
      </c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</row>
    <row r="49" spans="1:39" x14ac:dyDescent="0.2">
      <c r="A49" s="21">
        <v>16</v>
      </c>
      <c r="B49" s="21"/>
      <c r="C49" s="26"/>
      <c r="D49" s="11">
        <v>0</v>
      </c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11">
        <f t="shared" si="2"/>
        <v>0</v>
      </c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</row>
    <row r="50" spans="1:39" x14ac:dyDescent="0.2">
      <c r="A50" s="21">
        <v>17</v>
      </c>
      <c r="B50" s="21"/>
      <c r="C50" s="26"/>
      <c r="D50" s="11">
        <v>0</v>
      </c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11">
        <f t="shared" si="2"/>
        <v>0</v>
      </c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</row>
    <row r="51" spans="1:39" x14ac:dyDescent="0.2">
      <c r="A51" s="21">
        <v>18</v>
      </c>
      <c r="B51" s="21"/>
      <c r="C51" s="26"/>
      <c r="D51" s="11">
        <v>0</v>
      </c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11">
        <f t="shared" si="2"/>
        <v>0</v>
      </c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</row>
    <row r="52" spans="1:39" x14ac:dyDescent="0.2">
      <c r="A52" s="21">
        <v>19</v>
      </c>
      <c r="B52" s="21"/>
      <c r="C52" s="44"/>
      <c r="D52" s="11">
        <v>0</v>
      </c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11">
        <f t="shared" si="2"/>
        <v>0</v>
      </c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</row>
    <row r="53" spans="1:39" x14ac:dyDescent="0.2">
      <c r="A53" s="21">
        <v>20</v>
      </c>
      <c r="B53" s="21"/>
      <c r="C53" s="44"/>
      <c r="D53" s="11">
        <v>0</v>
      </c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11">
        <f t="shared" si="2"/>
        <v>0</v>
      </c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</row>
    <row r="54" spans="1:39" ht="12.75" customHeight="1" x14ac:dyDescent="0.2">
      <c r="A54" s="65" t="s">
        <v>76</v>
      </c>
      <c r="B54" s="8"/>
      <c r="C54" s="8"/>
      <c r="D54" s="11">
        <f t="shared" ref="D54:D117" si="8">E54+SUM(H54:O54)</f>
        <v>0</v>
      </c>
      <c r="E54" s="11">
        <f>SUM(E55:E143)</f>
        <v>0</v>
      </c>
      <c r="F54" s="11">
        <f t="shared" ref="F54:O54" si="9">SUM(F55:F143)</f>
        <v>0</v>
      </c>
      <c r="G54" s="11">
        <f t="shared" si="9"/>
        <v>0</v>
      </c>
      <c r="H54" s="11">
        <f t="shared" si="9"/>
        <v>0</v>
      </c>
      <c r="I54" s="11">
        <f t="shared" si="9"/>
        <v>0</v>
      </c>
      <c r="J54" s="11">
        <f t="shared" si="9"/>
        <v>0</v>
      </c>
      <c r="K54" s="11">
        <f t="shared" si="9"/>
        <v>0</v>
      </c>
      <c r="L54" s="11">
        <f t="shared" si="9"/>
        <v>0</v>
      </c>
      <c r="M54" s="11">
        <f t="shared" si="9"/>
        <v>0</v>
      </c>
      <c r="N54" s="11">
        <f t="shared" si="9"/>
        <v>0</v>
      </c>
      <c r="O54" s="11">
        <f t="shared" si="9"/>
        <v>0</v>
      </c>
      <c r="P54" s="11">
        <f t="shared" si="2"/>
        <v>0</v>
      </c>
      <c r="Q54" s="11">
        <f>SUM(Q55:Q143)</f>
        <v>0</v>
      </c>
      <c r="R54" s="11">
        <f t="shared" ref="R54:AM54" si="10">SUM(R55:R143)</f>
        <v>0</v>
      </c>
      <c r="S54" s="11">
        <f t="shared" si="10"/>
        <v>0</v>
      </c>
      <c r="T54" s="11">
        <f t="shared" si="10"/>
        <v>0</v>
      </c>
      <c r="U54" s="11">
        <f t="shared" si="10"/>
        <v>0</v>
      </c>
      <c r="V54" s="11">
        <f t="shared" si="10"/>
        <v>0</v>
      </c>
      <c r="W54" s="11">
        <f t="shared" si="10"/>
        <v>0</v>
      </c>
      <c r="X54" s="11">
        <f t="shared" si="10"/>
        <v>0</v>
      </c>
      <c r="Y54" s="11">
        <f t="shared" si="10"/>
        <v>0</v>
      </c>
      <c r="Z54" s="11">
        <f t="shared" si="10"/>
        <v>0</v>
      </c>
      <c r="AA54" s="11">
        <f t="shared" si="10"/>
        <v>0</v>
      </c>
      <c r="AB54" s="11">
        <f t="shared" si="10"/>
        <v>0</v>
      </c>
      <c r="AC54" s="11">
        <f t="shared" si="10"/>
        <v>0</v>
      </c>
      <c r="AD54" s="11">
        <f t="shared" si="10"/>
        <v>0</v>
      </c>
      <c r="AE54" s="11">
        <f t="shared" si="10"/>
        <v>0</v>
      </c>
      <c r="AF54" s="11">
        <f t="shared" si="10"/>
        <v>0</v>
      </c>
      <c r="AG54" s="11">
        <f t="shared" si="10"/>
        <v>0</v>
      </c>
      <c r="AH54" s="11">
        <f t="shared" si="10"/>
        <v>0</v>
      </c>
      <c r="AI54" s="11">
        <f t="shared" si="10"/>
        <v>0</v>
      </c>
      <c r="AJ54" s="11">
        <f t="shared" si="10"/>
        <v>0</v>
      </c>
      <c r="AK54" s="11">
        <f t="shared" si="10"/>
        <v>0</v>
      </c>
      <c r="AL54" s="11">
        <f>SUM(AL55:AL143)</f>
        <v>0</v>
      </c>
      <c r="AM54" s="11">
        <f t="shared" si="10"/>
        <v>0</v>
      </c>
    </row>
    <row r="55" spans="1:39" x14ac:dyDescent="0.2">
      <c r="A55" s="46">
        <v>1</v>
      </c>
      <c r="B55" s="46"/>
      <c r="C55" s="13"/>
      <c r="D55" s="11">
        <f t="shared" si="8"/>
        <v>0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1">
        <f t="shared" si="2"/>
        <v>0</v>
      </c>
      <c r="Q55" s="32"/>
      <c r="R55" s="32"/>
      <c r="S55" s="32"/>
      <c r="T55" s="32"/>
      <c r="U55" s="32"/>
      <c r="V55" s="47"/>
      <c r="W55" s="47"/>
      <c r="X55" s="32"/>
      <c r="Y55" s="23"/>
      <c r="Z55" s="32"/>
      <c r="AA55" s="23"/>
      <c r="AB55" s="23"/>
      <c r="AC55" s="48"/>
      <c r="AD55" s="24"/>
      <c r="AE55" s="24"/>
      <c r="AF55" s="24"/>
      <c r="AG55" s="24"/>
      <c r="AH55" s="24"/>
      <c r="AI55" s="48"/>
      <c r="AJ55" s="48"/>
      <c r="AK55" s="24"/>
      <c r="AL55" s="24"/>
      <c r="AM55" s="24"/>
    </row>
    <row r="56" spans="1:39" x14ac:dyDescent="0.2">
      <c r="A56" s="46">
        <v>2</v>
      </c>
      <c r="B56" s="46"/>
      <c r="C56" s="13"/>
      <c r="D56" s="11">
        <f t="shared" si="8"/>
        <v>0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1">
        <f t="shared" si="2"/>
        <v>0</v>
      </c>
      <c r="Q56" s="32"/>
      <c r="R56" s="32"/>
      <c r="S56" s="32"/>
      <c r="T56" s="32"/>
      <c r="U56" s="32"/>
      <c r="V56" s="47"/>
      <c r="W56" s="47"/>
      <c r="X56" s="32"/>
      <c r="Y56" s="23"/>
      <c r="Z56" s="49"/>
      <c r="AA56" s="23"/>
      <c r="AB56" s="23"/>
      <c r="AC56" s="48"/>
      <c r="AD56" s="24"/>
      <c r="AE56" s="24"/>
      <c r="AF56" s="24"/>
      <c r="AG56" s="24"/>
      <c r="AH56" s="24"/>
      <c r="AI56" s="48"/>
      <c r="AJ56" s="48"/>
      <c r="AK56" s="24"/>
      <c r="AL56" s="24"/>
      <c r="AM56" s="24"/>
    </row>
    <row r="57" spans="1:39" x14ac:dyDescent="0.2">
      <c r="A57" s="46">
        <v>3</v>
      </c>
      <c r="B57" s="46"/>
      <c r="C57" s="15"/>
      <c r="D57" s="11">
        <f t="shared" si="8"/>
        <v>0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1">
        <f t="shared" si="2"/>
        <v>0</v>
      </c>
      <c r="Q57" s="32"/>
      <c r="R57" s="32"/>
      <c r="S57" s="32"/>
      <c r="T57" s="32"/>
      <c r="U57" s="32"/>
      <c r="V57" s="47"/>
      <c r="W57" s="47"/>
      <c r="X57" s="32"/>
      <c r="Y57" s="23"/>
      <c r="Z57" s="32"/>
      <c r="AA57" s="23"/>
      <c r="AB57" s="23"/>
      <c r="AC57" s="50"/>
      <c r="AD57" s="40"/>
      <c r="AE57" s="40"/>
      <c r="AF57" s="40"/>
      <c r="AG57" s="40"/>
      <c r="AH57" s="40"/>
      <c r="AI57" s="50"/>
      <c r="AJ57" s="50"/>
      <c r="AK57" s="40"/>
      <c r="AL57" s="40"/>
      <c r="AM57" s="40"/>
    </row>
    <row r="58" spans="1:39" x14ac:dyDescent="0.2">
      <c r="A58" s="46">
        <v>4</v>
      </c>
      <c r="B58" s="46"/>
      <c r="C58" s="13"/>
      <c r="D58" s="11">
        <f t="shared" si="8"/>
        <v>0</v>
      </c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1">
        <f t="shared" si="2"/>
        <v>0</v>
      </c>
      <c r="Q58" s="32"/>
      <c r="R58" s="32"/>
      <c r="S58" s="32"/>
      <c r="T58" s="32"/>
      <c r="U58" s="32"/>
      <c r="V58" s="47"/>
      <c r="W58" s="47"/>
      <c r="X58" s="32"/>
      <c r="Y58" s="23"/>
      <c r="Z58" s="49"/>
      <c r="AA58" s="23"/>
      <c r="AB58" s="23"/>
      <c r="AC58" s="48"/>
      <c r="AD58" s="24"/>
      <c r="AE58" s="24"/>
      <c r="AF58" s="24"/>
      <c r="AG58" s="24"/>
      <c r="AH58" s="24"/>
      <c r="AI58" s="48"/>
      <c r="AJ58" s="48"/>
      <c r="AK58" s="24"/>
      <c r="AL58" s="24"/>
      <c r="AM58" s="24"/>
    </row>
    <row r="59" spans="1:39" x14ac:dyDescent="0.2">
      <c r="A59" s="46">
        <v>5</v>
      </c>
      <c r="B59" s="46"/>
      <c r="C59" s="13"/>
      <c r="D59" s="11">
        <f t="shared" si="8"/>
        <v>0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1">
        <f t="shared" si="2"/>
        <v>0</v>
      </c>
      <c r="Q59" s="32"/>
      <c r="R59" s="32"/>
      <c r="S59" s="32"/>
      <c r="T59" s="32"/>
      <c r="U59" s="32"/>
      <c r="V59" s="47"/>
      <c r="W59" s="47"/>
      <c r="X59" s="32"/>
      <c r="Y59" s="23"/>
      <c r="Z59" s="49"/>
      <c r="AA59" s="23"/>
      <c r="AB59" s="23"/>
      <c r="AC59" s="48"/>
      <c r="AD59" s="24"/>
      <c r="AE59" s="24"/>
      <c r="AF59" s="24"/>
      <c r="AG59" s="24"/>
      <c r="AH59" s="24"/>
      <c r="AI59" s="48"/>
      <c r="AJ59" s="48"/>
      <c r="AK59" s="24"/>
      <c r="AL59" s="24"/>
      <c r="AM59" s="24"/>
    </row>
    <row r="60" spans="1:39" x14ac:dyDescent="0.2">
      <c r="A60" s="46">
        <v>6</v>
      </c>
      <c r="B60" s="46"/>
      <c r="C60" s="13"/>
      <c r="D60" s="11">
        <f t="shared" si="8"/>
        <v>0</v>
      </c>
      <c r="E60" s="14"/>
      <c r="F60" s="14"/>
      <c r="G60" s="14"/>
      <c r="H60" s="14"/>
      <c r="I60" s="14"/>
      <c r="J60" s="14"/>
      <c r="K60" s="14"/>
      <c r="L60" s="14"/>
      <c r="M60" s="16"/>
      <c r="N60" s="16"/>
      <c r="O60" s="14"/>
      <c r="P60" s="11">
        <f t="shared" si="2"/>
        <v>0</v>
      </c>
      <c r="Q60" s="32"/>
      <c r="R60" s="32"/>
      <c r="S60" s="32"/>
      <c r="T60" s="32"/>
      <c r="U60" s="32"/>
      <c r="V60" s="47"/>
      <c r="W60" s="47"/>
      <c r="X60" s="32"/>
      <c r="Y60" s="23"/>
      <c r="Z60" s="49"/>
      <c r="AA60" s="23"/>
      <c r="AB60" s="23"/>
      <c r="AC60" s="48"/>
      <c r="AD60" s="24"/>
      <c r="AE60" s="24"/>
      <c r="AF60" s="24"/>
      <c r="AG60" s="24"/>
      <c r="AH60" s="24"/>
      <c r="AI60" s="48"/>
      <c r="AJ60" s="48"/>
      <c r="AK60" s="24"/>
      <c r="AL60" s="24"/>
      <c r="AM60" s="24"/>
    </row>
    <row r="61" spans="1:39" x14ac:dyDescent="0.2">
      <c r="A61" s="46">
        <v>7</v>
      </c>
      <c r="B61" s="46"/>
      <c r="C61" s="13"/>
      <c r="D61" s="11">
        <f t="shared" si="8"/>
        <v>0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1">
        <f t="shared" si="2"/>
        <v>0</v>
      </c>
      <c r="Q61" s="32"/>
      <c r="R61" s="32"/>
      <c r="S61" s="32"/>
      <c r="T61" s="32"/>
      <c r="U61" s="32"/>
      <c r="V61" s="47"/>
      <c r="W61" s="47"/>
      <c r="X61" s="32"/>
      <c r="Y61" s="23"/>
      <c r="Z61" s="49"/>
      <c r="AA61" s="23"/>
      <c r="AB61" s="23"/>
      <c r="AC61" s="48"/>
      <c r="AD61" s="24"/>
      <c r="AE61" s="24"/>
      <c r="AF61" s="24"/>
      <c r="AG61" s="24"/>
      <c r="AH61" s="24"/>
      <c r="AI61" s="48"/>
      <c r="AJ61" s="48"/>
      <c r="AK61" s="24"/>
      <c r="AL61" s="24"/>
      <c r="AM61" s="24"/>
    </row>
    <row r="62" spans="1:39" x14ac:dyDescent="0.2">
      <c r="A62" s="46">
        <v>8</v>
      </c>
      <c r="B62" s="46"/>
      <c r="C62" s="13"/>
      <c r="D62" s="11">
        <f t="shared" si="8"/>
        <v>0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1">
        <f t="shared" si="2"/>
        <v>0</v>
      </c>
      <c r="Q62" s="32"/>
      <c r="R62" s="32"/>
      <c r="S62" s="32"/>
      <c r="T62" s="32"/>
      <c r="U62" s="32"/>
      <c r="V62" s="47"/>
      <c r="W62" s="47"/>
      <c r="X62" s="32"/>
      <c r="Y62" s="23"/>
      <c r="Z62" s="49"/>
      <c r="AA62" s="23"/>
      <c r="AB62" s="23"/>
      <c r="AC62" s="48"/>
      <c r="AD62" s="24"/>
      <c r="AE62" s="24"/>
      <c r="AF62" s="24"/>
      <c r="AG62" s="24"/>
      <c r="AH62" s="24"/>
      <c r="AI62" s="48"/>
      <c r="AJ62" s="48"/>
      <c r="AK62" s="24"/>
      <c r="AL62" s="24"/>
      <c r="AM62" s="24"/>
    </row>
    <row r="63" spans="1:39" x14ac:dyDescent="0.2">
      <c r="A63" s="46">
        <v>9</v>
      </c>
      <c r="B63" s="46"/>
      <c r="C63" s="13"/>
      <c r="D63" s="11">
        <f t="shared" si="8"/>
        <v>0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1">
        <f t="shared" si="2"/>
        <v>0</v>
      </c>
      <c r="Q63" s="32"/>
      <c r="R63" s="32"/>
      <c r="S63" s="32"/>
      <c r="T63" s="32"/>
      <c r="U63" s="32"/>
      <c r="V63" s="47"/>
      <c r="W63" s="47"/>
      <c r="X63" s="32"/>
      <c r="Y63" s="23"/>
      <c r="Z63" s="49"/>
      <c r="AA63" s="23"/>
      <c r="AB63" s="23"/>
      <c r="AC63" s="48"/>
      <c r="AD63" s="24"/>
      <c r="AE63" s="24"/>
      <c r="AF63" s="24"/>
      <c r="AG63" s="24"/>
      <c r="AH63" s="24"/>
      <c r="AI63" s="48"/>
      <c r="AJ63" s="48"/>
      <c r="AK63" s="24"/>
      <c r="AL63" s="24"/>
      <c r="AM63" s="24"/>
    </row>
    <row r="64" spans="1:39" x14ac:dyDescent="0.2">
      <c r="A64" s="46">
        <v>10</v>
      </c>
      <c r="B64" s="46"/>
      <c r="C64" s="13"/>
      <c r="D64" s="11">
        <f t="shared" si="8"/>
        <v>0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1">
        <f t="shared" si="2"/>
        <v>0</v>
      </c>
      <c r="Q64" s="32"/>
      <c r="R64" s="32"/>
      <c r="S64" s="32"/>
      <c r="T64" s="32"/>
      <c r="U64" s="32"/>
      <c r="V64" s="47"/>
      <c r="W64" s="47"/>
      <c r="X64" s="32"/>
      <c r="Y64" s="23"/>
      <c r="Z64" s="49"/>
      <c r="AA64" s="23"/>
      <c r="AB64" s="23"/>
      <c r="AC64" s="48"/>
      <c r="AD64" s="24"/>
      <c r="AE64" s="24"/>
      <c r="AF64" s="24"/>
      <c r="AG64" s="24"/>
      <c r="AH64" s="24"/>
      <c r="AI64" s="48"/>
      <c r="AJ64" s="48"/>
      <c r="AK64" s="24"/>
      <c r="AL64" s="24"/>
      <c r="AM64" s="24"/>
    </row>
    <row r="65" spans="1:39" x14ac:dyDescent="0.2">
      <c r="A65" s="46">
        <v>11</v>
      </c>
      <c r="B65" s="46"/>
      <c r="C65" s="13"/>
      <c r="D65" s="11">
        <f t="shared" si="8"/>
        <v>0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1">
        <f t="shared" si="2"/>
        <v>0</v>
      </c>
      <c r="Q65" s="32"/>
      <c r="R65" s="32"/>
      <c r="S65" s="32"/>
      <c r="T65" s="32"/>
      <c r="U65" s="32"/>
      <c r="V65" s="47"/>
      <c r="W65" s="47"/>
      <c r="X65" s="32"/>
      <c r="Y65" s="23"/>
      <c r="Z65" s="49"/>
      <c r="AA65" s="23"/>
      <c r="AB65" s="23"/>
      <c r="AC65" s="48"/>
      <c r="AD65" s="24"/>
      <c r="AE65" s="24"/>
      <c r="AF65" s="24"/>
      <c r="AG65" s="24"/>
      <c r="AH65" s="24"/>
      <c r="AI65" s="48"/>
      <c r="AJ65" s="48"/>
      <c r="AK65" s="24"/>
      <c r="AL65" s="24"/>
      <c r="AM65" s="24"/>
    </row>
    <row r="66" spans="1:39" x14ac:dyDescent="0.2">
      <c r="A66" s="46">
        <v>12</v>
      </c>
      <c r="B66" s="46"/>
      <c r="C66" s="13"/>
      <c r="D66" s="11">
        <f t="shared" si="8"/>
        <v>0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1">
        <f t="shared" si="2"/>
        <v>0</v>
      </c>
      <c r="Q66" s="32"/>
      <c r="R66" s="32"/>
      <c r="S66" s="32"/>
      <c r="T66" s="32"/>
      <c r="U66" s="32"/>
      <c r="V66" s="47"/>
      <c r="W66" s="47"/>
      <c r="X66" s="32"/>
      <c r="Y66" s="23"/>
      <c r="Z66" s="49"/>
      <c r="AA66" s="23"/>
      <c r="AB66" s="23"/>
      <c r="AC66" s="48"/>
      <c r="AD66" s="24"/>
      <c r="AE66" s="24"/>
      <c r="AF66" s="24"/>
      <c r="AG66" s="24"/>
      <c r="AH66" s="24"/>
      <c r="AI66" s="48"/>
      <c r="AJ66" s="48"/>
      <c r="AK66" s="24"/>
      <c r="AL66" s="24"/>
      <c r="AM66" s="24"/>
    </row>
    <row r="67" spans="1:39" x14ac:dyDescent="0.2">
      <c r="A67" s="46">
        <v>13</v>
      </c>
      <c r="B67" s="46"/>
      <c r="C67" s="13"/>
      <c r="D67" s="11">
        <f t="shared" si="8"/>
        <v>0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1">
        <f t="shared" si="2"/>
        <v>0</v>
      </c>
      <c r="Q67" s="32"/>
      <c r="R67" s="49"/>
      <c r="S67" s="32"/>
      <c r="T67" s="32"/>
      <c r="U67" s="32"/>
      <c r="V67" s="47"/>
      <c r="W67" s="47"/>
      <c r="X67" s="32"/>
      <c r="Y67" s="23"/>
      <c r="Z67" s="49"/>
      <c r="AA67" s="23"/>
      <c r="AB67" s="23"/>
      <c r="AC67" s="48"/>
      <c r="AD67" s="24"/>
      <c r="AE67" s="24"/>
      <c r="AF67" s="24"/>
      <c r="AG67" s="24"/>
      <c r="AH67" s="24"/>
      <c r="AI67" s="48"/>
      <c r="AJ67" s="48"/>
      <c r="AK67" s="24"/>
      <c r="AL67" s="24"/>
      <c r="AM67" s="24"/>
    </row>
    <row r="68" spans="1:39" x14ac:dyDescent="0.2">
      <c r="A68" s="46">
        <v>14</v>
      </c>
      <c r="B68" s="46"/>
      <c r="C68" s="15"/>
      <c r="D68" s="11">
        <f t="shared" si="8"/>
        <v>0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1">
        <f t="shared" si="2"/>
        <v>0</v>
      </c>
      <c r="Q68" s="32"/>
      <c r="R68" s="49"/>
      <c r="S68" s="32"/>
      <c r="T68" s="32"/>
      <c r="U68" s="32"/>
      <c r="V68" s="47"/>
      <c r="W68" s="47"/>
      <c r="X68" s="32"/>
      <c r="Y68" s="23"/>
      <c r="Z68" s="49"/>
      <c r="AA68" s="23"/>
      <c r="AB68" s="23"/>
      <c r="AC68" s="48"/>
      <c r="AD68" s="24"/>
      <c r="AE68" s="24"/>
      <c r="AF68" s="24"/>
      <c r="AG68" s="24"/>
      <c r="AH68" s="24"/>
      <c r="AI68" s="48"/>
      <c r="AJ68" s="48"/>
      <c r="AK68" s="24"/>
      <c r="AL68" s="24"/>
      <c r="AM68" s="24"/>
    </row>
    <row r="69" spans="1:39" x14ac:dyDescent="0.2">
      <c r="A69" s="46">
        <v>15</v>
      </c>
      <c r="B69" s="46"/>
      <c r="C69" s="13"/>
      <c r="D69" s="11">
        <f t="shared" si="8"/>
        <v>0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1">
        <f t="shared" si="2"/>
        <v>0</v>
      </c>
      <c r="Q69" s="32"/>
      <c r="R69" s="32"/>
      <c r="S69" s="32"/>
      <c r="T69" s="32"/>
      <c r="U69" s="32"/>
      <c r="V69" s="47"/>
      <c r="W69" s="47"/>
      <c r="X69" s="32"/>
      <c r="Y69" s="23"/>
      <c r="Z69" s="49"/>
      <c r="AA69" s="23"/>
      <c r="AB69" s="23"/>
      <c r="AC69" s="48"/>
      <c r="AD69" s="24"/>
      <c r="AE69" s="24"/>
      <c r="AF69" s="24"/>
      <c r="AG69" s="24"/>
      <c r="AH69" s="24"/>
      <c r="AI69" s="48"/>
      <c r="AJ69" s="48"/>
      <c r="AK69" s="24"/>
      <c r="AL69" s="24"/>
      <c r="AM69" s="24"/>
    </row>
    <row r="70" spans="1:39" x14ac:dyDescent="0.2">
      <c r="A70" s="46">
        <v>16</v>
      </c>
      <c r="B70" s="46"/>
      <c r="C70" s="13"/>
      <c r="D70" s="11">
        <f t="shared" si="8"/>
        <v>0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1">
        <f t="shared" si="2"/>
        <v>0</v>
      </c>
      <c r="Q70" s="32"/>
      <c r="R70" s="32"/>
      <c r="S70" s="32"/>
      <c r="T70" s="32"/>
      <c r="U70" s="32"/>
      <c r="V70" s="47"/>
      <c r="W70" s="47"/>
      <c r="X70" s="32"/>
      <c r="Y70" s="23"/>
      <c r="Z70" s="49"/>
      <c r="AA70" s="23"/>
      <c r="AB70" s="23"/>
      <c r="AC70" s="48"/>
      <c r="AD70" s="24"/>
      <c r="AE70" s="24"/>
      <c r="AF70" s="24"/>
      <c r="AG70" s="24"/>
      <c r="AH70" s="24"/>
      <c r="AI70" s="48"/>
      <c r="AJ70" s="48"/>
      <c r="AK70" s="24"/>
      <c r="AL70" s="24"/>
      <c r="AM70" s="24"/>
    </row>
    <row r="71" spans="1:39" x14ac:dyDescent="0.2">
      <c r="A71" s="46">
        <v>17</v>
      </c>
      <c r="B71" s="46"/>
      <c r="C71" s="13"/>
      <c r="D71" s="11">
        <f t="shared" si="8"/>
        <v>0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1">
        <f t="shared" si="2"/>
        <v>0</v>
      </c>
      <c r="Q71" s="32"/>
      <c r="R71" s="32"/>
      <c r="S71" s="32"/>
      <c r="T71" s="32"/>
      <c r="U71" s="32"/>
      <c r="V71" s="47"/>
      <c r="W71" s="47"/>
      <c r="X71" s="32"/>
      <c r="Y71" s="23"/>
      <c r="Z71" s="49"/>
      <c r="AA71" s="23"/>
      <c r="AB71" s="23"/>
      <c r="AC71" s="48"/>
      <c r="AD71" s="24"/>
      <c r="AE71" s="24"/>
      <c r="AF71" s="24"/>
      <c r="AG71" s="24"/>
      <c r="AH71" s="24"/>
      <c r="AI71" s="48"/>
      <c r="AJ71" s="48"/>
      <c r="AK71" s="24"/>
      <c r="AL71" s="24"/>
      <c r="AM71" s="24"/>
    </row>
    <row r="72" spans="1:39" x14ac:dyDescent="0.2">
      <c r="A72" s="46">
        <v>18</v>
      </c>
      <c r="B72" s="46"/>
      <c r="C72" s="13"/>
      <c r="D72" s="11">
        <f t="shared" si="8"/>
        <v>0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1">
        <f t="shared" si="2"/>
        <v>0</v>
      </c>
      <c r="Q72" s="32"/>
      <c r="R72" s="32"/>
      <c r="S72" s="32"/>
      <c r="T72" s="32"/>
      <c r="U72" s="32"/>
      <c r="V72" s="47"/>
      <c r="W72" s="47"/>
      <c r="X72" s="32"/>
      <c r="Y72" s="23"/>
      <c r="Z72" s="49"/>
      <c r="AA72" s="23"/>
      <c r="AB72" s="23"/>
      <c r="AC72" s="48"/>
      <c r="AD72" s="24"/>
      <c r="AE72" s="24"/>
      <c r="AF72" s="24"/>
      <c r="AG72" s="24"/>
      <c r="AH72" s="24"/>
      <c r="AI72" s="48"/>
      <c r="AJ72" s="48"/>
      <c r="AK72" s="24"/>
      <c r="AL72" s="24"/>
      <c r="AM72" s="24"/>
    </row>
    <row r="73" spans="1:39" x14ac:dyDescent="0.2">
      <c r="A73" s="46">
        <v>19</v>
      </c>
      <c r="B73" s="46"/>
      <c r="C73" s="13"/>
      <c r="D73" s="11">
        <f t="shared" si="8"/>
        <v>0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1">
        <f t="shared" si="2"/>
        <v>0</v>
      </c>
      <c r="Q73" s="32"/>
      <c r="R73" s="32"/>
      <c r="S73" s="32"/>
      <c r="T73" s="32"/>
      <c r="U73" s="32"/>
      <c r="V73" s="47"/>
      <c r="W73" s="47"/>
      <c r="X73" s="32"/>
      <c r="Y73" s="23"/>
      <c r="Z73" s="49"/>
      <c r="AA73" s="23"/>
      <c r="AB73" s="23"/>
      <c r="AC73" s="48"/>
      <c r="AD73" s="24"/>
      <c r="AE73" s="24"/>
      <c r="AF73" s="24"/>
      <c r="AG73" s="24"/>
      <c r="AH73" s="24"/>
      <c r="AI73" s="48"/>
      <c r="AJ73" s="48"/>
      <c r="AK73" s="24"/>
      <c r="AL73" s="24"/>
      <c r="AM73" s="24"/>
    </row>
    <row r="74" spans="1:39" x14ac:dyDescent="0.2">
      <c r="A74" s="46">
        <v>20</v>
      </c>
      <c r="B74" s="46"/>
      <c r="C74" s="13"/>
      <c r="D74" s="11">
        <f t="shared" si="8"/>
        <v>0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1">
        <f t="shared" si="2"/>
        <v>0</v>
      </c>
      <c r="Q74" s="32"/>
      <c r="R74" s="32"/>
      <c r="S74" s="32"/>
      <c r="T74" s="32"/>
      <c r="U74" s="32"/>
      <c r="V74" s="47"/>
      <c r="W74" s="47"/>
      <c r="X74" s="32"/>
      <c r="Y74" s="23"/>
      <c r="Z74" s="49"/>
      <c r="AA74" s="23"/>
      <c r="AB74" s="23"/>
      <c r="AC74" s="48"/>
      <c r="AD74" s="24"/>
      <c r="AE74" s="24"/>
      <c r="AF74" s="24"/>
      <c r="AG74" s="24"/>
      <c r="AH74" s="24"/>
      <c r="AI74" s="48"/>
      <c r="AJ74" s="48"/>
      <c r="AK74" s="24"/>
      <c r="AL74" s="24"/>
      <c r="AM74" s="24"/>
    </row>
    <row r="75" spans="1:39" x14ac:dyDescent="0.2">
      <c r="A75" s="46">
        <v>21</v>
      </c>
      <c r="B75" s="46"/>
      <c r="C75" s="13"/>
      <c r="D75" s="11">
        <f t="shared" si="8"/>
        <v>0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1">
        <f t="shared" si="2"/>
        <v>0</v>
      </c>
      <c r="Q75" s="32"/>
      <c r="R75" s="32"/>
      <c r="S75" s="32"/>
      <c r="T75" s="32"/>
      <c r="U75" s="32"/>
      <c r="V75" s="47"/>
      <c r="W75" s="47"/>
      <c r="X75" s="32"/>
      <c r="Y75" s="23"/>
      <c r="Z75" s="49"/>
      <c r="AA75" s="23"/>
      <c r="AB75" s="23"/>
      <c r="AC75" s="48"/>
      <c r="AD75" s="24"/>
      <c r="AE75" s="24"/>
      <c r="AF75" s="24"/>
      <c r="AG75" s="24"/>
      <c r="AH75" s="24"/>
      <c r="AI75" s="48"/>
      <c r="AJ75" s="48"/>
      <c r="AK75" s="24"/>
      <c r="AL75" s="24"/>
      <c r="AM75" s="24"/>
    </row>
    <row r="76" spans="1:39" x14ac:dyDescent="0.2">
      <c r="A76" s="46">
        <v>22</v>
      </c>
      <c r="B76" s="46"/>
      <c r="C76" s="13"/>
      <c r="D76" s="11">
        <f t="shared" si="8"/>
        <v>0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1">
        <f t="shared" si="2"/>
        <v>0</v>
      </c>
      <c r="Q76" s="32"/>
      <c r="R76" s="32"/>
      <c r="S76" s="32"/>
      <c r="T76" s="32"/>
      <c r="U76" s="32"/>
      <c r="V76" s="47"/>
      <c r="W76" s="47"/>
      <c r="X76" s="32"/>
      <c r="Y76" s="23"/>
      <c r="Z76" s="49"/>
      <c r="AA76" s="23"/>
      <c r="AB76" s="23"/>
      <c r="AC76" s="48"/>
      <c r="AD76" s="24"/>
      <c r="AE76" s="24"/>
      <c r="AF76" s="24"/>
      <c r="AG76" s="24"/>
      <c r="AH76" s="24"/>
      <c r="AI76" s="48"/>
      <c r="AJ76" s="48"/>
      <c r="AK76" s="24"/>
      <c r="AL76" s="24"/>
      <c r="AM76" s="24"/>
    </row>
    <row r="77" spans="1:39" x14ac:dyDescent="0.2">
      <c r="A77" s="46">
        <v>23</v>
      </c>
      <c r="B77" s="46"/>
      <c r="C77" s="13"/>
      <c r="D77" s="11">
        <f t="shared" si="8"/>
        <v>0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1">
        <f t="shared" si="2"/>
        <v>0</v>
      </c>
      <c r="Q77" s="32"/>
      <c r="R77" s="32"/>
      <c r="S77" s="32"/>
      <c r="T77" s="32"/>
      <c r="U77" s="32"/>
      <c r="V77" s="47"/>
      <c r="W77" s="47"/>
      <c r="X77" s="32"/>
      <c r="Y77" s="23"/>
      <c r="Z77" s="49"/>
      <c r="AA77" s="23"/>
      <c r="AB77" s="23"/>
      <c r="AC77" s="48"/>
      <c r="AD77" s="24"/>
      <c r="AE77" s="24"/>
      <c r="AF77" s="24"/>
      <c r="AG77" s="24"/>
      <c r="AH77" s="24"/>
      <c r="AI77" s="48"/>
      <c r="AJ77" s="48"/>
      <c r="AK77" s="24"/>
      <c r="AL77" s="24"/>
      <c r="AM77" s="24"/>
    </row>
    <row r="78" spans="1:39" x14ac:dyDescent="0.2">
      <c r="A78" s="46">
        <v>24</v>
      </c>
      <c r="B78" s="46"/>
      <c r="C78" s="13"/>
      <c r="D78" s="11">
        <f t="shared" si="8"/>
        <v>0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1">
        <f t="shared" si="2"/>
        <v>0</v>
      </c>
      <c r="Q78" s="32"/>
      <c r="R78" s="32"/>
      <c r="S78" s="32"/>
      <c r="T78" s="32"/>
      <c r="U78" s="32"/>
      <c r="V78" s="47"/>
      <c r="W78" s="47"/>
      <c r="X78" s="32"/>
      <c r="Y78" s="23"/>
      <c r="Z78" s="49"/>
      <c r="AA78" s="23"/>
      <c r="AB78" s="23"/>
      <c r="AC78" s="48"/>
      <c r="AD78" s="24"/>
      <c r="AE78" s="24"/>
      <c r="AF78" s="24"/>
      <c r="AG78" s="24"/>
      <c r="AH78" s="24"/>
      <c r="AI78" s="48"/>
      <c r="AJ78" s="48"/>
      <c r="AK78" s="24"/>
      <c r="AL78" s="24"/>
      <c r="AM78" s="24"/>
    </row>
    <row r="79" spans="1:39" x14ac:dyDescent="0.2">
      <c r="A79" s="46">
        <v>25</v>
      </c>
      <c r="B79" s="46"/>
      <c r="C79" s="13"/>
      <c r="D79" s="11">
        <f t="shared" si="8"/>
        <v>0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1">
        <f t="shared" ref="P79:P142" si="11">IF(SUM(Q79:AB79)=SUM(AC79:AM79),SUM(Q79:AB79),"  EROARE ART/CAP")</f>
        <v>0</v>
      </c>
      <c r="Q79" s="32"/>
      <c r="R79" s="32"/>
      <c r="S79" s="32"/>
      <c r="T79" s="32"/>
      <c r="U79" s="32"/>
      <c r="V79" s="47"/>
      <c r="W79" s="47"/>
      <c r="X79" s="32"/>
      <c r="Y79" s="23"/>
      <c r="Z79" s="49"/>
      <c r="AA79" s="23"/>
      <c r="AB79" s="23"/>
      <c r="AC79" s="48"/>
      <c r="AD79" s="24"/>
      <c r="AE79" s="24"/>
      <c r="AF79" s="24"/>
      <c r="AG79" s="24"/>
      <c r="AH79" s="24"/>
      <c r="AI79" s="48"/>
      <c r="AJ79" s="48"/>
      <c r="AK79" s="24"/>
      <c r="AL79" s="24"/>
      <c r="AM79" s="24"/>
    </row>
    <row r="80" spans="1:39" x14ac:dyDescent="0.2">
      <c r="A80" s="46">
        <v>26</v>
      </c>
      <c r="B80" s="46"/>
      <c r="C80" s="13"/>
      <c r="D80" s="11">
        <f t="shared" si="8"/>
        <v>0</v>
      </c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1">
        <f t="shared" si="11"/>
        <v>0</v>
      </c>
      <c r="Q80" s="32"/>
      <c r="R80" s="32"/>
      <c r="S80" s="32"/>
      <c r="T80" s="32"/>
      <c r="U80" s="32"/>
      <c r="V80" s="47"/>
      <c r="W80" s="47"/>
      <c r="X80" s="32"/>
      <c r="Y80" s="23"/>
      <c r="Z80" s="49"/>
      <c r="AA80" s="23"/>
      <c r="AB80" s="23"/>
      <c r="AC80" s="48"/>
      <c r="AD80" s="24"/>
      <c r="AE80" s="24"/>
      <c r="AF80" s="24"/>
      <c r="AG80" s="24"/>
      <c r="AH80" s="24"/>
      <c r="AI80" s="48"/>
      <c r="AJ80" s="48"/>
      <c r="AK80" s="24"/>
      <c r="AL80" s="24"/>
      <c r="AM80" s="24"/>
    </row>
    <row r="81" spans="1:39" x14ac:dyDescent="0.2">
      <c r="A81" s="46">
        <v>27</v>
      </c>
      <c r="B81" s="46"/>
      <c r="C81" s="13"/>
      <c r="D81" s="11">
        <f t="shared" si="8"/>
        <v>0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1">
        <f t="shared" si="11"/>
        <v>0</v>
      </c>
      <c r="Q81" s="32"/>
      <c r="R81" s="32"/>
      <c r="S81" s="32"/>
      <c r="T81" s="32"/>
      <c r="U81" s="32"/>
      <c r="V81" s="47"/>
      <c r="W81" s="47"/>
      <c r="X81" s="32"/>
      <c r="Y81" s="23"/>
      <c r="Z81" s="49"/>
      <c r="AA81" s="23"/>
      <c r="AB81" s="23"/>
      <c r="AC81" s="48"/>
      <c r="AD81" s="24"/>
      <c r="AE81" s="24"/>
      <c r="AF81" s="24"/>
      <c r="AG81" s="24"/>
      <c r="AH81" s="24"/>
      <c r="AI81" s="48"/>
      <c r="AJ81" s="48"/>
      <c r="AK81" s="24"/>
      <c r="AL81" s="24"/>
      <c r="AM81" s="24"/>
    </row>
    <row r="82" spans="1:39" x14ac:dyDescent="0.2">
      <c r="A82" s="46">
        <v>28</v>
      </c>
      <c r="B82" s="46"/>
      <c r="C82" s="13"/>
      <c r="D82" s="11">
        <f t="shared" si="8"/>
        <v>0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1">
        <f t="shared" si="11"/>
        <v>0</v>
      </c>
      <c r="Q82" s="32"/>
      <c r="R82" s="32"/>
      <c r="S82" s="32"/>
      <c r="T82" s="32"/>
      <c r="U82" s="32"/>
      <c r="V82" s="47"/>
      <c r="W82" s="47"/>
      <c r="X82" s="32"/>
      <c r="Y82" s="23"/>
      <c r="Z82" s="49"/>
      <c r="AA82" s="23"/>
      <c r="AB82" s="23"/>
      <c r="AC82" s="48"/>
      <c r="AD82" s="24"/>
      <c r="AE82" s="24"/>
      <c r="AF82" s="24"/>
      <c r="AG82" s="24"/>
      <c r="AH82" s="24"/>
      <c r="AI82" s="48"/>
      <c r="AJ82" s="48"/>
      <c r="AK82" s="24"/>
      <c r="AL82" s="24"/>
      <c r="AM82" s="24"/>
    </row>
    <row r="83" spans="1:39" x14ac:dyDescent="0.2">
      <c r="A83" s="46">
        <v>29</v>
      </c>
      <c r="B83" s="46"/>
      <c r="C83" s="13"/>
      <c r="D83" s="11">
        <f t="shared" si="8"/>
        <v>0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1">
        <f t="shared" si="11"/>
        <v>0</v>
      </c>
      <c r="Q83" s="32"/>
      <c r="R83" s="32"/>
      <c r="S83" s="32"/>
      <c r="T83" s="32"/>
      <c r="U83" s="32"/>
      <c r="V83" s="47"/>
      <c r="W83" s="47"/>
      <c r="X83" s="32"/>
      <c r="Y83" s="23"/>
      <c r="Z83" s="49"/>
      <c r="AA83" s="23"/>
      <c r="AB83" s="23"/>
      <c r="AC83" s="48"/>
      <c r="AD83" s="24"/>
      <c r="AE83" s="24"/>
      <c r="AF83" s="24"/>
      <c r="AG83" s="24"/>
      <c r="AH83" s="24"/>
      <c r="AI83" s="48"/>
      <c r="AJ83" s="48"/>
      <c r="AK83" s="24"/>
      <c r="AL83" s="24"/>
      <c r="AM83" s="24"/>
    </row>
    <row r="84" spans="1:39" x14ac:dyDescent="0.2">
      <c r="A84" s="46">
        <v>30</v>
      </c>
      <c r="B84" s="46"/>
      <c r="C84" s="13"/>
      <c r="D84" s="11">
        <f t="shared" si="8"/>
        <v>0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1">
        <f t="shared" si="11"/>
        <v>0</v>
      </c>
      <c r="Q84" s="32"/>
      <c r="R84" s="32"/>
      <c r="S84" s="32"/>
      <c r="T84" s="32"/>
      <c r="U84" s="32"/>
      <c r="V84" s="47"/>
      <c r="W84" s="47"/>
      <c r="X84" s="32"/>
      <c r="Y84" s="23"/>
      <c r="Z84" s="49"/>
      <c r="AA84" s="23"/>
      <c r="AB84" s="23"/>
      <c r="AC84" s="48"/>
      <c r="AD84" s="24"/>
      <c r="AE84" s="24"/>
      <c r="AF84" s="24"/>
      <c r="AG84" s="24"/>
      <c r="AH84" s="24"/>
      <c r="AI84" s="48"/>
      <c r="AJ84" s="48"/>
      <c r="AK84" s="24"/>
      <c r="AL84" s="24"/>
      <c r="AM84" s="24"/>
    </row>
    <row r="85" spans="1:39" x14ac:dyDescent="0.2">
      <c r="A85" s="46">
        <v>31</v>
      </c>
      <c r="B85" s="46"/>
      <c r="C85" s="13"/>
      <c r="D85" s="11">
        <f t="shared" si="8"/>
        <v>0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1">
        <f t="shared" si="11"/>
        <v>0</v>
      </c>
      <c r="Q85" s="32"/>
      <c r="R85" s="32"/>
      <c r="S85" s="32"/>
      <c r="T85" s="32"/>
      <c r="U85" s="32"/>
      <c r="V85" s="47"/>
      <c r="W85" s="47"/>
      <c r="X85" s="32"/>
      <c r="Y85" s="23"/>
      <c r="Z85" s="49"/>
      <c r="AA85" s="23"/>
      <c r="AB85" s="23"/>
      <c r="AC85" s="48"/>
      <c r="AD85" s="24"/>
      <c r="AE85" s="24"/>
      <c r="AF85" s="24"/>
      <c r="AG85" s="24"/>
      <c r="AH85" s="24"/>
      <c r="AI85" s="48"/>
      <c r="AJ85" s="48"/>
      <c r="AK85" s="24"/>
      <c r="AL85" s="24"/>
      <c r="AM85" s="24"/>
    </row>
    <row r="86" spans="1:39" x14ac:dyDescent="0.2">
      <c r="A86" s="46">
        <v>32</v>
      </c>
      <c r="B86" s="46"/>
      <c r="C86" s="13"/>
      <c r="D86" s="11">
        <f t="shared" si="8"/>
        <v>0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1">
        <f t="shared" si="11"/>
        <v>0</v>
      </c>
      <c r="Q86" s="32"/>
      <c r="R86" s="32"/>
      <c r="S86" s="32"/>
      <c r="T86" s="32"/>
      <c r="U86" s="32"/>
      <c r="V86" s="47"/>
      <c r="W86" s="47"/>
      <c r="X86" s="32"/>
      <c r="Y86" s="23"/>
      <c r="Z86" s="49"/>
      <c r="AA86" s="23"/>
      <c r="AB86" s="23"/>
      <c r="AC86" s="48"/>
      <c r="AD86" s="24"/>
      <c r="AE86" s="24"/>
      <c r="AF86" s="24"/>
      <c r="AG86" s="24"/>
      <c r="AH86" s="24"/>
      <c r="AI86" s="48"/>
      <c r="AJ86" s="48"/>
      <c r="AK86" s="24"/>
      <c r="AL86" s="24"/>
      <c r="AM86" s="24"/>
    </row>
    <row r="87" spans="1:39" x14ac:dyDescent="0.2">
      <c r="A87" s="46">
        <v>33</v>
      </c>
      <c r="B87" s="46"/>
      <c r="C87" s="13"/>
      <c r="D87" s="11">
        <f t="shared" si="8"/>
        <v>0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1">
        <f t="shared" si="11"/>
        <v>0</v>
      </c>
      <c r="Q87" s="32"/>
      <c r="R87" s="32"/>
      <c r="S87" s="32"/>
      <c r="T87" s="32"/>
      <c r="U87" s="32"/>
      <c r="V87" s="47"/>
      <c r="W87" s="47"/>
      <c r="X87" s="32"/>
      <c r="Y87" s="23"/>
      <c r="Z87" s="49"/>
      <c r="AA87" s="23"/>
      <c r="AB87" s="23"/>
      <c r="AC87" s="48"/>
      <c r="AD87" s="24"/>
      <c r="AE87" s="24"/>
      <c r="AF87" s="24"/>
      <c r="AG87" s="24"/>
      <c r="AH87" s="24"/>
      <c r="AI87" s="48"/>
      <c r="AJ87" s="48"/>
      <c r="AK87" s="24"/>
      <c r="AL87" s="24"/>
      <c r="AM87" s="24"/>
    </row>
    <row r="88" spans="1:39" x14ac:dyDescent="0.2">
      <c r="A88" s="46">
        <v>34</v>
      </c>
      <c r="B88" s="46"/>
      <c r="C88" s="13"/>
      <c r="D88" s="11">
        <f t="shared" si="8"/>
        <v>0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1">
        <f t="shared" si="11"/>
        <v>0</v>
      </c>
      <c r="Q88" s="32"/>
      <c r="R88" s="32"/>
      <c r="S88" s="32"/>
      <c r="T88" s="32"/>
      <c r="U88" s="32"/>
      <c r="V88" s="47"/>
      <c r="W88" s="47"/>
      <c r="X88" s="32"/>
      <c r="Y88" s="23"/>
      <c r="Z88" s="49"/>
      <c r="AA88" s="23"/>
      <c r="AB88" s="23"/>
      <c r="AC88" s="48"/>
      <c r="AD88" s="24"/>
      <c r="AE88" s="24"/>
      <c r="AF88" s="24"/>
      <c r="AG88" s="24"/>
      <c r="AH88" s="24"/>
      <c r="AI88" s="48"/>
      <c r="AJ88" s="48"/>
      <c r="AK88" s="24"/>
      <c r="AL88" s="24"/>
      <c r="AM88" s="24"/>
    </row>
    <row r="89" spans="1:39" x14ac:dyDescent="0.2">
      <c r="A89" s="46">
        <v>35</v>
      </c>
      <c r="B89" s="46"/>
      <c r="C89" s="13"/>
      <c r="D89" s="11">
        <f t="shared" si="8"/>
        <v>0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1">
        <f t="shared" si="11"/>
        <v>0</v>
      </c>
      <c r="Q89" s="32"/>
      <c r="R89" s="32"/>
      <c r="S89" s="32"/>
      <c r="T89" s="32"/>
      <c r="U89" s="32"/>
      <c r="V89" s="47"/>
      <c r="W89" s="47"/>
      <c r="X89" s="32"/>
      <c r="Y89" s="23"/>
      <c r="Z89" s="49"/>
      <c r="AA89" s="23"/>
      <c r="AB89" s="23"/>
      <c r="AC89" s="48"/>
      <c r="AD89" s="24"/>
      <c r="AE89" s="24"/>
      <c r="AF89" s="24"/>
      <c r="AG89" s="24"/>
      <c r="AH89" s="24"/>
      <c r="AI89" s="48"/>
      <c r="AJ89" s="48"/>
      <c r="AK89" s="24"/>
      <c r="AL89" s="24"/>
      <c r="AM89" s="24"/>
    </row>
    <row r="90" spans="1:39" x14ac:dyDescent="0.2">
      <c r="A90" s="46">
        <v>36</v>
      </c>
      <c r="B90" s="46"/>
      <c r="C90" s="13"/>
      <c r="D90" s="11">
        <f t="shared" si="8"/>
        <v>0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1">
        <f t="shared" si="11"/>
        <v>0</v>
      </c>
      <c r="Q90" s="32"/>
      <c r="R90" s="32"/>
      <c r="S90" s="32"/>
      <c r="T90" s="32"/>
      <c r="U90" s="32"/>
      <c r="V90" s="47"/>
      <c r="W90" s="47"/>
      <c r="X90" s="32"/>
      <c r="Y90" s="23"/>
      <c r="Z90" s="49"/>
      <c r="AA90" s="23"/>
      <c r="AB90" s="23"/>
      <c r="AC90" s="48"/>
      <c r="AD90" s="24"/>
      <c r="AE90" s="24"/>
      <c r="AF90" s="24"/>
      <c r="AG90" s="24"/>
      <c r="AH90" s="24"/>
      <c r="AI90" s="48"/>
      <c r="AJ90" s="48"/>
      <c r="AK90" s="24"/>
      <c r="AL90" s="24"/>
      <c r="AM90" s="24"/>
    </row>
    <row r="91" spans="1:39" x14ac:dyDescent="0.2">
      <c r="A91" s="46">
        <v>37</v>
      </c>
      <c r="B91" s="46"/>
      <c r="C91" s="13"/>
      <c r="D91" s="11">
        <f t="shared" si="8"/>
        <v>0</v>
      </c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1">
        <f t="shared" si="11"/>
        <v>0</v>
      </c>
      <c r="Q91" s="32"/>
      <c r="R91" s="32"/>
      <c r="S91" s="32"/>
      <c r="T91" s="32"/>
      <c r="U91" s="32"/>
      <c r="V91" s="47"/>
      <c r="W91" s="47"/>
      <c r="X91" s="32"/>
      <c r="Y91" s="23"/>
      <c r="Z91" s="49"/>
      <c r="AA91" s="23"/>
      <c r="AB91" s="23"/>
      <c r="AC91" s="48"/>
      <c r="AD91" s="24"/>
      <c r="AE91" s="24"/>
      <c r="AF91" s="24"/>
      <c r="AG91" s="24"/>
      <c r="AH91" s="24"/>
      <c r="AI91" s="48"/>
      <c r="AJ91" s="48"/>
      <c r="AK91" s="24"/>
      <c r="AL91" s="24"/>
      <c r="AM91" s="24"/>
    </row>
    <row r="92" spans="1:39" x14ac:dyDescent="0.2">
      <c r="A92" s="46">
        <v>38</v>
      </c>
      <c r="B92" s="46"/>
      <c r="C92" s="13"/>
      <c r="D92" s="11">
        <f t="shared" si="8"/>
        <v>0</v>
      </c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1">
        <f t="shared" si="11"/>
        <v>0</v>
      </c>
      <c r="Q92" s="32"/>
      <c r="R92" s="32"/>
      <c r="S92" s="32"/>
      <c r="T92" s="32"/>
      <c r="U92" s="32"/>
      <c r="V92" s="47"/>
      <c r="W92" s="47"/>
      <c r="X92" s="32"/>
      <c r="Y92" s="23"/>
      <c r="Z92" s="49"/>
      <c r="AA92" s="23"/>
      <c r="AB92" s="23"/>
      <c r="AC92" s="48"/>
      <c r="AD92" s="24"/>
      <c r="AE92" s="24"/>
      <c r="AF92" s="24"/>
      <c r="AG92" s="24"/>
      <c r="AH92" s="24"/>
      <c r="AI92" s="48"/>
      <c r="AJ92" s="48"/>
      <c r="AK92" s="24"/>
      <c r="AL92" s="24"/>
      <c r="AM92" s="24"/>
    </row>
    <row r="93" spans="1:39" x14ac:dyDescent="0.2">
      <c r="A93" s="46">
        <v>39</v>
      </c>
      <c r="B93" s="46"/>
      <c r="C93" s="13"/>
      <c r="D93" s="11">
        <f t="shared" si="8"/>
        <v>0</v>
      </c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1">
        <f t="shared" si="11"/>
        <v>0</v>
      </c>
      <c r="Q93" s="32"/>
      <c r="R93" s="32"/>
      <c r="S93" s="32"/>
      <c r="T93" s="32"/>
      <c r="U93" s="32"/>
      <c r="V93" s="47"/>
      <c r="W93" s="47"/>
      <c r="X93" s="32"/>
      <c r="Y93" s="23"/>
      <c r="Z93" s="49"/>
      <c r="AA93" s="23"/>
      <c r="AB93" s="23"/>
      <c r="AC93" s="48"/>
      <c r="AD93" s="24"/>
      <c r="AE93" s="24"/>
      <c r="AF93" s="24"/>
      <c r="AG93" s="24"/>
      <c r="AH93" s="24"/>
      <c r="AI93" s="48"/>
      <c r="AJ93" s="48"/>
      <c r="AK93" s="24"/>
      <c r="AL93" s="24"/>
      <c r="AM93" s="24"/>
    </row>
    <row r="94" spans="1:39" x14ac:dyDescent="0.2">
      <c r="A94" s="46">
        <v>40</v>
      </c>
      <c r="B94" s="46"/>
      <c r="C94" s="13"/>
      <c r="D94" s="11">
        <f t="shared" si="8"/>
        <v>0</v>
      </c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1">
        <f t="shared" si="11"/>
        <v>0</v>
      </c>
      <c r="Q94" s="32"/>
      <c r="R94" s="32"/>
      <c r="S94" s="32"/>
      <c r="T94" s="32"/>
      <c r="U94" s="32"/>
      <c r="V94" s="47"/>
      <c r="W94" s="47"/>
      <c r="X94" s="32"/>
      <c r="Y94" s="23"/>
      <c r="Z94" s="49"/>
      <c r="AA94" s="23"/>
      <c r="AB94" s="23"/>
      <c r="AC94" s="48"/>
      <c r="AD94" s="24"/>
      <c r="AE94" s="24"/>
      <c r="AF94" s="24"/>
      <c r="AG94" s="24"/>
      <c r="AH94" s="24"/>
      <c r="AI94" s="48"/>
      <c r="AJ94" s="48"/>
      <c r="AK94" s="24"/>
      <c r="AL94" s="24"/>
      <c r="AM94" s="24"/>
    </row>
    <row r="95" spans="1:39" x14ac:dyDescent="0.2">
      <c r="A95" s="46">
        <v>41</v>
      </c>
      <c r="B95" s="46"/>
      <c r="C95" s="13"/>
      <c r="D95" s="11">
        <f t="shared" si="8"/>
        <v>0</v>
      </c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1">
        <f t="shared" si="11"/>
        <v>0</v>
      </c>
      <c r="Q95" s="32"/>
      <c r="R95" s="32"/>
      <c r="S95" s="32"/>
      <c r="T95" s="32"/>
      <c r="U95" s="32"/>
      <c r="V95" s="47"/>
      <c r="W95" s="47"/>
      <c r="X95" s="32"/>
      <c r="Y95" s="23"/>
      <c r="Z95" s="49"/>
      <c r="AA95" s="23"/>
      <c r="AB95" s="23"/>
      <c r="AC95" s="50"/>
      <c r="AD95" s="40"/>
      <c r="AE95" s="40"/>
      <c r="AF95" s="40"/>
      <c r="AG95" s="40"/>
      <c r="AH95" s="40"/>
      <c r="AI95" s="50"/>
      <c r="AJ95" s="50"/>
      <c r="AK95" s="40"/>
      <c r="AL95" s="40"/>
      <c r="AM95" s="40"/>
    </row>
    <row r="96" spans="1:39" x14ac:dyDescent="0.2">
      <c r="A96" s="46">
        <v>42</v>
      </c>
      <c r="B96" s="46"/>
      <c r="C96" s="13"/>
      <c r="D96" s="11">
        <f t="shared" si="8"/>
        <v>0</v>
      </c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1">
        <f t="shared" si="11"/>
        <v>0</v>
      </c>
      <c r="Q96" s="32"/>
      <c r="R96" s="32"/>
      <c r="S96" s="32"/>
      <c r="T96" s="32"/>
      <c r="U96" s="32"/>
      <c r="V96" s="47"/>
      <c r="W96" s="47"/>
      <c r="X96" s="32"/>
      <c r="Y96" s="23"/>
      <c r="Z96" s="49"/>
      <c r="AA96" s="23"/>
      <c r="AB96" s="23"/>
      <c r="AC96" s="50"/>
      <c r="AD96" s="40"/>
      <c r="AE96" s="40"/>
      <c r="AF96" s="40"/>
      <c r="AG96" s="40"/>
      <c r="AH96" s="40"/>
      <c r="AI96" s="50"/>
      <c r="AJ96" s="50"/>
      <c r="AK96" s="40"/>
      <c r="AL96" s="40"/>
      <c r="AM96" s="40"/>
    </row>
    <row r="97" spans="1:39" x14ac:dyDescent="0.2">
      <c r="A97" s="46">
        <v>43</v>
      </c>
      <c r="B97" s="46"/>
      <c r="C97" s="13"/>
      <c r="D97" s="11">
        <f t="shared" si="8"/>
        <v>0</v>
      </c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1">
        <f t="shared" si="11"/>
        <v>0</v>
      </c>
      <c r="Q97" s="32"/>
      <c r="R97" s="32"/>
      <c r="S97" s="32"/>
      <c r="T97" s="32"/>
      <c r="U97" s="32"/>
      <c r="V97" s="47"/>
      <c r="W97" s="47"/>
      <c r="X97" s="32"/>
      <c r="Y97" s="23"/>
      <c r="Z97" s="49"/>
      <c r="AA97" s="23"/>
      <c r="AB97" s="23"/>
      <c r="AC97" s="50"/>
      <c r="AD97" s="40"/>
      <c r="AE97" s="40"/>
      <c r="AF97" s="40"/>
      <c r="AG97" s="40"/>
      <c r="AH97" s="40"/>
      <c r="AI97" s="50"/>
      <c r="AJ97" s="50"/>
      <c r="AK97" s="40"/>
      <c r="AL97" s="40"/>
      <c r="AM97" s="40"/>
    </row>
    <row r="98" spans="1:39" x14ac:dyDescent="0.2">
      <c r="A98" s="46">
        <v>44</v>
      </c>
      <c r="B98" s="46"/>
      <c r="C98" s="13"/>
      <c r="D98" s="11">
        <f t="shared" si="8"/>
        <v>0</v>
      </c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1">
        <f t="shared" si="11"/>
        <v>0</v>
      </c>
      <c r="Q98" s="32"/>
      <c r="R98" s="32"/>
      <c r="S98" s="32"/>
      <c r="T98" s="32"/>
      <c r="U98" s="32"/>
      <c r="V98" s="47"/>
      <c r="W98" s="47"/>
      <c r="X98" s="32"/>
      <c r="Y98" s="23"/>
      <c r="Z98" s="49"/>
      <c r="AA98" s="23"/>
      <c r="AB98" s="23"/>
      <c r="AC98" s="50"/>
      <c r="AD98" s="40"/>
      <c r="AE98" s="40"/>
      <c r="AF98" s="40"/>
      <c r="AG98" s="40"/>
      <c r="AH98" s="40"/>
      <c r="AI98" s="50"/>
      <c r="AJ98" s="50"/>
      <c r="AK98" s="40"/>
      <c r="AL98" s="40"/>
      <c r="AM98" s="40"/>
    </row>
    <row r="99" spans="1:39" x14ac:dyDescent="0.2">
      <c r="A99" s="46">
        <v>45</v>
      </c>
      <c r="B99" s="46"/>
      <c r="C99" s="13"/>
      <c r="D99" s="11">
        <f t="shared" si="8"/>
        <v>0</v>
      </c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1">
        <f t="shared" si="11"/>
        <v>0</v>
      </c>
      <c r="Q99" s="32"/>
      <c r="R99" s="32"/>
      <c r="S99" s="32"/>
      <c r="T99" s="32"/>
      <c r="U99" s="32"/>
      <c r="V99" s="47"/>
      <c r="W99" s="47"/>
      <c r="X99" s="32"/>
      <c r="Y99" s="23"/>
      <c r="Z99" s="49"/>
      <c r="AA99" s="23"/>
      <c r="AB99" s="23"/>
      <c r="AC99" s="50"/>
      <c r="AD99" s="40"/>
      <c r="AE99" s="40"/>
      <c r="AF99" s="40"/>
      <c r="AG99" s="40"/>
      <c r="AH99" s="40"/>
      <c r="AI99" s="50"/>
      <c r="AJ99" s="50"/>
      <c r="AK99" s="40"/>
      <c r="AL99" s="40"/>
      <c r="AM99" s="40"/>
    </row>
    <row r="100" spans="1:39" x14ac:dyDescent="0.2">
      <c r="A100" s="46">
        <v>46</v>
      </c>
      <c r="B100" s="46"/>
      <c r="C100" s="13"/>
      <c r="D100" s="11">
        <f t="shared" si="8"/>
        <v>0</v>
      </c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1">
        <f t="shared" si="11"/>
        <v>0</v>
      </c>
      <c r="Q100" s="32"/>
      <c r="R100" s="32"/>
      <c r="S100" s="32"/>
      <c r="T100" s="32"/>
      <c r="U100" s="32"/>
      <c r="V100" s="47"/>
      <c r="W100" s="47"/>
      <c r="X100" s="32"/>
      <c r="Y100" s="23"/>
      <c r="Z100" s="49"/>
      <c r="AA100" s="23"/>
      <c r="AB100" s="23"/>
      <c r="AC100" s="50"/>
      <c r="AD100" s="40"/>
      <c r="AE100" s="40"/>
      <c r="AF100" s="40"/>
      <c r="AG100" s="40"/>
      <c r="AH100" s="40"/>
      <c r="AI100" s="50"/>
      <c r="AJ100" s="50"/>
      <c r="AK100" s="40"/>
      <c r="AL100" s="40"/>
      <c r="AM100" s="40"/>
    </row>
    <row r="101" spans="1:39" x14ac:dyDescent="0.2">
      <c r="A101" s="46">
        <v>47</v>
      </c>
      <c r="B101" s="46"/>
      <c r="C101" s="13"/>
      <c r="D101" s="11">
        <f t="shared" si="8"/>
        <v>0</v>
      </c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1">
        <f t="shared" si="11"/>
        <v>0</v>
      </c>
      <c r="Q101" s="32"/>
      <c r="R101" s="49"/>
      <c r="S101" s="32"/>
      <c r="T101" s="32"/>
      <c r="U101" s="32"/>
      <c r="V101" s="47"/>
      <c r="W101" s="47"/>
      <c r="X101" s="32"/>
      <c r="Y101" s="23"/>
      <c r="Z101" s="49"/>
      <c r="AA101" s="23"/>
      <c r="AB101" s="23"/>
      <c r="AC101" s="50"/>
      <c r="AD101" s="40"/>
      <c r="AE101" s="40"/>
      <c r="AF101" s="40"/>
      <c r="AG101" s="40"/>
      <c r="AH101" s="40"/>
      <c r="AI101" s="50"/>
      <c r="AJ101" s="50"/>
      <c r="AK101" s="40"/>
      <c r="AL101" s="40"/>
      <c r="AM101" s="40"/>
    </row>
    <row r="102" spans="1:39" x14ac:dyDescent="0.2">
      <c r="A102" s="46">
        <v>48</v>
      </c>
      <c r="B102" s="46"/>
      <c r="C102" s="13"/>
      <c r="D102" s="11">
        <f t="shared" si="8"/>
        <v>0</v>
      </c>
      <c r="E102" s="17"/>
      <c r="F102" s="17"/>
      <c r="G102" s="17"/>
      <c r="H102" s="17"/>
      <c r="I102" s="17"/>
      <c r="J102" s="17"/>
      <c r="K102" s="18"/>
      <c r="L102" s="17"/>
      <c r="M102" s="17"/>
      <c r="N102" s="17"/>
      <c r="O102" s="17"/>
      <c r="P102" s="11">
        <f t="shared" si="11"/>
        <v>0</v>
      </c>
      <c r="Q102" s="51"/>
      <c r="R102" s="51"/>
      <c r="S102" s="32"/>
      <c r="T102" s="32"/>
      <c r="U102" s="32"/>
      <c r="V102" s="47"/>
      <c r="W102" s="47"/>
      <c r="X102" s="32"/>
      <c r="Y102" s="23"/>
      <c r="Z102" s="49"/>
      <c r="AA102" s="23"/>
      <c r="AB102" s="23"/>
      <c r="AC102" s="50"/>
      <c r="AD102" s="40"/>
      <c r="AE102" s="40"/>
      <c r="AF102" s="40"/>
      <c r="AG102" s="40"/>
      <c r="AH102" s="40"/>
      <c r="AI102" s="50"/>
      <c r="AJ102" s="50"/>
      <c r="AK102" s="40"/>
      <c r="AL102" s="40"/>
      <c r="AM102" s="40"/>
    </row>
    <row r="103" spans="1:39" x14ac:dyDescent="0.2">
      <c r="A103" s="46">
        <v>49</v>
      </c>
      <c r="B103" s="46"/>
      <c r="C103" s="13"/>
      <c r="D103" s="11">
        <f t="shared" si="8"/>
        <v>0</v>
      </c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1">
        <f t="shared" si="11"/>
        <v>0</v>
      </c>
      <c r="Q103" s="32"/>
      <c r="R103" s="32"/>
      <c r="S103" s="32"/>
      <c r="T103" s="32"/>
      <c r="U103" s="32"/>
      <c r="V103" s="47"/>
      <c r="W103" s="47"/>
      <c r="X103" s="32"/>
      <c r="Y103" s="23"/>
      <c r="Z103" s="49"/>
      <c r="AA103" s="23"/>
      <c r="AB103" s="23"/>
      <c r="AC103" s="50"/>
      <c r="AD103" s="40"/>
      <c r="AE103" s="40"/>
      <c r="AF103" s="40"/>
      <c r="AG103" s="40"/>
      <c r="AH103" s="40"/>
      <c r="AI103" s="50"/>
      <c r="AJ103" s="50"/>
      <c r="AK103" s="40"/>
      <c r="AL103" s="40"/>
      <c r="AM103" s="40"/>
    </row>
    <row r="104" spans="1:39" x14ac:dyDescent="0.2">
      <c r="A104" s="46">
        <v>50</v>
      </c>
      <c r="B104" s="46"/>
      <c r="C104" s="13"/>
      <c r="D104" s="11">
        <f t="shared" si="8"/>
        <v>0</v>
      </c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1">
        <f t="shared" si="11"/>
        <v>0</v>
      </c>
      <c r="Q104" s="32"/>
      <c r="R104" s="32"/>
      <c r="S104" s="32"/>
      <c r="T104" s="32"/>
      <c r="U104" s="32"/>
      <c r="V104" s="47"/>
      <c r="W104" s="47"/>
      <c r="X104" s="32"/>
      <c r="Y104" s="23"/>
      <c r="Z104" s="49"/>
      <c r="AA104" s="23"/>
      <c r="AB104" s="23"/>
      <c r="AC104" s="50"/>
      <c r="AD104" s="40"/>
      <c r="AE104" s="40"/>
      <c r="AF104" s="40"/>
      <c r="AG104" s="40"/>
      <c r="AH104" s="40"/>
      <c r="AI104" s="50"/>
      <c r="AJ104" s="50"/>
      <c r="AK104" s="40"/>
      <c r="AL104" s="40"/>
      <c r="AM104" s="40"/>
    </row>
    <row r="105" spans="1:39" x14ac:dyDescent="0.2">
      <c r="A105" s="46">
        <v>51</v>
      </c>
      <c r="B105" s="46"/>
      <c r="C105" s="13"/>
      <c r="D105" s="11">
        <f t="shared" si="8"/>
        <v>0</v>
      </c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1">
        <f t="shared" si="11"/>
        <v>0</v>
      </c>
      <c r="Q105" s="32"/>
      <c r="R105" s="32"/>
      <c r="S105" s="32"/>
      <c r="T105" s="32"/>
      <c r="U105" s="32"/>
      <c r="V105" s="47"/>
      <c r="W105" s="47"/>
      <c r="X105" s="32"/>
      <c r="Y105" s="23"/>
      <c r="Z105" s="49"/>
      <c r="AA105" s="23"/>
      <c r="AB105" s="23"/>
      <c r="AC105" s="50"/>
      <c r="AD105" s="40"/>
      <c r="AE105" s="40"/>
      <c r="AF105" s="40"/>
      <c r="AG105" s="40"/>
      <c r="AH105" s="40"/>
      <c r="AI105" s="50"/>
      <c r="AJ105" s="50"/>
      <c r="AK105" s="40"/>
      <c r="AL105" s="40"/>
      <c r="AM105" s="40"/>
    </row>
    <row r="106" spans="1:39" x14ac:dyDescent="0.2">
      <c r="A106" s="46">
        <v>52</v>
      </c>
      <c r="B106" s="46"/>
      <c r="C106" s="13"/>
      <c r="D106" s="11">
        <f t="shared" si="8"/>
        <v>0</v>
      </c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1">
        <f t="shared" si="11"/>
        <v>0</v>
      </c>
      <c r="Q106" s="32"/>
      <c r="R106" s="32"/>
      <c r="S106" s="32"/>
      <c r="T106" s="32"/>
      <c r="U106" s="32"/>
      <c r="V106" s="47"/>
      <c r="W106" s="47"/>
      <c r="X106" s="32"/>
      <c r="Y106" s="23"/>
      <c r="Z106" s="49"/>
      <c r="AA106" s="23"/>
      <c r="AB106" s="23"/>
      <c r="AC106" s="50"/>
      <c r="AD106" s="40"/>
      <c r="AE106" s="40"/>
      <c r="AF106" s="40"/>
      <c r="AG106" s="40"/>
      <c r="AH106" s="40"/>
      <c r="AI106" s="50"/>
      <c r="AJ106" s="50"/>
      <c r="AK106" s="40"/>
      <c r="AL106" s="40"/>
      <c r="AM106" s="40"/>
    </row>
    <row r="107" spans="1:39" x14ac:dyDescent="0.2">
      <c r="A107" s="46">
        <v>53</v>
      </c>
      <c r="B107" s="46"/>
      <c r="C107" s="13"/>
      <c r="D107" s="11">
        <f t="shared" si="8"/>
        <v>0</v>
      </c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1">
        <f t="shared" si="11"/>
        <v>0</v>
      </c>
      <c r="Q107" s="32"/>
      <c r="R107" s="32"/>
      <c r="S107" s="32"/>
      <c r="T107" s="32"/>
      <c r="U107" s="32"/>
      <c r="V107" s="47"/>
      <c r="W107" s="47"/>
      <c r="X107" s="32"/>
      <c r="Y107" s="23"/>
      <c r="Z107" s="49"/>
      <c r="AA107" s="23"/>
      <c r="AB107" s="23"/>
      <c r="AC107" s="50"/>
      <c r="AD107" s="40"/>
      <c r="AE107" s="40"/>
      <c r="AF107" s="40"/>
      <c r="AG107" s="40"/>
      <c r="AH107" s="40"/>
      <c r="AI107" s="50"/>
      <c r="AJ107" s="50"/>
      <c r="AK107" s="40"/>
      <c r="AL107" s="40"/>
      <c r="AM107" s="40"/>
    </row>
    <row r="108" spans="1:39" x14ac:dyDescent="0.2">
      <c r="A108" s="46">
        <v>54</v>
      </c>
      <c r="B108" s="46"/>
      <c r="C108" s="15"/>
      <c r="D108" s="11">
        <f t="shared" si="8"/>
        <v>0</v>
      </c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1">
        <f t="shared" si="11"/>
        <v>0</v>
      </c>
      <c r="Q108" s="32"/>
      <c r="R108" s="32"/>
      <c r="S108" s="32"/>
      <c r="T108" s="32"/>
      <c r="U108" s="32"/>
      <c r="V108" s="47"/>
      <c r="W108" s="47"/>
      <c r="X108" s="32"/>
      <c r="Y108" s="23"/>
      <c r="Z108" s="49"/>
      <c r="AA108" s="23"/>
      <c r="AB108" s="23"/>
      <c r="AC108" s="50"/>
      <c r="AD108" s="40"/>
      <c r="AE108" s="40"/>
      <c r="AF108" s="40"/>
      <c r="AG108" s="40"/>
      <c r="AH108" s="40"/>
      <c r="AI108" s="50"/>
      <c r="AJ108" s="50"/>
      <c r="AK108" s="40"/>
      <c r="AL108" s="40"/>
      <c r="AM108" s="40"/>
    </row>
    <row r="109" spans="1:39" x14ac:dyDescent="0.2">
      <c r="A109" s="46">
        <v>55</v>
      </c>
      <c r="B109" s="46"/>
      <c r="C109" s="13"/>
      <c r="D109" s="11">
        <f t="shared" si="8"/>
        <v>0</v>
      </c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1">
        <f t="shared" si="11"/>
        <v>0</v>
      </c>
      <c r="Q109" s="32"/>
      <c r="R109" s="32"/>
      <c r="S109" s="32"/>
      <c r="T109" s="32"/>
      <c r="U109" s="32"/>
      <c r="V109" s="47"/>
      <c r="W109" s="47"/>
      <c r="X109" s="32"/>
      <c r="Y109" s="23"/>
      <c r="Z109" s="49"/>
      <c r="AA109" s="23"/>
      <c r="AB109" s="23"/>
      <c r="AC109" s="50"/>
      <c r="AD109" s="40"/>
      <c r="AE109" s="40"/>
      <c r="AF109" s="40"/>
      <c r="AG109" s="40"/>
      <c r="AH109" s="40"/>
      <c r="AI109" s="50"/>
      <c r="AJ109" s="50"/>
      <c r="AK109" s="40"/>
      <c r="AL109" s="40"/>
      <c r="AM109" s="40"/>
    </row>
    <row r="110" spans="1:39" x14ac:dyDescent="0.2">
      <c r="A110" s="46">
        <v>56</v>
      </c>
      <c r="B110" s="46"/>
      <c r="C110" s="13"/>
      <c r="D110" s="11">
        <f t="shared" si="8"/>
        <v>0</v>
      </c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1">
        <f t="shared" si="11"/>
        <v>0</v>
      </c>
      <c r="Q110" s="32"/>
      <c r="R110" s="32"/>
      <c r="S110" s="32"/>
      <c r="T110" s="32"/>
      <c r="U110" s="32"/>
      <c r="V110" s="47"/>
      <c r="W110" s="47"/>
      <c r="X110" s="32"/>
      <c r="Y110" s="23"/>
      <c r="Z110" s="49"/>
      <c r="AA110" s="23"/>
      <c r="AB110" s="23"/>
      <c r="AC110" s="50"/>
      <c r="AD110" s="40"/>
      <c r="AE110" s="40"/>
      <c r="AF110" s="40"/>
      <c r="AG110" s="40"/>
      <c r="AH110" s="40"/>
      <c r="AI110" s="50"/>
      <c r="AJ110" s="50"/>
      <c r="AK110" s="40"/>
      <c r="AL110" s="40"/>
      <c r="AM110" s="40"/>
    </row>
    <row r="111" spans="1:39" x14ac:dyDescent="0.2">
      <c r="A111" s="46">
        <v>57</v>
      </c>
      <c r="B111" s="46"/>
      <c r="C111" s="13"/>
      <c r="D111" s="11">
        <f t="shared" si="8"/>
        <v>0</v>
      </c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1">
        <f t="shared" si="11"/>
        <v>0</v>
      </c>
      <c r="Q111" s="32"/>
      <c r="R111" s="32"/>
      <c r="S111" s="32"/>
      <c r="T111" s="32"/>
      <c r="U111" s="32"/>
      <c r="V111" s="47"/>
      <c r="W111" s="47"/>
      <c r="X111" s="32"/>
      <c r="Y111" s="23"/>
      <c r="Z111" s="49"/>
      <c r="AA111" s="23"/>
      <c r="AB111" s="23"/>
      <c r="AC111" s="50"/>
      <c r="AD111" s="40"/>
      <c r="AE111" s="40"/>
      <c r="AF111" s="40"/>
      <c r="AG111" s="40"/>
      <c r="AH111" s="40"/>
      <c r="AI111" s="50"/>
      <c r="AJ111" s="50"/>
      <c r="AK111" s="40"/>
      <c r="AL111" s="40"/>
      <c r="AM111" s="40"/>
    </row>
    <row r="112" spans="1:39" x14ac:dyDescent="0.2">
      <c r="A112" s="46">
        <v>58</v>
      </c>
      <c r="B112" s="46"/>
      <c r="C112" s="13"/>
      <c r="D112" s="11">
        <f t="shared" si="8"/>
        <v>0</v>
      </c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1">
        <f t="shared" si="11"/>
        <v>0</v>
      </c>
      <c r="Q112" s="32"/>
      <c r="R112" s="49"/>
      <c r="S112" s="32"/>
      <c r="T112" s="32"/>
      <c r="U112" s="32"/>
      <c r="V112" s="47"/>
      <c r="W112" s="47"/>
      <c r="X112" s="32"/>
      <c r="Y112" s="23"/>
      <c r="Z112" s="49"/>
      <c r="AA112" s="23"/>
      <c r="AB112" s="23"/>
      <c r="AC112" s="50"/>
      <c r="AD112" s="40"/>
      <c r="AE112" s="40"/>
      <c r="AF112" s="40"/>
      <c r="AG112" s="40"/>
      <c r="AH112" s="40"/>
      <c r="AI112" s="50"/>
      <c r="AJ112" s="50"/>
      <c r="AK112" s="40"/>
      <c r="AL112" s="40"/>
      <c r="AM112" s="40"/>
    </row>
    <row r="113" spans="1:39" x14ac:dyDescent="0.2">
      <c r="A113" s="46">
        <v>59</v>
      </c>
      <c r="B113" s="46"/>
      <c r="C113" s="13"/>
      <c r="D113" s="11">
        <f t="shared" si="8"/>
        <v>0</v>
      </c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1">
        <f t="shared" si="11"/>
        <v>0</v>
      </c>
      <c r="Q113" s="32"/>
      <c r="R113" s="32"/>
      <c r="S113" s="32"/>
      <c r="T113" s="32"/>
      <c r="U113" s="32"/>
      <c r="V113" s="47"/>
      <c r="W113" s="47"/>
      <c r="X113" s="32"/>
      <c r="Y113" s="23"/>
      <c r="Z113" s="49"/>
      <c r="AA113" s="23"/>
      <c r="AB113" s="23"/>
      <c r="AC113" s="50"/>
      <c r="AD113" s="40"/>
      <c r="AE113" s="40"/>
      <c r="AF113" s="40"/>
      <c r="AG113" s="40"/>
      <c r="AH113" s="40"/>
      <c r="AI113" s="50"/>
      <c r="AJ113" s="50"/>
      <c r="AK113" s="40"/>
      <c r="AL113" s="40"/>
      <c r="AM113" s="40"/>
    </row>
    <row r="114" spans="1:39" x14ac:dyDescent="0.2">
      <c r="A114" s="46">
        <v>60</v>
      </c>
      <c r="B114" s="46"/>
      <c r="C114" s="15"/>
      <c r="D114" s="11">
        <f t="shared" si="8"/>
        <v>0</v>
      </c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1">
        <f t="shared" si="11"/>
        <v>0</v>
      </c>
      <c r="Q114" s="32"/>
      <c r="R114" s="32"/>
      <c r="S114" s="32"/>
      <c r="T114" s="32"/>
      <c r="U114" s="32"/>
      <c r="V114" s="47"/>
      <c r="W114" s="47"/>
      <c r="X114" s="32"/>
      <c r="Y114" s="23"/>
      <c r="Z114" s="49"/>
      <c r="AA114" s="23"/>
      <c r="AB114" s="23"/>
      <c r="AC114" s="50"/>
      <c r="AD114" s="40"/>
      <c r="AE114" s="40"/>
      <c r="AF114" s="40"/>
      <c r="AG114" s="40"/>
      <c r="AH114" s="40"/>
      <c r="AI114" s="50"/>
      <c r="AJ114" s="50"/>
      <c r="AK114" s="40"/>
      <c r="AL114" s="40"/>
      <c r="AM114" s="40"/>
    </row>
    <row r="115" spans="1:39" x14ac:dyDescent="0.2">
      <c r="A115" s="46">
        <v>61</v>
      </c>
      <c r="B115" s="46"/>
      <c r="C115" s="13"/>
      <c r="D115" s="11">
        <f t="shared" si="8"/>
        <v>0</v>
      </c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1">
        <f t="shared" si="11"/>
        <v>0</v>
      </c>
      <c r="Q115" s="32"/>
      <c r="R115" s="32"/>
      <c r="S115" s="32"/>
      <c r="T115" s="32"/>
      <c r="U115" s="32"/>
      <c r="V115" s="47"/>
      <c r="W115" s="47"/>
      <c r="X115" s="32"/>
      <c r="Y115" s="23"/>
      <c r="Z115" s="49"/>
      <c r="AA115" s="23"/>
      <c r="AB115" s="23"/>
      <c r="AC115" s="50"/>
      <c r="AD115" s="40"/>
      <c r="AE115" s="40"/>
      <c r="AF115" s="40"/>
      <c r="AG115" s="40"/>
      <c r="AH115" s="40"/>
      <c r="AI115" s="50"/>
      <c r="AJ115" s="50"/>
      <c r="AK115" s="40"/>
      <c r="AL115" s="40"/>
      <c r="AM115" s="40"/>
    </row>
    <row r="116" spans="1:39" x14ac:dyDescent="0.2">
      <c r="A116" s="46">
        <v>62</v>
      </c>
      <c r="B116" s="46"/>
      <c r="C116" s="13"/>
      <c r="D116" s="11">
        <f t="shared" si="8"/>
        <v>0</v>
      </c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1">
        <f t="shared" si="11"/>
        <v>0</v>
      </c>
      <c r="Q116" s="32"/>
      <c r="R116" s="32"/>
      <c r="S116" s="32"/>
      <c r="T116" s="32"/>
      <c r="U116" s="32"/>
      <c r="V116" s="47"/>
      <c r="W116" s="47"/>
      <c r="X116" s="32"/>
      <c r="Y116" s="23"/>
      <c r="Z116" s="49"/>
      <c r="AA116" s="23"/>
      <c r="AB116" s="23"/>
      <c r="AC116" s="50"/>
      <c r="AD116" s="40"/>
      <c r="AE116" s="40"/>
      <c r="AF116" s="40"/>
      <c r="AG116" s="40"/>
      <c r="AH116" s="40"/>
      <c r="AI116" s="50"/>
      <c r="AJ116" s="50"/>
      <c r="AK116" s="40"/>
      <c r="AL116" s="40"/>
      <c r="AM116" s="40"/>
    </row>
    <row r="117" spans="1:39" x14ac:dyDescent="0.2">
      <c r="A117" s="46">
        <v>63</v>
      </c>
      <c r="B117" s="46"/>
      <c r="C117" s="15"/>
      <c r="D117" s="11">
        <f t="shared" si="8"/>
        <v>0</v>
      </c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1">
        <f t="shared" si="11"/>
        <v>0</v>
      </c>
      <c r="Q117" s="32"/>
      <c r="R117" s="32"/>
      <c r="S117" s="32"/>
      <c r="T117" s="32"/>
      <c r="U117" s="32"/>
      <c r="V117" s="47"/>
      <c r="W117" s="47"/>
      <c r="X117" s="32"/>
      <c r="Y117" s="23"/>
      <c r="Z117" s="49"/>
      <c r="AA117" s="23"/>
      <c r="AB117" s="23"/>
      <c r="AC117" s="50"/>
      <c r="AD117" s="40"/>
      <c r="AE117" s="40"/>
      <c r="AF117" s="40"/>
      <c r="AG117" s="40"/>
      <c r="AH117" s="40"/>
      <c r="AI117" s="50"/>
      <c r="AJ117" s="50"/>
      <c r="AK117" s="40"/>
      <c r="AL117" s="40"/>
      <c r="AM117" s="40"/>
    </row>
    <row r="118" spans="1:39" x14ac:dyDescent="0.2">
      <c r="A118" s="46">
        <v>64</v>
      </c>
      <c r="B118" s="46"/>
      <c r="C118" s="13"/>
      <c r="D118" s="11">
        <f t="shared" ref="D118:D143" si="12">E118+SUM(H118:O118)</f>
        <v>0</v>
      </c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1">
        <f t="shared" si="11"/>
        <v>0</v>
      </c>
      <c r="Q118" s="32"/>
      <c r="R118" s="32"/>
      <c r="S118" s="32"/>
      <c r="T118" s="32"/>
      <c r="U118" s="32"/>
      <c r="V118" s="47"/>
      <c r="W118" s="47"/>
      <c r="X118" s="32"/>
      <c r="Y118" s="23"/>
      <c r="Z118" s="49"/>
      <c r="AA118" s="23"/>
      <c r="AB118" s="23"/>
      <c r="AC118" s="50"/>
      <c r="AD118" s="40"/>
      <c r="AE118" s="40"/>
      <c r="AF118" s="40"/>
      <c r="AG118" s="40"/>
      <c r="AH118" s="40"/>
      <c r="AI118" s="50"/>
      <c r="AJ118" s="50"/>
      <c r="AK118" s="40"/>
      <c r="AL118" s="40"/>
      <c r="AM118" s="40"/>
    </row>
    <row r="119" spans="1:39" x14ac:dyDescent="0.2">
      <c r="A119" s="46">
        <v>65</v>
      </c>
      <c r="B119" s="46"/>
      <c r="C119" s="13"/>
      <c r="D119" s="11">
        <f t="shared" si="12"/>
        <v>0</v>
      </c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1">
        <f t="shared" si="11"/>
        <v>0</v>
      </c>
      <c r="Q119" s="32"/>
      <c r="R119" s="32"/>
      <c r="S119" s="32"/>
      <c r="T119" s="32"/>
      <c r="U119" s="32"/>
      <c r="V119" s="47"/>
      <c r="W119" s="47"/>
      <c r="X119" s="32"/>
      <c r="Y119" s="23"/>
      <c r="Z119" s="49"/>
      <c r="AA119" s="23"/>
      <c r="AB119" s="23"/>
      <c r="AC119" s="50"/>
      <c r="AD119" s="40"/>
      <c r="AE119" s="40"/>
      <c r="AF119" s="40"/>
      <c r="AG119" s="40"/>
      <c r="AH119" s="40"/>
      <c r="AI119" s="50"/>
      <c r="AJ119" s="50"/>
      <c r="AK119" s="40"/>
      <c r="AL119" s="40"/>
      <c r="AM119" s="40"/>
    </row>
    <row r="120" spans="1:39" x14ac:dyDescent="0.2">
      <c r="A120" s="46">
        <v>66</v>
      </c>
      <c r="B120" s="46"/>
      <c r="C120" s="13"/>
      <c r="D120" s="11">
        <f t="shared" si="12"/>
        <v>0</v>
      </c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1">
        <f t="shared" si="11"/>
        <v>0</v>
      </c>
      <c r="Q120" s="32"/>
      <c r="R120" s="32"/>
      <c r="S120" s="32"/>
      <c r="T120" s="32"/>
      <c r="U120" s="32"/>
      <c r="V120" s="47"/>
      <c r="W120" s="47"/>
      <c r="X120" s="32"/>
      <c r="Y120" s="23"/>
      <c r="Z120" s="49"/>
      <c r="AA120" s="23"/>
      <c r="AB120" s="23"/>
      <c r="AC120" s="50"/>
      <c r="AD120" s="40"/>
      <c r="AE120" s="40"/>
      <c r="AF120" s="40"/>
      <c r="AG120" s="40"/>
      <c r="AH120" s="40"/>
      <c r="AI120" s="50"/>
      <c r="AJ120" s="50"/>
      <c r="AK120" s="40"/>
      <c r="AL120" s="40"/>
      <c r="AM120" s="40"/>
    </row>
    <row r="121" spans="1:39" x14ac:dyDescent="0.2">
      <c r="A121" s="46">
        <v>67</v>
      </c>
      <c r="B121" s="46"/>
      <c r="C121" s="13"/>
      <c r="D121" s="11">
        <f t="shared" si="12"/>
        <v>0</v>
      </c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1">
        <f t="shared" si="11"/>
        <v>0</v>
      </c>
      <c r="Q121" s="32"/>
      <c r="R121" s="32"/>
      <c r="S121" s="32"/>
      <c r="T121" s="32"/>
      <c r="U121" s="32"/>
      <c r="V121" s="47"/>
      <c r="W121" s="47"/>
      <c r="X121" s="32"/>
      <c r="Y121" s="23"/>
      <c r="Z121" s="49"/>
      <c r="AA121" s="23"/>
      <c r="AB121" s="23"/>
      <c r="AC121" s="50"/>
      <c r="AD121" s="40"/>
      <c r="AE121" s="40"/>
      <c r="AF121" s="40"/>
      <c r="AG121" s="40"/>
      <c r="AH121" s="40"/>
      <c r="AI121" s="50"/>
      <c r="AJ121" s="50"/>
      <c r="AK121" s="40"/>
      <c r="AL121" s="40"/>
      <c r="AM121" s="40"/>
    </row>
    <row r="122" spans="1:39" x14ac:dyDescent="0.2">
      <c r="A122" s="46">
        <v>68</v>
      </c>
      <c r="B122" s="46"/>
      <c r="C122" s="13"/>
      <c r="D122" s="11">
        <f t="shared" si="12"/>
        <v>0</v>
      </c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1">
        <f t="shared" si="11"/>
        <v>0</v>
      </c>
      <c r="Q122" s="32"/>
      <c r="R122" s="32"/>
      <c r="S122" s="32"/>
      <c r="T122" s="32"/>
      <c r="U122" s="32"/>
      <c r="V122" s="47"/>
      <c r="W122" s="47"/>
      <c r="X122" s="32"/>
      <c r="Y122" s="23"/>
      <c r="Z122" s="49"/>
      <c r="AA122" s="23"/>
      <c r="AB122" s="23"/>
      <c r="AC122" s="50"/>
      <c r="AD122" s="40"/>
      <c r="AE122" s="40"/>
      <c r="AF122" s="40"/>
      <c r="AG122" s="40"/>
      <c r="AH122" s="40"/>
      <c r="AI122" s="50"/>
      <c r="AJ122" s="50"/>
      <c r="AK122" s="40"/>
      <c r="AL122" s="40"/>
      <c r="AM122" s="40"/>
    </row>
    <row r="123" spans="1:39" x14ac:dyDescent="0.2">
      <c r="A123" s="46">
        <v>69</v>
      </c>
      <c r="B123" s="46"/>
      <c r="C123" s="13"/>
      <c r="D123" s="11">
        <f t="shared" si="12"/>
        <v>0</v>
      </c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1">
        <f t="shared" si="11"/>
        <v>0</v>
      </c>
      <c r="Q123" s="32"/>
      <c r="R123" s="32"/>
      <c r="S123" s="32"/>
      <c r="T123" s="32"/>
      <c r="U123" s="32"/>
      <c r="V123" s="47"/>
      <c r="W123" s="47"/>
      <c r="X123" s="32"/>
      <c r="Y123" s="23"/>
      <c r="Z123" s="49"/>
      <c r="AA123" s="23"/>
      <c r="AB123" s="23"/>
      <c r="AC123" s="50"/>
      <c r="AD123" s="40"/>
      <c r="AE123" s="40"/>
      <c r="AF123" s="40"/>
      <c r="AG123" s="40"/>
      <c r="AH123" s="40"/>
      <c r="AI123" s="50"/>
      <c r="AJ123" s="50"/>
      <c r="AK123" s="40"/>
      <c r="AL123" s="40"/>
      <c r="AM123" s="40"/>
    </row>
    <row r="124" spans="1:39" x14ac:dyDescent="0.2">
      <c r="A124" s="46">
        <v>70</v>
      </c>
      <c r="B124" s="46"/>
      <c r="C124" s="13"/>
      <c r="D124" s="11">
        <f t="shared" si="12"/>
        <v>0</v>
      </c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1">
        <f t="shared" si="11"/>
        <v>0</v>
      </c>
      <c r="Q124" s="32"/>
      <c r="R124" s="32"/>
      <c r="S124" s="32"/>
      <c r="T124" s="32"/>
      <c r="U124" s="32"/>
      <c r="V124" s="47"/>
      <c r="W124" s="47"/>
      <c r="X124" s="32"/>
      <c r="Y124" s="23"/>
      <c r="Z124" s="49"/>
      <c r="AA124" s="23"/>
      <c r="AB124" s="23"/>
      <c r="AC124" s="50"/>
      <c r="AD124" s="40"/>
      <c r="AE124" s="40"/>
      <c r="AF124" s="40"/>
      <c r="AG124" s="40"/>
      <c r="AH124" s="40"/>
      <c r="AI124" s="50"/>
      <c r="AJ124" s="50"/>
      <c r="AK124" s="40"/>
      <c r="AL124" s="40"/>
      <c r="AM124" s="40"/>
    </row>
    <row r="125" spans="1:39" x14ac:dyDescent="0.2">
      <c r="A125" s="46">
        <v>71</v>
      </c>
      <c r="B125" s="46"/>
      <c r="C125" s="13"/>
      <c r="D125" s="11">
        <f t="shared" si="12"/>
        <v>0</v>
      </c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1">
        <f t="shared" si="11"/>
        <v>0</v>
      </c>
      <c r="Q125" s="32"/>
      <c r="R125" s="32"/>
      <c r="S125" s="32"/>
      <c r="T125" s="32"/>
      <c r="U125" s="32"/>
      <c r="V125" s="47"/>
      <c r="W125" s="47"/>
      <c r="X125" s="32"/>
      <c r="Y125" s="23"/>
      <c r="Z125" s="49"/>
      <c r="AA125" s="23"/>
      <c r="AB125" s="23"/>
      <c r="AC125" s="50"/>
      <c r="AD125" s="40"/>
      <c r="AE125" s="40"/>
      <c r="AF125" s="40"/>
      <c r="AG125" s="40"/>
      <c r="AH125" s="40"/>
      <c r="AI125" s="50"/>
      <c r="AJ125" s="50"/>
      <c r="AK125" s="40"/>
      <c r="AL125" s="40"/>
      <c r="AM125" s="40"/>
    </row>
    <row r="126" spans="1:39" x14ac:dyDescent="0.2">
      <c r="A126" s="46">
        <v>72</v>
      </c>
      <c r="B126" s="46"/>
      <c r="C126" s="13"/>
      <c r="D126" s="11">
        <f t="shared" si="12"/>
        <v>0</v>
      </c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1">
        <f t="shared" si="11"/>
        <v>0</v>
      </c>
      <c r="Q126" s="32"/>
      <c r="R126" s="32"/>
      <c r="S126" s="32"/>
      <c r="T126" s="32"/>
      <c r="U126" s="32"/>
      <c r="V126" s="47"/>
      <c r="W126" s="47"/>
      <c r="X126" s="32"/>
      <c r="Y126" s="23"/>
      <c r="Z126" s="49"/>
      <c r="AA126" s="23"/>
      <c r="AB126" s="23"/>
      <c r="AC126" s="50"/>
      <c r="AD126" s="40"/>
      <c r="AE126" s="40"/>
      <c r="AF126" s="40"/>
      <c r="AG126" s="40"/>
      <c r="AH126" s="40"/>
      <c r="AI126" s="50"/>
      <c r="AJ126" s="50"/>
      <c r="AK126" s="40"/>
      <c r="AL126" s="40"/>
      <c r="AM126" s="40"/>
    </row>
    <row r="127" spans="1:39" x14ac:dyDescent="0.2">
      <c r="A127" s="46">
        <v>73</v>
      </c>
      <c r="B127" s="46"/>
      <c r="C127" s="13"/>
      <c r="D127" s="11">
        <f t="shared" si="12"/>
        <v>0</v>
      </c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1">
        <f t="shared" si="11"/>
        <v>0</v>
      </c>
      <c r="Q127" s="32"/>
      <c r="R127" s="32"/>
      <c r="S127" s="32"/>
      <c r="T127" s="32"/>
      <c r="U127" s="32"/>
      <c r="V127" s="47"/>
      <c r="W127" s="47"/>
      <c r="X127" s="32"/>
      <c r="Y127" s="23"/>
      <c r="Z127" s="49"/>
      <c r="AA127" s="23"/>
      <c r="AB127" s="23"/>
      <c r="AC127" s="50"/>
      <c r="AD127" s="40"/>
      <c r="AE127" s="40"/>
      <c r="AF127" s="40"/>
      <c r="AG127" s="40"/>
      <c r="AH127" s="40"/>
      <c r="AI127" s="50"/>
      <c r="AJ127" s="50"/>
      <c r="AK127" s="40"/>
      <c r="AL127" s="40"/>
      <c r="AM127" s="40"/>
    </row>
    <row r="128" spans="1:39" x14ac:dyDescent="0.2">
      <c r="A128" s="46">
        <v>74</v>
      </c>
      <c r="B128" s="46"/>
      <c r="C128" s="13"/>
      <c r="D128" s="11">
        <f t="shared" si="12"/>
        <v>0</v>
      </c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1">
        <f t="shared" si="11"/>
        <v>0</v>
      </c>
      <c r="Q128" s="32"/>
      <c r="R128" s="32"/>
      <c r="S128" s="32"/>
      <c r="T128" s="32"/>
      <c r="U128" s="32"/>
      <c r="V128" s="47"/>
      <c r="W128" s="47"/>
      <c r="X128" s="32"/>
      <c r="Y128" s="23"/>
      <c r="Z128" s="49"/>
      <c r="AA128" s="23"/>
      <c r="AB128" s="23"/>
      <c r="AC128" s="50"/>
      <c r="AD128" s="40"/>
      <c r="AE128" s="40"/>
      <c r="AF128" s="40"/>
      <c r="AG128" s="40"/>
      <c r="AH128" s="40"/>
      <c r="AI128" s="50"/>
      <c r="AJ128" s="50"/>
      <c r="AK128" s="40"/>
      <c r="AL128" s="40"/>
      <c r="AM128" s="40"/>
    </row>
    <row r="129" spans="1:39" x14ac:dyDescent="0.2">
      <c r="A129" s="46">
        <v>75</v>
      </c>
      <c r="B129" s="46"/>
      <c r="C129" s="13"/>
      <c r="D129" s="11">
        <f t="shared" si="12"/>
        <v>0</v>
      </c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1">
        <f t="shared" si="11"/>
        <v>0</v>
      </c>
      <c r="Q129" s="32"/>
      <c r="R129" s="32"/>
      <c r="S129" s="32"/>
      <c r="T129" s="32"/>
      <c r="U129" s="32"/>
      <c r="V129" s="47"/>
      <c r="W129" s="47"/>
      <c r="X129" s="32"/>
      <c r="Y129" s="23"/>
      <c r="Z129" s="49"/>
      <c r="AA129" s="23"/>
      <c r="AB129" s="23"/>
      <c r="AC129" s="50"/>
      <c r="AD129" s="40"/>
      <c r="AE129" s="40"/>
      <c r="AF129" s="40"/>
      <c r="AG129" s="40"/>
      <c r="AH129" s="40"/>
      <c r="AI129" s="50"/>
      <c r="AJ129" s="50"/>
      <c r="AK129" s="40"/>
      <c r="AL129" s="40"/>
      <c r="AM129" s="40"/>
    </row>
    <row r="130" spans="1:39" x14ac:dyDescent="0.2">
      <c r="A130" s="46">
        <v>76</v>
      </c>
      <c r="B130" s="46"/>
      <c r="C130" s="13"/>
      <c r="D130" s="11">
        <f t="shared" si="12"/>
        <v>0</v>
      </c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1">
        <f t="shared" si="11"/>
        <v>0</v>
      </c>
      <c r="Q130" s="32"/>
      <c r="R130" s="32"/>
      <c r="S130" s="32"/>
      <c r="T130" s="32"/>
      <c r="U130" s="32"/>
      <c r="V130" s="47"/>
      <c r="W130" s="47"/>
      <c r="X130" s="32"/>
      <c r="Y130" s="23"/>
      <c r="Z130" s="32"/>
      <c r="AA130" s="23"/>
      <c r="AB130" s="23"/>
      <c r="AC130" s="50"/>
      <c r="AD130" s="40"/>
      <c r="AE130" s="40"/>
      <c r="AF130" s="40"/>
      <c r="AG130" s="40"/>
      <c r="AH130" s="40"/>
      <c r="AI130" s="50"/>
      <c r="AJ130" s="50"/>
      <c r="AK130" s="40"/>
      <c r="AL130" s="40"/>
      <c r="AM130" s="40"/>
    </row>
    <row r="131" spans="1:39" x14ac:dyDescent="0.2">
      <c r="A131" s="46">
        <v>77</v>
      </c>
      <c r="B131" s="46"/>
      <c r="C131" s="13"/>
      <c r="D131" s="11">
        <f t="shared" si="12"/>
        <v>0</v>
      </c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1">
        <f t="shared" si="11"/>
        <v>0</v>
      </c>
      <c r="Q131" s="32"/>
      <c r="R131" s="32"/>
      <c r="S131" s="32"/>
      <c r="T131" s="32"/>
      <c r="U131" s="32"/>
      <c r="V131" s="47"/>
      <c r="W131" s="47"/>
      <c r="X131" s="32"/>
      <c r="Y131" s="23"/>
      <c r="Z131" s="32"/>
      <c r="AA131" s="23"/>
      <c r="AB131" s="23"/>
      <c r="AC131" s="50"/>
      <c r="AD131" s="40"/>
      <c r="AE131" s="40"/>
      <c r="AF131" s="40"/>
      <c r="AG131" s="40"/>
      <c r="AH131" s="40"/>
      <c r="AI131" s="50"/>
      <c r="AJ131" s="50"/>
      <c r="AK131" s="40"/>
      <c r="AL131" s="40"/>
      <c r="AM131" s="40"/>
    </row>
    <row r="132" spans="1:39" x14ac:dyDescent="0.2">
      <c r="A132" s="46">
        <v>78</v>
      </c>
      <c r="B132" s="46"/>
      <c r="C132" s="13"/>
      <c r="D132" s="11">
        <f t="shared" si="12"/>
        <v>0</v>
      </c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1">
        <f t="shared" si="11"/>
        <v>0</v>
      </c>
      <c r="Q132" s="32"/>
      <c r="R132" s="32"/>
      <c r="S132" s="32"/>
      <c r="T132" s="32"/>
      <c r="U132" s="32"/>
      <c r="V132" s="47"/>
      <c r="W132" s="47"/>
      <c r="X132" s="32"/>
      <c r="Y132" s="23"/>
      <c r="Z132" s="32"/>
      <c r="AA132" s="23"/>
      <c r="AB132" s="23"/>
      <c r="AC132" s="50"/>
      <c r="AD132" s="40"/>
      <c r="AE132" s="40"/>
      <c r="AF132" s="40"/>
      <c r="AG132" s="40"/>
      <c r="AH132" s="40"/>
      <c r="AI132" s="50"/>
      <c r="AJ132" s="50"/>
      <c r="AK132" s="40"/>
      <c r="AL132" s="40"/>
      <c r="AM132" s="40"/>
    </row>
    <row r="133" spans="1:39" x14ac:dyDescent="0.2">
      <c r="A133" s="46">
        <v>79</v>
      </c>
      <c r="B133" s="46"/>
      <c r="C133" s="13"/>
      <c r="D133" s="11">
        <f t="shared" si="12"/>
        <v>0</v>
      </c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1">
        <f t="shared" si="11"/>
        <v>0</v>
      </c>
      <c r="Q133" s="32"/>
      <c r="R133" s="32"/>
      <c r="S133" s="32"/>
      <c r="T133" s="32"/>
      <c r="U133" s="32"/>
      <c r="V133" s="47"/>
      <c r="W133" s="47"/>
      <c r="X133" s="32"/>
      <c r="Y133" s="23"/>
      <c r="Z133" s="32"/>
      <c r="AA133" s="23"/>
      <c r="AB133" s="23"/>
      <c r="AC133" s="50"/>
      <c r="AD133" s="40"/>
      <c r="AE133" s="40"/>
      <c r="AF133" s="40"/>
      <c r="AG133" s="40"/>
      <c r="AH133" s="40"/>
      <c r="AI133" s="50"/>
      <c r="AJ133" s="50"/>
      <c r="AK133" s="40"/>
      <c r="AL133" s="40"/>
      <c r="AM133" s="40"/>
    </row>
    <row r="134" spans="1:39" x14ac:dyDescent="0.2">
      <c r="A134" s="46">
        <v>80</v>
      </c>
      <c r="B134" s="46"/>
      <c r="C134" s="13"/>
      <c r="D134" s="11">
        <f t="shared" si="12"/>
        <v>0</v>
      </c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1">
        <f t="shared" si="11"/>
        <v>0</v>
      </c>
      <c r="Q134" s="32"/>
      <c r="R134" s="32"/>
      <c r="S134" s="32"/>
      <c r="T134" s="32"/>
      <c r="U134" s="32"/>
      <c r="V134" s="47"/>
      <c r="W134" s="47"/>
      <c r="X134" s="32"/>
      <c r="Y134" s="23"/>
      <c r="Z134" s="32"/>
      <c r="AA134" s="23"/>
      <c r="AB134" s="23"/>
      <c r="AC134" s="50"/>
      <c r="AD134" s="40"/>
      <c r="AE134" s="40"/>
      <c r="AF134" s="40"/>
      <c r="AG134" s="40"/>
      <c r="AH134" s="40"/>
      <c r="AI134" s="50"/>
      <c r="AJ134" s="50"/>
      <c r="AK134" s="40"/>
      <c r="AL134" s="40"/>
      <c r="AM134" s="40"/>
    </row>
    <row r="135" spans="1:39" x14ac:dyDescent="0.2">
      <c r="A135" s="46">
        <v>81</v>
      </c>
      <c r="B135" s="46"/>
      <c r="C135" s="13"/>
      <c r="D135" s="11">
        <f t="shared" si="12"/>
        <v>0</v>
      </c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1">
        <f t="shared" si="11"/>
        <v>0</v>
      </c>
      <c r="Q135" s="32"/>
      <c r="R135" s="32"/>
      <c r="S135" s="32"/>
      <c r="T135" s="32"/>
      <c r="U135" s="32"/>
      <c r="V135" s="47"/>
      <c r="W135" s="47"/>
      <c r="X135" s="32"/>
      <c r="Y135" s="23"/>
      <c r="Z135" s="32"/>
      <c r="AA135" s="23"/>
      <c r="AB135" s="23"/>
      <c r="AC135" s="50"/>
      <c r="AD135" s="40"/>
      <c r="AE135" s="40"/>
      <c r="AF135" s="40"/>
      <c r="AG135" s="40"/>
      <c r="AH135" s="40"/>
      <c r="AI135" s="50"/>
      <c r="AJ135" s="50"/>
      <c r="AK135" s="40"/>
      <c r="AL135" s="40"/>
      <c r="AM135" s="40"/>
    </row>
    <row r="136" spans="1:39" x14ac:dyDescent="0.2">
      <c r="A136" s="46">
        <v>82</v>
      </c>
      <c r="B136" s="46"/>
      <c r="C136" s="13"/>
      <c r="D136" s="11">
        <f t="shared" si="12"/>
        <v>0</v>
      </c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1">
        <f t="shared" si="11"/>
        <v>0</v>
      </c>
      <c r="Q136" s="32"/>
      <c r="R136" s="32"/>
      <c r="S136" s="32"/>
      <c r="T136" s="32"/>
      <c r="U136" s="32"/>
      <c r="V136" s="47"/>
      <c r="W136" s="47"/>
      <c r="X136" s="32"/>
      <c r="Y136" s="23"/>
      <c r="Z136" s="32"/>
      <c r="AA136" s="23"/>
      <c r="AB136" s="23"/>
      <c r="AC136" s="50"/>
      <c r="AD136" s="40"/>
      <c r="AE136" s="40"/>
      <c r="AF136" s="40"/>
      <c r="AG136" s="40"/>
      <c r="AH136" s="40"/>
      <c r="AI136" s="50"/>
      <c r="AJ136" s="50"/>
      <c r="AK136" s="40"/>
      <c r="AL136" s="40"/>
      <c r="AM136" s="40"/>
    </row>
    <row r="137" spans="1:39" x14ac:dyDescent="0.2">
      <c r="A137" s="46">
        <v>83</v>
      </c>
      <c r="B137" s="46"/>
      <c r="C137" s="13"/>
      <c r="D137" s="11">
        <f t="shared" si="12"/>
        <v>0</v>
      </c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1">
        <f t="shared" si="11"/>
        <v>0</v>
      </c>
      <c r="Q137" s="32"/>
      <c r="R137" s="32"/>
      <c r="S137" s="32"/>
      <c r="T137" s="32"/>
      <c r="U137" s="32"/>
      <c r="V137" s="47"/>
      <c r="W137" s="47"/>
      <c r="X137" s="32"/>
      <c r="Y137" s="23"/>
      <c r="Z137" s="32"/>
      <c r="AA137" s="23"/>
      <c r="AB137" s="23"/>
      <c r="AC137" s="50"/>
      <c r="AD137" s="40"/>
      <c r="AE137" s="40"/>
      <c r="AF137" s="40"/>
      <c r="AG137" s="40"/>
      <c r="AH137" s="40"/>
      <c r="AI137" s="50"/>
      <c r="AJ137" s="50"/>
      <c r="AK137" s="40"/>
      <c r="AL137" s="40"/>
      <c r="AM137" s="40"/>
    </row>
    <row r="138" spans="1:39" x14ac:dyDescent="0.2">
      <c r="A138" s="46">
        <v>84</v>
      </c>
      <c r="B138" s="46"/>
      <c r="C138" s="13"/>
      <c r="D138" s="11">
        <f t="shared" si="12"/>
        <v>0</v>
      </c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1">
        <f t="shared" si="11"/>
        <v>0</v>
      </c>
      <c r="Q138" s="32"/>
      <c r="R138" s="32"/>
      <c r="S138" s="32"/>
      <c r="T138" s="32"/>
      <c r="U138" s="32"/>
      <c r="V138" s="47"/>
      <c r="W138" s="47"/>
      <c r="X138" s="32"/>
      <c r="Y138" s="23"/>
      <c r="Z138" s="32"/>
      <c r="AA138" s="23"/>
      <c r="AB138" s="23"/>
      <c r="AC138" s="50"/>
      <c r="AD138" s="40"/>
      <c r="AE138" s="40"/>
      <c r="AF138" s="40"/>
      <c r="AG138" s="40"/>
      <c r="AH138" s="40"/>
      <c r="AI138" s="50"/>
      <c r="AJ138" s="50"/>
      <c r="AK138" s="40"/>
      <c r="AL138" s="40"/>
      <c r="AM138" s="40"/>
    </row>
    <row r="139" spans="1:39" x14ac:dyDescent="0.2">
      <c r="A139" s="46">
        <v>85</v>
      </c>
      <c r="B139" s="46"/>
      <c r="C139" s="13"/>
      <c r="D139" s="11">
        <f t="shared" si="12"/>
        <v>0</v>
      </c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1">
        <f t="shared" si="11"/>
        <v>0</v>
      </c>
      <c r="Q139" s="32"/>
      <c r="R139" s="32"/>
      <c r="S139" s="32"/>
      <c r="T139" s="32"/>
      <c r="U139" s="32"/>
      <c r="V139" s="47"/>
      <c r="W139" s="47"/>
      <c r="X139" s="32"/>
      <c r="Y139" s="23"/>
      <c r="Z139" s="32"/>
      <c r="AA139" s="23"/>
      <c r="AB139" s="23"/>
      <c r="AC139" s="50"/>
      <c r="AD139" s="40"/>
      <c r="AE139" s="40"/>
      <c r="AF139" s="40"/>
      <c r="AG139" s="40"/>
      <c r="AH139" s="40"/>
      <c r="AI139" s="50"/>
      <c r="AJ139" s="50"/>
      <c r="AK139" s="40"/>
      <c r="AL139" s="40"/>
      <c r="AM139" s="50"/>
    </row>
    <row r="140" spans="1:39" x14ac:dyDescent="0.2">
      <c r="A140" s="46">
        <v>86</v>
      </c>
      <c r="B140" s="46"/>
      <c r="C140" s="13"/>
      <c r="D140" s="11">
        <f t="shared" si="12"/>
        <v>0</v>
      </c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1">
        <f t="shared" si="11"/>
        <v>0</v>
      </c>
      <c r="Q140" s="32"/>
      <c r="R140" s="32"/>
      <c r="S140" s="32"/>
      <c r="T140" s="32"/>
      <c r="U140" s="32"/>
      <c r="V140" s="47"/>
      <c r="W140" s="47"/>
      <c r="X140" s="32"/>
      <c r="Y140" s="23"/>
      <c r="Z140" s="32"/>
      <c r="AA140" s="23"/>
      <c r="AB140" s="23"/>
      <c r="AC140" s="50"/>
      <c r="AD140" s="40"/>
      <c r="AE140" s="40"/>
      <c r="AF140" s="40"/>
      <c r="AG140" s="40"/>
      <c r="AH140" s="40"/>
      <c r="AI140" s="50"/>
      <c r="AJ140" s="50"/>
      <c r="AK140" s="40"/>
      <c r="AL140" s="40"/>
      <c r="AM140" s="40"/>
    </row>
    <row r="141" spans="1:39" x14ac:dyDescent="0.2">
      <c r="A141" s="46">
        <v>87</v>
      </c>
      <c r="B141" s="46"/>
      <c r="C141" s="19"/>
      <c r="D141" s="11">
        <f t="shared" si="12"/>
        <v>0</v>
      </c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1">
        <f t="shared" si="11"/>
        <v>0</v>
      </c>
      <c r="Q141" s="32"/>
      <c r="R141" s="32"/>
      <c r="S141" s="32"/>
      <c r="T141" s="32"/>
      <c r="U141" s="32"/>
      <c r="V141" s="47"/>
      <c r="W141" s="47"/>
      <c r="X141" s="32"/>
      <c r="Y141" s="23"/>
      <c r="Z141" s="32"/>
      <c r="AA141" s="23"/>
      <c r="AB141" s="23"/>
      <c r="AC141" s="50"/>
      <c r="AD141" s="40"/>
      <c r="AE141" s="40"/>
      <c r="AF141" s="40"/>
      <c r="AG141" s="40"/>
      <c r="AH141" s="40"/>
      <c r="AI141" s="50"/>
      <c r="AJ141" s="50"/>
      <c r="AK141" s="40"/>
      <c r="AL141" s="40"/>
      <c r="AM141" s="40"/>
    </row>
    <row r="142" spans="1:39" x14ac:dyDescent="0.2">
      <c r="A142" s="46">
        <v>88</v>
      </c>
      <c r="B142" s="46"/>
      <c r="C142" s="19"/>
      <c r="D142" s="11">
        <f t="shared" si="12"/>
        <v>0</v>
      </c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1">
        <f t="shared" si="11"/>
        <v>0</v>
      </c>
      <c r="Q142" s="32"/>
      <c r="R142" s="32"/>
      <c r="S142" s="32"/>
      <c r="T142" s="32"/>
      <c r="U142" s="32"/>
      <c r="V142" s="47"/>
      <c r="W142" s="47"/>
      <c r="X142" s="32"/>
      <c r="Y142" s="23"/>
      <c r="Z142" s="32"/>
      <c r="AA142" s="23"/>
      <c r="AB142" s="23"/>
      <c r="AC142" s="50"/>
      <c r="AD142" s="40"/>
      <c r="AE142" s="40"/>
      <c r="AF142" s="40"/>
      <c r="AG142" s="40"/>
      <c r="AH142" s="40"/>
      <c r="AI142" s="50"/>
      <c r="AJ142" s="50"/>
      <c r="AK142" s="40"/>
      <c r="AL142" s="40"/>
      <c r="AM142" s="40"/>
    </row>
    <row r="143" spans="1:39" x14ac:dyDescent="0.2">
      <c r="A143" s="46">
        <v>89</v>
      </c>
      <c r="B143" s="46"/>
      <c r="C143" s="19"/>
      <c r="D143" s="11">
        <f t="shared" si="12"/>
        <v>0</v>
      </c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1">
        <f>IF(SUM(Q143:AB143)=SUM(AC143:AM143),SUM(Q143:AB143),"  EROARE ART/CAP")</f>
        <v>0</v>
      </c>
      <c r="Q143" s="32"/>
      <c r="R143" s="32"/>
      <c r="S143" s="32"/>
      <c r="T143" s="32"/>
      <c r="U143" s="39"/>
      <c r="V143" s="39"/>
      <c r="W143" s="39"/>
      <c r="X143" s="32"/>
      <c r="Y143" s="23"/>
      <c r="Z143" s="32"/>
      <c r="AA143" s="52"/>
      <c r="AB143" s="52"/>
      <c r="AC143" s="50"/>
      <c r="AD143" s="40"/>
      <c r="AE143" s="40"/>
      <c r="AF143" s="40"/>
      <c r="AG143" s="40"/>
      <c r="AH143" s="40"/>
      <c r="AI143" s="50"/>
      <c r="AJ143" s="50"/>
      <c r="AK143" s="40"/>
      <c r="AL143" s="40"/>
      <c r="AM143" s="40"/>
    </row>
  </sheetData>
  <mergeCells count="13">
    <mergeCell ref="A13:C13"/>
    <mergeCell ref="M9:M11"/>
    <mergeCell ref="N9:N11"/>
    <mergeCell ref="O9:O11"/>
    <mergeCell ref="Q9:Z10"/>
    <mergeCell ref="AC9:AM10"/>
    <mergeCell ref="F10:G10"/>
    <mergeCell ref="A9:C12"/>
    <mergeCell ref="H9:H11"/>
    <mergeCell ref="I9:I11"/>
    <mergeCell ref="J9:J11"/>
    <mergeCell ref="K9:K11"/>
    <mergeCell ref="L9:L11"/>
  </mergeCells>
  <printOptions horizontalCentered="1"/>
  <pageMargins left="0" right="0" top="0.39370078740157483" bottom="0.19685039370078741" header="0.51181102362204722" footer="0.51181102362204722"/>
  <pageSetup paperSize="8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48</vt:i4>
      </vt:variant>
      <vt:variant>
        <vt:lpstr>Named Ranges</vt:lpstr>
      </vt:variant>
      <vt:variant>
        <vt:i4>48</vt:i4>
      </vt:variant>
    </vt:vector>
  </HeadingPairs>
  <TitlesOfParts>
    <vt:vector size="96" baseType="lpstr">
      <vt:lpstr>total TARA</vt:lpstr>
      <vt:lpstr>total COMUNE</vt:lpstr>
      <vt:lpstr>totalORASE</vt:lpstr>
      <vt:lpstr>total MUNICIPII</vt:lpstr>
      <vt:lpstr>totalCJ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macheta</vt:lpstr>
      <vt:lpstr>'1'!Print_Titles</vt:lpstr>
      <vt:lpstr>'10'!Print_Titles</vt:lpstr>
      <vt:lpstr>'11'!Print_Titles</vt:lpstr>
      <vt:lpstr>'12'!Print_Titles</vt:lpstr>
      <vt:lpstr>'13'!Print_Titles</vt:lpstr>
      <vt:lpstr>'14'!Print_Titles</vt:lpstr>
      <vt:lpstr>'15'!Print_Titles</vt:lpstr>
      <vt:lpstr>'16'!Print_Titles</vt:lpstr>
      <vt:lpstr>'17'!Print_Titles</vt:lpstr>
      <vt:lpstr>'18'!Print_Titles</vt:lpstr>
      <vt:lpstr>'19'!Print_Titles</vt:lpstr>
      <vt:lpstr>'2'!Print_Titles</vt:lpstr>
      <vt:lpstr>'20'!Print_Titles</vt:lpstr>
      <vt:lpstr>'21'!Print_Titles</vt:lpstr>
      <vt:lpstr>'22'!Print_Titles</vt:lpstr>
      <vt:lpstr>'23'!Print_Titles</vt:lpstr>
      <vt:lpstr>'24'!Print_Titles</vt:lpstr>
      <vt:lpstr>'25'!Print_Titles</vt:lpstr>
      <vt:lpstr>'26'!Print_Titles</vt:lpstr>
      <vt:lpstr>'27'!Print_Titles</vt:lpstr>
      <vt:lpstr>'28'!Print_Titles</vt:lpstr>
      <vt:lpstr>'29'!Print_Titles</vt:lpstr>
      <vt:lpstr>'3'!Print_Titles</vt:lpstr>
      <vt:lpstr>'30'!Print_Titles</vt:lpstr>
      <vt:lpstr>'31'!Print_Titles</vt:lpstr>
      <vt:lpstr>'32'!Print_Titles</vt:lpstr>
      <vt:lpstr>'33'!Print_Titles</vt:lpstr>
      <vt:lpstr>'34'!Print_Titles</vt:lpstr>
      <vt:lpstr>'35'!Print_Titles</vt:lpstr>
      <vt:lpstr>'36'!Print_Titles</vt:lpstr>
      <vt:lpstr>'37'!Print_Titles</vt:lpstr>
      <vt:lpstr>'38'!Print_Titles</vt:lpstr>
      <vt:lpstr>'39'!Print_Titles</vt:lpstr>
      <vt:lpstr>'4'!Print_Titles</vt:lpstr>
      <vt:lpstr>'40'!Print_Titles</vt:lpstr>
      <vt:lpstr>'41'!Print_Titles</vt:lpstr>
      <vt:lpstr>'42'!Print_Titles</vt:lpstr>
      <vt:lpstr>'5'!Print_Titles</vt:lpstr>
      <vt:lpstr>'6'!Print_Titles</vt:lpstr>
      <vt:lpstr>'7'!Print_Titles</vt:lpstr>
      <vt:lpstr>'8'!Print_Titles</vt:lpstr>
      <vt:lpstr>'9'!Print_Titles</vt:lpstr>
      <vt:lpstr>macheta!Print_Titles</vt:lpstr>
      <vt:lpstr>'total COMUNE'!Print_Titles</vt:lpstr>
      <vt:lpstr>'total MUNICIPII'!Print_Titles</vt:lpstr>
      <vt:lpstr>'total TARA'!Print_Titles</vt:lpstr>
      <vt:lpstr>totalCJ!Print_Titles</vt:lpstr>
      <vt:lpstr>totalORASE!Print_Titles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CONSTANTIN</dc:creator>
  <cp:lastModifiedBy>NINA CONSTANTIN</cp:lastModifiedBy>
  <cp:lastPrinted>2016-03-17T09:15:49Z</cp:lastPrinted>
  <dcterms:created xsi:type="dcterms:W3CDTF">2016-02-17T11:06:55Z</dcterms:created>
  <dcterms:modified xsi:type="dcterms:W3CDTF">2016-04-04T12:52:30Z</dcterms:modified>
</cp:coreProperties>
</file>